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QFYK91\OneDrive - PBGC\Documents\"/>
    </mc:Choice>
  </mc:AlternateContent>
  <xr:revisionPtr revIDLastSave="0" documentId="8_{27CDFDE6-3778-4672-AD4D-DD6CCEC937F7}" xr6:coauthVersionLast="47" xr6:coauthVersionMax="47" xr10:uidLastSave="{00000000-0000-0000-0000-000000000000}"/>
  <workbookProtection workbookAlgorithmName="SHA-512" workbookHashValue="kmq2UTnIss3NY5EsJd9TqOGwjxKSnaCKzOXndHf7rpHxJnUEddmQVW9IByCPesZP2NDYN1q9ZlqVL708A08GDg==" workbookSaltValue="v3/EZUgB8Jv7iFeUzHXCrg==" workbookSpinCount="100000" lockStructure="1"/>
  <bookViews>
    <workbookView xWindow="-80" yWindow="-80" windowWidth="19360" windowHeight="11440" firstSheet="1" activeTab="3" xr2:uid="{66CE70E0-1391-4CE0-9D3A-B5CAB55821E4}"/>
  </bookViews>
  <sheets>
    <sheet name="Background Info" sheetId="1" r:id="rId1"/>
    <sheet name="II.A SFA Pool Liabilities" sheetId="2" r:id="rId2"/>
    <sheet name="II.B SFA Pool Assets" sheetId="6" r:id="rId3"/>
    <sheet name="III.A Merged Pool Liabilities" sheetId="7" r:id="rId4"/>
    <sheet name="III.C Merged Plan Pool Assets" sheetId="8" r:id="rId5"/>
    <sheet name="IV. Pools to be allocated" sheetId="9" r:id="rId6"/>
    <sheet name="4044 Discount Rates" sheetId="5" state="hidden" r:id="rId7"/>
    <sheet name="4044 Yield Curves - 2024" sheetId="4" state="hidden" r:id="rId8"/>
  </sheets>
  <definedNames>
    <definedName name="_xlnm.Print_Area" localSheetId="3">'III.A Merged Pool Liabilities'!$A$3:$G$95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10" i="2"/>
  <c r="C4" i="5"/>
  <c r="A5" i="5"/>
  <c r="C5" i="5" s="1"/>
  <c r="B5" i="5"/>
  <c r="A6" i="5"/>
  <c r="A7" i="5" s="1"/>
  <c r="C7" i="5" s="1"/>
  <c r="B6" i="5"/>
  <c r="B7" i="5" s="1"/>
  <c r="E12" i="8"/>
  <c r="A8" i="5" l="1"/>
  <c r="A9" i="5" s="1"/>
  <c r="C9" i="5" s="1"/>
  <c r="C6" i="5"/>
  <c r="B8" i="5"/>
  <c r="A10" i="5" l="1"/>
  <c r="A11" i="5" s="1"/>
  <c r="C8" i="5"/>
  <c r="B9" i="5"/>
  <c r="C10" i="5" l="1"/>
  <c r="C11" i="5"/>
  <c r="A12" i="5"/>
  <c r="B10" i="5"/>
  <c r="B11" i="5" l="1"/>
  <c r="A13" i="5"/>
  <c r="C12" i="5"/>
  <c r="C13" i="5" l="1"/>
  <c r="A14" i="5"/>
  <c r="B12" i="5"/>
  <c r="B13" i="5" l="1"/>
  <c r="A15" i="5"/>
  <c r="C14" i="5"/>
  <c r="B14" i="5" l="1"/>
  <c r="C15" i="5"/>
  <c r="A16" i="5"/>
  <c r="A17" i="5" l="1"/>
  <c r="C16" i="5"/>
  <c r="B15" i="5"/>
  <c r="B16" i="5" l="1"/>
  <c r="C17" i="5"/>
  <c r="A18" i="5"/>
  <c r="B17" i="5" l="1"/>
  <c r="A19" i="5"/>
  <c r="C18" i="5"/>
  <c r="C19" i="5" l="1"/>
  <c r="A20" i="5"/>
  <c r="B18" i="5"/>
  <c r="A21" i="5" l="1"/>
  <c r="C20" i="5"/>
  <c r="B19" i="5"/>
  <c r="B20" i="5" l="1"/>
  <c r="C21" i="5"/>
  <c r="A22" i="5"/>
  <c r="B21" i="5" l="1"/>
  <c r="A23" i="5"/>
  <c r="C22" i="5"/>
  <c r="C23" i="5" l="1"/>
  <c r="A24" i="5"/>
  <c r="B22" i="5"/>
  <c r="B23" i="5" l="1"/>
  <c r="A25" i="5"/>
  <c r="C24" i="5"/>
  <c r="B24" i="5" l="1"/>
  <c r="C25" i="5"/>
  <c r="A26" i="5"/>
  <c r="A27" i="5" l="1"/>
  <c r="C26" i="5"/>
  <c r="B25" i="5"/>
  <c r="B26" i="5" l="1"/>
  <c r="C27" i="5"/>
  <c r="A28" i="5"/>
  <c r="A29" i="5" l="1"/>
  <c r="C28" i="5"/>
  <c r="B27" i="5"/>
  <c r="B28" i="5" l="1"/>
  <c r="C29" i="5"/>
  <c r="A30" i="5"/>
  <c r="A31" i="5" l="1"/>
  <c r="C30" i="5"/>
  <c r="B29" i="5"/>
  <c r="B30" i="5" l="1"/>
  <c r="C31" i="5"/>
  <c r="A32" i="5"/>
  <c r="B31" i="5" l="1"/>
  <c r="A33" i="5"/>
  <c r="C32" i="5"/>
  <c r="C33" i="5" l="1"/>
  <c r="A34" i="5"/>
  <c r="B32" i="5"/>
  <c r="B33" i="5" l="1"/>
  <c r="A35" i="5"/>
  <c r="C34" i="5"/>
  <c r="C35" i="5" l="1"/>
  <c r="A36" i="5"/>
  <c r="B34" i="5"/>
  <c r="B35" i="5" l="1"/>
  <c r="A37" i="5"/>
  <c r="C36" i="5"/>
  <c r="C37" i="5" l="1"/>
  <c r="A38" i="5"/>
  <c r="B36" i="5"/>
  <c r="B37" i="5" l="1"/>
  <c r="A39" i="5"/>
  <c r="C38" i="5"/>
  <c r="C39" i="5" l="1"/>
  <c r="A40" i="5"/>
  <c r="B38" i="5"/>
  <c r="B39" i="5" l="1"/>
  <c r="A41" i="5"/>
  <c r="C40" i="5"/>
  <c r="C41" i="5" l="1"/>
  <c r="A42" i="5"/>
  <c r="B40" i="5"/>
  <c r="C13" i="1"/>
  <c r="C11" i="1"/>
  <c r="B41" i="5" l="1"/>
  <c r="A43" i="5"/>
  <c r="C42" i="5"/>
  <c r="C14" i="1"/>
  <c r="C15" i="1"/>
  <c r="D25" i="6" l="1"/>
  <c r="C43" i="5"/>
  <c r="A44" i="5"/>
  <c r="B42" i="5"/>
  <c r="E11" i="7"/>
  <c r="C6" i="7"/>
  <c r="F11" i="7"/>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B43" i="5" l="1"/>
  <c r="A45" i="5"/>
  <c r="C44" i="5"/>
  <c r="A56" i="7"/>
  <c r="A57" i="7" s="1"/>
  <c r="E12" i="7"/>
  <c r="A7" i="2"/>
  <c r="D11" i="2"/>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A8" i="6"/>
  <c r="A9" i="6" s="1"/>
  <c r="A10" i="6" s="1"/>
  <c r="A11" i="6" s="1"/>
  <c r="A12" i="6" s="1"/>
  <c r="A13" i="6" s="1"/>
  <c r="A14" i="6" s="1"/>
  <c r="A15" i="6" s="1"/>
  <c r="A16" i="6" s="1"/>
  <c r="A17" i="6" s="1"/>
  <c r="A18" i="6" s="1"/>
  <c r="A19" i="6" s="1"/>
  <c r="A20" i="6" s="1"/>
  <c r="C45" i="5" l="1"/>
  <c r="A46" i="5"/>
  <c r="B44" i="5"/>
  <c r="A58" i="7"/>
  <c r="A8" i="2"/>
  <c r="A9" i="2" s="1"/>
  <c r="A10" i="2" s="1"/>
  <c r="C10" i="7"/>
  <c r="D10" i="7" s="1"/>
  <c r="C7" i="7"/>
  <c r="E13" i="7"/>
  <c r="C16" i="6"/>
  <c r="C15" i="6"/>
  <c r="C14" i="6"/>
  <c r="C13" i="6"/>
  <c r="B15" i="6"/>
  <c r="B14" i="6"/>
  <c r="A26" i="6"/>
  <c r="B26" i="6" s="1"/>
  <c r="C12" i="6"/>
  <c r="C11" i="6"/>
  <c r="B13" i="6"/>
  <c r="B12" i="6"/>
  <c r="B11" i="6"/>
  <c r="B10" i="6"/>
  <c r="B9" i="6"/>
  <c r="C10" i="6"/>
  <c r="D10" i="6" s="1"/>
  <c r="E10" i="6" s="1"/>
  <c r="B7" i="6"/>
  <c r="C9" i="6"/>
  <c r="B19" i="6"/>
  <c r="C7" i="6"/>
  <c r="C8" i="6"/>
  <c r="B18" i="6"/>
  <c r="C19" i="6"/>
  <c r="B17" i="6"/>
  <c r="C18" i="6"/>
  <c r="B8" i="6"/>
  <c r="B16" i="6"/>
  <c r="C17" i="6"/>
  <c r="C9" i="7" l="1"/>
  <c r="C8" i="7"/>
  <c r="B45" i="5"/>
  <c r="A47" i="5"/>
  <c r="C46" i="5"/>
  <c r="A27" i="6"/>
  <c r="D15" i="6"/>
  <c r="E15" i="6" s="1"/>
  <c r="D14" i="6"/>
  <c r="E14" i="6" s="1"/>
  <c r="D16" i="6"/>
  <c r="E16" i="6" s="1"/>
  <c r="A11" i="2"/>
  <c r="E10" i="2"/>
  <c r="A59" i="7"/>
  <c r="D11" i="6"/>
  <c r="E11" i="6" s="1"/>
  <c r="D33" i="6" s="1"/>
  <c r="E14" i="7"/>
  <c r="D17" i="6"/>
  <c r="E17" i="6" s="1"/>
  <c r="D12" i="6"/>
  <c r="E12" i="6" s="1"/>
  <c r="D13" i="6"/>
  <c r="E13" i="6" s="1"/>
  <c r="D8" i="6"/>
  <c r="E8" i="6" s="1"/>
  <c r="D7" i="6"/>
  <c r="E7" i="6" s="1"/>
  <c r="D18" i="6"/>
  <c r="E18" i="6" s="1"/>
  <c r="D19" i="6"/>
  <c r="E19" i="6" s="1"/>
  <c r="D9" i="6"/>
  <c r="E9" i="6" s="1"/>
  <c r="D5" i="8" l="1"/>
  <c r="E13" i="8"/>
  <c r="E14" i="8" s="1"/>
  <c r="C47" i="5"/>
  <c r="A48" i="5"/>
  <c r="B46" i="5"/>
  <c r="C26" i="6"/>
  <c r="D26" i="6" s="1"/>
  <c r="B27" i="6" s="1"/>
  <c r="A28" i="6"/>
  <c r="A12" i="2"/>
  <c r="E11" i="2"/>
  <c r="C11" i="7"/>
  <c r="C12" i="7"/>
  <c r="A60" i="7"/>
  <c r="D11" i="7"/>
  <c r="G10" i="7"/>
  <c r="B10" i="7"/>
  <c r="E15" i="7"/>
  <c r="B47" i="5" l="1"/>
  <c r="A49" i="5"/>
  <c r="C48" i="5"/>
  <c r="A13" i="2"/>
  <c r="E12" i="2"/>
  <c r="A61" i="7"/>
  <c r="D12" i="7"/>
  <c r="G12" i="7" s="1"/>
  <c r="G11" i="7"/>
  <c r="B11" i="7"/>
  <c r="E16" i="7"/>
  <c r="C49" i="5" l="1"/>
  <c r="A50" i="5"/>
  <c r="B48" i="5"/>
  <c r="C27" i="6"/>
  <c r="A14" i="2"/>
  <c r="E13" i="2"/>
  <c r="C13" i="7"/>
  <c r="A62" i="7"/>
  <c r="D13" i="7"/>
  <c r="G13" i="7" s="1"/>
  <c r="B12" i="7"/>
  <c r="E17" i="7"/>
  <c r="B49" i="5" l="1"/>
  <c r="A51" i="5"/>
  <c r="C50" i="5"/>
  <c r="D27" i="6"/>
  <c r="B28" i="6" s="1"/>
  <c r="A15" i="2"/>
  <c r="E14" i="2"/>
  <c r="C14" i="7"/>
  <c r="C15" i="7"/>
  <c r="A63" i="7"/>
  <c r="D14" i="7"/>
  <c r="G14" i="7" s="1"/>
  <c r="B13" i="7"/>
  <c r="E18" i="7"/>
  <c r="C51" i="5" l="1"/>
  <c r="A52" i="5"/>
  <c r="B50" i="5"/>
  <c r="A16" i="2"/>
  <c r="E15" i="2"/>
  <c r="A64" i="7"/>
  <c r="D15" i="7"/>
  <c r="G15" i="7" s="1"/>
  <c r="B14" i="7"/>
  <c r="E19" i="7"/>
  <c r="A53" i="5" l="1"/>
  <c r="C52" i="5"/>
  <c r="B51" i="5"/>
  <c r="C28" i="6"/>
  <c r="D28" i="6" s="1"/>
  <c r="D32" i="6" s="1"/>
  <c r="D35" i="6" s="1"/>
  <c r="E16" i="8" s="1"/>
  <c r="A17" i="2"/>
  <c r="E16" i="2"/>
  <c r="C17" i="7"/>
  <c r="C16" i="7"/>
  <c r="A65" i="7"/>
  <c r="D16" i="7"/>
  <c r="G16" i="7" s="1"/>
  <c r="B15" i="7"/>
  <c r="E20" i="7"/>
  <c r="D7" i="9" l="1"/>
  <c r="D6" i="8"/>
  <c r="D8" i="8" s="1"/>
  <c r="E17" i="8" s="1"/>
  <c r="E18" i="8" s="1"/>
  <c r="E20" i="8" s="1"/>
  <c r="B52" i="5"/>
  <c r="C53" i="5"/>
  <c r="A54" i="5"/>
  <c r="C54" i="5" s="1"/>
  <c r="A18" i="2"/>
  <c r="E17" i="2"/>
  <c r="A66" i="7"/>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D17" i="7"/>
  <c r="G17" i="7" s="1"/>
  <c r="B16" i="7"/>
  <c r="E21" i="7"/>
  <c r="B53" i="5" l="1"/>
  <c r="D26" i="9"/>
  <c r="A19" i="2"/>
  <c r="E18" i="2"/>
  <c r="C18" i="7"/>
  <c r="D18" i="7"/>
  <c r="G18" i="7" s="1"/>
  <c r="B17" i="7"/>
  <c r="E22" i="7"/>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C6" i="4"/>
  <c r="D6" i="4" s="1"/>
  <c r="E6" i="4" s="1"/>
  <c r="F6" i="4" s="1"/>
  <c r="G6" i="4" s="1"/>
  <c r="H6" i="4" s="1"/>
  <c r="B54" i="5" l="1"/>
  <c r="A20" i="2"/>
  <c r="E19" i="2"/>
  <c r="C19" i="7"/>
  <c r="D19" i="7"/>
  <c r="G19" i="7" s="1"/>
  <c r="B18" i="7"/>
  <c r="E23" i="7"/>
  <c r="A21" i="2" l="1"/>
  <c r="C21" i="7" s="1"/>
  <c r="E20" i="2"/>
  <c r="C20" i="7"/>
  <c r="D20" i="7"/>
  <c r="G20" i="7" s="1"/>
  <c r="B19" i="7"/>
  <c r="E24" i="7"/>
  <c r="A22" i="2" l="1"/>
  <c r="E21" i="2"/>
  <c r="D21" i="7"/>
  <c r="G21" i="7" s="1"/>
  <c r="B20" i="7"/>
  <c r="E25" i="7"/>
  <c r="A23" i="2" l="1"/>
  <c r="E22" i="2"/>
  <c r="D22" i="7"/>
  <c r="G22" i="7" s="1"/>
  <c r="B21" i="7"/>
  <c r="E26" i="7"/>
  <c r="A24" i="2" l="1"/>
  <c r="E23" i="2"/>
  <c r="D23" i="7"/>
  <c r="G23" i="7" s="1"/>
  <c r="E27" i="7"/>
  <c r="A25" i="2" l="1"/>
  <c r="E24" i="2"/>
  <c r="D24" i="7"/>
  <c r="G24" i="7" s="1"/>
  <c r="E28" i="7"/>
  <c r="A26" i="2" l="1"/>
  <c r="E25" i="2"/>
  <c r="D25" i="7"/>
  <c r="G25" i="7" s="1"/>
  <c r="E29" i="7"/>
  <c r="A27" i="2" l="1"/>
  <c r="E26" i="2"/>
  <c r="E30" i="7"/>
  <c r="A28" i="2" l="1"/>
  <c r="E27" i="2"/>
  <c r="E31" i="7"/>
  <c r="A29" i="2" l="1"/>
  <c r="E28" i="2"/>
  <c r="E32" i="7"/>
  <c r="A30" i="2" l="1"/>
  <c r="E29" i="2"/>
  <c r="E33" i="7"/>
  <c r="A31" i="2" l="1"/>
  <c r="E30" i="2"/>
  <c r="E34" i="7"/>
  <c r="A32" i="2" l="1"/>
  <c r="E31" i="2"/>
  <c r="E35" i="7"/>
  <c r="A33" i="2" l="1"/>
  <c r="E32" i="2"/>
  <c r="E36" i="7"/>
  <c r="A34" i="2" l="1"/>
  <c r="E33" i="2"/>
  <c r="E37" i="7"/>
  <c r="A35" i="2" l="1"/>
  <c r="E34" i="2"/>
  <c r="E38" i="7"/>
  <c r="A36" i="2" l="1"/>
  <c r="E35" i="2"/>
  <c r="E39" i="7"/>
  <c r="A37" i="2" l="1"/>
  <c r="E36" i="2"/>
  <c r="E40" i="7"/>
  <c r="A38" i="2" l="1"/>
  <c r="E37" i="2"/>
  <c r="E41" i="7"/>
  <c r="A39" i="2" l="1"/>
  <c r="E38" i="2"/>
  <c r="E42" i="7"/>
  <c r="A40" i="2" l="1"/>
  <c r="E39" i="2"/>
  <c r="E43" i="7"/>
  <c r="A41" i="2" l="1"/>
  <c r="E40" i="2"/>
  <c r="E44" i="7"/>
  <c r="A42" i="2" l="1"/>
  <c r="E41" i="2"/>
  <c r="E45" i="7"/>
  <c r="A43" i="2" l="1"/>
  <c r="E42" i="2"/>
  <c r="E46" i="7"/>
  <c r="A44" i="2" l="1"/>
  <c r="E43" i="2"/>
  <c r="E47" i="7"/>
  <c r="A45" i="2" l="1"/>
  <c r="E44" i="2"/>
  <c r="E48" i="7"/>
  <c r="A46" i="2" l="1"/>
  <c r="E45" i="2"/>
  <c r="E49" i="7"/>
  <c r="A47" i="2" l="1"/>
  <c r="E46" i="2"/>
  <c r="E50" i="7"/>
  <c r="A48" i="2" l="1"/>
  <c r="E47" i="2"/>
  <c r="E51" i="7"/>
  <c r="A49" i="2" l="1"/>
  <c r="E48" i="2"/>
  <c r="E52" i="7"/>
  <c r="A50" i="2" l="1"/>
  <c r="E49" i="2"/>
  <c r="E53" i="7"/>
  <c r="A51" i="2" l="1"/>
  <c r="E50" i="2"/>
  <c r="E54" i="7"/>
  <c r="A52" i="2" l="1"/>
  <c r="E51" i="2"/>
  <c r="E55" i="7"/>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G95" i="7" s="1"/>
  <c r="A53" i="2" l="1"/>
  <c r="E52" i="2"/>
  <c r="A54" i="2" l="1"/>
  <c r="E53" i="2"/>
  <c r="A55" i="2" l="1"/>
  <c r="E54" i="2"/>
  <c r="A56" i="2" l="1"/>
  <c r="E55" i="2"/>
  <c r="E56" i="2" l="1"/>
  <c r="C49" i="7"/>
  <c r="C51" i="7"/>
  <c r="C56" i="7"/>
  <c r="C28" i="7"/>
  <c r="C43" i="7"/>
  <c r="C47" i="7"/>
  <c r="C37" i="7"/>
  <c r="C36" i="7"/>
  <c r="C45" i="7"/>
  <c r="C44" i="7"/>
  <c r="C50" i="7"/>
  <c r="C46" i="7"/>
  <c r="C32" i="7"/>
  <c r="C23" i="7"/>
  <c r="B23" i="7" s="1"/>
  <c r="C38" i="7"/>
  <c r="C54" i="7"/>
  <c r="C48" i="7"/>
  <c r="C53" i="7"/>
  <c r="C52" i="7"/>
  <c r="C34" i="7"/>
  <c r="C24" i="7"/>
  <c r="B24" i="7" s="1"/>
  <c r="C29" i="7"/>
  <c r="C41" i="7"/>
  <c r="C42" i="7"/>
  <c r="C25" i="7"/>
  <c r="B25" i="7" s="1"/>
  <c r="C27" i="7"/>
  <c r="C22" i="7"/>
  <c r="C31" i="7"/>
  <c r="C39" i="7"/>
  <c r="C35" i="7"/>
  <c r="C26" i="7"/>
  <c r="C30" i="7"/>
  <c r="C33" i="7"/>
  <c r="C55" i="7"/>
  <c r="C40" i="7"/>
  <c r="B22" i="7" l="1"/>
  <c r="D26" i="7"/>
  <c r="C57" i="7"/>
  <c r="C58" i="7" l="1"/>
  <c r="G26" i="7"/>
  <c r="D27" i="7"/>
  <c r="B26" i="7"/>
  <c r="G27" i="7" l="1"/>
  <c r="D28" i="7"/>
  <c r="B27" i="7"/>
  <c r="C59" i="7"/>
  <c r="C60" i="7" l="1"/>
  <c r="G28" i="7"/>
  <c r="D29" i="7"/>
  <c r="B28" i="7"/>
  <c r="G29" i="7" l="1"/>
  <c r="D30" i="7"/>
  <c r="B29" i="7"/>
  <c r="C61" i="7"/>
  <c r="C62" i="7" l="1"/>
  <c r="G30" i="7"/>
  <c r="D31" i="7"/>
  <c r="B30" i="7"/>
  <c r="G31" i="7" l="1"/>
  <c r="D32" i="7"/>
  <c r="B31" i="7"/>
  <c r="C63" i="7"/>
  <c r="C64" i="7" l="1"/>
  <c r="G32" i="7"/>
  <c r="D33" i="7"/>
  <c r="B32" i="7"/>
  <c r="G33" i="7" l="1"/>
  <c r="D34" i="7"/>
  <c r="B33" i="7"/>
  <c r="C65" i="7"/>
  <c r="C66" i="7" l="1"/>
  <c r="G34" i="7"/>
  <c r="D35" i="7"/>
  <c r="B34" i="7"/>
  <c r="G35" i="7" l="1"/>
  <c r="D36" i="7"/>
  <c r="B35" i="7"/>
  <c r="C67" i="7"/>
  <c r="C68" i="7" l="1"/>
  <c r="G36" i="7"/>
  <c r="D37" i="7"/>
  <c r="B36" i="7"/>
  <c r="G37" i="7" l="1"/>
  <c r="D38" i="7"/>
  <c r="B37" i="7"/>
  <c r="C69" i="7"/>
  <c r="E4" i="2"/>
  <c r="D5" i="9" s="1"/>
  <c r="D9" i="9" s="1"/>
  <c r="D13" i="9" s="1"/>
  <c r="D32" i="9" l="1"/>
  <c r="C70" i="7"/>
  <c r="G38" i="7"/>
  <c r="D39" i="7"/>
  <c r="B38" i="7"/>
  <c r="D16" i="9" l="1"/>
  <c r="D19" i="9" s="1"/>
  <c r="G39" i="7"/>
  <c r="D40" i="7"/>
  <c r="B39" i="7"/>
  <c r="C71" i="7"/>
  <c r="C72" i="7" l="1"/>
  <c r="G40" i="7"/>
  <c r="D41" i="7"/>
  <c r="B40" i="7"/>
  <c r="G41" i="7" l="1"/>
  <c r="D42" i="7"/>
  <c r="B41" i="7"/>
  <c r="C73" i="7"/>
  <c r="C74" i="7" l="1"/>
  <c r="G42" i="7"/>
  <c r="D43" i="7"/>
  <c r="B42" i="7"/>
  <c r="G43" i="7" l="1"/>
  <c r="D44" i="7"/>
  <c r="B43" i="7"/>
  <c r="C75" i="7"/>
  <c r="C76" i="7" l="1"/>
  <c r="G44" i="7"/>
  <c r="D45" i="7"/>
  <c r="B44" i="7"/>
  <c r="G45" i="7" l="1"/>
  <c r="D46" i="7"/>
  <c r="B45" i="7"/>
  <c r="C77" i="7"/>
  <c r="C78" i="7" l="1"/>
  <c r="G46" i="7"/>
  <c r="D47" i="7"/>
  <c r="B46" i="7"/>
  <c r="G47" i="7" l="1"/>
  <c r="D48" i="7"/>
  <c r="B47" i="7"/>
  <c r="C79" i="7"/>
  <c r="C80" i="7" l="1"/>
  <c r="G48" i="7"/>
  <c r="D49" i="7"/>
  <c r="B48" i="7"/>
  <c r="G49" i="7" l="1"/>
  <c r="D50" i="7"/>
  <c r="B49" i="7"/>
  <c r="C81" i="7"/>
  <c r="C82" i="7" l="1"/>
  <c r="G50" i="7"/>
  <c r="D51" i="7"/>
  <c r="B50" i="7"/>
  <c r="G51" i="7" l="1"/>
  <c r="D52" i="7"/>
  <c r="B51" i="7"/>
  <c r="C83" i="7"/>
  <c r="C84" i="7" l="1"/>
  <c r="G52" i="7"/>
  <c r="D53" i="7"/>
  <c r="B52" i="7"/>
  <c r="G53" i="7" l="1"/>
  <c r="D54" i="7"/>
  <c r="B53" i="7"/>
  <c r="C85" i="7"/>
  <c r="C86" i="7" l="1"/>
  <c r="G54" i="7"/>
  <c r="D55" i="7"/>
  <c r="B54" i="7"/>
  <c r="D56" i="7" l="1"/>
  <c r="G55" i="7"/>
  <c r="B55" i="7"/>
  <c r="C87" i="7"/>
  <c r="C88" i="7" l="1"/>
  <c r="G56" i="7"/>
  <c r="B56" i="7"/>
  <c r="D57" i="7"/>
  <c r="D58" i="7" l="1"/>
  <c r="G57" i="7"/>
  <c r="B57" i="7"/>
  <c r="C89" i="7"/>
  <c r="D59" i="7" l="1"/>
  <c r="G58" i="7"/>
  <c r="B58" i="7"/>
  <c r="C90" i="7"/>
  <c r="C91" i="7" l="1"/>
  <c r="D60" i="7"/>
  <c r="G59" i="7"/>
  <c r="B59" i="7"/>
  <c r="D61" i="7" l="1"/>
  <c r="G60" i="7"/>
  <c r="B60" i="7"/>
  <c r="C92" i="7"/>
  <c r="C93" i="7" l="1"/>
  <c r="D62" i="7"/>
  <c r="G61" i="7"/>
  <c r="B61" i="7"/>
  <c r="D63" i="7" l="1"/>
  <c r="G62" i="7"/>
  <c r="B62" i="7"/>
  <c r="C94" i="7"/>
  <c r="C95" i="7" l="1"/>
  <c r="B95" i="7" s="1"/>
  <c r="D64" i="7"/>
  <c r="G63" i="7"/>
  <c r="B63" i="7"/>
  <c r="D65" i="7" l="1"/>
  <c r="G64" i="7"/>
  <c r="B64" i="7"/>
  <c r="D66" i="7" l="1"/>
  <c r="G65" i="7"/>
  <c r="B65" i="7"/>
  <c r="D67" i="7" l="1"/>
  <c r="G66" i="7"/>
  <c r="B66" i="7"/>
  <c r="D68" i="7" l="1"/>
  <c r="G67" i="7"/>
  <c r="B67" i="7"/>
  <c r="D69" i="7" l="1"/>
  <c r="G68" i="7"/>
  <c r="B68" i="7"/>
  <c r="D70" i="7" l="1"/>
  <c r="G69" i="7"/>
  <c r="B69" i="7"/>
  <c r="D71" i="7" l="1"/>
  <c r="G70" i="7"/>
  <c r="B70" i="7"/>
  <c r="D72" i="7" l="1"/>
  <c r="G71" i="7"/>
  <c r="B71" i="7"/>
  <c r="D73" i="7" l="1"/>
  <c r="G72" i="7"/>
  <c r="B72" i="7"/>
  <c r="D74" i="7" l="1"/>
  <c r="G73" i="7"/>
  <c r="B73" i="7"/>
  <c r="D75" i="7" l="1"/>
  <c r="G74" i="7"/>
  <c r="B74" i="7"/>
  <c r="D76" i="7" l="1"/>
  <c r="G75" i="7"/>
  <c r="B75" i="7"/>
  <c r="D77" i="7" l="1"/>
  <c r="G76" i="7"/>
  <c r="B76" i="7"/>
  <c r="D78" i="7" l="1"/>
  <c r="G77" i="7"/>
  <c r="B77" i="7"/>
  <c r="D79" i="7" l="1"/>
  <c r="G78" i="7"/>
  <c r="B78" i="7"/>
  <c r="G79" i="7" l="1"/>
  <c r="D80" i="7"/>
  <c r="B79" i="7"/>
  <c r="G80" i="7" l="1"/>
  <c r="D81" i="7"/>
  <c r="B80" i="7"/>
  <c r="D82" i="7" l="1"/>
  <c r="G81" i="7"/>
  <c r="B81" i="7"/>
  <c r="G82" i="7" l="1"/>
  <c r="D83" i="7"/>
  <c r="B82" i="7"/>
  <c r="D84" i="7" l="1"/>
  <c r="G83" i="7"/>
  <c r="B83" i="7"/>
  <c r="D85" i="7" l="1"/>
  <c r="G84" i="7"/>
  <c r="B84" i="7"/>
  <c r="D86" i="7" l="1"/>
  <c r="G85" i="7"/>
  <c r="B85" i="7"/>
  <c r="D87" i="7" l="1"/>
  <c r="G86" i="7"/>
  <c r="B86" i="7"/>
  <c r="D88" i="7" l="1"/>
  <c r="G87" i="7"/>
  <c r="B87" i="7"/>
  <c r="D89" i="7" l="1"/>
  <c r="G88" i="7"/>
  <c r="B88" i="7"/>
  <c r="D90" i="7" l="1"/>
  <c r="G89" i="7"/>
  <c r="B89" i="7"/>
  <c r="D91" i="7" l="1"/>
  <c r="G90" i="7"/>
  <c r="B90" i="7"/>
  <c r="D92" i="7" l="1"/>
  <c r="G91" i="7"/>
  <c r="B91" i="7"/>
  <c r="D93" i="7" l="1"/>
  <c r="G92" i="7"/>
  <c r="B92" i="7"/>
  <c r="G93" i="7" l="1"/>
  <c r="D94" i="7"/>
  <c r="B93" i="7"/>
  <c r="G94" i="7" l="1"/>
  <c r="G4" i="7" s="1"/>
  <c r="D24" i="9" s="1"/>
  <c r="D28" i="9" s="1"/>
  <c r="D35" i="9" s="1"/>
  <c r="D38" i="9" s="1"/>
  <c r="B94" i="7"/>
</calcChain>
</file>

<file path=xl/sharedStrings.xml><?xml version="1.0" encoding="utf-8"?>
<sst xmlns="http://schemas.openxmlformats.org/spreadsheetml/2006/main" count="157" uniqueCount="105">
  <si>
    <t>1/1 - 12/31</t>
  </si>
  <si>
    <t>Plan Year Basis:</t>
  </si>
  <si>
    <t>SFA Payment Year:</t>
  </si>
  <si>
    <t>Plan Year Beginning January 1,</t>
  </si>
  <si>
    <t>Projected Vested Benefit Payments</t>
  </si>
  <si>
    <t>ERISA 4044 Yield Curves</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</si>
  <si>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</si>
  <si>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</si>
  <si>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4044 Yield Curves*</t>
  </si>
  <si>
    <t>Year</t>
  </si>
  <si>
    <t>30.0+</t>
  </si>
  <si>
    <t xml:space="preserve">* For valuation dates that are not the last day of a month, the 4044 yield curve to be used for 4044 purposes is the yield curve as of the last day of the prior month.   </t>
  </si>
  <si>
    <t>Rate</t>
  </si>
  <si>
    <t>t</t>
  </si>
  <si>
    <t>SFA POOL BENEFIT PROJECTION</t>
  </si>
  <si>
    <t/>
  </si>
  <si>
    <t>Discount Period</t>
  </si>
  <si>
    <t xml:space="preserve">4044 Effective Discount Rate </t>
  </si>
  <si>
    <t>SFA-Recipient Plan: SFA Phase-In Schedule</t>
  </si>
  <si>
    <t>Determination Year</t>
  </si>
  <si>
    <t>Complete Plan Years from Determination Year to Exhaustion Year</t>
  </si>
  <si>
    <t>(a)</t>
  </si>
  <si>
    <t>(b)</t>
  </si>
  <si>
    <t>(d)</t>
  </si>
  <si>
    <t>(c)</t>
  </si>
  <si>
    <t>Complete Plan Years from Payment Year to Exhaustion Year</t>
  </si>
  <si>
    <t>(e)</t>
  </si>
  <si>
    <t>SFA Payment Year</t>
  </si>
  <si>
    <t>SFA Exhaustion Year</t>
  </si>
  <si>
    <t>Assets Excluded from UVB Pool 
[ = SFA Received x (d)]</t>
  </si>
  <si>
    <t>SFA-Recipient Plan: Asset Rollforward</t>
  </si>
  <si>
    <t>Revaluation Date</t>
  </si>
  <si>
    <t>Phase-In% 
[ = (b) / (c) ]</t>
  </si>
  <si>
    <t>SFA Recipient Plan: Adjust Asset Rollforward for Phase-In Schedule</t>
  </si>
  <si>
    <t>SFA Pool Assets [ = (a) - (b) ]:</t>
  </si>
  <si>
    <t>(a) Total Rolled Forward Assets as of 12/31/2028:</t>
  </si>
  <si>
    <t>(b) Assets Excluded as of 12/31/2028, per Phase-In Schedule:</t>
  </si>
  <si>
    <t>MERGED PLAN POOL BENEFIT PROJECTION</t>
  </si>
  <si>
    <t>Merged Plan Total Projected Vested Benefit Payments</t>
  </si>
  <si>
    <t>Merged Plan Pool Projected Vested Benefits
[= (b) - (c) ]</t>
  </si>
  <si>
    <t xml:space="preserve">SFA Pool Vested Benefit Projection </t>
  </si>
  <si>
    <t>N/A</t>
  </si>
  <si>
    <t>Projected Vested Benefit Payment, Discounted to 12/31/2028</t>
  </si>
  <si>
    <t>Merged Plan Interest Rate</t>
  </si>
  <si>
    <t>See Exhibit II.B</t>
  </si>
  <si>
    <t>Actual Non-SFA Assets, 12/31/2025:</t>
  </si>
  <si>
    <t>Actual SFA Assets, 12/31/2025:</t>
  </si>
  <si>
    <t>SFA Pool</t>
  </si>
  <si>
    <t>Merged Plan Pool</t>
  </si>
  <si>
    <t>(a) Present Value of Vested Benefits at 12/31/2028:</t>
  </si>
  <si>
    <t xml:space="preserve">                [ = (a) - (b) ]</t>
  </si>
  <si>
    <t xml:space="preserve">(d) SFA Pool Assets that Exceed Present Value of Vested </t>
  </si>
  <si>
    <t xml:space="preserve">                  Benefits, at 12/31/2028:</t>
  </si>
  <si>
    <t>(c) Preliminary Unfunded Vested Benefit (UVB) at 12/31/2028:</t>
  </si>
  <si>
    <t xml:space="preserve">                [ = (c) + (d) ]</t>
  </si>
  <si>
    <t>(b) Pool Assets at 12/31/2028:</t>
  </si>
  <si>
    <t>SFA Measurement Date:</t>
  </si>
  <si>
    <t>SFA Exhaustion Year (from SFA APP):</t>
  </si>
  <si>
    <t>SFA Received:</t>
  </si>
  <si>
    <t>Adjusted SFA Exhaustion Year 
     [=2034 +(2024-2022)]:</t>
  </si>
  <si>
    <t>SFA-Recipient Plan Information</t>
  </si>
  <si>
    <t>Present Value of Vested Benefits:</t>
  </si>
  <si>
    <t>Total Assets, 12/31/2025:</t>
  </si>
  <si>
    <t>Key Dates</t>
  </si>
  <si>
    <t xml:space="preserve">Merger Date:  </t>
  </si>
  <si>
    <t>December 31, 2025</t>
  </si>
  <si>
    <t>Withdrawal Year:</t>
  </si>
  <si>
    <t>Unfunded Vested Benefits Measurement Date:</t>
  </si>
  <si>
    <t>December 31, 2028</t>
  </si>
  <si>
    <t>SFA Pool Assets Projected Investment Return (Post-Merger)</t>
  </si>
  <si>
    <t>SFA Pool Projected Benefit Disbursed from SFA Assets (Post-Merger)</t>
  </si>
  <si>
    <t>SFA Pool Total Projected Assets</t>
  </si>
  <si>
    <t>Actual SFA Plan Assets at Merger Date</t>
  </si>
  <si>
    <t>(a) Total Actual Assets as of 12/31/2028:</t>
  </si>
  <si>
    <t>(b) Amount of SFA Assets Not Phased in as of 12/31/2028:</t>
  </si>
  <si>
    <t xml:space="preserve">(c) SFA Pool Assets as of 12/31/2028: </t>
  </si>
  <si>
    <t>Merged Plan Pool Assets [ = (a) - (b) - (c) ]:</t>
  </si>
  <si>
    <t>See Exhibit II.A</t>
  </si>
  <si>
    <t>See Exhibit III.A</t>
  </si>
  <si>
    <t>(a) Merged Plan, Total Actual Assets as of 12/31/2028:</t>
  </si>
  <si>
    <t>(f) Sum of SFA Pool Assets and Merged Pool Assets, 12/31/2028:</t>
  </si>
  <si>
    <t>(e) Merged Pool Assets as of 12/31/2028:</t>
  </si>
  <si>
    <t>(d) SFA Pool Assets as of 12/31/2028:</t>
  </si>
  <si>
    <t>(c) Merged Plan Assets as of 12/31/2028, Net of SFA Phase-In, for Withdrawal Liability Assessment Purposes [ = (a) + (b) ]:</t>
  </si>
  <si>
    <t>See above</t>
  </si>
  <si>
    <t>Difference Between (c) and (f) [Should Be $0]:</t>
  </si>
  <si>
    <t>(e) Preliminary SFA Pool UVB at 12/31/2028:</t>
  </si>
  <si>
    <t>(f) Final SFA Pool UVB allocable at 12/31/2028:</t>
  </si>
  <si>
    <t xml:space="preserve">               = MAX[0, (e)]</t>
  </si>
  <si>
    <t>(e) Preliminary Merged Plan Pool UVB at 12/31/2028:</t>
  </si>
  <si>
    <t>(f) Final Merged Plan Pool UVB allocable at 12/31/2028:</t>
  </si>
  <si>
    <t xml:space="preserve">                  Benefits (Reallocated to Merged Plan Pool), at 12/31/2028:</t>
  </si>
  <si>
    <t xml:space="preserve">EXHIBIT II.A 
SFA POOL LIABILITIES </t>
  </si>
  <si>
    <t xml:space="preserve">EXHIBIT II.B 
SFA POOL ASSETS </t>
  </si>
  <si>
    <t>EXHIBIT III.A 
MERGED POOL LIABILITIES</t>
  </si>
  <si>
    <t>BACKGROUND INFORMATION</t>
  </si>
  <si>
    <t>Demonstration that Merged Plan Assets = SFA Pool Assets + Merged Pool Assets</t>
  </si>
  <si>
    <r>
      <t xml:space="preserve">                       = The </t>
    </r>
    <r>
      <rPr>
        <b/>
        <i/>
        <sz val="18"/>
        <color theme="1"/>
        <rFont val="Aptos Narrow"/>
        <family val="2"/>
        <scheme val="minor"/>
      </rPr>
      <t>negative</t>
    </r>
    <r>
      <rPr>
        <b/>
        <sz val="18"/>
        <color theme="1"/>
        <rFont val="Aptos Narrow"/>
        <family val="2"/>
        <scheme val="minor"/>
      </rPr>
      <t xml:space="preserve"> of Item (d) from SFA Pool section above</t>
    </r>
  </si>
  <si>
    <t xml:space="preserve">                       = - MIN[ 0 , (c) ]</t>
  </si>
  <si>
    <t xml:space="preserve">                [ = (c) - (d) ]</t>
  </si>
  <si>
    <t>SFA Pool Asset Roll-Forward Rate (reasonable assumption):</t>
  </si>
  <si>
    <t>Section IV. of sample method</t>
  </si>
  <si>
    <t>EXHIBIT IV. 
ALLOCATION OF UVB POOLS</t>
  </si>
  <si>
    <t xml:space="preserve">EXHIBIT III.C
MERGED PLAN POOL ASSETS </t>
  </si>
  <si>
    <t>See Exhibit III.C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</si>
</sst>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0_);\(0.0\)"/>
  </numFmts>
  <fonts count="33" x14ac:knownFonts="1">
    <font>
      <sz val="11"/>
      <color theme="1"/>
      <name val="Aptos Narrow"/>
      <family val="2"/>
      <scheme val="minor"/>
    </font>
    <font>
      <sz val="11"/>
      <color theme="1"/>
      <name val="Aptos Narrow"/>
      <family val="2"/>
      <scheme val="minor"/>
    </font>
    <font>
      <u val="singleAccounting"/>
      <sz val="11"/>
      <color theme="1"/>
      <name val="Aptos Narrow"/>
      <family val="2"/>
      <scheme val="minor"/>
    </font>
    <font>
      <b/>
      <sz val="11"/>
      <color theme="1"/>
      <name val="Aptos Narrow"/>
      <family val="2"/>
      <scheme val="minor"/>
    </font>
    <font>
      <b/>
      <u val="singleAccounting"/>
      <sz val="11"/>
      <color theme="1"/>
      <name val="Aptos Narrow"/>
      <family val="2"/>
      <scheme val="minor"/>
    </font>
    <font>
      <sz val="20"/>
      <color rgb="FF142640"/>
      <name val="Arial"/>
      <family val="2"/>
    </font>
    <font>
      <sz val="11"/>
      <color theme="1"/>
      <name val="Arial"/>
      <family val="2"/>
    </font>
    <font>
      <sz val="24"/>
      <color rgb="FF142640"/>
      <name val="Arial"/>
      <family val="2"/>
    </font>
    <font>
      <b/>
      <sz val="11"/>
      <color theme="1"/>
      <name val="Arial"/>
      <family val="2"/>
    </font>
    <font>
      <sz val="10"/>
      <color rgb="FF000000"/>
      <name val="Arial"/>
      <family val="2"/>
    </font>
    <font>
      <sz val="10"/>
      <color rgb="FF000000"/>
      <name val="Aptos Narrow"/>
      <family val="2"/>
    </font>
    <font>
      <sz val="11"/>
      <color rgb="FF000000"/>
      <name val="Arial"/>
      <family val="2"/>
    </font>
    <font>
      <b/>
      <sz val="12"/>
      <color rgb="FF000000"/>
      <name val="Arial"/>
      <family val="2"/>
    </font>
    <font>
      <b/>
      <sz val="11"/>
      <name val="Arial"/>
      <family val="2"/>
    </font>
    <font>
      <b/>
      <sz val="10"/>
      <name val="Arial"/>
      <family val="2"/>
    </font>
    <font>
      <sz val="10"/>
      <color theme="1"/>
      <name val="Arial"/>
      <family val="2"/>
    </font>
    <font>
      <sz val="18"/>
      <color theme="1"/>
      <name val="Aptos Narrow"/>
      <family val="2"/>
      <scheme val="minor"/>
    </font>
    <font>
      <b/>
      <u val="singleAccounting"/>
      <sz val="18"/>
      <color theme="1"/>
      <name val="Aptos Narrow"/>
      <family val="2"/>
      <scheme val="minor"/>
    </font>
    <font>
      <b/>
      <sz val="18"/>
      <color theme="1"/>
      <name val="Aptos Narrow"/>
      <family val="2"/>
      <scheme val="minor"/>
    </font>
    <font>
      <b/>
      <u val="singleAccounting"/>
      <sz val="20"/>
      <color theme="1"/>
      <name val="Aptos Narrow"/>
      <family val="2"/>
      <scheme val="minor"/>
    </font>
    <font>
      <b/>
      <sz val="18"/>
      <color rgb="FFFF0000"/>
      <name val="Aptos Narrow"/>
      <family val="2"/>
      <scheme val="minor"/>
    </font>
    <font>
      <b/>
      <sz val="11"/>
      <color rgb="FFFF0000"/>
      <name val="Aptos Narrow"/>
      <family val="2"/>
      <scheme val="minor"/>
    </font>
    <font>
      <b/>
      <sz val="18"/>
      <name val="Aptos Narrow"/>
      <family val="2"/>
      <scheme val="minor"/>
    </font>
    <font>
      <b/>
      <sz val="11"/>
      <name val="Aptos Narrow"/>
      <family val="2"/>
      <scheme val="minor"/>
    </font>
    <font>
      <sz val="11"/>
      <color rgb="FFFF0000"/>
      <name val="Aptos Narrow"/>
      <family val="2"/>
      <scheme val="minor"/>
    </font>
    <font>
      <b/>
      <u val="singleAccounting"/>
      <sz val="11"/>
      <color rgb="FFFF0000"/>
      <name val="Aptos Narrow"/>
      <family val="2"/>
      <scheme val="minor"/>
    </font>
    <font>
      <b/>
      <u val="singleAccounting"/>
      <sz val="22"/>
      <color theme="1"/>
      <name val="Aptos Narrow"/>
      <family val="2"/>
      <scheme val="minor"/>
    </font>
    <font>
      <sz val="18"/>
      <name val="Aptos Narrow"/>
      <family val="2"/>
      <scheme val="minor"/>
    </font>
    <font>
      <b/>
      <sz val="20"/>
      <color theme="1"/>
      <name val="Aptos Narrow"/>
      <family val="2"/>
      <scheme val="minor"/>
    </font>
    <font>
      <b/>
      <i/>
      <sz val="18"/>
      <color theme="1"/>
      <name val="Aptos Narrow"/>
      <family val="2"/>
      <scheme val="minor"/>
    </font>
    <font>
      <b/>
      <u val="singleAccounting"/>
      <sz val="18"/>
      <name val="Aptos Narrow"/>
      <family val="2"/>
      <scheme val="minor"/>
    </font>
    <font>
      <b/>
      <i/>
      <sz val="18"/>
      <name val="Aptos Narrow"/>
      <family val="2"/>
      <scheme val="minor"/>
    </font>
    <font>
      <sz val="18"/>
      <color rgb="FF0000FF"/>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0" fillId="0" borderId="0" xfId="0" applyAlignment="1">
      <alignment horizontal="center"/>
    </xf>
    <xf numFmtId="44" fontId="4" fillId="0" borderId="0" xfId="0" applyNumberFormat="1" applyFont="1" applyAlignment="1">
      <alignment horizontal="centerContinuous"/>
    </xf>
    <xf numFmtId="0" fontId="5"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wrapText="1"/>
    </xf>
    <xf numFmtId="0" fontId="11" fillId="0" borderId="0" xfId="0" applyFont="1" applyAlignment="1">
      <alignment wrapText="1"/>
    </xf>
    <xf numFmtId="0" fontId="6" fillId="0" borderId="0" xfId="0" applyFont="1" applyAlignment="1">
      <alignment horizontal="center"/>
    </xf>
    <xf numFmtId="0" fontId="12"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4" fontId="14" fillId="4" borderId="1" xfId="0" quotePrefix="1" applyNumberFormat="1" applyFont="1" applyFill="1" applyBorder="1" applyAlignment="1">
      <alignment horizontal="center" vertical="center"/>
    </xf>
    <xf numFmtId="165" fontId="15" fillId="0" borderId="5" xfId="0" applyNumberFormat="1" applyFont="1" applyBorder="1" applyAlignment="1">
      <alignment horizontal="center"/>
    </xf>
    <xf numFmtId="10" fontId="15" fillId="0" borderId="6" xfId="2" applyNumberFormat="1" applyFont="1" applyBorder="1" applyAlignment="1">
      <alignment horizontal="center"/>
    </xf>
    <xf numFmtId="165" fontId="15" fillId="0" borderId="6" xfId="0" applyNumberFormat="1" applyFont="1" applyBorder="1" applyAlignment="1">
      <alignment horizontal="center"/>
    </xf>
    <xf numFmtId="165" fontId="15" fillId="0" borderId="7" xfId="0" applyNumberFormat="1" applyFont="1" applyBorder="1" applyAlignment="1">
      <alignment horizontal="center"/>
    </xf>
    <xf numFmtId="10" fontId="15" fillId="0" borderId="7" xfId="2" applyNumberFormat="1" applyFont="1" applyBorder="1" applyAlignment="1">
      <alignment horizontal="center"/>
    </xf>
    <xf numFmtId="0" fontId="15" fillId="0" borderId="0" xfId="0" applyFont="1" applyAlignment="1">
      <alignment vertical="center" wrapText="1"/>
    </xf>
    <xf numFmtId="0" fontId="6" fillId="0" borderId="0" xfId="0" applyFont="1" applyAlignment="1">
      <alignment vertical="center"/>
    </xf>
    <xf numFmtId="0" fontId="15" fillId="0" borderId="0" xfId="0" applyFont="1" applyAlignment="1">
      <alignment horizontal="center" vertical="center" wrapText="1"/>
    </xf>
    <xf numFmtId="44" fontId="2" fillId="0" borderId="0" xfId="0" applyNumberFormat="1" applyFont="1" applyAlignment="1">
      <alignment horizontal="center"/>
    </xf>
    <xf numFmtId="10" fontId="0" fillId="0" borderId="0" xfId="2" applyNumberFormat="1" applyFont="1"/>
    <xf numFmtId="44" fontId="17" fillId="0" borderId="8" xfId="0" applyNumberFormat="1" applyFont="1" applyBorder="1" applyAlignment="1">
      <alignment horizontal="centerContinuous"/>
    </xf>
    <xf numFmtId="44" fontId="4" fillId="0" borderId="9" xfId="0" applyNumberFormat="1" applyFont="1" applyBorder="1" applyAlignment="1">
      <alignment horizontal="centerContinuous"/>
    </xf>
    <xf numFmtId="0" fontId="16" fillId="0" borderId="0" xfId="0" applyFont="1"/>
    <xf numFmtId="44" fontId="17" fillId="0" borderId="0" xfId="0" applyNumberFormat="1" applyFont="1" applyAlignment="1">
      <alignment horizontal="centerContinuous"/>
    </xf>
    <xf numFmtId="0" fontId="18" fillId="5" borderId="0" xfId="0" applyFont="1" applyFill="1"/>
    <xf numFmtId="164" fontId="18" fillId="5" borderId="0" xfId="0" applyNumberFormat="1" applyFont="1" applyFill="1"/>
    <xf numFmtId="44" fontId="4" fillId="0" borderId="14" xfId="0" applyNumberFormat="1" applyFont="1" applyBorder="1" applyAlignment="1">
      <alignment horizontal="centerContinuous"/>
    </xf>
    <xf numFmtId="0" fontId="16" fillId="0" borderId="0" xfId="0" applyFont="1" applyAlignment="1">
      <alignment horizontal="right"/>
    </xf>
    <xf numFmtId="44" fontId="19" fillId="0" borderId="0" xfId="0" applyNumberFormat="1" applyFont="1" applyAlignment="1">
      <alignment horizontal="centerContinuous"/>
    </xf>
    <xf numFmtId="0" fontId="24" fillId="0" borderId="0" xfId="0" applyFont="1"/>
    <xf numFmtId="6" fontId="0" fillId="0" borderId="0" xfId="0" applyNumberFormat="1"/>
    <xf numFmtId="44" fontId="25" fillId="0" borderId="0" xfId="0" applyNumberFormat="1" applyFont="1" applyAlignment="1">
      <alignment horizontal="centerContinuous"/>
    </xf>
    <xf numFmtId="44" fontId="25" fillId="0" borderId="9" xfId="0" applyNumberFormat="1" applyFont="1" applyBorder="1" applyAlignment="1">
      <alignment horizontal="centerContinuous"/>
    </xf>
    <xf numFmtId="0" fontId="18" fillId="0" borderId="0" xfId="0" applyFont="1"/>
    <xf numFmtId="0" fontId="3" fillId="0" borderId="0" xfId="0" applyFont="1"/>
    <xf numFmtId="164" fontId="18" fillId="0" borderId="0" xfId="1" applyNumberFormat="1" applyFont="1"/>
    <xf numFmtId="0" fontId="3" fillId="5" borderId="0" xfId="0" applyFont="1" applyFill="1"/>
    <xf numFmtId="164" fontId="18" fillId="5" borderId="0" xfId="1" applyNumberFormat="1" applyFont="1" applyFill="1"/>
    <xf numFmtId="0" fontId="27" fillId="0" borderId="0" xfId="0" applyFont="1"/>
    <xf numFmtId="14" fontId="27" fillId="0" borderId="0" xfId="0" applyNumberFormat="1" applyFont="1" applyAlignment="1">
      <alignment horizontal="right"/>
    </xf>
    <xf numFmtId="0" fontId="27" fillId="0" borderId="0" xfId="0" applyFont="1" applyAlignment="1">
      <alignment horizontal="right"/>
    </xf>
    <xf numFmtId="164" fontId="27" fillId="0" borderId="0" xfId="1" applyNumberFormat="1" applyFont="1" applyFill="1" applyAlignment="1">
      <alignment horizontal="right"/>
    </xf>
    <xf numFmtId="0" fontId="27" fillId="0" borderId="0" xfId="0" applyFont="1" applyAlignment="1">
      <alignment wrapText="1"/>
    </xf>
    <xf numFmtId="0" fontId="0" fillId="5" borderId="9" xfId="0" applyFill="1" applyBorder="1"/>
    <xf numFmtId="44" fontId="4" fillId="5" borderId="11" xfId="0" applyNumberFormat="1" applyFont="1" applyFill="1" applyBorder="1" applyAlignment="1">
      <alignment horizontal="centerContinuous"/>
    </xf>
    <xf numFmtId="6" fontId="18" fillId="5" borderId="13" xfId="0" applyNumberFormat="1" applyFont="1" applyFill="1" applyBorder="1" applyAlignment="1">
      <alignment horizontal="center"/>
    </xf>
    <xf numFmtId="164" fontId="27" fillId="0" borderId="0" xfId="0" applyNumberFormat="1" applyFont="1" applyAlignment="1">
      <alignment horizontal="right"/>
    </xf>
    <xf numFmtId="15" fontId="16" fillId="0" borderId="0" xfId="0" quotePrefix="1" applyNumberFormat="1" applyFont="1" applyAlignment="1">
      <alignment horizontal="right"/>
    </xf>
    <xf numFmtId="44" fontId="17" fillId="0" borderId="0" xfId="0" quotePrefix="1" applyNumberFormat="1" applyFont="1" applyAlignment="1">
      <alignment horizontal="centerContinuous"/>
    </xf>
    <xf numFmtId="0" fontId="21" fillId="0" borderId="0" xfId="0" applyFont="1" applyAlignment="1">
      <alignment horizontal="center" vertical="center" wrapText="1"/>
    </xf>
    <xf numFmtId="44" fontId="25" fillId="0" borderId="0" xfId="0" applyNumberFormat="1" applyFont="1" applyAlignment="1">
      <alignment horizontal="centerContinuous" vertical="center" wrapText="1"/>
    </xf>
    <xf numFmtId="0" fontId="24" fillId="5" borderId="9" xfId="0" applyFont="1" applyFill="1" applyBorder="1"/>
    <xf numFmtId="6" fontId="22" fillId="5" borderId="13" xfId="0" applyNumberFormat="1" applyFont="1" applyFill="1" applyBorder="1" applyAlignment="1">
      <alignment horizontal="center"/>
    </xf>
    <xf numFmtId="164" fontId="18" fillId="0" borderId="0" xfId="1" applyNumberFormat="1" applyFont="1" applyFill="1"/>
    <xf numFmtId="44" fontId="19" fillId="0" borderId="0" xfId="0" applyNumberFormat="1" applyFont="1" applyAlignment="1">
      <alignment horizontal="centerContinuous" wrapText="1"/>
    </xf>
    <xf numFmtId="44" fontId="17" fillId="0" borderId="0" xfId="0" applyNumberFormat="1" applyFont="1" applyAlignment="1">
      <alignment horizontal="centerContinuous" wrapText="1"/>
    </xf>
    <xf numFmtId="44" fontId="26" fillId="0" borderId="0" xfId="0" applyNumberFormat="1" applyFont="1" applyAlignment="1">
      <alignment horizontal="centerContinuous" wrapText="1"/>
    </xf>
    <xf numFmtId="44" fontId="2" fillId="0" borderId="0" xfId="0" applyNumberFormat="1" applyFont="1" applyAlignment="1">
      <alignment horizontal="centerContinuous"/>
    </xf>
    <xf numFmtId="44" fontId="17" fillId="0" borderId="17" xfId="0" applyNumberFormat="1" applyFont="1" applyBorder="1" applyAlignment="1">
      <alignment horizontal="centerContinuous"/>
    </xf>
    <xf numFmtId="44" fontId="4" fillId="0" borderId="18" xfId="0" applyNumberFormat="1" applyFont="1" applyBorder="1" applyAlignment="1">
      <alignment horizontal="centerContinuous"/>
    </xf>
    <xf numFmtId="44" fontId="17" fillId="0" borderId="19" xfId="0" applyNumberFormat="1" applyFont="1" applyBorder="1" applyAlignment="1">
      <alignment horizontal="centerContinuous"/>
    </xf>
    <xf numFmtId="44" fontId="4" fillId="0" borderId="20" xfId="0" applyNumberFormat="1" applyFont="1" applyBorder="1" applyAlignment="1">
      <alignment horizontal="centerContinuous"/>
    </xf>
    <xf numFmtId="44" fontId="17" fillId="0" borderId="19" xfId="0" applyNumberFormat="1" applyFont="1" applyBorder="1" applyAlignment="1">
      <alignment horizontal="center" wrapText="1"/>
    </xf>
    <xf numFmtId="44" fontId="17" fillId="0" borderId="20" xfId="0" applyNumberFormat="1" applyFont="1" applyBorder="1" applyAlignment="1">
      <alignment horizontal="center" wrapText="1"/>
    </xf>
    <xf numFmtId="44" fontId="17" fillId="0" borderId="0" xfId="0" applyNumberFormat="1" applyFont="1" applyAlignment="1">
      <alignment horizontal="center" wrapText="1"/>
    </xf>
    <xf numFmtId="0" fontId="18" fillId="4" borderId="19" xfId="0" applyFont="1" applyFill="1" applyBorder="1" applyAlignment="1">
      <alignment horizontal="center"/>
    </xf>
    <xf numFmtId="6" fontId="22" fillId="4" borderId="20" xfId="0" applyNumberFormat="1" applyFont="1" applyFill="1" applyBorder="1" applyAlignment="1">
      <alignment horizontal="center"/>
    </xf>
    <xf numFmtId="0" fontId="18" fillId="4" borderId="0" xfId="0" applyFont="1" applyFill="1" applyAlignment="1">
      <alignment horizontal="center"/>
    </xf>
    <xf numFmtId="0" fontId="18" fillId="0" borderId="19" xfId="0" applyFont="1" applyBorder="1" applyAlignment="1">
      <alignment horizontal="center"/>
    </xf>
    <xf numFmtId="6" fontId="22" fillId="0" borderId="20" xfId="0" applyNumberFormat="1" applyFont="1" applyBorder="1" applyAlignment="1">
      <alignment horizontal="center"/>
    </xf>
    <xf numFmtId="10" fontId="18" fillId="0" borderId="0" xfId="0" applyNumberFormat="1" applyFont="1" applyAlignment="1">
      <alignment horizontal="center"/>
    </xf>
    <xf numFmtId="0" fontId="18" fillId="0" borderId="0" xfId="0" applyFont="1" applyAlignment="1">
      <alignment horizontal="center"/>
    </xf>
    <xf numFmtId="6" fontId="18" fillId="0" borderId="0" xfId="0" applyNumberFormat="1" applyFont="1" applyAlignment="1">
      <alignment horizontal="center"/>
    </xf>
    <xf numFmtId="0" fontId="18" fillId="0" borderId="21" xfId="0" applyFont="1" applyBorder="1" applyAlignment="1">
      <alignment horizontal="center"/>
    </xf>
    <xf numFmtId="6" fontId="22" fillId="0" borderId="22" xfId="0" applyNumberFormat="1" applyFont="1" applyBorder="1" applyAlignment="1">
      <alignment horizontal="center"/>
    </xf>
    <xf numFmtId="0" fontId="18" fillId="2" borderId="0" xfId="0" applyFont="1" applyFill="1" applyAlignment="1">
      <alignment horizontal="center"/>
    </xf>
    <xf numFmtId="9" fontId="18" fillId="2" borderId="0" xfId="2" applyFont="1" applyFill="1" applyAlignment="1">
      <alignment horizontal="center"/>
    </xf>
    <xf numFmtId="164" fontId="18" fillId="2" borderId="0" xfId="1" applyNumberFormat="1" applyFont="1" applyFill="1"/>
    <xf numFmtId="0" fontId="29" fillId="2" borderId="0" xfId="0" applyFont="1" applyFill="1"/>
    <xf numFmtId="9" fontId="18" fillId="0" borderId="0" xfId="2" applyFont="1" applyAlignment="1">
      <alignment horizontal="center"/>
    </xf>
    <xf numFmtId="164" fontId="18" fillId="0" borderId="16" xfId="1" applyNumberFormat="1" applyFont="1" applyBorder="1"/>
    <xf numFmtId="0" fontId="20" fillId="0" borderId="0" xfId="0" applyFont="1"/>
    <xf numFmtId="10" fontId="20" fillId="0" borderId="0" xfId="0" applyNumberFormat="1" applyFont="1"/>
    <xf numFmtId="44" fontId="30" fillId="0" borderId="0" xfId="0" applyNumberFormat="1" applyFont="1" applyAlignment="1">
      <alignment horizontal="center" wrapText="1"/>
    </xf>
    <xf numFmtId="14" fontId="22" fillId="0" borderId="0" xfId="0" applyNumberFormat="1" applyFont="1" applyAlignment="1">
      <alignment horizontal="center"/>
    </xf>
    <xf numFmtId="164" fontId="20" fillId="0" borderId="0" xfId="0" applyNumberFormat="1" applyFont="1"/>
    <xf numFmtId="164" fontId="22" fillId="0" borderId="0" xfId="0" applyNumberFormat="1" applyFont="1"/>
    <xf numFmtId="0" fontId="18" fillId="2" borderId="0" xfId="0" applyFont="1" applyFill="1"/>
    <xf numFmtId="14" fontId="18" fillId="0" borderId="0" xfId="0" applyNumberFormat="1" applyFont="1" applyAlignment="1">
      <alignment horizontal="center"/>
    </xf>
    <xf numFmtId="164" fontId="18" fillId="0" borderId="0" xfId="0" applyNumberFormat="1" applyFont="1"/>
    <xf numFmtId="164" fontId="18" fillId="0" borderId="16" xfId="0" applyNumberFormat="1" applyFont="1" applyBorder="1"/>
    <xf numFmtId="44" fontId="18" fillId="0" borderId="23" xfId="0" applyNumberFormat="1" applyFont="1" applyBorder="1" applyAlignment="1">
      <alignment horizontal="centerContinuous"/>
    </xf>
    <xf numFmtId="0" fontId="22" fillId="4" borderId="0" xfId="0" applyFont="1" applyFill="1" applyAlignment="1">
      <alignment horizontal="center"/>
    </xf>
    <xf numFmtId="0" fontId="18" fillId="0" borderId="10" xfId="0" applyFont="1" applyBorder="1" applyAlignment="1">
      <alignment horizontal="center"/>
    </xf>
    <xf numFmtId="6" fontId="22" fillId="0" borderId="0" xfId="0" applyNumberFormat="1" applyFont="1" applyAlignment="1">
      <alignment horizontal="center"/>
    </xf>
    <xf numFmtId="44" fontId="30" fillId="0" borderId="10" xfId="0" applyNumberFormat="1" applyFont="1" applyBorder="1" applyAlignment="1">
      <alignment horizontal="center" wrapText="1"/>
    </xf>
    <xf numFmtId="44" fontId="30" fillId="0" borderId="11" xfId="0" applyNumberFormat="1" applyFont="1" applyBorder="1" applyAlignment="1">
      <alignment horizontal="center" wrapText="1"/>
    </xf>
    <xf numFmtId="0" fontId="22" fillId="4" borderId="10" xfId="0" applyFont="1" applyFill="1" applyBorder="1" applyAlignment="1">
      <alignment horizontal="center"/>
    </xf>
    <xf numFmtId="0" fontId="22" fillId="4" borderId="11" xfId="0" applyFont="1" applyFill="1" applyBorder="1" applyAlignment="1">
      <alignment horizontal="center"/>
    </xf>
    <xf numFmtId="0" fontId="22" fillId="0" borderId="10" xfId="0" applyFont="1" applyBorder="1" applyAlignment="1">
      <alignment horizontal="center"/>
    </xf>
    <xf numFmtId="6" fontId="22" fillId="0" borderId="11" xfId="0" applyNumberFormat="1" applyFont="1" applyBorder="1" applyAlignment="1">
      <alignment horizontal="center"/>
    </xf>
    <xf numFmtId="10" fontId="22" fillId="0" borderId="0" xfId="0" applyNumberFormat="1" applyFont="1" applyAlignment="1">
      <alignment horizontal="center"/>
    </xf>
    <xf numFmtId="0" fontId="22" fillId="0" borderId="0" xfId="0" applyFont="1" applyAlignment="1">
      <alignment horizontal="center"/>
    </xf>
    <xf numFmtId="0" fontId="18" fillId="0" borderId="11" xfId="0" applyFont="1" applyBorder="1" applyAlignment="1">
      <alignment horizontal="center"/>
    </xf>
    <xf numFmtId="6" fontId="22" fillId="4" borderId="0" xfId="0" applyNumberFormat="1" applyFont="1" applyFill="1" applyAlignment="1">
      <alignment horizontal="center"/>
    </xf>
    <xf numFmtId="0" fontId="22" fillId="0" borderId="12" xfId="0" applyFont="1" applyBorder="1" applyAlignment="1">
      <alignment horizontal="center"/>
    </xf>
    <xf numFmtId="6" fontId="22" fillId="0" borderId="15" xfId="0" applyNumberFormat="1" applyFont="1" applyBorder="1" applyAlignment="1">
      <alignment horizontal="center"/>
    </xf>
    <xf numFmtId="6" fontId="22" fillId="0" borderId="13" xfId="0" applyNumberFormat="1" applyFont="1" applyBorder="1" applyAlignment="1">
      <alignment horizontal="center"/>
    </xf>
    <xf numFmtId="0" fontId="22" fillId="5" borderId="0" xfId="0" applyFont="1" applyFill="1"/>
    <xf numFmtId="164" fontId="22" fillId="5" borderId="0" xfId="0" applyNumberFormat="1" applyFont="1" applyFill="1"/>
    <xf numFmtId="44" fontId="30" fillId="2" borderId="0" xfId="0" applyNumberFormat="1" applyFont="1" applyFill="1" applyAlignment="1">
      <alignment horizontal="centerContinuous"/>
    </xf>
    <xf numFmtId="0" fontId="22" fillId="0" borderId="0" xfId="0" applyFont="1"/>
    <xf numFmtId="0" fontId="31" fillId="0" borderId="0" xfId="0" applyFont="1"/>
    <xf numFmtId="0" fontId="22" fillId="2" borderId="0" xfId="0" applyFont="1" applyFill="1"/>
    <xf numFmtId="164" fontId="22" fillId="2" borderId="0" xfId="0" applyNumberFormat="1" applyFont="1" applyFill="1"/>
    <xf numFmtId="0" fontId="31" fillId="2" borderId="0" xfId="0" applyFont="1" applyFill="1"/>
    <xf numFmtId="0" fontId="29" fillId="0" borderId="0" xfId="0" applyFont="1"/>
    <xf numFmtId="0" fontId="0" fillId="0" borderId="0" xfId="0" applyAlignment="1">
      <alignment horizontal="centerContinuous"/>
    </xf>
    <xf numFmtId="44" fontId="28" fillId="0" borderId="23" xfId="0" applyNumberFormat="1" applyFont="1" applyBorder="1" applyAlignment="1">
      <alignment horizontal="centerContinuous"/>
    </xf>
    <xf numFmtId="44" fontId="17" fillId="0" borderId="23" xfId="0" applyNumberFormat="1" applyFont="1" applyBorder="1" applyAlignment="1">
      <alignment horizontal="centerContinuous"/>
    </xf>
    <xf numFmtId="0" fontId="3" fillId="0" borderId="23" xfId="0" applyFont="1" applyBorder="1" applyAlignment="1">
      <alignment horizontal="centerContinuous"/>
    </xf>
    <xf numFmtId="0" fontId="0" fillId="0" borderId="23" xfId="0" applyBorder="1" applyAlignment="1">
      <alignment horizontal="centerContinuous"/>
    </xf>
    <xf numFmtId="0" fontId="16" fillId="0" borderId="23" xfId="0" applyFont="1" applyBorder="1" applyAlignment="1">
      <alignment horizontal="centerContinuous"/>
    </xf>
    <xf numFmtId="44" fontId="17" fillId="0" borderId="23" xfId="0" applyNumberFormat="1" applyFont="1" applyBorder="1" applyAlignment="1">
      <alignment horizontal="left" indent="41"/>
    </xf>
    <xf numFmtId="44" fontId="17" fillId="0" borderId="23" xfId="0" quotePrefix="1" applyNumberFormat="1" applyFont="1" applyBorder="1" applyAlignment="1">
      <alignment horizontal="left" indent="41"/>
    </xf>
    <xf numFmtId="44" fontId="18" fillId="0" borderId="23" xfId="0" applyNumberFormat="1" applyFont="1" applyBorder="1" applyAlignment="1">
      <alignment horizontal="left" indent="51"/>
    </xf>
    <xf numFmtId="0" fontId="16" fillId="0" borderId="0" xfId="0" applyFont="1" applyAlignment="1">
      <alignment wrapText="1"/>
    </xf>
    <xf numFmtId="10" fontId="32" fillId="0" borderId="0" xfId="2" applyNumberFormat="1" applyFont="1" applyFill="1" applyAlignment="1">
      <alignment horizontal="right"/>
    </xf>
    <xf numFmtId="44" fontId="22" fillId="5" borderId="8" xfId="0" quotePrefix="1" applyNumberFormat="1" applyFont="1" applyFill="1" applyBorder="1" applyAlignment="1">
      <alignment horizontal="right" wrapText="1"/>
    </xf>
    <xf numFmtId="0" fontId="27" fillId="5" borderId="14" xfId="0" applyFont="1" applyFill="1" applyBorder="1" applyAlignment="1">
      <alignment horizontal="right" wrapText="1"/>
    </xf>
    <xf numFmtId="0" fontId="27" fillId="5" borderId="0" xfId="0" applyFont="1" applyFill="1" applyAlignment="1">
      <alignment horizontal="right" wrapText="1"/>
    </xf>
    <xf numFmtId="0" fontId="27" fillId="5" borderId="15" xfId="0" applyFont="1" applyFill="1" applyBorder="1" applyAlignment="1">
      <alignment horizontal="right" wrapText="1"/>
    </xf>
    <xf numFmtId="44" fontId="18" fillId="5" borderId="8" xfId="0" quotePrefix="1" applyNumberFormat="1" applyFont="1" applyFill="1" applyBorder="1" applyAlignment="1">
      <alignment horizontal="right" wrapText="1"/>
    </xf>
    <xf numFmtId="0" fontId="16" fillId="5" borderId="14" xfId="0" applyFont="1" applyFill="1" applyBorder="1" applyAlignment="1">
      <alignment horizontal="right" wrapText="1"/>
    </xf>
    <xf numFmtId="0" fontId="16" fillId="5" borderId="12" xfId="0" applyFont="1" applyFill="1" applyBorder="1" applyAlignment="1">
      <alignment horizontal="right" wrapText="1"/>
    </xf>
    <xf numFmtId="0" fontId="16" fillId="5" borderId="15" xfId="0" applyFont="1" applyFill="1" applyBorder="1" applyAlignment="1">
      <alignment horizontal="right" wrapText="1"/>
    </xf>
    <xf numFmtId="0" fontId="22" fillId="2" borderId="0" xfId="0" applyFont="1" applyFill="1" applyAlignment="1">
      <alignment wrapText="1"/>
    </xf>
    <xf numFmtId="0" fontId="23" fillId="2" borderId="0" xfId="0" applyFont="1" applyFill="1" applyAlignment="1">
      <alignment wrapText="1"/>
    </xf>
    <xf numFmtId="0" fontId="9" fillId="0" borderId="0" xfId="0" applyFont="1" applyAlignment="1">
      <alignment horizontal="left" vertical="top"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9E82-E6CB-46A2-984F-4892146607F7}">
  <sheetPr>
    <tabColor rgb="FFFFC000"/>
  </sheetPr>
  <dimension ref="A1:C23"/>
  <sheetViews>
    <sheetView showGridLines="0" workbookViewId="0">
      <selection activeCell="A5" sqref="A5"/>
    </sheetView>
  </sheetViews>
  <sheetFormatPr defaultRowHeight="14.5" x14ac:dyDescent="0.35"/>
  <cols>
    <col min="1" max="1" width="60.90625" customWidth="1"/>
    <col min="2" max="2" width="10.54296875" customWidth="1"/>
    <col min="3" max="3" width="19.6328125" customWidth="1"/>
    <col min="5" max="5" width="11.90625" customWidth="1"/>
    <col min="6" max="6" width="15.26953125" customWidth="1"/>
  </cols>
  <sheetData>
    <row r="1" spans="1:3" ht="25" customHeight="1" x14ac:dyDescent="0.75">
      <c r="A1" s="31" t="s">
        <v>95</v>
      </c>
      <c r="B1" s="60"/>
      <c r="C1" s="60"/>
    </row>
    <row r="3" spans="1:3" ht="25" x14ac:dyDescent="0.7">
      <c r="A3" s="26" t="s">
        <v>60</v>
      </c>
      <c r="B3" s="26"/>
      <c r="C3" s="26"/>
    </row>
    <row r="4" spans="1:3" ht="8.5" customHeight="1" x14ac:dyDescent="0.55000000000000004">
      <c r="A4" s="25"/>
      <c r="B4" s="25"/>
      <c r="C4" s="25"/>
    </row>
    <row r="5" spans="1:3" ht="23.5" x14ac:dyDescent="0.55000000000000004">
      <c r="A5" s="25" t="s">
        <v>1</v>
      </c>
      <c r="B5" s="25"/>
      <c r="C5" s="30" t="s">
        <v>0</v>
      </c>
    </row>
    <row r="6" spans="1:3" ht="23.5" x14ac:dyDescent="0.55000000000000004">
      <c r="A6" s="25"/>
      <c r="B6" s="25"/>
      <c r="C6" s="30"/>
    </row>
    <row r="7" spans="1:3" ht="23.5" x14ac:dyDescent="0.55000000000000004">
      <c r="A7" s="41" t="s">
        <v>56</v>
      </c>
      <c r="B7" s="41"/>
      <c r="C7" s="42">
        <v>44926</v>
      </c>
    </row>
    <row r="8" spans="1:3" ht="23.5" x14ac:dyDescent="0.55000000000000004">
      <c r="A8" s="41" t="s">
        <v>57</v>
      </c>
      <c r="B8" s="41"/>
      <c r="C8" s="43">
        <v>2034</v>
      </c>
    </row>
    <row r="9" spans="1:3" ht="23.5" x14ac:dyDescent="0.55000000000000004">
      <c r="A9" s="41" t="s">
        <v>58</v>
      </c>
      <c r="B9" s="41"/>
      <c r="C9" s="44">
        <v>50000000</v>
      </c>
    </row>
    <row r="10" spans="1:3" ht="23.5" x14ac:dyDescent="0.55000000000000004">
      <c r="A10" s="41" t="s">
        <v>2</v>
      </c>
      <c r="B10" s="41"/>
      <c r="C10" s="43">
        <v>2024</v>
      </c>
    </row>
    <row r="11" spans="1:3" ht="47" x14ac:dyDescent="0.55000000000000004">
      <c r="A11" s="45" t="s">
        <v>59</v>
      </c>
      <c r="B11" s="45"/>
      <c r="C11" s="43">
        <f>C8+2</f>
        <v>2036</v>
      </c>
    </row>
    <row r="12" spans="1:3" ht="23.5" x14ac:dyDescent="0.55000000000000004">
      <c r="A12" s="25"/>
      <c r="B12" s="25"/>
      <c r="C12" s="30"/>
    </row>
    <row r="13" spans="1:3" ht="23.5" x14ac:dyDescent="0.55000000000000004">
      <c r="A13" s="41" t="s">
        <v>45</v>
      </c>
      <c r="B13" s="41"/>
      <c r="C13" s="49">
        <f>(C9)*1.03</f>
        <v>51500000</v>
      </c>
    </row>
    <row r="14" spans="1:3" ht="23.5" x14ac:dyDescent="0.55000000000000004">
      <c r="A14" s="41" t="s">
        <v>46</v>
      </c>
      <c r="B14" s="41"/>
      <c r="C14" s="49">
        <f>C13*0.9</f>
        <v>46350000</v>
      </c>
    </row>
    <row r="15" spans="1:3" ht="23.5" x14ac:dyDescent="0.55000000000000004">
      <c r="A15" s="41" t="s">
        <v>62</v>
      </c>
      <c r="B15" s="41"/>
      <c r="C15" s="49">
        <f>C13+C14</f>
        <v>97850000</v>
      </c>
    </row>
    <row r="16" spans="1:3" ht="23.5" customHeight="1" x14ac:dyDescent="0.35"/>
    <row r="17" spans="1:3" ht="47" x14ac:dyDescent="0.55000000000000004">
      <c r="A17" s="129" t="s">
        <v>100</v>
      </c>
      <c r="B17" s="25"/>
      <c r="C17" s="130">
        <v>0.05</v>
      </c>
    </row>
    <row r="18" spans="1:3" ht="23.5" x14ac:dyDescent="0.55000000000000004">
      <c r="A18" s="25"/>
      <c r="B18" s="25"/>
      <c r="C18" s="30"/>
    </row>
    <row r="19" spans="1:3" ht="25" x14ac:dyDescent="0.7">
      <c r="A19" s="26" t="s">
        <v>63</v>
      </c>
      <c r="B19" s="26"/>
      <c r="C19" s="26"/>
    </row>
    <row r="20" spans="1:3" ht="8.5" customHeight="1" x14ac:dyDescent="0.7">
      <c r="A20" s="26"/>
      <c r="B20" s="26"/>
      <c r="C20" s="26"/>
    </row>
    <row r="21" spans="1:3" ht="23.5" x14ac:dyDescent="0.55000000000000004">
      <c r="A21" s="25" t="s">
        <v>64</v>
      </c>
      <c r="B21" s="25"/>
      <c r="C21" s="50" t="s">
        <v>65</v>
      </c>
    </row>
    <row r="22" spans="1:3" ht="28.5" customHeight="1" x14ac:dyDescent="0.55000000000000004">
      <c r="A22" s="25" t="s">
        <v>66</v>
      </c>
      <c r="C22" s="43">
        <v>2029</v>
      </c>
    </row>
    <row r="23" spans="1:3" ht="28.5" customHeight="1" x14ac:dyDescent="0.55000000000000004">
      <c r="A23" s="25" t="s">
        <v>67</v>
      </c>
      <c r="C23" s="50" t="s">
        <v>68</v>
      </c>
    </row>
  </sheetData>
  <sheetProtection algorithmName="SHA-512" hashValue="5Yr0o0TBFsM28Op5REZ2mBfxZrbmUCzNkc1yi23c3ghXXevJOaBJ6dr3qv5kZpSWs78JYDJR9Pc3q09Cn8wxDg==" saltValue="fYrmgyrcRekWk14ZuXbrGQ=="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8360-6EB9-489B-8D98-FCC2BEE4B7F1}">
  <sheetPr>
    <tabColor rgb="FFFFC000"/>
    <pageSetUpPr fitToPage="1"/>
  </sheetPr>
  <dimension ref="A1:H57"/>
  <sheetViews>
    <sheetView showGridLines="0" topLeftCell="A5" workbookViewId="0">
      <selection activeCell="B6" sqref="B6"/>
    </sheetView>
  </sheetViews>
  <sheetFormatPr defaultRowHeight="14.5" x14ac:dyDescent="0.35"/>
  <cols>
    <col min="1" max="1" width="22.1796875" customWidth="1"/>
    <col min="2" max="2" width="25" customWidth="1"/>
    <col min="3" max="3" width="19.7265625" customWidth="1"/>
    <col min="4" max="4" width="13.6328125" customWidth="1"/>
    <col min="5" max="5" width="31.36328125" customWidth="1"/>
    <col min="8" max="8" width="10.54296875" bestFit="1" customWidth="1"/>
  </cols>
  <sheetData>
    <row r="1" spans="1:8" ht="58" customHeight="1" thickBot="1" x14ac:dyDescent="0.8">
      <c r="A1" s="57" t="s">
        <v>92</v>
      </c>
      <c r="B1" s="2"/>
      <c r="C1" s="2"/>
      <c r="D1" s="2"/>
      <c r="E1" s="2"/>
    </row>
    <row r="2" spans="1:8" ht="15" thickBot="1" x14ac:dyDescent="0.4">
      <c r="C2" s="131" t="s">
        <v>61</v>
      </c>
      <c r="D2" s="132"/>
      <c r="E2" s="46"/>
    </row>
    <row r="3" spans="1:8" ht="25.5" thickTop="1" x14ac:dyDescent="0.7">
      <c r="A3" s="61" t="s">
        <v>14</v>
      </c>
      <c r="B3" s="62"/>
      <c r="C3" s="133"/>
      <c r="D3" s="133"/>
      <c r="E3" s="47"/>
    </row>
    <row r="4" spans="1:8" ht="25.5" thickBot="1" x14ac:dyDescent="0.75">
      <c r="A4" s="63"/>
      <c r="B4" s="64"/>
      <c r="C4" s="134"/>
      <c r="D4" s="134"/>
      <c r="E4" s="48">
        <f>SUM(E10:E56)</f>
        <v>76240695.549489692</v>
      </c>
    </row>
    <row r="5" spans="1:8" ht="99" customHeight="1" x14ac:dyDescent="0.7">
      <c r="A5" s="65" t="s">
        <v>3</v>
      </c>
      <c r="B5" s="66" t="s">
        <v>4</v>
      </c>
      <c r="C5" s="67" t="s">
        <v>17</v>
      </c>
      <c r="D5" s="67" t="s">
        <v>16</v>
      </c>
      <c r="E5" s="67" t="s">
        <v>42</v>
      </c>
    </row>
    <row r="6" spans="1:8" ht="23.5" x14ac:dyDescent="0.55000000000000004">
      <c r="A6" s="68">
        <v>2025</v>
      </c>
      <c r="B6" s="69">
        <v>7000000</v>
      </c>
      <c r="C6" s="70" t="s">
        <v>41</v>
      </c>
      <c r="D6" s="70" t="s">
        <v>41</v>
      </c>
      <c r="E6" s="70" t="s">
        <v>41</v>
      </c>
      <c r="H6" s="33"/>
    </row>
    <row r="7" spans="1:8" ht="23.5" x14ac:dyDescent="0.55000000000000004">
      <c r="A7" s="68">
        <f>A6+1</f>
        <v>2026</v>
      </c>
      <c r="B7" s="69">
        <v>6860000</v>
      </c>
      <c r="C7" s="70" t="s">
        <v>41</v>
      </c>
      <c r="D7" s="70" t="s">
        <v>41</v>
      </c>
      <c r="E7" s="70" t="s">
        <v>41</v>
      </c>
      <c r="H7" s="33"/>
    </row>
    <row r="8" spans="1:8" ht="23.5" x14ac:dyDescent="0.55000000000000004">
      <c r="A8" s="68">
        <f t="shared" ref="A8:A41" si="0">A7+1</f>
        <v>2027</v>
      </c>
      <c r="B8" s="69">
        <v>6720000</v>
      </c>
      <c r="C8" s="70" t="s">
        <v>41</v>
      </c>
      <c r="D8" s="70" t="s">
        <v>41</v>
      </c>
      <c r="E8" s="70" t="s">
        <v>41</v>
      </c>
      <c r="H8" s="33"/>
    </row>
    <row r="9" spans="1:8" ht="23.5" x14ac:dyDescent="0.55000000000000004">
      <c r="A9" s="68">
        <f t="shared" si="0"/>
        <v>2028</v>
      </c>
      <c r="B9" s="69">
        <v>6580000</v>
      </c>
      <c r="C9" s="70" t="s">
        <v>41</v>
      </c>
      <c r="D9" s="70" t="s">
        <v>41</v>
      </c>
      <c r="E9" s="70" t="s">
        <v>41</v>
      </c>
      <c r="H9" s="33"/>
    </row>
    <row r="10" spans="1:8" ht="23.5" x14ac:dyDescent="0.55000000000000004">
      <c r="A10" s="71">
        <f t="shared" si="0"/>
        <v>2029</v>
      </c>
      <c r="B10" s="72">
        <v>6440000</v>
      </c>
      <c r="C10" s="73">
        <f>_xlfn.XLOOKUP(D10,'4044 Discount Rates'!$A$4:$A$54,'4044 Discount Rates'!$C$4:$C$54)</f>
        <v>4.7899999999999998E-2</v>
      </c>
      <c r="D10" s="74">
        <v>0.5</v>
      </c>
      <c r="E10" s="75">
        <f t="shared" ref="E10:E56" si="1">B10*(1+C10)^-D10</f>
        <v>6291090.7091925833</v>
      </c>
      <c r="H10" s="33"/>
    </row>
    <row r="11" spans="1:8" ht="23.5" x14ac:dyDescent="0.55000000000000004">
      <c r="A11" s="71">
        <f t="shared" si="0"/>
        <v>2030</v>
      </c>
      <c r="B11" s="72">
        <v>6300000</v>
      </c>
      <c r="C11" s="73">
        <f>_xlfn.XLOOKUP(D11,'4044 Discount Rates'!$A$4:$A$54,'4044 Discount Rates'!$C$4:$C$54)</f>
        <v>4.82E-2</v>
      </c>
      <c r="D11" s="74">
        <f>D10+1</f>
        <v>1.5</v>
      </c>
      <c r="E11" s="75">
        <f t="shared" si="1"/>
        <v>5870489.5107788118</v>
      </c>
      <c r="H11" s="33"/>
    </row>
    <row r="12" spans="1:8" ht="23.5" x14ac:dyDescent="0.55000000000000004">
      <c r="A12" s="71">
        <f t="shared" si="0"/>
        <v>2031</v>
      </c>
      <c r="B12" s="72">
        <v>6160000</v>
      </c>
      <c r="C12" s="73">
        <f>_xlfn.XLOOKUP(D12,'4044 Discount Rates'!$A$4:$A$54,'4044 Discount Rates'!$C$4:$C$54)</f>
        <v>4.8799999999999996E-2</v>
      </c>
      <c r="D12" s="74">
        <f>D11+1</f>
        <v>2.5</v>
      </c>
      <c r="E12" s="75">
        <f t="shared" si="1"/>
        <v>5468258.2324813632</v>
      </c>
      <c r="H12" s="33"/>
    </row>
    <row r="13" spans="1:8" ht="23.5" x14ac:dyDescent="0.55000000000000004">
      <c r="A13" s="71">
        <f t="shared" si="0"/>
        <v>2032</v>
      </c>
      <c r="B13" s="72">
        <v>6020000</v>
      </c>
      <c r="C13" s="73">
        <f>_xlfn.XLOOKUP(D13,'4044 Discount Rates'!$A$4:$A$54,'4044 Discount Rates'!$C$4:$C$54)</f>
        <v>4.9499999999999995E-2</v>
      </c>
      <c r="D13" s="74">
        <f t="shared" ref="D13:D56" si="2">D12+1</f>
        <v>3.5</v>
      </c>
      <c r="E13" s="75">
        <f t="shared" si="1"/>
        <v>5083442.798811106</v>
      </c>
      <c r="H13" s="33"/>
    </row>
    <row r="14" spans="1:8" ht="23.5" x14ac:dyDescent="0.55000000000000004">
      <c r="A14" s="71">
        <f t="shared" si="0"/>
        <v>2033</v>
      </c>
      <c r="B14" s="72">
        <v>5880000</v>
      </c>
      <c r="C14" s="73">
        <f>_xlfn.XLOOKUP(D14,'4044 Discount Rates'!$A$4:$A$54,'4044 Discount Rates'!$C$4:$C$54)</f>
        <v>5.0299999999999997E-2</v>
      </c>
      <c r="D14" s="74">
        <f t="shared" si="2"/>
        <v>4.5</v>
      </c>
      <c r="E14" s="75">
        <f t="shared" si="1"/>
        <v>4714842.4104324551</v>
      </c>
      <c r="H14" s="33"/>
    </row>
    <row r="15" spans="1:8" ht="23.5" x14ac:dyDescent="0.55000000000000004">
      <c r="A15" s="71">
        <f t="shared" si="0"/>
        <v>2034</v>
      </c>
      <c r="B15" s="72">
        <v>5740000</v>
      </c>
      <c r="C15" s="73">
        <f>_xlfn.XLOOKUP(D15,'4044 Discount Rates'!$A$4:$A$54,'4044 Discount Rates'!$C$4:$C$54)</f>
        <v>5.1000000000000004E-2</v>
      </c>
      <c r="D15" s="74">
        <f t="shared" si="2"/>
        <v>5.5</v>
      </c>
      <c r="E15" s="75">
        <f t="shared" si="1"/>
        <v>4366132.9326749612</v>
      </c>
      <c r="H15" s="33"/>
    </row>
    <row r="16" spans="1:8" ht="23.5" x14ac:dyDescent="0.55000000000000004">
      <c r="A16" s="71">
        <f t="shared" si="0"/>
        <v>2035</v>
      </c>
      <c r="B16" s="72">
        <v>5600000</v>
      </c>
      <c r="C16" s="73">
        <f>_xlfn.XLOOKUP(D16,'4044 Discount Rates'!$A$4:$A$54,'4044 Discount Rates'!$C$4:$C$54)</f>
        <v>5.1799999999999999E-2</v>
      </c>
      <c r="D16" s="74">
        <f t="shared" si="2"/>
        <v>6.5</v>
      </c>
      <c r="E16" s="75">
        <f t="shared" si="1"/>
        <v>4032946.3522804463</v>
      </c>
      <c r="H16" s="33"/>
    </row>
    <row r="17" spans="1:8" ht="23.5" x14ac:dyDescent="0.55000000000000004">
      <c r="A17" s="71">
        <f t="shared" si="0"/>
        <v>2036</v>
      </c>
      <c r="B17" s="72">
        <v>5460000</v>
      </c>
      <c r="C17" s="73">
        <f>_xlfn.XLOOKUP(D17,'4044 Discount Rates'!$A$4:$A$54,'4044 Discount Rates'!$C$4:$C$54)</f>
        <v>5.2600000000000001E-2</v>
      </c>
      <c r="D17" s="74">
        <f t="shared" si="2"/>
        <v>7.5</v>
      </c>
      <c r="E17" s="75">
        <f t="shared" si="1"/>
        <v>3717212.5958435158</v>
      </c>
      <c r="H17" s="33"/>
    </row>
    <row r="18" spans="1:8" ht="23.5" x14ac:dyDescent="0.55000000000000004">
      <c r="A18" s="71">
        <f t="shared" si="0"/>
        <v>2037</v>
      </c>
      <c r="B18" s="72">
        <v>5320000</v>
      </c>
      <c r="C18" s="73">
        <f>_xlfn.XLOOKUP(D18,'4044 Discount Rates'!$A$4:$A$54,'4044 Discount Rates'!$C$4:$C$54)</f>
        <v>5.33E-2</v>
      </c>
      <c r="D18" s="74">
        <f t="shared" si="2"/>
        <v>8.5</v>
      </c>
      <c r="E18" s="75">
        <f t="shared" si="1"/>
        <v>3421518.6904398864</v>
      </c>
      <c r="H18" s="33"/>
    </row>
    <row r="19" spans="1:8" ht="23.5" x14ac:dyDescent="0.55000000000000004">
      <c r="A19" s="71">
        <f t="shared" si="0"/>
        <v>2038</v>
      </c>
      <c r="B19" s="72">
        <v>5180000</v>
      </c>
      <c r="C19" s="73">
        <f>_xlfn.XLOOKUP(D19,'4044 Discount Rates'!$A$4:$A$54,'4044 Discount Rates'!$C$4:$C$54)</f>
        <v>5.3900000000000003E-2</v>
      </c>
      <c r="D19" s="74">
        <f t="shared" si="2"/>
        <v>9.5</v>
      </c>
      <c r="E19" s="75">
        <f t="shared" si="1"/>
        <v>3145831.2107323809</v>
      </c>
      <c r="H19" s="33"/>
    </row>
    <row r="20" spans="1:8" ht="23.5" x14ac:dyDescent="0.55000000000000004">
      <c r="A20" s="71">
        <f t="shared" si="0"/>
        <v>2039</v>
      </c>
      <c r="B20" s="72">
        <v>5040000</v>
      </c>
      <c r="C20" s="73">
        <f>_xlfn.XLOOKUP(D20,'4044 Discount Rates'!$A$4:$A$54,'4044 Discount Rates'!$C$4:$C$54)</f>
        <v>5.4400000000000004E-2</v>
      </c>
      <c r="D20" s="74">
        <f t="shared" si="2"/>
        <v>10.5</v>
      </c>
      <c r="E20" s="75">
        <f t="shared" si="1"/>
        <v>2889840.447258349</v>
      </c>
      <c r="H20" s="33"/>
    </row>
    <row r="21" spans="1:8" ht="23.5" x14ac:dyDescent="0.55000000000000004">
      <c r="A21" s="71">
        <f t="shared" si="0"/>
        <v>2040</v>
      </c>
      <c r="B21" s="72">
        <v>4900000</v>
      </c>
      <c r="C21" s="73">
        <f>_xlfn.XLOOKUP(D21,'4044 Discount Rates'!$A$4:$A$54,'4044 Discount Rates'!$C$4:$C$54)</f>
        <v>5.5E-2</v>
      </c>
      <c r="D21" s="74">
        <f t="shared" si="2"/>
        <v>11.5</v>
      </c>
      <c r="E21" s="75">
        <f t="shared" si="1"/>
        <v>2647236.817034408</v>
      </c>
      <c r="H21" s="33"/>
    </row>
    <row r="22" spans="1:8" ht="23.5" x14ac:dyDescent="0.55000000000000004">
      <c r="A22" s="71">
        <f t="shared" si="0"/>
        <v>2041</v>
      </c>
      <c r="B22" s="72">
        <v>4760000</v>
      </c>
      <c r="C22" s="73">
        <f>_xlfn.XLOOKUP(D22,'4044 Discount Rates'!$A$4:$A$54,'4044 Discount Rates'!$C$4:$C$54)</f>
        <v>5.5600000000000004E-2</v>
      </c>
      <c r="D22" s="74">
        <f t="shared" si="2"/>
        <v>12.5</v>
      </c>
      <c r="E22" s="75">
        <f t="shared" si="1"/>
        <v>2420274.8247220432</v>
      </c>
      <c r="H22" s="33"/>
    </row>
    <row r="23" spans="1:8" ht="23.5" x14ac:dyDescent="0.55000000000000004">
      <c r="A23" s="71">
        <f t="shared" si="0"/>
        <v>2042</v>
      </c>
      <c r="B23" s="72">
        <v>4620000</v>
      </c>
      <c r="C23" s="73">
        <f>_xlfn.XLOOKUP(D23,'4044 Discount Rates'!$A$4:$A$54,'4044 Discount Rates'!$C$4:$C$54)</f>
        <v>5.6000000000000001E-2</v>
      </c>
      <c r="D23" s="74">
        <f t="shared" si="2"/>
        <v>13.5</v>
      </c>
      <c r="E23" s="75">
        <f t="shared" si="1"/>
        <v>2214007.4600241524</v>
      </c>
      <c r="H23" s="33"/>
    </row>
    <row r="24" spans="1:8" ht="23.5" x14ac:dyDescent="0.55000000000000004">
      <c r="A24" s="71">
        <f t="shared" si="0"/>
        <v>2043</v>
      </c>
      <c r="B24" s="72">
        <v>4480000</v>
      </c>
      <c r="C24" s="73">
        <f>_xlfn.XLOOKUP(D24,'4044 Discount Rates'!$A$4:$A$54,'4044 Discount Rates'!$C$4:$C$54)</f>
        <v>5.6500000000000002E-2</v>
      </c>
      <c r="D24" s="74">
        <f t="shared" si="2"/>
        <v>14.5</v>
      </c>
      <c r="E24" s="75">
        <f t="shared" si="1"/>
        <v>2019157.7203926647</v>
      </c>
      <c r="H24" s="33"/>
    </row>
    <row r="25" spans="1:8" ht="23.5" x14ac:dyDescent="0.55000000000000004">
      <c r="A25" s="71">
        <f t="shared" si="0"/>
        <v>2044</v>
      </c>
      <c r="B25" s="72">
        <v>4340000</v>
      </c>
      <c r="C25" s="73">
        <f>_xlfn.XLOOKUP(D25,'4044 Discount Rates'!$A$4:$A$54,'4044 Discount Rates'!$C$4:$C$54)</f>
        <v>5.7000000000000002E-2</v>
      </c>
      <c r="D25" s="74">
        <f t="shared" si="2"/>
        <v>15.5</v>
      </c>
      <c r="E25" s="75">
        <f t="shared" si="1"/>
        <v>1837923.4808984271</v>
      </c>
      <c r="H25" s="33"/>
    </row>
    <row r="26" spans="1:8" ht="23.5" x14ac:dyDescent="0.55000000000000004">
      <c r="A26" s="71">
        <f t="shared" si="0"/>
        <v>2045</v>
      </c>
      <c r="B26" s="72">
        <v>4200000</v>
      </c>
      <c r="C26" s="73">
        <f>_xlfn.XLOOKUP(D26,'4044 Discount Rates'!$A$4:$A$54,'4044 Discount Rates'!$C$4:$C$54)</f>
        <v>5.7299999999999997E-2</v>
      </c>
      <c r="D26" s="74">
        <f t="shared" si="2"/>
        <v>16.5</v>
      </c>
      <c r="E26" s="75">
        <f t="shared" si="1"/>
        <v>1674859.8008848694</v>
      </c>
      <c r="H26" s="33"/>
    </row>
    <row r="27" spans="1:8" ht="23.5" x14ac:dyDescent="0.55000000000000004">
      <c r="A27" s="71">
        <f t="shared" si="0"/>
        <v>2046</v>
      </c>
      <c r="B27" s="72">
        <v>4060000</v>
      </c>
      <c r="C27" s="73">
        <f>_xlfn.XLOOKUP(D27,'4044 Discount Rates'!$A$4:$A$54,'4044 Discount Rates'!$C$4:$C$54)</f>
        <v>5.7700000000000001E-2</v>
      </c>
      <c r="D27" s="74">
        <f t="shared" si="2"/>
        <v>17.5</v>
      </c>
      <c r="E27" s="75">
        <f t="shared" si="1"/>
        <v>1521185.6062971544</v>
      </c>
      <c r="H27" s="33"/>
    </row>
    <row r="28" spans="1:8" ht="23.5" x14ac:dyDescent="0.55000000000000004">
      <c r="A28" s="71">
        <f t="shared" si="0"/>
        <v>2047</v>
      </c>
      <c r="B28" s="72">
        <v>3920000</v>
      </c>
      <c r="C28" s="73">
        <f>_xlfn.XLOOKUP(D28,'4044 Discount Rates'!$A$4:$A$54,'4044 Discount Rates'!$C$4:$C$54)</f>
        <v>5.79E-2</v>
      </c>
      <c r="D28" s="74">
        <f t="shared" si="2"/>
        <v>18.5</v>
      </c>
      <c r="E28" s="75">
        <f t="shared" si="1"/>
        <v>1383759.6102680506</v>
      </c>
      <c r="H28" s="33"/>
    </row>
    <row r="29" spans="1:8" ht="23.5" x14ac:dyDescent="0.55000000000000004">
      <c r="A29" s="71">
        <f t="shared" si="0"/>
        <v>2048</v>
      </c>
      <c r="B29" s="72">
        <v>3780000</v>
      </c>
      <c r="C29" s="73">
        <f>_xlfn.XLOOKUP(D29,'4044 Discount Rates'!$A$4:$A$54,'4044 Discount Rates'!$C$4:$C$54)</f>
        <v>5.8000000000000003E-2</v>
      </c>
      <c r="D29" s="74">
        <f t="shared" si="2"/>
        <v>19.5</v>
      </c>
      <c r="E29" s="75">
        <f t="shared" si="1"/>
        <v>1258987.0985456728</v>
      </c>
      <c r="H29" s="33"/>
    </row>
    <row r="30" spans="1:8" ht="23.5" x14ac:dyDescent="0.55000000000000004">
      <c r="A30" s="71">
        <f t="shared" si="0"/>
        <v>2049</v>
      </c>
      <c r="B30" s="72">
        <v>3640000</v>
      </c>
      <c r="C30" s="73">
        <f>_xlfn.XLOOKUP(D30,'4044 Discount Rates'!$A$4:$A$54,'4044 Discount Rates'!$C$4:$C$54)</f>
        <v>5.8100000000000006E-2</v>
      </c>
      <c r="D30" s="74">
        <f t="shared" si="2"/>
        <v>20.5</v>
      </c>
      <c r="E30" s="75">
        <f t="shared" si="1"/>
        <v>1143677.9254535199</v>
      </c>
      <c r="H30" s="33"/>
    </row>
    <row r="31" spans="1:8" ht="23.5" x14ac:dyDescent="0.55000000000000004">
      <c r="A31" s="71">
        <f t="shared" si="0"/>
        <v>2050</v>
      </c>
      <c r="B31" s="72">
        <v>3500000</v>
      </c>
      <c r="C31" s="73">
        <f>_xlfn.XLOOKUP(D31,'4044 Discount Rates'!$A$4:$A$54,'4044 Discount Rates'!$C$4:$C$54)</f>
        <v>5.8200000000000002E-2</v>
      </c>
      <c r="D31" s="74">
        <f t="shared" si="2"/>
        <v>21.5</v>
      </c>
      <c r="E31" s="75">
        <f t="shared" si="1"/>
        <v>1037197.0303173447</v>
      </c>
      <c r="H31" s="33"/>
    </row>
    <row r="32" spans="1:8" ht="23.5" x14ac:dyDescent="0.55000000000000004">
      <c r="A32" s="71">
        <f t="shared" si="0"/>
        <v>2051</v>
      </c>
      <c r="B32" s="72">
        <v>3360000</v>
      </c>
      <c r="C32" s="73">
        <f>_xlfn.XLOOKUP(D32,'4044 Discount Rates'!$A$4:$A$54,'4044 Discount Rates'!$C$4:$C$54)</f>
        <v>5.8100000000000006E-2</v>
      </c>
      <c r="D32" s="74">
        <f t="shared" si="2"/>
        <v>22.5</v>
      </c>
      <c r="E32" s="75">
        <f t="shared" si="1"/>
        <v>942948.99870017136</v>
      </c>
      <c r="H32" s="33"/>
    </row>
    <row r="33" spans="1:8" ht="23.5" x14ac:dyDescent="0.55000000000000004">
      <c r="A33" s="71">
        <f t="shared" si="0"/>
        <v>2052</v>
      </c>
      <c r="B33" s="72">
        <v>3220000</v>
      </c>
      <c r="C33" s="73">
        <f>_xlfn.XLOOKUP(D33,'4044 Discount Rates'!$A$4:$A$54,'4044 Discount Rates'!$C$4:$C$54)</f>
        <v>5.8100000000000006E-2</v>
      </c>
      <c r="D33" s="74">
        <f t="shared" si="2"/>
        <v>23.5</v>
      </c>
      <c r="E33" s="75">
        <f t="shared" si="1"/>
        <v>854039.74774375232</v>
      </c>
      <c r="H33" s="33"/>
    </row>
    <row r="34" spans="1:8" ht="23.5" x14ac:dyDescent="0.55000000000000004">
      <c r="A34" s="71">
        <f t="shared" si="0"/>
        <v>2053</v>
      </c>
      <c r="B34" s="72">
        <v>3080000</v>
      </c>
      <c r="C34" s="73">
        <f>_xlfn.XLOOKUP(D34,'4044 Discount Rates'!$A$4:$A$54,'4044 Discount Rates'!$C$4:$C$54)</f>
        <v>5.8000000000000003E-2</v>
      </c>
      <c r="D34" s="74">
        <f t="shared" si="2"/>
        <v>24.5</v>
      </c>
      <c r="E34" s="75">
        <f t="shared" si="1"/>
        <v>773841.2171806182</v>
      </c>
      <c r="H34" s="33"/>
    </row>
    <row r="35" spans="1:8" ht="23.5" x14ac:dyDescent="0.55000000000000004">
      <c r="A35" s="71">
        <f t="shared" si="0"/>
        <v>2054</v>
      </c>
      <c r="B35" s="72">
        <v>2940000</v>
      </c>
      <c r="C35" s="73">
        <f>_xlfn.XLOOKUP(D35,'4044 Discount Rates'!$A$4:$A$54,'4044 Discount Rates'!$C$4:$C$54)</f>
        <v>5.79E-2</v>
      </c>
      <c r="D35" s="74">
        <f t="shared" si="2"/>
        <v>25.5</v>
      </c>
      <c r="E35" s="75">
        <f t="shared" si="1"/>
        <v>699857.45567891956</v>
      </c>
      <c r="H35" s="33"/>
    </row>
    <row r="36" spans="1:8" ht="23.5" x14ac:dyDescent="0.55000000000000004">
      <c r="A36" s="71">
        <f t="shared" si="0"/>
        <v>2055</v>
      </c>
      <c r="B36" s="72">
        <v>2800000</v>
      </c>
      <c r="C36" s="73">
        <f>_xlfn.XLOOKUP(D36,'4044 Discount Rates'!$A$4:$A$54,'4044 Discount Rates'!$C$4:$C$54)</f>
        <v>5.7800000000000004E-2</v>
      </c>
      <c r="D36" s="74">
        <f t="shared" si="2"/>
        <v>26.5</v>
      </c>
      <c r="E36" s="75">
        <f t="shared" si="1"/>
        <v>631631.26690888649</v>
      </c>
      <c r="H36" s="33"/>
    </row>
    <row r="37" spans="1:8" ht="23.5" x14ac:dyDescent="0.55000000000000004">
      <c r="A37" s="71">
        <f t="shared" si="0"/>
        <v>2056</v>
      </c>
      <c r="B37" s="72">
        <v>2660000</v>
      </c>
      <c r="C37" s="73">
        <f>_xlfn.XLOOKUP(D37,'4044 Discount Rates'!$A$4:$A$54,'4044 Discount Rates'!$C$4:$C$54)</f>
        <v>5.7800000000000004E-2</v>
      </c>
      <c r="D37" s="74">
        <f t="shared" si="2"/>
        <v>27.5</v>
      </c>
      <c r="E37" s="75">
        <f t="shared" si="1"/>
        <v>567261.96215110808</v>
      </c>
      <c r="H37" s="33"/>
    </row>
    <row r="38" spans="1:8" ht="23.5" x14ac:dyDescent="0.55000000000000004">
      <c r="A38" s="71">
        <f t="shared" si="0"/>
        <v>2057</v>
      </c>
      <c r="B38" s="72">
        <v>2520000</v>
      </c>
      <c r="C38" s="73">
        <f>_xlfn.XLOOKUP(D38,'4044 Discount Rates'!$A$4:$A$54,'4044 Discount Rates'!$C$4:$C$54)</f>
        <v>5.7800000000000004E-2</v>
      </c>
      <c r="D38" s="74">
        <f t="shared" si="2"/>
        <v>28.5</v>
      </c>
      <c r="E38" s="75">
        <f t="shared" si="1"/>
        <v>508041.2832353118</v>
      </c>
      <c r="H38" s="33"/>
    </row>
    <row r="39" spans="1:8" ht="23.5" x14ac:dyDescent="0.55000000000000004">
      <c r="A39" s="71">
        <f t="shared" si="0"/>
        <v>2058</v>
      </c>
      <c r="B39" s="72">
        <v>2380000</v>
      </c>
      <c r="C39" s="73">
        <f>_xlfn.XLOOKUP(D39,'4044 Discount Rates'!$A$4:$A$54,'4044 Discount Rates'!$C$4:$C$54)</f>
        <v>5.7800000000000004E-2</v>
      </c>
      <c r="D39" s="74">
        <f t="shared" si="2"/>
        <v>29.5</v>
      </c>
      <c r="E39" s="75">
        <f t="shared" si="1"/>
        <v>453598.75921725918</v>
      </c>
      <c r="H39" s="33"/>
    </row>
    <row r="40" spans="1:8" ht="23.5" x14ac:dyDescent="0.55000000000000004">
      <c r="A40" s="71">
        <f t="shared" si="0"/>
        <v>2059</v>
      </c>
      <c r="B40" s="72">
        <v>2240000</v>
      </c>
      <c r="C40" s="73">
        <f>_xlfn.XLOOKUP(D40,'4044 Discount Rates'!$A$4:$A$54,'4044 Discount Rates'!$C$4:$C$54)</f>
        <v>5.7800000000000004E-2</v>
      </c>
      <c r="D40" s="74">
        <f t="shared" si="2"/>
        <v>30.5</v>
      </c>
      <c r="E40" s="75">
        <f t="shared" si="1"/>
        <v>403589.03314738389</v>
      </c>
      <c r="H40" s="33"/>
    </row>
    <row r="41" spans="1:8" ht="23.5" x14ac:dyDescent="0.55000000000000004">
      <c r="A41" s="71">
        <f t="shared" si="0"/>
        <v>2060</v>
      </c>
      <c r="B41" s="72">
        <v>2100000</v>
      </c>
      <c r="C41" s="73">
        <f>_xlfn.XLOOKUP(D41,'4044 Discount Rates'!$A$4:$A$54,'4044 Discount Rates'!$C$4:$C$54)</f>
        <v>5.7800000000000004E-2</v>
      </c>
      <c r="D41" s="74">
        <f t="shared" si="2"/>
        <v>31.5</v>
      </c>
      <c r="E41" s="75">
        <f t="shared" si="1"/>
        <v>357690.22364877322</v>
      </c>
      <c r="H41" s="33"/>
    </row>
    <row r="42" spans="1:8" ht="23.5" x14ac:dyDescent="0.55000000000000004">
      <c r="A42" s="71">
        <f>A41+1</f>
        <v>2061</v>
      </c>
      <c r="B42" s="72">
        <v>1960000</v>
      </c>
      <c r="C42" s="73">
        <f>_xlfn.XLOOKUP(D42,'4044 Discount Rates'!$A$4:$A$54,'4044 Discount Rates'!$C$4:$C$54)</f>
        <v>5.7800000000000004E-2</v>
      </c>
      <c r="D42" s="74">
        <f t="shared" si="2"/>
        <v>32.5</v>
      </c>
      <c r="E42" s="75">
        <f t="shared" si="1"/>
        <v>315602.39056424185</v>
      </c>
      <c r="H42" s="33"/>
    </row>
    <row r="43" spans="1:8" ht="23.5" x14ac:dyDescent="0.55000000000000004">
      <c r="A43" s="71">
        <f>A42+1</f>
        <v>2062</v>
      </c>
      <c r="B43" s="72">
        <v>1820000</v>
      </c>
      <c r="C43" s="73">
        <f>_xlfn.XLOOKUP(D43,'4044 Discount Rates'!$A$4:$A$54,'4044 Discount Rates'!$C$4:$C$54)</f>
        <v>5.7800000000000004E-2</v>
      </c>
      <c r="D43" s="74">
        <f t="shared" si="2"/>
        <v>33.5</v>
      </c>
      <c r="E43" s="75">
        <f t="shared" si="1"/>
        <v>277046.09819133667</v>
      </c>
      <c r="H43" s="33"/>
    </row>
    <row r="44" spans="1:8" ht="23.5" x14ac:dyDescent="0.55000000000000004">
      <c r="A44" s="71">
        <f>A43+1</f>
        <v>2063</v>
      </c>
      <c r="B44" s="72">
        <v>1680000</v>
      </c>
      <c r="C44" s="73">
        <f>_xlfn.XLOOKUP(D44,'4044 Discount Rates'!$A$4:$A$54,'4044 Discount Rates'!$C$4:$C$54)</f>
        <v>5.7800000000000004E-2</v>
      </c>
      <c r="D44" s="74">
        <f t="shared" si="2"/>
        <v>34.5</v>
      </c>
      <c r="E44" s="75">
        <f t="shared" si="1"/>
        <v>241761.07002167345</v>
      </c>
      <c r="H44" s="33"/>
    </row>
    <row r="45" spans="1:8" ht="23.5" x14ac:dyDescent="0.55000000000000004">
      <c r="A45" s="71">
        <f>A44+1</f>
        <v>2064</v>
      </c>
      <c r="B45" s="72">
        <v>1540000</v>
      </c>
      <c r="C45" s="73">
        <f>_xlfn.XLOOKUP(D45,'4044 Discount Rates'!$A$4:$A$54,'4044 Discount Rates'!$C$4:$C$54)</f>
        <v>5.7800000000000004E-2</v>
      </c>
      <c r="D45" s="74">
        <f t="shared" si="2"/>
        <v>35.5</v>
      </c>
      <c r="E45" s="75">
        <f t="shared" si="1"/>
        <v>209504.92927446964</v>
      </c>
      <c r="H45" s="33"/>
    </row>
    <row r="46" spans="1:8" ht="23.5" x14ac:dyDescent="0.55000000000000004">
      <c r="A46" s="71">
        <f>A45+1</f>
        <v>2065</v>
      </c>
      <c r="B46" s="72">
        <v>1400000</v>
      </c>
      <c r="C46" s="73">
        <f>_xlfn.XLOOKUP(D46,'4044 Discount Rates'!$A$4:$A$54,'4044 Discount Rates'!$C$4:$C$54)</f>
        <v>5.7800000000000004E-2</v>
      </c>
      <c r="D46" s="74">
        <f t="shared" si="2"/>
        <v>36.5</v>
      </c>
      <c r="E46" s="75">
        <f t="shared" si="1"/>
        <v>180052.01986495953</v>
      </c>
      <c r="H46" s="33"/>
    </row>
    <row r="47" spans="1:8" ht="23.5" x14ac:dyDescent="0.55000000000000004">
      <c r="A47" s="71">
        <f t="shared" ref="A47:A56" si="3">A46+1</f>
        <v>2066</v>
      </c>
      <c r="B47" s="72">
        <v>1260000</v>
      </c>
      <c r="C47" s="73">
        <f>_xlfn.XLOOKUP(D47,'4044 Discount Rates'!$A$4:$A$54,'4044 Discount Rates'!$C$4:$C$54)</f>
        <v>5.7800000000000004E-2</v>
      </c>
      <c r="D47" s="74">
        <f t="shared" si="2"/>
        <v>37.5</v>
      </c>
      <c r="E47" s="75">
        <f t="shared" si="1"/>
        <v>153192.30277790088</v>
      </c>
      <c r="H47" s="33"/>
    </row>
    <row r="48" spans="1:8" ht="23.5" x14ac:dyDescent="0.55000000000000004">
      <c r="A48" s="71">
        <f t="shared" si="3"/>
        <v>2067</v>
      </c>
      <c r="B48" s="72">
        <v>1120000</v>
      </c>
      <c r="C48" s="73">
        <f>_xlfn.XLOOKUP(D48,'4044 Discount Rates'!$A$4:$A$54,'4044 Discount Rates'!$C$4:$C$54)</f>
        <v>5.7800000000000004E-2</v>
      </c>
      <c r="D48" s="74">
        <f t="shared" si="2"/>
        <v>38.5</v>
      </c>
      <c r="E48" s="75">
        <f t="shared" si="1"/>
        <v>128730.32312590146</v>
      </c>
      <c r="H48" s="33"/>
    </row>
    <row r="49" spans="1:8" ht="23.5" x14ac:dyDescent="0.55000000000000004">
      <c r="A49" s="71">
        <f t="shared" si="3"/>
        <v>2068</v>
      </c>
      <c r="B49" s="72">
        <v>980000</v>
      </c>
      <c r="C49" s="73">
        <f>_xlfn.XLOOKUP(D49,'4044 Discount Rates'!$A$4:$A$54,'4044 Discount Rates'!$C$4:$C$54)</f>
        <v>5.7800000000000004E-2</v>
      </c>
      <c r="D49" s="74">
        <f t="shared" si="2"/>
        <v>39.5</v>
      </c>
      <c r="E49" s="75">
        <f t="shared" si="1"/>
        <v>106484.24346300223</v>
      </c>
      <c r="H49" s="33"/>
    </row>
    <row r="50" spans="1:8" ht="23.5" x14ac:dyDescent="0.55000000000000004">
      <c r="A50" s="71">
        <f t="shared" si="3"/>
        <v>2069</v>
      </c>
      <c r="B50" s="72">
        <v>840000</v>
      </c>
      <c r="C50" s="73">
        <f>_xlfn.XLOOKUP(D50,'4044 Discount Rates'!$A$4:$A$54,'4044 Discount Rates'!$C$4:$C$54)</f>
        <v>5.7800000000000004E-2</v>
      </c>
      <c r="D50" s="74">
        <f t="shared" si="2"/>
        <v>40.5</v>
      </c>
      <c r="E50" s="75">
        <f t="shared" si="1"/>
        <v>86284.939196987456</v>
      </c>
      <c r="H50" s="33"/>
    </row>
    <row r="51" spans="1:8" ht="23.5" x14ac:dyDescent="0.55000000000000004">
      <c r="A51" s="71">
        <f t="shared" si="3"/>
        <v>2070</v>
      </c>
      <c r="B51" s="72">
        <v>700000</v>
      </c>
      <c r="C51" s="73">
        <f>_xlfn.XLOOKUP(D51,'4044 Discount Rates'!$A$4:$A$54,'4044 Discount Rates'!$C$4:$C$54)</f>
        <v>5.7800000000000004E-2</v>
      </c>
      <c r="D51" s="74">
        <f t="shared" si="2"/>
        <v>41.5</v>
      </c>
      <c r="E51" s="75">
        <f t="shared" si="1"/>
        <v>67975.152200311539</v>
      </c>
      <c r="H51" s="33"/>
    </row>
    <row r="52" spans="1:8" ht="23.5" x14ac:dyDescent="0.55000000000000004">
      <c r="A52" s="71">
        <f t="shared" si="3"/>
        <v>2071</v>
      </c>
      <c r="B52" s="72">
        <v>560000</v>
      </c>
      <c r="C52" s="73">
        <f>_xlfn.XLOOKUP(D52,'4044 Discount Rates'!$A$4:$A$54,'4044 Discount Rates'!$C$4:$C$54)</f>
        <v>5.7800000000000004E-2</v>
      </c>
      <c r="D52" s="74">
        <f t="shared" si="2"/>
        <v>42.5</v>
      </c>
      <c r="E52" s="75">
        <f t="shared" si="1"/>
        <v>51408.698960341491</v>
      </c>
      <c r="H52" s="33"/>
    </row>
    <row r="53" spans="1:8" ht="23.5" x14ac:dyDescent="0.55000000000000004">
      <c r="A53" s="71">
        <f t="shared" si="3"/>
        <v>2072</v>
      </c>
      <c r="B53" s="72">
        <v>420000</v>
      </c>
      <c r="C53" s="73">
        <f>_xlfn.XLOOKUP(D53,'4044 Discount Rates'!$A$4:$A$54,'4044 Discount Rates'!$C$4:$C$54)</f>
        <v>5.7800000000000004E-2</v>
      </c>
      <c r="D53" s="74">
        <f t="shared" si="2"/>
        <v>43.5</v>
      </c>
      <c r="E53" s="75">
        <f t="shared" si="1"/>
        <v>36449.729835749778</v>
      </c>
      <c r="H53" s="33"/>
    </row>
    <row r="54" spans="1:8" ht="23.5" x14ac:dyDescent="0.55000000000000004">
      <c r="A54" s="71">
        <f t="shared" si="3"/>
        <v>2073</v>
      </c>
      <c r="B54" s="72">
        <v>280000</v>
      </c>
      <c r="C54" s="73">
        <f>_xlfn.XLOOKUP(D54,'4044 Discount Rates'!$A$4:$A$54,'4044 Discount Rates'!$C$4:$C$54)</f>
        <v>5.7800000000000004E-2</v>
      </c>
      <c r="D54" s="74">
        <f t="shared" si="2"/>
        <v>44.5</v>
      </c>
      <c r="E54" s="75">
        <f t="shared" si="1"/>
        <v>22972.036198241491</v>
      </c>
      <c r="H54" s="33"/>
    </row>
    <row r="55" spans="1:8" ht="23.5" x14ac:dyDescent="0.55000000000000004">
      <c r="A55" s="71">
        <f t="shared" si="3"/>
        <v>2074</v>
      </c>
      <c r="B55" s="72">
        <v>140000</v>
      </c>
      <c r="C55" s="73">
        <f>_xlfn.XLOOKUP(D55,'4044 Discount Rates'!$A$4:$A$54,'4044 Discount Rates'!$C$4:$C$54)</f>
        <v>5.7800000000000004E-2</v>
      </c>
      <c r="D55" s="74">
        <f t="shared" si="2"/>
        <v>45.5</v>
      </c>
      <c r="E55" s="75">
        <f t="shared" si="1"/>
        <v>10858.402438193179</v>
      </c>
      <c r="H55" s="33"/>
    </row>
    <row r="56" spans="1:8" ht="24" thickBot="1" x14ac:dyDescent="0.6">
      <c r="A56" s="76">
        <f t="shared" si="3"/>
        <v>2075</v>
      </c>
      <c r="B56" s="77">
        <v>0</v>
      </c>
      <c r="C56" s="73">
        <f>_xlfn.XLOOKUP(D56,'4044 Discount Rates'!$A$4:$A$54,'4044 Discount Rates'!$C$4:$C$54)</f>
        <v>5.7800000000000004E-2</v>
      </c>
      <c r="D56" s="74">
        <f t="shared" si="2"/>
        <v>46.5</v>
      </c>
      <c r="E56" s="75">
        <f t="shared" si="1"/>
        <v>0</v>
      </c>
      <c r="H56" s="33"/>
    </row>
    <row r="57" spans="1:8" ht="15" thickTop="1" x14ac:dyDescent="0.35"/>
  </sheetData>
  <sheetProtection algorithmName="SHA-512" hashValue="tVlvwMpjEnWmKu7OiFf0z7p4PB2k9UmEAMCpp8ppZbdvUazkjQOZXmbNDDymKpUUObqMSHRPxWUBckAtzHHnYg==" saltValue="DtzJuPnQOfCzC1mtirhvWQ==" spinCount="100000" sheet="1" objects="1" scenarios="1"/>
  <mergeCells count="1">
    <mergeCell ref="C2:D4"/>
  </mergeCells>
  <pageMargins left="0.7" right="0.7" top="0.75" bottom="0.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0383-3A2A-460F-A1FE-5D95E4B7A6CC}">
  <sheetPr>
    <tabColor rgb="FFFFC000"/>
    <pageSetUpPr fitToPage="1"/>
  </sheetPr>
  <dimension ref="A1:H36"/>
  <sheetViews>
    <sheetView showGridLines="0" workbookViewId="0">
      <selection activeCell="E17" sqref="E17"/>
    </sheetView>
  </sheetViews>
  <sheetFormatPr defaultRowHeight="23.5" x14ac:dyDescent="0.55000000000000004"/>
  <cols>
    <col min="1" max="1" width="20.54296875" style="25" customWidth="1"/>
    <col min="2" max="2" width="33.6328125" style="25" customWidth="1"/>
    <col min="3" max="3" width="30" style="25" customWidth="1"/>
    <col min="4" max="4" width="21.453125" style="25" customWidth="1"/>
    <col min="5" max="5" width="31.36328125" style="25" customWidth="1"/>
    <col min="6" max="6" width="29.1796875" style="25" customWidth="1"/>
    <col min="7" max="7" width="22" style="25" customWidth="1"/>
    <col min="8" max="8" width="21.54296875" style="25" bestFit="1" customWidth="1"/>
    <col min="9" max="16384" width="8.7265625" style="25"/>
  </cols>
  <sheetData>
    <row r="1" spans="1:8" ht="55" x14ac:dyDescent="0.75">
      <c r="A1" s="57" t="s">
        <v>93</v>
      </c>
      <c r="B1" s="26"/>
      <c r="C1" s="26"/>
      <c r="D1" s="26"/>
      <c r="E1" s="26"/>
      <c r="F1" s="26"/>
      <c r="G1" s="51" t="s">
        <v>15</v>
      </c>
      <c r="H1" s="26"/>
    </row>
    <row r="3" spans="1:8" ht="25" x14ac:dyDescent="0.7">
      <c r="A3" s="94" t="s">
        <v>18</v>
      </c>
      <c r="B3" s="122"/>
      <c r="C3" s="122"/>
      <c r="D3" s="122"/>
      <c r="E3" s="122"/>
      <c r="F3" s="125"/>
    </row>
    <row r="5" spans="1:8" x14ac:dyDescent="0.55000000000000004">
      <c r="A5" s="74" t="s">
        <v>21</v>
      </c>
      <c r="B5" s="74" t="s">
        <v>22</v>
      </c>
      <c r="C5" s="74" t="s">
        <v>24</v>
      </c>
      <c r="D5" s="74" t="s">
        <v>23</v>
      </c>
      <c r="E5" s="74" t="s">
        <v>26</v>
      </c>
      <c r="F5" s="36"/>
    </row>
    <row r="6" spans="1:8" ht="75" customHeight="1" x14ac:dyDescent="0.7">
      <c r="A6" s="67" t="s">
        <v>19</v>
      </c>
      <c r="B6" s="67" t="s">
        <v>20</v>
      </c>
      <c r="C6" s="67" t="s">
        <v>25</v>
      </c>
      <c r="D6" s="67" t="s">
        <v>32</v>
      </c>
      <c r="E6" s="67" t="s">
        <v>29</v>
      </c>
      <c r="F6" s="36"/>
    </row>
    <row r="7" spans="1:8" x14ac:dyDescent="0.55000000000000004">
      <c r="A7" s="78">
        <v>2024</v>
      </c>
      <c r="B7" s="78">
        <f>$A$19-A7+1</f>
        <v>13</v>
      </c>
      <c r="C7" s="78">
        <f>$A$19-$A$7+1</f>
        <v>13</v>
      </c>
      <c r="D7" s="79">
        <f>B7/C7</f>
        <v>1</v>
      </c>
      <c r="E7" s="80">
        <f>'Background Info'!$C$9*(D7)</f>
        <v>50000000</v>
      </c>
      <c r="F7" s="81" t="s">
        <v>27</v>
      </c>
    </row>
    <row r="8" spans="1:8" x14ac:dyDescent="0.55000000000000004">
      <c r="A8" s="74">
        <f>A7+1</f>
        <v>2025</v>
      </c>
      <c r="B8" s="74">
        <f t="shared" ref="B8:B19" si="0">$A$19-A8+1</f>
        <v>12</v>
      </c>
      <c r="C8" s="74">
        <f t="shared" ref="C8:C19" si="1">$A$19-$A$7+1</f>
        <v>13</v>
      </c>
      <c r="D8" s="82">
        <f t="shared" ref="D8:D19" si="2">B8/C8</f>
        <v>0.92307692307692313</v>
      </c>
      <c r="E8" s="38">
        <f>'Background Info'!$C$9*(D8)</f>
        <v>46153846.15384616</v>
      </c>
      <c r="F8" s="36"/>
    </row>
    <row r="9" spans="1:8" x14ac:dyDescent="0.55000000000000004">
      <c r="A9" s="74">
        <f t="shared" ref="A9:A20" si="3">A8+1</f>
        <v>2026</v>
      </c>
      <c r="B9" s="74">
        <f t="shared" si="0"/>
        <v>11</v>
      </c>
      <c r="C9" s="74">
        <f t="shared" si="1"/>
        <v>13</v>
      </c>
      <c r="D9" s="82">
        <f t="shared" si="2"/>
        <v>0.84615384615384615</v>
      </c>
      <c r="E9" s="38">
        <f>'Background Info'!$C$9*(D9)</f>
        <v>42307692.307692304</v>
      </c>
      <c r="F9" s="36"/>
    </row>
    <row r="10" spans="1:8" ht="24" thickBot="1" x14ac:dyDescent="0.6">
      <c r="A10" s="74">
        <f t="shared" si="3"/>
        <v>2027</v>
      </c>
      <c r="B10" s="74">
        <f t="shared" si="0"/>
        <v>10</v>
      </c>
      <c r="C10" s="74">
        <f t="shared" si="1"/>
        <v>13</v>
      </c>
      <c r="D10" s="82">
        <f t="shared" si="2"/>
        <v>0.76923076923076927</v>
      </c>
      <c r="E10" s="38">
        <f>'Background Info'!$C$9*(D10)</f>
        <v>38461538.461538464</v>
      </c>
      <c r="F10" s="36"/>
    </row>
    <row r="11" spans="1:8" ht="26.5" customHeight="1" thickBot="1" x14ac:dyDescent="0.6">
      <c r="A11" s="74">
        <f t="shared" si="3"/>
        <v>2028</v>
      </c>
      <c r="B11" s="74">
        <f t="shared" si="0"/>
        <v>9</v>
      </c>
      <c r="C11" s="74">
        <f t="shared" si="1"/>
        <v>13</v>
      </c>
      <c r="D11" s="82">
        <f t="shared" si="2"/>
        <v>0.69230769230769229</v>
      </c>
      <c r="E11" s="83">
        <f>'Background Info'!$C$9*(D11)</f>
        <v>34615384.615384616</v>
      </c>
      <c r="F11" s="36"/>
    </row>
    <row r="12" spans="1:8" x14ac:dyDescent="0.55000000000000004">
      <c r="A12" s="74">
        <f t="shared" si="3"/>
        <v>2029</v>
      </c>
      <c r="B12" s="74">
        <f t="shared" si="0"/>
        <v>8</v>
      </c>
      <c r="C12" s="74">
        <f t="shared" si="1"/>
        <v>13</v>
      </c>
      <c r="D12" s="82">
        <f t="shared" si="2"/>
        <v>0.61538461538461542</v>
      </c>
      <c r="E12" s="38">
        <f>'Background Info'!$C$9*(D12)</f>
        <v>30769230.769230772</v>
      </c>
      <c r="F12" s="36"/>
    </row>
    <row r="13" spans="1:8" x14ac:dyDescent="0.55000000000000004">
      <c r="A13" s="74">
        <f t="shared" si="3"/>
        <v>2030</v>
      </c>
      <c r="B13" s="74">
        <f t="shared" si="0"/>
        <v>7</v>
      </c>
      <c r="C13" s="74">
        <f t="shared" si="1"/>
        <v>13</v>
      </c>
      <c r="D13" s="82">
        <f t="shared" si="2"/>
        <v>0.53846153846153844</v>
      </c>
      <c r="E13" s="38">
        <f>'Background Info'!$C$9*(D13)</f>
        <v>26923076.92307692</v>
      </c>
      <c r="F13" s="36"/>
    </row>
    <row r="14" spans="1:8" x14ac:dyDescent="0.55000000000000004">
      <c r="A14" s="74">
        <f>A13+1</f>
        <v>2031</v>
      </c>
      <c r="B14" s="74">
        <f t="shared" si="0"/>
        <v>6</v>
      </c>
      <c r="C14" s="74">
        <f t="shared" si="1"/>
        <v>13</v>
      </c>
      <c r="D14" s="82">
        <f t="shared" si="2"/>
        <v>0.46153846153846156</v>
      </c>
      <c r="E14" s="38">
        <f>'Background Info'!$C$9*(D14)</f>
        <v>23076923.07692308</v>
      </c>
      <c r="F14" s="36"/>
    </row>
    <row r="15" spans="1:8" x14ac:dyDescent="0.55000000000000004">
      <c r="A15" s="74">
        <f t="shared" si="3"/>
        <v>2032</v>
      </c>
      <c r="B15" s="74">
        <f t="shared" si="0"/>
        <v>5</v>
      </c>
      <c r="C15" s="74">
        <f t="shared" si="1"/>
        <v>13</v>
      </c>
      <c r="D15" s="82">
        <f t="shared" si="2"/>
        <v>0.38461538461538464</v>
      </c>
      <c r="E15" s="38">
        <f>'Background Info'!$C$9*(D15)</f>
        <v>19230769.230769232</v>
      </c>
      <c r="F15" s="36"/>
    </row>
    <row r="16" spans="1:8" x14ac:dyDescent="0.55000000000000004">
      <c r="A16" s="74">
        <f t="shared" si="3"/>
        <v>2033</v>
      </c>
      <c r="B16" s="74">
        <f t="shared" si="0"/>
        <v>4</v>
      </c>
      <c r="C16" s="74">
        <f t="shared" si="1"/>
        <v>13</v>
      </c>
      <c r="D16" s="82">
        <f t="shared" si="2"/>
        <v>0.30769230769230771</v>
      </c>
      <c r="E16" s="38">
        <f>'Background Info'!$C$9*(D16)</f>
        <v>15384615.384615386</v>
      </c>
      <c r="F16" s="36"/>
    </row>
    <row r="17" spans="1:8" x14ac:dyDescent="0.55000000000000004">
      <c r="A17" s="74">
        <f t="shared" si="3"/>
        <v>2034</v>
      </c>
      <c r="B17" s="74">
        <f t="shared" si="0"/>
        <v>3</v>
      </c>
      <c r="C17" s="74">
        <f t="shared" si="1"/>
        <v>13</v>
      </c>
      <c r="D17" s="82">
        <f t="shared" si="2"/>
        <v>0.23076923076923078</v>
      </c>
      <c r="E17" s="38">
        <f>'Background Info'!$C$9*(D17)</f>
        <v>11538461.53846154</v>
      </c>
      <c r="F17" s="36"/>
    </row>
    <row r="18" spans="1:8" x14ac:dyDescent="0.55000000000000004">
      <c r="A18" s="74">
        <f>A17+1</f>
        <v>2035</v>
      </c>
      <c r="B18" s="74">
        <f t="shared" si="0"/>
        <v>2</v>
      </c>
      <c r="C18" s="74">
        <f t="shared" si="1"/>
        <v>13</v>
      </c>
      <c r="D18" s="82">
        <f t="shared" si="2"/>
        <v>0.15384615384615385</v>
      </c>
      <c r="E18" s="38">
        <f>'Background Info'!$C$9*(D18)</f>
        <v>7692307.692307693</v>
      </c>
      <c r="F18" s="36"/>
    </row>
    <row r="19" spans="1:8" x14ac:dyDescent="0.55000000000000004">
      <c r="A19" s="78">
        <f t="shared" si="3"/>
        <v>2036</v>
      </c>
      <c r="B19" s="78">
        <f t="shared" si="0"/>
        <v>1</v>
      </c>
      <c r="C19" s="78">
        <f t="shared" si="1"/>
        <v>13</v>
      </c>
      <c r="D19" s="79">
        <f t="shared" si="2"/>
        <v>7.6923076923076927E-2</v>
      </c>
      <c r="E19" s="80">
        <f>'Background Info'!$C$9*(D19)</f>
        <v>3846153.8461538465</v>
      </c>
      <c r="F19" s="81" t="s">
        <v>28</v>
      </c>
    </row>
    <row r="20" spans="1:8" x14ac:dyDescent="0.55000000000000004">
      <c r="A20" s="74">
        <f t="shared" si="3"/>
        <v>2037</v>
      </c>
      <c r="B20" s="36"/>
      <c r="C20" s="36"/>
      <c r="D20" s="36"/>
      <c r="E20" s="38">
        <v>0</v>
      </c>
      <c r="F20" s="36"/>
    </row>
    <row r="21" spans="1:8" x14ac:dyDescent="0.55000000000000004">
      <c r="A21" s="36"/>
      <c r="B21" s="36"/>
      <c r="C21" s="36"/>
      <c r="D21" s="36"/>
      <c r="E21" s="36"/>
      <c r="F21" s="36"/>
    </row>
    <row r="22" spans="1:8" ht="25" x14ac:dyDescent="0.7">
      <c r="A22" s="128" t="s">
        <v>30</v>
      </c>
      <c r="B22" s="126"/>
      <c r="C22" s="126"/>
      <c r="D22" s="126"/>
      <c r="E22" s="127"/>
      <c r="F22" s="126"/>
      <c r="G22" s="26"/>
      <c r="H22" s="26"/>
    </row>
    <row r="23" spans="1:8" x14ac:dyDescent="0.55000000000000004">
      <c r="A23" s="36"/>
      <c r="B23" s="84"/>
      <c r="C23" s="85"/>
      <c r="D23" s="36"/>
      <c r="E23" s="36"/>
      <c r="F23" s="85"/>
    </row>
    <row r="24" spans="1:8" ht="99.5" customHeight="1" x14ac:dyDescent="0.7">
      <c r="A24" s="67" t="s">
        <v>31</v>
      </c>
      <c r="B24" s="67" t="s">
        <v>70</v>
      </c>
      <c r="C24" s="86" t="s">
        <v>69</v>
      </c>
      <c r="D24" s="67" t="s">
        <v>71</v>
      </c>
      <c r="E24" s="36"/>
      <c r="F24" s="36"/>
    </row>
    <row r="25" spans="1:8" x14ac:dyDescent="0.55000000000000004">
      <c r="A25" s="87">
        <v>46022</v>
      </c>
      <c r="B25" s="88"/>
      <c r="C25" s="88"/>
      <c r="D25" s="89">
        <f>'Background Info'!C15</f>
        <v>97850000</v>
      </c>
      <c r="E25" s="81" t="s">
        <v>72</v>
      </c>
      <c r="F25" s="90"/>
    </row>
    <row r="26" spans="1:8" x14ac:dyDescent="0.55000000000000004">
      <c r="A26" s="91">
        <f t="shared" ref="A26:A28" si="4">DATE(YEAR(A25)+1,MONTH(A25),DAY(A25))</f>
        <v>46387</v>
      </c>
      <c r="B26" s="92">
        <f>-MIN(D25,_xlfn.XLOOKUP(YEAR(A26),'II.A SFA Pool Liabilities'!$A$6:$A$56,'II.A SFA Pool Liabilities'!$B$6:$B$56))</f>
        <v>-6860000</v>
      </c>
      <c r="C26" s="92">
        <f>D25*'Background Info'!$C$17+B26*'Background Info'!$C$17*0.5</f>
        <v>4721000</v>
      </c>
      <c r="D26" s="92">
        <f>D25+SUM(B26:C26)</f>
        <v>95711000</v>
      </c>
      <c r="E26" s="36"/>
      <c r="F26" s="36"/>
    </row>
    <row r="27" spans="1:8" ht="24" thickBot="1" x14ac:dyDescent="0.6">
      <c r="A27" s="91">
        <f t="shared" si="4"/>
        <v>46752</v>
      </c>
      <c r="B27" s="92">
        <f>-MIN(D26,_xlfn.XLOOKUP(YEAR(A27),'II.A SFA Pool Liabilities'!$A$6:$A$56,'II.A SFA Pool Liabilities'!$B$6:$B$56))</f>
        <v>-6720000</v>
      </c>
      <c r="C27" s="92">
        <f>D26*'Background Info'!$C$17+B27*'Background Info'!$C$17*0.5</f>
        <v>4617550</v>
      </c>
      <c r="D27" s="92">
        <f>D26+SUM(B27:C27)</f>
        <v>93608550</v>
      </c>
      <c r="E27" s="36"/>
      <c r="F27" s="36"/>
    </row>
    <row r="28" spans="1:8" ht="24" thickBot="1" x14ac:dyDescent="0.6">
      <c r="A28" s="91">
        <f t="shared" si="4"/>
        <v>47118</v>
      </c>
      <c r="B28" s="92">
        <f>-MIN(D27,_xlfn.XLOOKUP(YEAR(A28),'II.A SFA Pool Liabilities'!$A$6:$A$56,'II.A SFA Pool Liabilities'!$B$6:$B$56))</f>
        <v>-6580000</v>
      </c>
      <c r="C28" s="92">
        <f>D27*'Background Info'!$C$17+B28*'Background Info'!$C$17*0.5</f>
        <v>4515927.5</v>
      </c>
      <c r="D28" s="93">
        <f>D27+SUM(B28:C28)</f>
        <v>91544477.5</v>
      </c>
      <c r="E28" s="36"/>
      <c r="F28" s="36"/>
    </row>
    <row r="29" spans="1:8" x14ac:dyDescent="0.55000000000000004">
      <c r="A29" s="36"/>
      <c r="B29" s="36"/>
      <c r="C29" s="36"/>
      <c r="D29" s="36"/>
      <c r="E29" s="36"/>
      <c r="F29" s="36"/>
    </row>
    <row r="30" spans="1:8" x14ac:dyDescent="0.55000000000000004">
      <c r="A30" s="94" t="s">
        <v>33</v>
      </c>
      <c r="B30" s="94"/>
      <c r="C30" s="94"/>
      <c r="D30" s="94"/>
      <c r="E30" s="36"/>
      <c r="F30" s="36"/>
    </row>
    <row r="31" spans="1:8" x14ac:dyDescent="0.55000000000000004">
      <c r="A31" s="36"/>
      <c r="B31" s="36"/>
      <c r="C31" s="36"/>
      <c r="D31" s="36"/>
      <c r="E31" s="36"/>
      <c r="F31" s="36"/>
    </row>
    <row r="32" spans="1:8" x14ac:dyDescent="0.55000000000000004">
      <c r="A32" s="36" t="s">
        <v>35</v>
      </c>
      <c r="B32" s="36"/>
      <c r="C32" s="36"/>
      <c r="D32" s="92">
        <f>D28</f>
        <v>91544477.5</v>
      </c>
      <c r="E32" s="36"/>
      <c r="F32" s="36"/>
    </row>
    <row r="33" spans="1:6" ht="29.5" customHeight="1" x14ac:dyDescent="0.55000000000000004">
      <c r="A33" s="36" t="s">
        <v>36</v>
      </c>
      <c r="B33" s="36"/>
      <c r="C33" s="36"/>
      <c r="D33" s="92">
        <f>-E11</f>
        <v>-34615384.615384616</v>
      </c>
      <c r="E33" s="36"/>
      <c r="F33" s="36"/>
    </row>
    <row r="34" spans="1:6" x14ac:dyDescent="0.55000000000000004">
      <c r="A34" s="36"/>
      <c r="B34" s="36"/>
      <c r="C34" s="36"/>
      <c r="D34" s="36"/>
      <c r="E34" s="36"/>
      <c r="F34" s="36"/>
    </row>
    <row r="35" spans="1:6" x14ac:dyDescent="0.55000000000000004">
      <c r="A35" s="27" t="s">
        <v>34</v>
      </c>
      <c r="B35" s="27"/>
      <c r="C35" s="27"/>
      <c r="D35" s="28">
        <f>D32+D33</f>
        <v>56929092.884615384</v>
      </c>
      <c r="E35" s="36"/>
      <c r="F35" s="36"/>
    </row>
    <row r="36" spans="1:6" x14ac:dyDescent="0.55000000000000004">
      <c r="A36" s="36"/>
      <c r="B36" s="36"/>
      <c r="C36" s="36"/>
      <c r="D36" s="36"/>
      <c r="E36" s="36"/>
      <c r="F36" s="36"/>
    </row>
  </sheetData>
  <sheetProtection algorithmName="SHA-512" hashValue="H1JgwtZL0KEqQxSNIwakm12k3fV4/jzuUkHyzFnwl6Dy1wBZz42PP7+A5ntInYr2aK/7uTwjthUNlZ8f2Q0z+w==" saltValue="D2g+Z9PfGWWUzCrtkCGqlA==" spinCount="100000" sheet="1" objects="1" scenarios="1"/>
  <pageMargins left="0.7" right="0.7" top="0.75" bottom="0.75" header="0.3" footer="0.3"/>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867B-2C5C-4942-8C26-07430861BA1D}">
  <sheetPr>
    <tabColor rgb="FFFFC000"/>
    <pageSetUpPr fitToPage="1"/>
  </sheetPr>
  <dimension ref="A1:G95"/>
  <sheetViews>
    <sheetView showGridLines="0" tabSelected="1" workbookViewId="0">
      <selection activeCell="C10" sqref="C10"/>
    </sheetView>
  </sheetViews>
  <sheetFormatPr defaultRowHeight="14.5" x14ac:dyDescent="0.35"/>
  <cols>
    <col min="1" max="1" width="22.1796875" customWidth="1"/>
    <col min="2" max="2" width="22.90625" style="32" customWidth="1"/>
    <col min="3" max="3" width="22.90625" customWidth="1"/>
    <col min="4" max="4" width="24.453125" customWidth="1"/>
    <col min="5" max="5" width="19.7265625" customWidth="1"/>
    <col min="6" max="6" width="13.6328125" customWidth="1"/>
    <col min="7" max="7" width="31.36328125" style="32" customWidth="1"/>
  </cols>
  <sheetData>
    <row r="1" spans="1:7" ht="55" x14ac:dyDescent="0.75">
      <c r="A1" s="57" t="s">
        <v>94</v>
      </c>
      <c r="B1" s="34"/>
      <c r="C1" s="2"/>
      <c r="D1" s="2"/>
      <c r="E1" s="2"/>
      <c r="F1" s="2"/>
      <c r="G1" s="34"/>
    </row>
    <row r="2" spans="1:7" ht="16.5" thickBot="1" x14ac:dyDescent="0.4">
      <c r="B2" s="52"/>
      <c r="G2" s="53"/>
    </row>
    <row r="3" spans="1:7" ht="25" x14ac:dyDescent="0.7">
      <c r="A3" s="23" t="s">
        <v>37</v>
      </c>
      <c r="B3" s="35"/>
      <c r="C3" s="29"/>
      <c r="D3" s="24"/>
      <c r="E3" s="135" t="s">
        <v>61</v>
      </c>
      <c r="F3" s="136"/>
      <c r="G3" s="54"/>
    </row>
    <row r="4" spans="1:7" ht="24" thickBot="1" x14ac:dyDescent="0.6">
      <c r="A4" s="96" t="s">
        <v>21</v>
      </c>
      <c r="B4" s="105" t="s">
        <v>22</v>
      </c>
      <c r="C4" s="74" t="s">
        <v>24</v>
      </c>
      <c r="D4" s="106" t="s">
        <v>23</v>
      </c>
      <c r="E4" s="137"/>
      <c r="F4" s="138"/>
      <c r="G4" s="55">
        <f>SUM(G10:G95)</f>
        <v>359356860.48651093</v>
      </c>
    </row>
    <row r="5" spans="1:7" ht="99" customHeight="1" x14ac:dyDescent="0.7">
      <c r="A5" s="98" t="s">
        <v>3</v>
      </c>
      <c r="B5" s="86" t="s">
        <v>38</v>
      </c>
      <c r="C5" s="86" t="s">
        <v>40</v>
      </c>
      <c r="D5" s="99" t="s">
        <v>39</v>
      </c>
      <c r="E5" s="86" t="s">
        <v>43</v>
      </c>
      <c r="F5" s="86" t="s">
        <v>16</v>
      </c>
      <c r="G5" s="86" t="s">
        <v>42</v>
      </c>
    </row>
    <row r="6" spans="1:7" ht="23.5" x14ac:dyDescent="0.55000000000000004">
      <c r="A6" s="100">
        <v>2025</v>
      </c>
      <c r="B6" s="95" t="s">
        <v>41</v>
      </c>
      <c r="C6" s="107">
        <f>_xlfn.XLOOKUP(A6,'II.A SFA Pool Liabilities'!$A$6:$A$56,'II.A SFA Pool Liabilities'!$B$6:$B$56)</f>
        <v>7000000</v>
      </c>
      <c r="D6" s="101" t="s">
        <v>41</v>
      </c>
      <c r="E6" s="95" t="s">
        <v>41</v>
      </c>
      <c r="F6" s="95" t="s">
        <v>41</v>
      </c>
      <c r="G6" s="95" t="s">
        <v>41</v>
      </c>
    </row>
    <row r="7" spans="1:7" ht="23.5" x14ac:dyDescent="0.55000000000000004">
      <c r="A7" s="100">
        <f>A6+1</f>
        <v>2026</v>
      </c>
      <c r="B7" s="95" t="s">
        <v>41</v>
      </c>
      <c r="C7" s="107">
        <f>_xlfn.XLOOKUP(A7,'II.A SFA Pool Liabilities'!$A$6:$A$56,'II.A SFA Pool Liabilities'!$B$6:$B$56)</f>
        <v>6860000</v>
      </c>
      <c r="D7" s="101" t="s">
        <v>41</v>
      </c>
      <c r="E7" s="95" t="s">
        <v>41</v>
      </c>
      <c r="F7" s="95" t="s">
        <v>41</v>
      </c>
      <c r="G7" s="95" t="s">
        <v>41</v>
      </c>
    </row>
    <row r="8" spans="1:7" ht="23.5" x14ac:dyDescent="0.55000000000000004">
      <c r="A8" s="100">
        <f t="shared" ref="A8:A41" si="0">A7+1</f>
        <v>2027</v>
      </c>
      <c r="B8" s="95" t="s">
        <v>41</v>
      </c>
      <c r="C8" s="107">
        <f>_xlfn.XLOOKUP(A8,'II.A SFA Pool Liabilities'!$A$6:$A$56,'II.A SFA Pool Liabilities'!$B$6:$B$56)</f>
        <v>6720000</v>
      </c>
      <c r="D8" s="101" t="s">
        <v>41</v>
      </c>
      <c r="E8" s="95" t="s">
        <v>41</v>
      </c>
      <c r="F8" s="95" t="s">
        <v>41</v>
      </c>
      <c r="G8" s="95" t="s">
        <v>41</v>
      </c>
    </row>
    <row r="9" spans="1:7" ht="23.5" x14ac:dyDescent="0.55000000000000004">
      <c r="A9" s="100">
        <f t="shared" si="0"/>
        <v>2028</v>
      </c>
      <c r="B9" s="95" t="s">
        <v>41</v>
      </c>
      <c r="C9" s="107">
        <f>_xlfn.XLOOKUP(A9,'II.A SFA Pool Liabilities'!$A$6:$A$56,'II.A SFA Pool Liabilities'!$B$6:$B$56)</f>
        <v>6580000</v>
      </c>
      <c r="D9" s="101" t="s">
        <v>41</v>
      </c>
      <c r="E9" s="95" t="s">
        <v>41</v>
      </c>
      <c r="F9" s="95" t="s">
        <v>41</v>
      </c>
      <c r="G9" s="95" t="s">
        <v>41</v>
      </c>
    </row>
    <row r="10" spans="1:7" ht="23.5" x14ac:dyDescent="0.55000000000000004">
      <c r="A10" s="102">
        <f t="shared" si="0"/>
        <v>2029</v>
      </c>
      <c r="B10" s="97">
        <f>C10+D10</f>
        <v>40000000</v>
      </c>
      <c r="C10" s="97">
        <f>_xlfn.XLOOKUP(A10,'II.A SFA Pool Liabilities'!$A$6:$A$56,'II.A SFA Pool Liabilities'!$B$6:$B$56)</f>
        <v>6440000</v>
      </c>
      <c r="D10" s="103">
        <f>40000000-C10</f>
        <v>33560000</v>
      </c>
      <c r="E10" s="104">
        <v>7.0000000000000007E-2</v>
      </c>
      <c r="F10" s="105">
        <v>0.5</v>
      </c>
      <c r="G10" s="97">
        <f>D10*(1+E10)^-F10</f>
        <v>32443676.57237247</v>
      </c>
    </row>
    <row r="11" spans="1:7" ht="23.5" x14ac:dyDescent="0.55000000000000004">
      <c r="A11" s="102">
        <f t="shared" si="0"/>
        <v>2030</v>
      </c>
      <c r="B11" s="97">
        <f t="shared" ref="B11:B84" si="1">C11+D11</f>
        <v>39188800</v>
      </c>
      <c r="C11" s="97">
        <f>_xlfn.XLOOKUP(A11,'II.A SFA Pool Liabilities'!$A$6:$A$56,'II.A SFA Pool Liabilities'!$B$6:$B$56)</f>
        <v>6300000</v>
      </c>
      <c r="D11" s="103">
        <f>D10*(C7/C6)</f>
        <v>32888800</v>
      </c>
      <c r="E11" s="104">
        <f>E10</f>
        <v>7.0000000000000007E-2</v>
      </c>
      <c r="F11" s="105">
        <f>F10+1</f>
        <v>1.5</v>
      </c>
      <c r="G11" s="97">
        <f t="shared" ref="G11:G85" si="2">D11*(1+E11)^-F11</f>
        <v>29714769.197126184</v>
      </c>
    </row>
    <row r="12" spans="1:7" ht="23.5" x14ac:dyDescent="0.55000000000000004">
      <c r="A12" s="102">
        <f t="shared" si="0"/>
        <v>2031</v>
      </c>
      <c r="B12" s="97">
        <f t="shared" si="1"/>
        <v>38377600</v>
      </c>
      <c r="C12" s="97">
        <f>_xlfn.XLOOKUP(A12,'II.A SFA Pool Liabilities'!$A$6:$A$56,'II.A SFA Pool Liabilities'!$B$6:$B$56)</f>
        <v>6160000</v>
      </c>
      <c r="D12" s="103">
        <f t="shared" ref="D12:D55" si="3">D11*(C8/C7)</f>
        <v>32217600</v>
      </c>
      <c r="E12" s="104">
        <f>E11</f>
        <v>7.0000000000000007E-2</v>
      </c>
      <c r="F12" s="105">
        <f>F11+1</f>
        <v>2.5</v>
      </c>
      <c r="G12" s="97">
        <f t="shared" si="2"/>
        <v>27204061.06164518</v>
      </c>
    </row>
    <row r="13" spans="1:7" ht="23.5" x14ac:dyDescent="0.55000000000000004">
      <c r="A13" s="102">
        <f t="shared" si="0"/>
        <v>2032</v>
      </c>
      <c r="B13" s="97">
        <f t="shared" si="1"/>
        <v>37566400</v>
      </c>
      <c r="C13" s="97">
        <f>_xlfn.XLOOKUP(A13,'II.A SFA Pool Liabilities'!$A$6:$A$56,'II.A SFA Pool Liabilities'!$B$6:$B$56)</f>
        <v>6020000</v>
      </c>
      <c r="D13" s="103">
        <f t="shared" si="3"/>
        <v>31546400</v>
      </c>
      <c r="E13" s="104">
        <f t="shared" ref="E13:E76" si="4">E12</f>
        <v>7.0000000000000007E-2</v>
      </c>
      <c r="F13" s="105">
        <f t="shared" ref="F13:F76" si="5">F12+1</f>
        <v>3.5</v>
      </c>
      <c r="G13" s="97">
        <f t="shared" si="2"/>
        <v>24894682.046287447</v>
      </c>
    </row>
    <row r="14" spans="1:7" ht="23.5" x14ac:dyDescent="0.55000000000000004">
      <c r="A14" s="102">
        <f t="shared" si="0"/>
        <v>2033</v>
      </c>
      <c r="B14" s="97">
        <f t="shared" si="1"/>
        <v>36755200</v>
      </c>
      <c r="C14" s="97">
        <f>_xlfn.XLOOKUP(A14,'II.A SFA Pool Liabilities'!$A$6:$A$56,'II.A SFA Pool Liabilities'!$B$6:$B$56)</f>
        <v>5880000</v>
      </c>
      <c r="D14" s="103">
        <f t="shared" si="3"/>
        <v>30875200</v>
      </c>
      <c r="E14" s="104">
        <f t="shared" si="4"/>
        <v>7.0000000000000007E-2</v>
      </c>
      <c r="F14" s="105">
        <f t="shared" si="5"/>
        <v>4.5</v>
      </c>
      <c r="G14" s="97">
        <f t="shared" si="2"/>
        <v>22771035.476818901</v>
      </c>
    </row>
    <row r="15" spans="1:7" ht="23.5" x14ac:dyDescent="0.55000000000000004">
      <c r="A15" s="102">
        <f t="shared" si="0"/>
        <v>2034</v>
      </c>
      <c r="B15" s="97">
        <f t="shared" si="1"/>
        <v>35944000</v>
      </c>
      <c r="C15" s="97">
        <f>_xlfn.XLOOKUP(A15,'II.A SFA Pool Liabilities'!$A$6:$A$56,'II.A SFA Pool Liabilities'!$B$6:$B$56)</f>
        <v>5740000</v>
      </c>
      <c r="D15" s="103">
        <f t="shared" si="3"/>
        <v>30204000</v>
      </c>
      <c r="E15" s="104">
        <f t="shared" si="4"/>
        <v>7.0000000000000007E-2</v>
      </c>
      <c r="F15" s="105">
        <f t="shared" si="5"/>
        <v>5.5</v>
      </c>
      <c r="G15" s="97">
        <f t="shared" si="2"/>
        <v>20818703.706965674</v>
      </c>
    </row>
    <row r="16" spans="1:7" ht="23.5" x14ac:dyDescent="0.55000000000000004">
      <c r="A16" s="102">
        <f t="shared" si="0"/>
        <v>2035</v>
      </c>
      <c r="B16" s="97">
        <f t="shared" si="1"/>
        <v>35132800</v>
      </c>
      <c r="C16" s="97">
        <f>_xlfn.XLOOKUP(A16,'II.A SFA Pool Liabilities'!$A$6:$A$56,'II.A SFA Pool Liabilities'!$B$6:$B$56)</f>
        <v>5600000</v>
      </c>
      <c r="D16" s="103">
        <f t="shared" si="3"/>
        <v>29532800</v>
      </c>
      <c r="E16" s="104">
        <f t="shared" si="4"/>
        <v>7.0000000000000007E-2</v>
      </c>
      <c r="F16" s="105">
        <f t="shared" si="5"/>
        <v>6.5</v>
      </c>
      <c r="G16" s="97">
        <f t="shared" si="2"/>
        <v>19024360.604496147</v>
      </c>
    </row>
    <row r="17" spans="1:7" ht="23.5" x14ac:dyDescent="0.55000000000000004">
      <c r="A17" s="102">
        <f t="shared" si="0"/>
        <v>2036</v>
      </c>
      <c r="B17" s="97">
        <f t="shared" si="1"/>
        <v>34321600</v>
      </c>
      <c r="C17" s="97">
        <f>_xlfn.XLOOKUP(A17,'II.A SFA Pool Liabilities'!$A$6:$A$56,'II.A SFA Pool Liabilities'!$B$6:$B$56)</f>
        <v>5460000</v>
      </c>
      <c r="D17" s="103">
        <f t="shared" si="3"/>
        <v>28861600</v>
      </c>
      <c r="E17" s="104">
        <f t="shared" si="4"/>
        <v>7.0000000000000007E-2</v>
      </c>
      <c r="F17" s="105">
        <f t="shared" si="5"/>
        <v>7.5</v>
      </c>
      <c r="G17" s="97">
        <f t="shared" si="2"/>
        <v>17375690.441659611</v>
      </c>
    </row>
    <row r="18" spans="1:7" ht="23.5" x14ac:dyDescent="0.55000000000000004">
      <c r="A18" s="102">
        <f t="shared" si="0"/>
        <v>2037</v>
      </c>
      <c r="B18" s="97">
        <f t="shared" si="1"/>
        <v>33510400</v>
      </c>
      <c r="C18" s="97">
        <f>_xlfn.XLOOKUP(A18,'II.A SFA Pool Liabilities'!$A$6:$A$56,'II.A SFA Pool Liabilities'!$B$6:$B$56)</f>
        <v>5320000</v>
      </c>
      <c r="D18" s="103">
        <f t="shared" si="3"/>
        <v>28190400</v>
      </c>
      <c r="E18" s="104">
        <f t="shared" si="4"/>
        <v>7.0000000000000007E-2</v>
      </c>
      <c r="F18" s="105">
        <f t="shared" si="5"/>
        <v>8.5</v>
      </c>
      <c r="G18" s="97">
        <f t="shared" si="2"/>
        <v>15861312.726574736</v>
      </c>
    </row>
    <row r="19" spans="1:7" ht="23.5" x14ac:dyDescent="0.55000000000000004">
      <c r="A19" s="102">
        <f t="shared" si="0"/>
        <v>2038</v>
      </c>
      <c r="B19" s="97">
        <f t="shared" si="1"/>
        <v>32699200</v>
      </c>
      <c r="C19" s="97">
        <f>_xlfn.XLOOKUP(A19,'II.A SFA Pool Liabilities'!$A$6:$A$56,'II.A SFA Pool Liabilities'!$B$6:$B$56)</f>
        <v>5180000</v>
      </c>
      <c r="D19" s="103">
        <f t="shared" si="3"/>
        <v>27519200</v>
      </c>
      <c r="E19" s="104">
        <f t="shared" si="4"/>
        <v>7.0000000000000007E-2</v>
      </c>
      <c r="F19" s="105">
        <f t="shared" si="5"/>
        <v>9.5</v>
      </c>
      <c r="G19" s="97">
        <f t="shared" si="2"/>
        <v>14470712.545384161</v>
      </c>
    </row>
    <row r="20" spans="1:7" ht="23.5" x14ac:dyDescent="0.55000000000000004">
      <c r="A20" s="102">
        <f t="shared" si="0"/>
        <v>2039</v>
      </c>
      <c r="B20" s="97">
        <f t="shared" si="1"/>
        <v>31888000</v>
      </c>
      <c r="C20" s="97">
        <f>_xlfn.XLOOKUP(A20,'II.A SFA Pool Liabilities'!$A$6:$A$56,'II.A SFA Pool Liabilities'!$B$6:$B$56)</f>
        <v>5040000</v>
      </c>
      <c r="D20" s="103">
        <f t="shared" si="3"/>
        <v>26848000</v>
      </c>
      <c r="E20" s="104">
        <f t="shared" si="4"/>
        <v>7.0000000000000007E-2</v>
      </c>
      <c r="F20" s="105">
        <f t="shared" si="5"/>
        <v>10.5</v>
      </c>
      <c r="G20" s="97">
        <f t="shared" si="2"/>
        <v>13194176.015850613</v>
      </c>
    </row>
    <row r="21" spans="1:7" ht="23.5" x14ac:dyDescent="0.55000000000000004">
      <c r="A21" s="102">
        <f t="shared" si="0"/>
        <v>2040</v>
      </c>
      <c r="B21" s="97">
        <f t="shared" si="1"/>
        <v>31076800</v>
      </c>
      <c r="C21" s="97">
        <f>_xlfn.XLOOKUP(A21,'II.A SFA Pool Liabilities'!$A$6:$A$56,'II.A SFA Pool Liabilities'!$B$6:$B$56)</f>
        <v>4900000</v>
      </c>
      <c r="D21" s="103">
        <f t="shared" si="3"/>
        <v>26176800</v>
      </c>
      <c r="E21" s="104">
        <f t="shared" si="4"/>
        <v>7.0000000000000007E-2</v>
      </c>
      <c r="F21" s="105">
        <f t="shared" si="5"/>
        <v>11.5</v>
      </c>
      <c r="G21" s="97">
        <f t="shared" si="2"/>
        <v>12022730.481733035</v>
      </c>
    </row>
    <row r="22" spans="1:7" ht="23.5" x14ac:dyDescent="0.55000000000000004">
      <c r="A22" s="102">
        <f t="shared" si="0"/>
        <v>2041</v>
      </c>
      <c r="B22" s="97">
        <f t="shared" si="1"/>
        <v>30265600</v>
      </c>
      <c r="C22" s="97">
        <f>_xlfn.XLOOKUP(A22,'II.A SFA Pool Liabilities'!$A$6:$A$56,'II.A SFA Pool Liabilities'!$B$6:$B$56)</f>
        <v>4760000</v>
      </c>
      <c r="D22" s="103">
        <f t="shared" si="3"/>
        <v>25505600</v>
      </c>
      <c r="E22" s="104">
        <f t="shared" si="4"/>
        <v>7.0000000000000007E-2</v>
      </c>
      <c r="F22" s="105">
        <f t="shared" si="5"/>
        <v>12.5</v>
      </c>
      <c r="G22" s="97">
        <f t="shared" si="2"/>
        <v>10948089.103902593</v>
      </c>
    </row>
    <row r="23" spans="1:7" ht="23.5" x14ac:dyDescent="0.55000000000000004">
      <c r="A23" s="102">
        <f t="shared" si="0"/>
        <v>2042</v>
      </c>
      <c r="B23" s="97">
        <f t="shared" si="1"/>
        <v>29454400</v>
      </c>
      <c r="C23" s="97">
        <f>_xlfn.XLOOKUP(A23,'II.A SFA Pool Liabilities'!$A$6:$A$56,'II.A SFA Pool Liabilities'!$B$6:$B$56)</f>
        <v>4620000</v>
      </c>
      <c r="D23" s="103">
        <f t="shared" si="3"/>
        <v>24834400</v>
      </c>
      <c r="E23" s="104">
        <f t="shared" si="4"/>
        <v>7.0000000000000007E-2</v>
      </c>
      <c r="F23" s="105">
        <f t="shared" si="5"/>
        <v>13.5</v>
      </c>
      <c r="G23" s="97">
        <f t="shared" si="2"/>
        <v>9962599.5288833231</v>
      </c>
    </row>
    <row r="24" spans="1:7" ht="23.5" x14ac:dyDescent="0.55000000000000004">
      <c r="A24" s="102">
        <f t="shared" si="0"/>
        <v>2043</v>
      </c>
      <c r="B24" s="97">
        <f t="shared" si="1"/>
        <v>28643200</v>
      </c>
      <c r="C24" s="97">
        <f>_xlfn.XLOOKUP(A24,'II.A SFA Pool Liabilities'!$A$6:$A$56,'II.A SFA Pool Liabilities'!$B$6:$B$56)</f>
        <v>4480000</v>
      </c>
      <c r="D24" s="103">
        <f t="shared" si="3"/>
        <v>24163200</v>
      </c>
      <c r="E24" s="104">
        <f t="shared" si="4"/>
        <v>7.0000000000000007E-2</v>
      </c>
      <c r="F24" s="105">
        <f t="shared" si="5"/>
        <v>14.5</v>
      </c>
      <c r="G24" s="97">
        <f t="shared" si="2"/>
        <v>9059196.3384642489</v>
      </c>
    </row>
    <row r="25" spans="1:7" ht="23.5" x14ac:dyDescent="0.55000000000000004">
      <c r="A25" s="102">
        <f t="shared" si="0"/>
        <v>2044</v>
      </c>
      <c r="B25" s="97">
        <f t="shared" si="1"/>
        <v>27832000</v>
      </c>
      <c r="C25" s="97">
        <f>_xlfn.XLOOKUP(A25,'II.A SFA Pool Liabilities'!$A$6:$A$56,'II.A SFA Pool Liabilities'!$B$6:$B$56)</f>
        <v>4340000</v>
      </c>
      <c r="D25" s="103">
        <f t="shared" si="3"/>
        <v>23492000</v>
      </c>
      <c r="E25" s="104">
        <f t="shared" si="4"/>
        <v>7.0000000000000007E-2</v>
      </c>
      <c r="F25" s="105">
        <f t="shared" si="5"/>
        <v>15.5</v>
      </c>
      <c r="G25" s="97">
        <f t="shared" si="2"/>
        <v>8231357.0053543271</v>
      </c>
    </row>
    <row r="26" spans="1:7" ht="23.5" x14ac:dyDescent="0.55000000000000004">
      <c r="A26" s="102">
        <f t="shared" si="0"/>
        <v>2045</v>
      </c>
      <c r="B26" s="97">
        <f t="shared" si="1"/>
        <v>27020800</v>
      </c>
      <c r="C26" s="97">
        <f>_xlfn.XLOOKUP(A26,'II.A SFA Pool Liabilities'!$A$6:$A$56,'II.A SFA Pool Liabilities'!$B$6:$B$56)</f>
        <v>4200000</v>
      </c>
      <c r="D26" s="103">
        <f t="shared" si="3"/>
        <v>22820800</v>
      </c>
      <c r="E26" s="104">
        <f t="shared" si="4"/>
        <v>7.0000000000000007E-2</v>
      </c>
      <c r="F26" s="105">
        <f t="shared" si="5"/>
        <v>16.5</v>
      </c>
      <c r="G26" s="97">
        <f t="shared" si="2"/>
        <v>7473061.0996541288</v>
      </c>
    </row>
    <row r="27" spans="1:7" ht="23.5" x14ac:dyDescent="0.55000000000000004">
      <c r="A27" s="102">
        <f t="shared" si="0"/>
        <v>2046</v>
      </c>
      <c r="B27" s="97">
        <f t="shared" si="1"/>
        <v>26209600</v>
      </c>
      <c r="C27" s="97">
        <f>_xlfn.XLOOKUP(A27,'II.A SFA Pool Liabilities'!$A$6:$A$56,'II.A SFA Pool Liabilities'!$B$6:$B$56)</f>
        <v>4060000</v>
      </c>
      <c r="D27" s="103">
        <f t="shared" si="3"/>
        <v>22149600</v>
      </c>
      <c r="E27" s="104">
        <f t="shared" si="4"/>
        <v>7.0000000000000007E-2</v>
      </c>
      <c r="F27" s="105">
        <f t="shared" si="5"/>
        <v>17.5</v>
      </c>
      <c r="G27" s="97">
        <f t="shared" si="2"/>
        <v>6778752.5093069337</v>
      </c>
    </row>
    <row r="28" spans="1:7" ht="23.5" x14ac:dyDescent="0.55000000000000004">
      <c r="A28" s="102">
        <f t="shared" si="0"/>
        <v>2047</v>
      </c>
      <c r="B28" s="97">
        <f t="shared" si="1"/>
        <v>25398400</v>
      </c>
      <c r="C28" s="97">
        <f>_xlfn.XLOOKUP(A28,'II.A SFA Pool Liabilities'!$A$6:$A$56,'II.A SFA Pool Liabilities'!$B$6:$B$56)</f>
        <v>3920000</v>
      </c>
      <c r="D28" s="103">
        <f t="shared" si="3"/>
        <v>21478400</v>
      </c>
      <c r="E28" s="104">
        <f t="shared" si="4"/>
        <v>7.0000000000000007E-2</v>
      </c>
      <c r="F28" s="105">
        <f t="shared" si="5"/>
        <v>18.5</v>
      </c>
      <c r="G28" s="97">
        <f t="shared" si="2"/>
        <v>6143304.4547669748</v>
      </c>
    </row>
    <row r="29" spans="1:7" ht="23.5" x14ac:dyDescent="0.55000000000000004">
      <c r="A29" s="102">
        <f t="shared" si="0"/>
        <v>2048</v>
      </c>
      <c r="B29" s="97">
        <f t="shared" si="1"/>
        <v>24587200</v>
      </c>
      <c r="C29" s="97">
        <f>_xlfn.XLOOKUP(A29,'II.A SFA Pool Liabilities'!$A$6:$A$56,'II.A SFA Pool Liabilities'!$B$6:$B$56)</f>
        <v>3780000</v>
      </c>
      <c r="D29" s="103">
        <f t="shared" si="3"/>
        <v>20807200</v>
      </c>
      <c r="E29" s="104">
        <f t="shared" si="4"/>
        <v>7.0000000000000007E-2</v>
      </c>
      <c r="F29" s="105">
        <f t="shared" si="5"/>
        <v>19.5</v>
      </c>
      <c r="G29" s="97">
        <f t="shared" si="2"/>
        <v>5561987.0939771077</v>
      </c>
    </row>
    <row r="30" spans="1:7" ht="23.5" x14ac:dyDescent="0.55000000000000004">
      <c r="A30" s="102">
        <f t="shared" si="0"/>
        <v>2049</v>
      </c>
      <c r="B30" s="97">
        <f t="shared" si="1"/>
        <v>23776000</v>
      </c>
      <c r="C30" s="97">
        <f>_xlfn.XLOOKUP(A30,'II.A SFA Pool Liabilities'!$A$6:$A$56,'II.A SFA Pool Liabilities'!$B$6:$B$56)</f>
        <v>3640000</v>
      </c>
      <c r="D30" s="103">
        <f t="shared" si="3"/>
        <v>20136000</v>
      </c>
      <c r="E30" s="104">
        <f t="shared" si="4"/>
        <v>7.0000000000000007E-2</v>
      </c>
      <c r="F30" s="105">
        <f t="shared" si="5"/>
        <v>20.5</v>
      </c>
      <c r="G30" s="97">
        <f t="shared" si="2"/>
        <v>5030437.5284688957</v>
      </c>
    </row>
    <row r="31" spans="1:7" ht="23.5" x14ac:dyDescent="0.55000000000000004">
      <c r="A31" s="102">
        <f t="shared" si="0"/>
        <v>2050</v>
      </c>
      <c r="B31" s="97">
        <f t="shared" si="1"/>
        <v>22964800</v>
      </c>
      <c r="C31" s="97">
        <f>_xlfn.XLOOKUP(A31,'II.A SFA Pool Liabilities'!$A$6:$A$56,'II.A SFA Pool Liabilities'!$B$6:$B$56)</f>
        <v>3500000</v>
      </c>
      <c r="D31" s="103">
        <f t="shared" si="3"/>
        <v>19464800</v>
      </c>
      <c r="E31" s="104">
        <f t="shared" si="4"/>
        <v>7.0000000000000007E-2</v>
      </c>
      <c r="F31" s="105">
        <f t="shared" si="5"/>
        <v>21.5</v>
      </c>
      <c r="G31" s="97">
        <f t="shared" si="2"/>
        <v>4544632.0350653566</v>
      </c>
    </row>
    <row r="32" spans="1:7" ht="23.5" x14ac:dyDescent="0.55000000000000004">
      <c r="A32" s="102">
        <f t="shared" si="0"/>
        <v>2051</v>
      </c>
      <c r="B32" s="97">
        <f t="shared" si="1"/>
        <v>22153600</v>
      </c>
      <c r="C32" s="97">
        <f>_xlfn.XLOOKUP(A32,'II.A SFA Pool Liabilities'!$A$6:$A$56,'II.A SFA Pool Liabilities'!$B$6:$B$56)</f>
        <v>3360000</v>
      </c>
      <c r="D32" s="103">
        <f t="shared" si="3"/>
        <v>18793600</v>
      </c>
      <c r="E32" s="104">
        <f t="shared" si="4"/>
        <v>7.0000000000000007E-2</v>
      </c>
      <c r="F32" s="105">
        <f t="shared" si="5"/>
        <v>22.5</v>
      </c>
      <c r="G32" s="97">
        <f t="shared" si="2"/>
        <v>4100860.3603554619</v>
      </c>
    </row>
    <row r="33" spans="1:7" ht="23.5" x14ac:dyDescent="0.55000000000000004">
      <c r="A33" s="102">
        <f t="shared" si="0"/>
        <v>2052</v>
      </c>
      <c r="B33" s="97">
        <f t="shared" si="1"/>
        <v>21342400</v>
      </c>
      <c r="C33" s="97">
        <f>_xlfn.XLOOKUP(A33,'II.A SFA Pool Liabilities'!$A$6:$A$56,'II.A SFA Pool Liabilities'!$B$6:$B$56)</f>
        <v>3220000</v>
      </c>
      <c r="D33" s="103">
        <f t="shared" si="3"/>
        <v>18122400</v>
      </c>
      <c r="E33" s="104">
        <f t="shared" si="4"/>
        <v>7.0000000000000007E-2</v>
      </c>
      <c r="F33" s="105">
        <f t="shared" si="5"/>
        <v>23.5</v>
      </c>
      <c r="G33" s="97">
        <f t="shared" si="2"/>
        <v>3695701.9268891001</v>
      </c>
    </row>
    <row r="34" spans="1:7" ht="23.5" x14ac:dyDescent="0.55000000000000004">
      <c r="A34" s="102">
        <f t="shared" si="0"/>
        <v>2053</v>
      </c>
      <c r="B34" s="97">
        <f t="shared" si="1"/>
        <v>20531200</v>
      </c>
      <c r="C34" s="97">
        <f>_xlfn.XLOOKUP(A34,'II.A SFA Pool Liabilities'!$A$6:$A$56,'II.A SFA Pool Liabilities'!$B$6:$B$56)</f>
        <v>3080000</v>
      </c>
      <c r="D34" s="103">
        <f t="shared" si="3"/>
        <v>17451200</v>
      </c>
      <c r="E34" s="104">
        <f t="shared" si="4"/>
        <v>7.0000000000000007E-2</v>
      </c>
      <c r="F34" s="105">
        <f t="shared" si="5"/>
        <v>24.5</v>
      </c>
      <c r="G34" s="97">
        <f t="shared" si="2"/>
        <v>3326003.8109766915</v>
      </c>
    </row>
    <row r="35" spans="1:7" ht="23.5" x14ac:dyDescent="0.55000000000000004">
      <c r="A35" s="102">
        <f t="shared" si="0"/>
        <v>2054</v>
      </c>
      <c r="B35" s="97">
        <f t="shared" si="1"/>
        <v>19720000</v>
      </c>
      <c r="C35" s="97">
        <f>_xlfn.XLOOKUP(A35,'II.A SFA Pool Liabilities'!$A$6:$A$56,'II.A SFA Pool Liabilities'!$B$6:$B$56)</f>
        <v>2940000</v>
      </c>
      <c r="D35" s="103">
        <f t="shared" si="3"/>
        <v>16780000</v>
      </c>
      <c r="E35" s="104">
        <f t="shared" si="4"/>
        <v>7.0000000000000007E-2</v>
      </c>
      <c r="F35" s="105">
        <f t="shared" si="5"/>
        <v>25.5</v>
      </c>
      <c r="G35" s="97">
        <f t="shared" si="2"/>
        <v>2988860.3621285865</v>
      </c>
    </row>
    <row r="36" spans="1:7" ht="23.5" x14ac:dyDescent="0.55000000000000004">
      <c r="A36" s="102">
        <f t="shared" si="0"/>
        <v>2055</v>
      </c>
      <c r="B36" s="97">
        <f t="shared" si="1"/>
        <v>18908800</v>
      </c>
      <c r="C36" s="97">
        <f>_xlfn.XLOOKUP(A36,'II.A SFA Pool Liabilities'!$A$6:$A$56,'II.A SFA Pool Liabilities'!$B$6:$B$56)</f>
        <v>2800000</v>
      </c>
      <c r="D36" s="103">
        <f t="shared" si="3"/>
        <v>16108800</v>
      </c>
      <c r="E36" s="104">
        <f t="shared" si="4"/>
        <v>7.0000000000000007E-2</v>
      </c>
      <c r="F36" s="105">
        <f t="shared" si="5"/>
        <v>26.5</v>
      </c>
      <c r="G36" s="97">
        <f t="shared" si="2"/>
        <v>2681594.343592003</v>
      </c>
    </row>
    <row r="37" spans="1:7" ht="23.5" x14ac:dyDescent="0.55000000000000004">
      <c r="A37" s="102">
        <f t="shared" si="0"/>
        <v>2056</v>
      </c>
      <c r="B37" s="97">
        <f t="shared" si="1"/>
        <v>18097600</v>
      </c>
      <c r="C37" s="97">
        <f>_xlfn.XLOOKUP(A37,'II.A SFA Pool Liabilities'!$A$6:$A$56,'II.A SFA Pool Liabilities'!$B$6:$B$56)</f>
        <v>2660000</v>
      </c>
      <c r="D37" s="103">
        <f t="shared" si="3"/>
        <v>15437600</v>
      </c>
      <c r="E37" s="104">
        <f t="shared" si="4"/>
        <v>7.0000000000000007E-2</v>
      </c>
      <c r="F37" s="105">
        <f t="shared" si="5"/>
        <v>27.5</v>
      </c>
      <c r="G37" s="97">
        <f t="shared" si="2"/>
        <v>2401739.4821890988</v>
      </c>
    </row>
    <row r="38" spans="1:7" ht="23.5" x14ac:dyDescent="0.55000000000000004">
      <c r="A38" s="102">
        <f t="shared" si="0"/>
        <v>2057</v>
      </c>
      <c r="B38" s="97">
        <f t="shared" si="1"/>
        <v>17286400</v>
      </c>
      <c r="C38" s="97">
        <f>_xlfn.XLOOKUP(A38,'II.A SFA Pool Liabilities'!$A$6:$A$56,'II.A SFA Pool Liabilities'!$B$6:$B$56)</f>
        <v>2520000</v>
      </c>
      <c r="D38" s="103">
        <f t="shared" si="3"/>
        <v>14766400</v>
      </c>
      <c r="E38" s="104">
        <f t="shared" si="4"/>
        <v>7.0000000000000007E-2</v>
      </c>
      <c r="F38" s="105">
        <f t="shared" si="5"/>
        <v>28.5</v>
      </c>
      <c r="G38" s="97">
        <f t="shared" si="2"/>
        <v>2147024.3237773334</v>
      </c>
    </row>
    <row r="39" spans="1:7" ht="23.5" x14ac:dyDescent="0.55000000000000004">
      <c r="A39" s="102">
        <f t="shared" si="0"/>
        <v>2058</v>
      </c>
      <c r="B39" s="97">
        <f t="shared" si="1"/>
        <v>16475200</v>
      </c>
      <c r="C39" s="97">
        <f>_xlfn.XLOOKUP(A39,'II.A SFA Pool Liabilities'!$A$6:$A$56,'II.A SFA Pool Liabilities'!$B$6:$B$56)</f>
        <v>2380000</v>
      </c>
      <c r="D39" s="103">
        <f t="shared" si="3"/>
        <v>14095200</v>
      </c>
      <c r="E39" s="104">
        <f t="shared" si="4"/>
        <v>7.0000000000000007E-2</v>
      </c>
      <c r="F39" s="105">
        <f t="shared" si="5"/>
        <v>29.5</v>
      </c>
      <c r="G39" s="97">
        <f t="shared" si="2"/>
        <v>1915357.2981870857</v>
      </c>
    </row>
    <row r="40" spans="1:7" ht="23.5" x14ac:dyDescent="0.55000000000000004">
      <c r="A40" s="102">
        <f t="shared" si="0"/>
        <v>2059</v>
      </c>
      <c r="B40" s="97">
        <f t="shared" si="1"/>
        <v>15664000</v>
      </c>
      <c r="C40" s="97">
        <f>_xlfn.XLOOKUP(A40,'II.A SFA Pool Liabilities'!$A$6:$A$56,'II.A SFA Pool Liabilities'!$B$6:$B$56)</f>
        <v>2240000</v>
      </c>
      <c r="D40" s="103">
        <f t="shared" si="3"/>
        <v>13424000</v>
      </c>
      <c r="E40" s="104">
        <f t="shared" si="4"/>
        <v>7.0000000000000007E-2</v>
      </c>
      <c r="F40" s="105">
        <f t="shared" si="5"/>
        <v>30.5</v>
      </c>
      <c r="G40" s="97">
        <f t="shared" si="2"/>
        <v>1704812.9044833872</v>
      </c>
    </row>
    <row r="41" spans="1:7" ht="23.5" x14ac:dyDescent="0.55000000000000004">
      <c r="A41" s="102">
        <f t="shared" si="0"/>
        <v>2060</v>
      </c>
      <c r="B41" s="97">
        <f t="shared" si="1"/>
        <v>14852800</v>
      </c>
      <c r="C41" s="97">
        <f>_xlfn.XLOOKUP(A41,'II.A SFA Pool Liabilities'!$A$6:$A$56,'II.A SFA Pool Liabilities'!$B$6:$B$56)</f>
        <v>2100000</v>
      </c>
      <c r="D41" s="103">
        <f t="shared" si="3"/>
        <v>12752800</v>
      </c>
      <c r="E41" s="104">
        <f t="shared" si="4"/>
        <v>7.0000000000000007E-2</v>
      </c>
      <c r="F41" s="105">
        <f t="shared" si="5"/>
        <v>31.5</v>
      </c>
      <c r="G41" s="97">
        <f t="shared" si="2"/>
        <v>1513618.9338871194</v>
      </c>
    </row>
    <row r="42" spans="1:7" ht="23.5" x14ac:dyDescent="0.55000000000000004">
      <c r="A42" s="102">
        <f>A41+1</f>
        <v>2061</v>
      </c>
      <c r="B42" s="97">
        <f t="shared" si="1"/>
        <v>14041600</v>
      </c>
      <c r="C42" s="97">
        <f>_xlfn.XLOOKUP(A42,'II.A SFA Pool Liabilities'!$A$6:$A$56,'II.A SFA Pool Liabilities'!$B$6:$B$56)</f>
        <v>1960000</v>
      </c>
      <c r="D42" s="103">
        <f t="shared" si="3"/>
        <v>12081600</v>
      </c>
      <c r="E42" s="104">
        <f t="shared" si="4"/>
        <v>7.0000000000000007E-2</v>
      </c>
      <c r="F42" s="105">
        <f t="shared" si="5"/>
        <v>32.5</v>
      </c>
      <c r="G42" s="97">
        <f t="shared" si="2"/>
        <v>1340144.6537121567</v>
      </c>
    </row>
    <row r="43" spans="1:7" ht="23.5" x14ac:dyDescent="0.55000000000000004">
      <c r="A43" s="102">
        <f>A42+1</f>
        <v>2062</v>
      </c>
      <c r="B43" s="97">
        <f t="shared" si="1"/>
        <v>13230400</v>
      </c>
      <c r="C43" s="97">
        <f>_xlfn.XLOOKUP(A43,'II.A SFA Pool Liabilities'!$A$6:$A$56,'II.A SFA Pool Liabilities'!$B$6:$B$56)</f>
        <v>1820000</v>
      </c>
      <c r="D43" s="103">
        <f t="shared" si="3"/>
        <v>11410400</v>
      </c>
      <c r="E43" s="104">
        <f t="shared" si="4"/>
        <v>7.0000000000000007E-2</v>
      </c>
      <c r="F43" s="105">
        <f t="shared" si="5"/>
        <v>33.5</v>
      </c>
      <c r="G43" s="97">
        <f t="shared" si="2"/>
        <v>1182889.8812620281</v>
      </c>
    </row>
    <row r="44" spans="1:7" ht="23.5" x14ac:dyDescent="0.55000000000000004">
      <c r="A44" s="102">
        <f>A43+1</f>
        <v>2063</v>
      </c>
      <c r="B44" s="97">
        <f t="shared" si="1"/>
        <v>12419200</v>
      </c>
      <c r="C44" s="97">
        <f>_xlfn.XLOOKUP(A44,'II.A SFA Pool Liabilities'!$A$6:$A$56,'II.A SFA Pool Liabilities'!$B$6:$B$56)</f>
        <v>1680000</v>
      </c>
      <c r="D44" s="103">
        <f t="shared" si="3"/>
        <v>10739200</v>
      </c>
      <c r="E44" s="104">
        <f t="shared" si="4"/>
        <v>7.0000000000000007E-2</v>
      </c>
      <c r="F44" s="105">
        <f t="shared" si="5"/>
        <v>34.5</v>
      </c>
      <c r="G44" s="97">
        <f t="shared" si="2"/>
        <v>1040474.8818137686</v>
      </c>
    </row>
    <row r="45" spans="1:7" ht="23.5" x14ac:dyDescent="0.55000000000000004">
      <c r="A45" s="102">
        <f>A44+1</f>
        <v>2064</v>
      </c>
      <c r="B45" s="97">
        <f t="shared" si="1"/>
        <v>11608000</v>
      </c>
      <c r="C45" s="97">
        <f>_xlfn.XLOOKUP(A45,'II.A SFA Pool Liabilities'!$A$6:$A$56,'II.A SFA Pool Liabilities'!$B$6:$B$56)</f>
        <v>1540000</v>
      </c>
      <c r="D45" s="103">
        <f t="shared" si="3"/>
        <v>10068000</v>
      </c>
      <c r="E45" s="104">
        <f t="shared" si="4"/>
        <v>7.0000000000000007E-2</v>
      </c>
      <c r="F45" s="105">
        <f t="shared" si="5"/>
        <v>35.5</v>
      </c>
      <c r="G45" s="97">
        <f t="shared" si="2"/>
        <v>911631.02962654945</v>
      </c>
    </row>
    <row r="46" spans="1:7" ht="23.5" x14ac:dyDescent="0.55000000000000004">
      <c r="A46" s="102">
        <f>A45+1</f>
        <v>2065</v>
      </c>
      <c r="B46" s="97">
        <f t="shared" si="1"/>
        <v>10796800</v>
      </c>
      <c r="C46" s="97">
        <f>_xlfn.XLOOKUP(A46,'II.A SFA Pool Liabilities'!$A$6:$A$56,'II.A SFA Pool Liabilities'!$B$6:$B$56)</f>
        <v>1400000</v>
      </c>
      <c r="D46" s="103">
        <f t="shared" si="3"/>
        <v>9396800</v>
      </c>
      <c r="E46" s="104">
        <f t="shared" si="4"/>
        <v>7.0000000000000007E-2</v>
      </c>
      <c r="F46" s="105">
        <f t="shared" si="5"/>
        <v>36.5</v>
      </c>
      <c r="G46" s="97">
        <f t="shared" si="2"/>
        <v>795192.17537518335</v>
      </c>
    </row>
    <row r="47" spans="1:7" ht="23.5" x14ac:dyDescent="0.55000000000000004">
      <c r="A47" s="102">
        <f t="shared" ref="A47:A95" si="6">A46+1</f>
        <v>2066</v>
      </c>
      <c r="B47" s="97">
        <f t="shared" si="1"/>
        <v>9985600</v>
      </c>
      <c r="C47" s="97">
        <f>_xlfn.XLOOKUP(A47,'II.A SFA Pool Liabilities'!$A$6:$A$56,'II.A SFA Pool Liabilities'!$B$6:$B$56)</f>
        <v>1260000</v>
      </c>
      <c r="D47" s="103">
        <f t="shared" si="3"/>
        <v>8725600</v>
      </c>
      <c r="E47" s="104">
        <f t="shared" si="4"/>
        <v>7.0000000000000007E-2</v>
      </c>
      <c r="F47" s="105">
        <f t="shared" si="5"/>
        <v>37.5</v>
      </c>
      <c r="G47" s="97">
        <f t="shared" si="2"/>
        <v>690086.66754855681</v>
      </c>
    </row>
    <row r="48" spans="1:7" ht="23.5" x14ac:dyDescent="0.55000000000000004">
      <c r="A48" s="102">
        <f t="shared" si="6"/>
        <v>2067</v>
      </c>
      <c r="B48" s="97">
        <f t="shared" si="1"/>
        <v>9174400</v>
      </c>
      <c r="C48" s="97">
        <f>_xlfn.XLOOKUP(A48,'II.A SFA Pool Liabilities'!$A$6:$A$56,'II.A SFA Pool Liabilities'!$B$6:$B$56)</f>
        <v>1120000</v>
      </c>
      <c r="D48" s="103">
        <f t="shared" si="3"/>
        <v>8054400</v>
      </c>
      <c r="E48" s="104">
        <f t="shared" si="4"/>
        <v>7.0000000000000007E-2</v>
      </c>
      <c r="F48" s="105">
        <f t="shared" si="5"/>
        <v>38.5</v>
      </c>
      <c r="G48" s="97">
        <f t="shared" si="2"/>
        <v>595329.97919357894</v>
      </c>
    </row>
    <row r="49" spans="1:7" ht="23.5" x14ac:dyDescent="0.55000000000000004">
      <c r="A49" s="102">
        <f t="shared" si="6"/>
        <v>2068</v>
      </c>
      <c r="B49" s="97">
        <f t="shared" si="1"/>
        <v>8363200</v>
      </c>
      <c r="C49" s="97">
        <f>_xlfn.XLOOKUP(A49,'II.A SFA Pool Liabilities'!$A$6:$A$56,'II.A SFA Pool Liabilities'!$B$6:$B$56)</f>
        <v>980000</v>
      </c>
      <c r="D49" s="103">
        <f t="shared" si="3"/>
        <v>7383200</v>
      </c>
      <c r="E49" s="104">
        <f t="shared" si="4"/>
        <v>7.0000000000000007E-2</v>
      </c>
      <c r="F49" s="105">
        <f t="shared" si="5"/>
        <v>39.5</v>
      </c>
      <c r="G49" s="97">
        <f t="shared" si="2"/>
        <v>510017.89494777005</v>
      </c>
    </row>
    <row r="50" spans="1:7" ht="23.5" x14ac:dyDescent="0.55000000000000004">
      <c r="A50" s="102">
        <f t="shared" si="6"/>
        <v>2069</v>
      </c>
      <c r="B50" s="97">
        <f t="shared" si="1"/>
        <v>7552000</v>
      </c>
      <c r="C50" s="97">
        <f>_xlfn.XLOOKUP(A50,'II.A SFA Pool Liabilities'!$A$6:$A$56,'II.A SFA Pool Liabilities'!$B$6:$B$56)</f>
        <v>840000</v>
      </c>
      <c r="D50" s="103">
        <f t="shared" si="3"/>
        <v>6712000</v>
      </c>
      <c r="E50" s="104">
        <f t="shared" si="4"/>
        <v>7.0000000000000007E-2</v>
      </c>
      <c r="F50" s="105">
        <f t="shared" si="5"/>
        <v>40.5</v>
      </c>
      <c r="G50" s="97">
        <f t="shared" si="2"/>
        <v>433320.21660813084</v>
      </c>
    </row>
    <row r="51" spans="1:7" ht="23.5" x14ac:dyDescent="0.55000000000000004">
      <c r="A51" s="102">
        <f t="shared" si="6"/>
        <v>2070</v>
      </c>
      <c r="B51" s="97">
        <f t="shared" si="1"/>
        <v>6740800</v>
      </c>
      <c r="C51" s="97">
        <f>_xlfn.XLOOKUP(A51,'II.A SFA Pool Liabilities'!$A$6:$A$56,'II.A SFA Pool Liabilities'!$B$6:$B$56)</f>
        <v>700000</v>
      </c>
      <c r="D51" s="103">
        <f t="shared" si="3"/>
        <v>6040800</v>
      </c>
      <c r="E51" s="104">
        <f t="shared" si="4"/>
        <v>7.0000000000000007E-2</v>
      </c>
      <c r="F51" s="105">
        <f t="shared" si="5"/>
        <v>41.5</v>
      </c>
      <c r="G51" s="97">
        <f t="shared" si="2"/>
        <v>364474.94854889507</v>
      </c>
    </row>
    <row r="52" spans="1:7" ht="23.5" x14ac:dyDescent="0.55000000000000004">
      <c r="A52" s="102">
        <f t="shared" si="6"/>
        <v>2071</v>
      </c>
      <c r="B52" s="97">
        <f t="shared" si="1"/>
        <v>5929600</v>
      </c>
      <c r="C52" s="97">
        <f>_xlfn.XLOOKUP(A52,'II.A SFA Pool Liabilities'!$A$6:$A$56,'II.A SFA Pool Liabilities'!$B$6:$B$56)</f>
        <v>560000</v>
      </c>
      <c r="D52" s="103">
        <f t="shared" si="3"/>
        <v>5369600</v>
      </c>
      <c r="E52" s="104">
        <f t="shared" si="4"/>
        <v>7.0000000000000007E-2</v>
      </c>
      <c r="F52" s="105">
        <f t="shared" si="5"/>
        <v>42.5</v>
      </c>
      <c r="G52" s="97">
        <f t="shared" si="2"/>
        <v>302782.92714342271</v>
      </c>
    </row>
    <row r="53" spans="1:7" ht="23.5" x14ac:dyDescent="0.55000000000000004">
      <c r="A53" s="102">
        <f t="shared" si="6"/>
        <v>2072</v>
      </c>
      <c r="B53" s="97">
        <f t="shared" si="1"/>
        <v>5118400</v>
      </c>
      <c r="C53" s="97">
        <f>_xlfn.XLOOKUP(A53,'II.A SFA Pool Liabilities'!$A$6:$A$56,'II.A SFA Pool Liabilities'!$B$6:$B$56)</f>
        <v>420000</v>
      </c>
      <c r="D53" s="103">
        <f t="shared" si="3"/>
        <v>4698400</v>
      </c>
      <c r="E53" s="104">
        <f t="shared" si="4"/>
        <v>7.0000000000000007E-2</v>
      </c>
      <c r="F53" s="105">
        <f t="shared" si="5"/>
        <v>43.5</v>
      </c>
      <c r="G53" s="97">
        <f t="shared" si="2"/>
        <v>247602.86098177091</v>
      </c>
    </row>
    <row r="54" spans="1:7" ht="23.5" x14ac:dyDescent="0.55000000000000004">
      <c r="A54" s="102">
        <f t="shared" si="6"/>
        <v>2073</v>
      </c>
      <c r="B54" s="97">
        <f t="shared" si="1"/>
        <v>4307200</v>
      </c>
      <c r="C54" s="97">
        <f>_xlfn.XLOOKUP(A54,'II.A SFA Pool Liabilities'!$A$6:$A$56,'II.A SFA Pool Liabilities'!$B$6:$B$56)</f>
        <v>280000</v>
      </c>
      <c r="D54" s="103">
        <f t="shared" si="3"/>
        <v>4027200</v>
      </c>
      <c r="E54" s="104">
        <f t="shared" si="4"/>
        <v>7.0000000000000007E-2</v>
      </c>
      <c r="F54" s="105">
        <f t="shared" si="5"/>
        <v>44.5</v>
      </c>
      <c r="G54" s="97">
        <f t="shared" si="2"/>
        <v>198346.75112024369</v>
      </c>
    </row>
    <row r="55" spans="1:7" ht="23.5" x14ac:dyDescent="0.55000000000000004">
      <c r="A55" s="102">
        <f t="shared" si="6"/>
        <v>2074</v>
      </c>
      <c r="B55" s="97">
        <f t="shared" si="1"/>
        <v>3496000</v>
      </c>
      <c r="C55" s="97">
        <f>_xlfn.XLOOKUP(A55,'II.A SFA Pool Liabilities'!$A$6:$A$56,'II.A SFA Pool Liabilities'!$B$6:$B$56)</f>
        <v>140000</v>
      </c>
      <c r="D55" s="103">
        <f t="shared" si="3"/>
        <v>3356000</v>
      </c>
      <c r="E55" s="104">
        <f t="shared" si="4"/>
        <v>7.0000000000000007E-2</v>
      </c>
      <c r="F55" s="105">
        <f t="shared" si="5"/>
        <v>45.5</v>
      </c>
      <c r="G55" s="97">
        <f t="shared" si="2"/>
        <v>154475.66286623341</v>
      </c>
    </row>
    <row r="56" spans="1:7" ht="23.5" x14ac:dyDescent="0.55000000000000004">
      <c r="A56" s="102">
        <f t="shared" si="6"/>
        <v>2075</v>
      </c>
      <c r="B56" s="97">
        <f t="shared" si="1"/>
        <v>2876571.4285714286</v>
      </c>
      <c r="C56" s="97">
        <f>_xlfn.XLOOKUP(A56,'II.A SFA Pool Liabilities'!$A$6:$A$56,'II.A SFA Pool Liabilities'!$B$6:$B$56)</f>
        <v>0</v>
      </c>
      <c r="D56" s="103">
        <f>D55*(D54/D53)</f>
        <v>2876571.4285714286</v>
      </c>
      <c r="E56" s="104">
        <f t="shared" si="4"/>
        <v>7.0000000000000007E-2</v>
      </c>
      <c r="F56" s="105">
        <f t="shared" si="5"/>
        <v>46.5</v>
      </c>
      <c r="G56" s="97">
        <f t="shared" si="2"/>
        <v>123745.52432542061</v>
      </c>
    </row>
    <row r="57" spans="1:7" ht="23.5" x14ac:dyDescent="0.55000000000000004">
      <c r="A57" s="102">
        <f t="shared" si="6"/>
        <v>2076</v>
      </c>
      <c r="B57" s="97">
        <f t="shared" si="1"/>
        <v>2397142.8571428573</v>
      </c>
      <c r="C57" s="97">
        <f>C56</f>
        <v>0</v>
      </c>
      <c r="D57" s="103">
        <f t="shared" ref="D57:D65" si="7">D56*(D55/D54)</f>
        <v>2397142.8571428573</v>
      </c>
      <c r="E57" s="104">
        <f t="shared" si="4"/>
        <v>7.0000000000000007E-2</v>
      </c>
      <c r="F57" s="105">
        <f t="shared" si="5"/>
        <v>47.5</v>
      </c>
      <c r="G57" s="97">
        <f t="shared" si="2"/>
        <v>96375.018945031625</v>
      </c>
    </row>
    <row r="58" spans="1:7" ht="23.5" x14ac:dyDescent="0.55000000000000004">
      <c r="A58" s="102">
        <f t="shared" si="6"/>
        <v>2077</v>
      </c>
      <c r="B58" s="97">
        <f t="shared" si="1"/>
        <v>2054693.8775510206</v>
      </c>
      <c r="C58" s="97">
        <f t="shared" ref="C58:C66" si="8">C57</f>
        <v>0</v>
      </c>
      <c r="D58" s="103">
        <f t="shared" si="7"/>
        <v>2054693.8775510206</v>
      </c>
      <c r="E58" s="104">
        <f t="shared" si="4"/>
        <v>7.0000000000000007E-2</v>
      </c>
      <c r="F58" s="105">
        <f t="shared" si="5"/>
        <v>48.5</v>
      </c>
      <c r="G58" s="97">
        <f t="shared" si="2"/>
        <v>77202.952425926545</v>
      </c>
    </row>
    <row r="59" spans="1:7" ht="23.5" x14ac:dyDescent="0.55000000000000004">
      <c r="A59" s="102">
        <f t="shared" si="6"/>
        <v>2078</v>
      </c>
      <c r="B59" s="97">
        <f t="shared" si="1"/>
        <v>1712244.8979591839</v>
      </c>
      <c r="C59" s="97">
        <f t="shared" si="8"/>
        <v>0</v>
      </c>
      <c r="D59" s="103">
        <f t="shared" si="7"/>
        <v>1712244.8979591839</v>
      </c>
      <c r="E59" s="104">
        <f t="shared" si="4"/>
        <v>7.0000000000000007E-2</v>
      </c>
      <c r="F59" s="105">
        <f t="shared" si="5"/>
        <v>49.5</v>
      </c>
      <c r="G59" s="97">
        <f t="shared" si="2"/>
        <v>60126.909989039355</v>
      </c>
    </row>
    <row r="60" spans="1:7" ht="23.5" x14ac:dyDescent="0.55000000000000004">
      <c r="A60" s="102">
        <f t="shared" si="6"/>
        <v>2079</v>
      </c>
      <c r="B60" s="97">
        <f t="shared" si="1"/>
        <v>1467638.4839650148</v>
      </c>
      <c r="C60" s="97">
        <f t="shared" si="8"/>
        <v>0</v>
      </c>
      <c r="D60" s="103">
        <f t="shared" si="7"/>
        <v>1467638.4839650148</v>
      </c>
      <c r="E60" s="104">
        <f t="shared" si="4"/>
        <v>7.0000000000000007E-2</v>
      </c>
      <c r="F60" s="105">
        <f t="shared" si="5"/>
        <v>50.5</v>
      </c>
      <c r="G60" s="97">
        <f t="shared" si="2"/>
        <v>48165.748989884662</v>
      </c>
    </row>
    <row r="61" spans="1:7" ht="23.5" x14ac:dyDescent="0.55000000000000004">
      <c r="A61" s="102">
        <f t="shared" si="6"/>
        <v>2080</v>
      </c>
      <c r="B61" s="97">
        <f t="shared" si="1"/>
        <v>1223032.0699708457</v>
      </c>
      <c r="C61" s="97">
        <f t="shared" si="8"/>
        <v>0</v>
      </c>
      <c r="D61" s="103">
        <f t="shared" si="7"/>
        <v>1223032.0699708457</v>
      </c>
      <c r="E61" s="104">
        <f t="shared" si="4"/>
        <v>7.0000000000000007E-2</v>
      </c>
      <c r="F61" s="105">
        <f t="shared" si="5"/>
        <v>51.5</v>
      </c>
      <c r="G61" s="97">
        <f t="shared" si="2"/>
        <v>37512.265568445997</v>
      </c>
    </row>
    <row r="62" spans="1:7" ht="23.5" x14ac:dyDescent="0.55000000000000004">
      <c r="A62" s="102">
        <f t="shared" si="6"/>
        <v>2081</v>
      </c>
      <c r="B62" s="97">
        <f t="shared" si="1"/>
        <v>1048313.2028321535</v>
      </c>
      <c r="C62" s="97">
        <f t="shared" si="8"/>
        <v>0</v>
      </c>
      <c r="D62" s="103">
        <f t="shared" si="7"/>
        <v>1048313.2028321535</v>
      </c>
      <c r="E62" s="104">
        <f t="shared" si="4"/>
        <v>7.0000000000000007E-2</v>
      </c>
      <c r="F62" s="105">
        <f t="shared" si="5"/>
        <v>52.5</v>
      </c>
      <c r="G62" s="97">
        <f t="shared" si="2"/>
        <v>30049.878960036847</v>
      </c>
    </row>
    <row r="63" spans="1:7" ht="23.5" x14ac:dyDescent="0.55000000000000004">
      <c r="A63" s="102">
        <f t="shared" si="6"/>
        <v>2082</v>
      </c>
      <c r="B63" s="97">
        <f t="shared" si="1"/>
        <v>873594.33569346135</v>
      </c>
      <c r="C63" s="97">
        <f t="shared" si="8"/>
        <v>0</v>
      </c>
      <c r="D63" s="103">
        <f t="shared" si="7"/>
        <v>873594.33569346135</v>
      </c>
      <c r="E63" s="104">
        <f t="shared" si="4"/>
        <v>7.0000000000000007E-2</v>
      </c>
      <c r="F63" s="105">
        <f t="shared" si="5"/>
        <v>53.5</v>
      </c>
      <c r="G63" s="97">
        <f t="shared" si="2"/>
        <v>23403.332523393186</v>
      </c>
    </row>
    <row r="64" spans="1:7" ht="23.5" x14ac:dyDescent="0.55000000000000004">
      <c r="A64" s="102">
        <f t="shared" si="6"/>
        <v>2083</v>
      </c>
      <c r="B64" s="97">
        <f t="shared" si="1"/>
        <v>748795.14488010982</v>
      </c>
      <c r="C64" s="97">
        <f t="shared" si="8"/>
        <v>0</v>
      </c>
      <c r="D64" s="103">
        <f t="shared" si="7"/>
        <v>748795.14488010982</v>
      </c>
      <c r="E64" s="104">
        <f t="shared" si="4"/>
        <v>7.0000000000000007E-2</v>
      </c>
      <c r="F64" s="105">
        <f t="shared" si="5"/>
        <v>54.5</v>
      </c>
      <c r="G64" s="97">
        <f t="shared" si="2"/>
        <v>18747.66290258466</v>
      </c>
    </row>
    <row r="65" spans="1:7" ht="23.5" x14ac:dyDescent="0.55000000000000004">
      <c r="A65" s="102">
        <f t="shared" si="6"/>
        <v>2084</v>
      </c>
      <c r="B65" s="97">
        <f t="shared" si="1"/>
        <v>623995.95406675816</v>
      </c>
      <c r="C65" s="97">
        <f t="shared" si="8"/>
        <v>0</v>
      </c>
      <c r="D65" s="103">
        <f t="shared" si="7"/>
        <v>623995.95406675816</v>
      </c>
      <c r="E65" s="104">
        <f t="shared" si="4"/>
        <v>7.0000000000000007E-2</v>
      </c>
      <c r="F65" s="105">
        <f t="shared" si="5"/>
        <v>55.5</v>
      </c>
      <c r="G65" s="97">
        <f t="shared" si="2"/>
        <v>14600.983568991167</v>
      </c>
    </row>
    <row r="66" spans="1:7" ht="23.5" x14ac:dyDescent="0.55000000000000004">
      <c r="A66" s="102">
        <f t="shared" si="6"/>
        <v>2085</v>
      </c>
      <c r="B66" s="97">
        <f t="shared" si="1"/>
        <v>534853.67491436412</v>
      </c>
      <c r="C66" s="97">
        <f t="shared" si="8"/>
        <v>0</v>
      </c>
      <c r="D66" s="103">
        <f>D65*(D64/D63)</f>
        <v>534853.67491436412</v>
      </c>
      <c r="E66" s="104">
        <f t="shared" si="4"/>
        <v>7.0000000000000007E-2</v>
      </c>
      <c r="F66" s="105">
        <f t="shared" si="5"/>
        <v>56.5</v>
      </c>
      <c r="G66" s="97">
        <f t="shared" si="2"/>
        <v>11696.382031234578</v>
      </c>
    </row>
    <row r="67" spans="1:7" ht="23.5" x14ac:dyDescent="0.55000000000000004">
      <c r="A67" s="102">
        <f t="shared" si="6"/>
        <v>2086</v>
      </c>
      <c r="B67" s="97">
        <f t="shared" si="1"/>
        <v>445711.39576197008</v>
      </c>
      <c r="C67" s="97">
        <f t="shared" ref="C67:C70" si="9">C66</f>
        <v>0</v>
      </c>
      <c r="D67" s="103">
        <f t="shared" ref="D67:D70" si="10">D66*(D65/D64)</f>
        <v>445711.39576197008</v>
      </c>
      <c r="E67" s="104">
        <f t="shared" si="4"/>
        <v>7.0000000000000007E-2</v>
      </c>
      <c r="F67" s="105">
        <f t="shared" si="5"/>
        <v>57.5</v>
      </c>
      <c r="G67" s="97">
        <f t="shared" si="2"/>
        <v>9109.3318000269301</v>
      </c>
    </row>
    <row r="68" spans="1:7" ht="23.5" x14ac:dyDescent="0.55000000000000004">
      <c r="A68" s="102">
        <f t="shared" si="6"/>
        <v>2087</v>
      </c>
      <c r="B68" s="97">
        <f t="shared" si="1"/>
        <v>382038.33922454575</v>
      </c>
      <c r="C68" s="97">
        <f t="shared" si="9"/>
        <v>0</v>
      </c>
      <c r="D68" s="103">
        <f t="shared" si="10"/>
        <v>382038.33922454575</v>
      </c>
      <c r="E68" s="104">
        <f t="shared" si="4"/>
        <v>7.0000000000000007E-2</v>
      </c>
      <c r="F68" s="105">
        <f t="shared" si="5"/>
        <v>58.5</v>
      </c>
      <c r="G68" s="97">
        <f t="shared" si="2"/>
        <v>7297.1950333994082</v>
      </c>
    </row>
    <row r="69" spans="1:7" ht="23.5" x14ac:dyDescent="0.55000000000000004">
      <c r="A69" s="102">
        <f t="shared" si="6"/>
        <v>2088</v>
      </c>
      <c r="B69" s="97">
        <f t="shared" si="1"/>
        <v>318365.28268712142</v>
      </c>
      <c r="C69" s="97">
        <f t="shared" si="9"/>
        <v>0</v>
      </c>
      <c r="D69" s="103">
        <f t="shared" si="10"/>
        <v>318365.28268712142</v>
      </c>
      <c r="E69" s="104">
        <f t="shared" si="4"/>
        <v>7.0000000000000007E-2</v>
      </c>
      <c r="F69" s="105">
        <f t="shared" si="5"/>
        <v>59.5</v>
      </c>
      <c r="G69" s="97">
        <f t="shared" si="2"/>
        <v>5683.17370202446</v>
      </c>
    </row>
    <row r="70" spans="1:7" ht="23.5" x14ac:dyDescent="0.55000000000000004">
      <c r="A70" s="102">
        <f t="shared" si="6"/>
        <v>2089</v>
      </c>
      <c r="B70" s="97">
        <f t="shared" si="1"/>
        <v>272884.5280175326</v>
      </c>
      <c r="C70" s="97">
        <f t="shared" si="9"/>
        <v>0</v>
      </c>
      <c r="D70" s="103">
        <f t="shared" si="10"/>
        <v>272884.5280175326</v>
      </c>
      <c r="E70" s="104">
        <f t="shared" si="4"/>
        <v>7.0000000000000007E-2</v>
      </c>
      <c r="F70" s="105">
        <f t="shared" si="5"/>
        <v>60.5</v>
      </c>
      <c r="G70" s="97">
        <f t="shared" si="2"/>
        <v>4552.6091070956945</v>
      </c>
    </row>
    <row r="71" spans="1:7" ht="23.5" x14ac:dyDescent="0.55000000000000004">
      <c r="A71" s="102">
        <f t="shared" si="6"/>
        <v>2090</v>
      </c>
      <c r="B71" s="97">
        <f t="shared" si="1"/>
        <v>227403.77334794382</v>
      </c>
      <c r="C71" s="97">
        <f t="shared" ref="C71:C75" si="11">C70</f>
        <v>0</v>
      </c>
      <c r="D71" s="103">
        <f t="shared" ref="D71:D75" si="12">D70*(D69/D68)</f>
        <v>227403.77334794382</v>
      </c>
      <c r="E71" s="104">
        <f t="shared" si="4"/>
        <v>7.0000000000000007E-2</v>
      </c>
      <c r="F71" s="105">
        <f t="shared" si="5"/>
        <v>61.5</v>
      </c>
      <c r="G71" s="97">
        <f t="shared" si="2"/>
        <v>3545.6457220371458</v>
      </c>
    </row>
    <row r="72" spans="1:7" ht="23.5" x14ac:dyDescent="0.55000000000000004">
      <c r="A72" s="102">
        <f t="shared" si="6"/>
        <v>2091</v>
      </c>
      <c r="B72" s="97">
        <f t="shared" si="1"/>
        <v>194917.52001252322</v>
      </c>
      <c r="C72" s="97">
        <f t="shared" si="11"/>
        <v>0</v>
      </c>
      <c r="D72" s="103">
        <f t="shared" si="12"/>
        <v>194917.52001252322</v>
      </c>
      <c r="E72" s="104">
        <f t="shared" si="4"/>
        <v>7.0000000000000007E-2</v>
      </c>
      <c r="F72" s="105">
        <f t="shared" si="5"/>
        <v>62.5</v>
      </c>
      <c r="G72" s="97">
        <f t="shared" si="2"/>
        <v>2840.3036491619314</v>
      </c>
    </row>
    <row r="73" spans="1:7" ht="23.5" x14ac:dyDescent="0.55000000000000004">
      <c r="A73" s="102">
        <f t="shared" si="6"/>
        <v>2092</v>
      </c>
      <c r="B73" s="97">
        <f t="shared" si="1"/>
        <v>162431.26667710269</v>
      </c>
      <c r="C73" s="97">
        <f t="shared" si="11"/>
        <v>0</v>
      </c>
      <c r="D73" s="103">
        <f t="shared" si="12"/>
        <v>162431.26667710269</v>
      </c>
      <c r="E73" s="104">
        <f t="shared" si="4"/>
        <v>7.0000000000000007E-2</v>
      </c>
      <c r="F73" s="105">
        <f t="shared" si="5"/>
        <v>63.5</v>
      </c>
      <c r="G73" s="97">
        <f t="shared" si="2"/>
        <v>2212.0744931167692</v>
      </c>
    </row>
    <row r="74" spans="1:7" ht="23.5" x14ac:dyDescent="0.55000000000000004">
      <c r="A74" s="102">
        <f t="shared" si="6"/>
        <v>2093</v>
      </c>
      <c r="B74" s="97">
        <f t="shared" si="1"/>
        <v>139226.80000894511</v>
      </c>
      <c r="C74" s="97">
        <f t="shared" si="11"/>
        <v>0</v>
      </c>
      <c r="D74" s="103">
        <f t="shared" si="12"/>
        <v>139226.80000894511</v>
      </c>
      <c r="E74" s="104">
        <f t="shared" si="4"/>
        <v>7.0000000000000007E-2</v>
      </c>
      <c r="F74" s="105">
        <f t="shared" si="5"/>
        <v>64.5</v>
      </c>
      <c r="G74" s="97">
        <f t="shared" si="2"/>
        <v>1772.0222908812559</v>
      </c>
    </row>
    <row r="75" spans="1:7" ht="23.5" x14ac:dyDescent="0.55000000000000004">
      <c r="A75" s="102">
        <f t="shared" si="6"/>
        <v>2094</v>
      </c>
      <c r="B75" s="97">
        <f t="shared" si="1"/>
        <v>116022.33334078759</v>
      </c>
      <c r="C75" s="97">
        <f t="shared" si="11"/>
        <v>0</v>
      </c>
      <c r="D75" s="103">
        <f t="shared" si="12"/>
        <v>116022.33334078759</v>
      </c>
      <c r="E75" s="104">
        <f t="shared" si="4"/>
        <v>7.0000000000000007E-2</v>
      </c>
      <c r="F75" s="105">
        <f t="shared" si="5"/>
        <v>65.5</v>
      </c>
      <c r="G75" s="97">
        <f t="shared" si="2"/>
        <v>1380.0796657953706</v>
      </c>
    </row>
    <row r="76" spans="1:7" ht="23.5" x14ac:dyDescent="0.55000000000000004">
      <c r="A76" s="102">
        <f t="shared" si="6"/>
        <v>2095</v>
      </c>
      <c r="B76" s="97">
        <f t="shared" si="1"/>
        <v>99447.714292103614</v>
      </c>
      <c r="C76" s="97">
        <f t="shared" ref="C76:C79" si="13">C75</f>
        <v>0</v>
      </c>
      <c r="D76" s="103">
        <f t="shared" ref="D76:D79" si="14">D75*(D74/D73)</f>
        <v>99447.714292103614</v>
      </c>
      <c r="E76" s="104">
        <f t="shared" si="4"/>
        <v>7.0000000000000007E-2</v>
      </c>
      <c r="F76" s="105">
        <f t="shared" si="5"/>
        <v>66.5</v>
      </c>
      <c r="G76" s="97">
        <f t="shared" si="2"/>
        <v>1105.5377830136474</v>
      </c>
    </row>
    <row r="77" spans="1:7" ht="23.5" x14ac:dyDescent="0.55000000000000004">
      <c r="A77" s="102">
        <f t="shared" si="6"/>
        <v>2096</v>
      </c>
      <c r="B77" s="97">
        <f t="shared" si="1"/>
        <v>82873.095243419681</v>
      </c>
      <c r="C77" s="97">
        <f t="shared" si="13"/>
        <v>0</v>
      </c>
      <c r="D77" s="103">
        <f t="shared" si="14"/>
        <v>82873.095243419681</v>
      </c>
      <c r="E77" s="104">
        <f t="shared" ref="E77:E95" si="15">E76</f>
        <v>7.0000000000000007E-2</v>
      </c>
      <c r="F77" s="105">
        <f t="shared" ref="F77:F95" si="16">F76+1</f>
        <v>67.5</v>
      </c>
      <c r="G77" s="97">
        <f t="shared" si="2"/>
        <v>861.01073443430482</v>
      </c>
    </row>
    <row r="78" spans="1:7" ht="23.5" x14ac:dyDescent="0.55000000000000004">
      <c r="A78" s="102">
        <f t="shared" si="6"/>
        <v>2097</v>
      </c>
      <c r="B78" s="97">
        <f t="shared" si="1"/>
        <v>71034.081637216848</v>
      </c>
      <c r="C78" s="97">
        <f t="shared" si="13"/>
        <v>0</v>
      </c>
      <c r="D78" s="103">
        <f t="shared" si="14"/>
        <v>71034.081637216848</v>
      </c>
      <c r="E78" s="104">
        <f t="shared" si="15"/>
        <v>7.0000000000000007E-2</v>
      </c>
      <c r="F78" s="105">
        <f t="shared" si="16"/>
        <v>68.5</v>
      </c>
      <c r="G78" s="97">
        <f t="shared" si="2"/>
        <v>689.72822518101839</v>
      </c>
    </row>
    <row r="79" spans="1:7" ht="23.5" x14ac:dyDescent="0.55000000000000004">
      <c r="A79" s="102">
        <f t="shared" si="6"/>
        <v>2098</v>
      </c>
      <c r="B79" s="97">
        <f t="shared" si="1"/>
        <v>59195.068031014045</v>
      </c>
      <c r="C79" s="97">
        <f t="shared" si="13"/>
        <v>0</v>
      </c>
      <c r="D79" s="103">
        <f t="shared" si="14"/>
        <v>59195.068031014045</v>
      </c>
      <c r="E79" s="104">
        <f t="shared" si="15"/>
        <v>7.0000000000000007E-2</v>
      </c>
      <c r="F79" s="105">
        <f t="shared" si="16"/>
        <v>69.5</v>
      </c>
      <c r="G79" s="97">
        <f t="shared" si="2"/>
        <v>537.17151493848792</v>
      </c>
    </row>
    <row r="80" spans="1:7" ht="23.5" x14ac:dyDescent="0.55000000000000004">
      <c r="A80" s="102">
        <f t="shared" si="6"/>
        <v>2099</v>
      </c>
      <c r="B80" s="97">
        <f t="shared" si="1"/>
        <v>50738.629740869168</v>
      </c>
      <c r="C80" s="97">
        <f t="shared" ref="C80:C82" si="17">C79</f>
        <v>0</v>
      </c>
      <c r="D80" s="103">
        <f t="shared" ref="D80:D82" si="18">D79*(D78/D77)</f>
        <v>50738.629740869168</v>
      </c>
      <c r="E80" s="104">
        <f t="shared" si="15"/>
        <v>7.0000000000000007E-2</v>
      </c>
      <c r="F80" s="105">
        <f t="shared" si="16"/>
        <v>70.5</v>
      </c>
      <c r="G80" s="97">
        <f t="shared" si="2"/>
        <v>430.31095989731989</v>
      </c>
    </row>
    <row r="81" spans="1:7" ht="23.5" x14ac:dyDescent="0.55000000000000004">
      <c r="A81" s="102">
        <f t="shared" si="6"/>
        <v>2100</v>
      </c>
      <c r="B81" s="97">
        <f t="shared" si="1"/>
        <v>42282.191450724305</v>
      </c>
      <c r="C81" s="97">
        <f t="shared" si="17"/>
        <v>0</v>
      </c>
      <c r="D81" s="103">
        <f t="shared" si="18"/>
        <v>42282.191450724305</v>
      </c>
      <c r="E81" s="104">
        <f t="shared" si="15"/>
        <v>7.0000000000000007E-2</v>
      </c>
      <c r="F81" s="105">
        <f t="shared" si="16"/>
        <v>71.5</v>
      </c>
      <c r="G81" s="97">
        <f t="shared" si="2"/>
        <v>335.13314633747655</v>
      </c>
    </row>
    <row r="82" spans="1:7" ht="23.5" x14ac:dyDescent="0.55000000000000004">
      <c r="A82" s="102">
        <f t="shared" si="6"/>
        <v>2101</v>
      </c>
      <c r="B82" s="97">
        <f t="shared" si="1"/>
        <v>36241.878386335105</v>
      </c>
      <c r="C82" s="97">
        <f t="shared" si="17"/>
        <v>0</v>
      </c>
      <c r="D82" s="103">
        <f t="shared" si="18"/>
        <v>36241.878386335105</v>
      </c>
      <c r="E82" s="104">
        <f t="shared" si="15"/>
        <v>7.0000000000000007E-2</v>
      </c>
      <c r="F82" s="105">
        <f t="shared" si="16"/>
        <v>72.5</v>
      </c>
      <c r="G82" s="97">
        <f t="shared" si="2"/>
        <v>268.46446969624276</v>
      </c>
    </row>
    <row r="83" spans="1:7" ht="23.5" x14ac:dyDescent="0.55000000000000004">
      <c r="A83" s="102">
        <f t="shared" si="6"/>
        <v>2102</v>
      </c>
      <c r="B83" s="97">
        <f t="shared" si="1"/>
        <v>30201.56532194592</v>
      </c>
      <c r="C83" s="97">
        <f t="shared" ref="C83:C92" si="19">C82</f>
        <v>0</v>
      </c>
      <c r="D83" s="103">
        <f t="shared" ref="D83:D92" si="20">D82*(D81/D80)</f>
        <v>30201.56532194592</v>
      </c>
      <c r="E83" s="104">
        <f t="shared" si="15"/>
        <v>7.0000000000000007E-2</v>
      </c>
      <c r="F83" s="105">
        <f t="shared" si="16"/>
        <v>73.5</v>
      </c>
      <c r="G83" s="97">
        <f t="shared" si="2"/>
        <v>209.08447795657534</v>
      </c>
    </row>
    <row r="84" spans="1:7" ht="23.5" x14ac:dyDescent="0.55000000000000004">
      <c r="A84" s="102">
        <f t="shared" si="6"/>
        <v>2103</v>
      </c>
      <c r="B84" s="97">
        <f t="shared" si="1"/>
        <v>25887.055990239351</v>
      </c>
      <c r="C84" s="97">
        <f t="shared" si="19"/>
        <v>0</v>
      </c>
      <c r="D84" s="103">
        <f t="shared" si="20"/>
        <v>25887.055990239351</v>
      </c>
      <c r="E84" s="104">
        <f t="shared" si="15"/>
        <v>7.0000000000000007E-2</v>
      </c>
      <c r="F84" s="105">
        <f t="shared" si="16"/>
        <v>74.5</v>
      </c>
      <c r="G84" s="97">
        <f t="shared" si="2"/>
        <v>167.49090357002021</v>
      </c>
    </row>
    <row r="85" spans="1:7" ht="23.5" x14ac:dyDescent="0.55000000000000004">
      <c r="A85" s="102">
        <f t="shared" si="6"/>
        <v>2104</v>
      </c>
      <c r="B85" s="97">
        <f t="shared" ref="B85:B95" si="21">C85+D85</f>
        <v>21572.546658532789</v>
      </c>
      <c r="C85" s="97">
        <f t="shared" si="19"/>
        <v>0</v>
      </c>
      <c r="D85" s="103">
        <f t="shared" si="20"/>
        <v>21572.546658532789</v>
      </c>
      <c r="E85" s="104">
        <f t="shared" si="15"/>
        <v>7.0000000000000007E-2</v>
      </c>
      <c r="F85" s="105">
        <f t="shared" si="16"/>
        <v>75.5</v>
      </c>
      <c r="G85" s="97">
        <f t="shared" si="2"/>
        <v>130.44462894861385</v>
      </c>
    </row>
    <row r="86" spans="1:7" ht="23.5" x14ac:dyDescent="0.55000000000000004">
      <c r="A86" s="102">
        <f t="shared" si="6"/>
        <v>2105</v>
      </c>
      <c r="B86" s="97">
        <f t="shared" si="21"/>
        <v>18490.754278742384</v>
      </c>
      <c r="C86" s="97">
        <f t="shared" si="19"/>
        <v>0</v>
      </c>
      <c r="D86" s="103">
        <f t="shared" si="20"/>
        <v>18490.754278742384</v>
      </c>
      <c r="E86" s="104">
        <f t="shared" si="15"/>
        <v>7.0000000000000007E-2</v>
      </c>
      <c r="F86" s="105">
        <f t="shared" si="16"/>
        <v>76.5</v>
      </c>
      <c r="G86" s="97">
        <f t="shared" ref="G86:G95" si="22">D86*(1+E86)^-F86</f>
        <v>104.49502986537821</v>
      </c>
    </row>
    <row r="87" spans="1:7" ht="23.5" x14ac:dyDescent="0.55000000000000004">
      <c r="A87" s="102">
        <f t="shared" si="6"/>
        <v>2106</v>
      </c>
      <c r="B87" s="97">
        <f t="shared" si="21"/>
        <v>15408.961898951984</v>
      </c>
      <c r="C87" s="97">
        <f t="shared" si="19"/>
        <v>0</v>
      </c>
      <c r="D87" s="103">
        <f t="shared" si="20"/>
        <v>15408.961898951984</v>
      </c>
      <c r="E87" s="104">
        <f t="shared" si="15"/>
        <v>7.0000000000000007E-2</v>
      </c>
      <c r="F87" s="105">
        <f t="shared" si="16"/>
        <v>77.5</v>
      </c>
      <c r="G87" s="97">
        <f t="shared" si="22"/>
        <v>81.382422013534409</v>
      </c>
    </row>
    <row r="88" spans="1:7" ht="23.5" x14ac:dyDescent="0.55000000000000004">
      <c r="A88" s="102">
        <f t="shared" si="6"/>
        <v>2107</v>
      </c>
      <c r="B88" s="97">
        <f t="shared" si="21"/>
        <v>13207.681627673124</v>
      </c>
      <c r="C88" s="97">
        <f t="shared" si="19"/>
        <v>0</v>
      </c>
      <c r="D88" s="103">
        <f t="shared" si="20"/>
        <v>13207.681627673124</v>
      </c>
      <c r="E88" s="104">
        <f t="shared" si="15"/>
        <v>7.0000000000000007E-2</v>
      </c>
      <c r="F88" s="105">
        <f t="shared" si="16"/>
        <v>78.5</v>
      </c>
      <c r="G88" s="97">
        <f t="shared" si="22"/>
        <v>65.192861426062265</v>
      </c>
    </row>
    <row r="89" spans="1:7" ht="23.5" x14ac:dyDescent="0.55000000000000004">
      <c r="A89" s="102">
        <f t="shared" si="6"/>
        <v>2108</v>
      </c>
      <c r="B89" s="97">
        <f t="shared" si="21"/>
        <v>11006.401356394268</v>
      </c>
      <c r="C89" s="97">
        <f t="shared" si="19"/>
        <v>0</v>
      </c>
      <c r="D89" s="103">
        <f t="shared" si="20"/>
        <v>11006.401356394268</v>
      </c>
      <c r="E89" s="104">
        <f t="shared" si="15"/>
        <v>7.0000000000000007E-2</v>
      </c>
      <c r="F89" s="105">
        <f t="shared" si="16"/>
        <v>79.5</v>
      </c>
      <c r="G89" s="97">
        <f t="shared" si="22"/>
        <v>50.773256562353772</v>
      </c>
    </row>
    <row r="90" spans="1:7" ht="23.5" x14ac:dyDescent="0.55000000000000004">
      <c r="A90" s="102">
        <f t="shared" si="6"/>
        <v>2109</v>
      </c>
      <c r="B90" s="97">
        <f t="shared" si="21"/>
        <v>9434.0583054807976</v>
      </c>
      <c r="C90" s="97">
        <f t="shared" si="19"/>
        <v>0</v>
      </c>
      <c r="D90" s="103">
        <f t="shared" si="20"/>
        <v>9434.0583054807976</v>
      </c>
      <c r="E90" s="104">
        <f t="shared" si="15"/>
        <v>7.0000000000000007E-2</v>
      </c>
      <c r="F90" s="105">
        <f t="shared" si="16"/>
        <v>80.5</v>
      </c>
      <c r="G90" s="97">
        <f t="shared" si="22"/>
        <v>40.672835697479634</v>
      </c>
    </row>
    <row r="91" spans="1:7" ht="23.5" x14ac:dyDescent="0.55000000000000004">
      <c r="A91" s="102">
        <f t="shared" si="6"/>
        <v>2110</v>
      </c>
      <c r="B91" s="97">
        <f t="shared" si="21"/>
        <v>7861.7152545673298</v>
      </c>
      <c r="C91" s="97">
        <f t="shared" si="19"/>
        <v>0</v>
      </c>
      <c r="D91" s="103">
        <f t="shared" si="20"/>
        <v>7861.7152545673298</v>
      </c>
      <c r="E91" s="104">
        <f t="shared" si="15"/>
        <v>7.0000000000000007E-2</v>
      </c>
      <c r="F91" s="105">
        <f t="shared" si="16"/>
        <v>81.5</v>
      </c>
      <c r="G91" s="97">
        <f t="shared" si="22"/>
        <v>31.676663315794105</v>
      </c>
    </row>
    <row r="92" spans="1:7" ht="23.5" x14ac:dyDescent="0.55000000000000004">
      <c r="A92" s="102">
        <f t="shared" si="6"/>
        <v>2111</v>
      </c>
      <c r="B92" s="97">
        <f t="shared" si="21"/>
        <v>6738.6130753434227</v>
      </c>
      <c r="C92" s="97">
        <f t="shared" si="19"/>
        <v>0</v>
      </c>
      <c r="D92" s="103">
        <f t="shared" si="20"/>
        <v>6738.6130753434227</v>
      </c>
      <c r="E92" s="104">
        <f t="shared" si="15"/>
        <v>7.0000000000000007E-2</v>
      </c>
      <c r="F92" s="105">
        <f t="shared" si="16"/>
        <v>82.5</v>
      </c>
      <c r="G92" s="97">
        <f t="shared" si="22"/>
        <v>25.375164204908479</v>
      </c>
    </row>
    <row r="93" spans="1:7" ht="23.5" x14ac:dyDescent="0.55000000000000004">
      <c r="A93" s="102">
        <f t="shared" si="6"/>
        <v>2112</v>
      </c>
      <c r="B93" s="97">
        <f t="shared" si="21"/>
        <v>5615.5108961195174</v>
      </c>
      <c r="C93" s="97">
        <f t="shared" ref="C93:C95" si="23">C92</f>
        <v>0</v>
      </c>
      <c r="D93" s="103">
        <f t="shared" ref="D93:D94" si="24">D92*(D91/D90)</f>
        <v>5615.5108961195174</v>
      </c>
      <c r="E93" s="104">
        <f t="shared" si="15"/>
        <v>7.0000000000000007E-2</v>
      </c>
      <c r="F93" s="105">
        <f t="shared" si="16"/>
        <v>83.5</v>
      </c>
      <c r="G93" s="97">
        <f t="shared" si="22"/>
        <v>19.762588944632768</v>
      </c>
    </row>
    <row r="94" spans="1:7" ht="23.5" x14ac:dyDescent="0.55000000000000004">
      <c r="A94" s="102">
        <f t="shared" si="6"/>
        <v>2113</v>
      </c>
      <c r="B94" s="97">
        <f t="shared" si="21"/>
        <v>4813.295053816727</v>
      </c>
      <c r="C94" s="97">
        <f t="shared" si="23"/>
        <v>0</v>
      </c>
      <c r="D94" s="103">
        <f t="shared" si="24"/>
        <v>4813.295053816727</v>
      </c>
      <c r="E94" s="104">
        <f t="shared" si="15"/>
        <v>7.0000000000000007E-2</v>
      </c>
      <c r="F94" s="105">
        <f t="shared" si="16"/>
        <v>84.5</v>
      </c>
      <c r="G94" s="97">
        <f t="shared" si="22"/>
        <v>15.831179394899403</v>
      </c>
    </row>
    <row r="95" spans="1:7" ht="24" thickBot="1" x14ac:dyDescent="0.6">
      <c r="A95" s="108">
        <f t="shared" si="6"/>
        <v>2114</v>
      </c>
      <c r="B95" s="109">
        <f t="shared" si="21"/>
        <v>0</v>
      </c>
      <c r="C95" s="109">
        <f t="shared" si="23"/>
        <v>0</v>
      </c>
      <c r="D95" s="110">
        <v>0</v>
      </c>
      <c r="E95" s="104">
        <f t="shared" si="15"/>
        <v>7.0000000000000007E-2</v>
      </c>
      <c r="F95" s="105">
        <f t="shared" si="16"/>
        <v>85.5</v>
      </c>
      <c r="G95" s="97">
        <f t="shared" si="22"/>
        <v>0</v>
      </c>
    </row>
  </sheetData>
  <sheetProtection algorithmName="SHA-512" hashValue="5DBgIGowFYMwLNetR6emZB0oEZLoIc7WZJmawcCDvwpiNW1NoQSjKkki5h6EO6YgbDsj9hJ9plwuj0cDwr6jHQ==" saltValue="sQXSR5Vf5xu8Wm3Gj+iAtA==" spinCount="100000" sheet="1" objects="1" scenarios="1"/>
  <mergeCells count="1">
    <mergeCell ref="E3:F4"/>
  </mergeCells>
  <pageMargins left="0.7" right="0.7" top="0.75" bottom="0.5" header="0.3" footer="0.3"/>
  <pageSetup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FC3F-6B83-4E85-BD24-D9A0C6F2D822}">
  <sheetPr>
    <tabColor rgb="FFFFC000"/>
    <pageSetUpPr fitToPage="1"/>
  </sheetPr>
  <dimension ref="A1:G24"/>
  <sheetViews>
    <sheetView showGridLines="0" topLeftCell="A2" workbookViewId="0">
      <selection activeCell="E15" sqref="E15"/>
    </sheetView>
  </sheetViews>
  <sheetFormatPr defaultRowHeight="23.5" x14ac:dyDescent="0.55000000000000004"/>
  <cols>
    <col min="1" max="1" width="20.54296875" style="25" customWidth="1"/>
    <col min="2" max="2" width="33.6328125" style="25" customWidth="1"/>
    <col min="3" max="3" width="30" style="25" customWidth="1"/>
    <col min="4" max="4" width="21.453125" style="25" customWidth="1"/>
    <col min="5" max="5" width="31.36328125" style="25" customWidth="1"/>
    <col min="6" max="6" width="21.81640625" style="25" customWidth="1"/>
    <col min="7" max="16384" width="8.7265625" style="25"/>
  </cols>
  <sheetData>
    <row r="1" spans="1:7" ht="50" x14ac:dyDescent="0.7">
      <c r="A1" s="58" t="s">
        <v>103</v>
      </c>
      <c r="B1" s="26"/>
      <c r="C1" s="26"/>
      <c r="D1" s="26"/>
      <c r="E1" s="26"/>
    </row>
    <row r="3" spans="1:7" x14ac:dyDescent="0.55000000000000004">
      <c r="A3" s="114" t="s">
        <v>73</v>
      </c>
      <c r="B3" s="114"/>
      <c r="C3" s="114"/>
      <c r="D3" s="89">
        <v>395000000</v>
      </c>
      <c r="E3" s="114"/>
      <c r="F3" s="114"/>
      <c r="G3" s="114"/>
    </row>
    <row r="4" spans="1:7" x14ac:dyDescent="0.55000000000000004">
      <c r="A4" s="114"/>
      <c r="B4" s="114"/>
      <c r="C4" s="114"/>
      <c r="D4" s="89"/>
      <c r="E4" s="114"/>
      <c r="F4" s="114"/>
      <c r="G4" s="114"/>
    </row>
    <row r="5" spans="1:7" x14ac:dyDescent="0.55000000000000004">
      <c r="A5" s="114" t="s">
        <v>74</v>
      </c>
      <c r="B5" s="114"/>
      <c r="C5" s="114"/>
      <c r="D5" s="89">
        <f>-'II.B SFA Pool Assets'!D33</f>
        <v>34615384.615384616</v>
      </c>
      <c r="E5" s="115" t="s">
        <v>44</v>
      </c>
      <c r="F5" s="114"/>
      <c r="G5" s="114"/>
    </row>
    <row r="6" spans="1:7" x14ac:dyDescent="0.55000000000000004">
      <c r="A6" s="114" t="s">
        <v>75</v>
      </c>
      <c r="B6" s="114"/>
      <c r="C6" s="114"/>
      <c r="D6" s="89">
        <f>'II.B SFA Pool Assets'!D35</f>
        <v>56929092.884615384</v>
      </c>
      <c r="E6" s="115" t="s">
        <v>44</v>
      </c>
      <c r="F6" s="114"/>
      <c r="G6" s="114"/>
    </row>
    <row r="7" spans="1:7" x14ac:dyDescent="0.55000000000000004">
      <c r="A7" s="114"/>
      <c r="B7" s="114"/>
      <c r="C7" s="114"/>
      <c r="D7" s="114"/>
      <c r="E7" s="114"/>
      <c r="F7" s="114"/>
      <c r="G7" s="114"/>
    </row>
    <row r="8" spans="1:7" x14ac:dyDescent="0.55000000000000004">
      <c r="A8" s="111" t="s">
        <v>76</v>
      </c>
      <c r="B8" s="111"/>
      <c r="C8" s="111"/>
      <c r="D8" s="112">
        <f>D3-D5-D6</f>
        <v>303455522.5</v>
      </c>
      <c r="E8" s="114"/>
      <c r="F8" s="114"/>
      <c r="G8" s="114"/>
    </row>
    <row r="9" spans="1:7" ht="27.5" customHeight="1" x14ac:dyDescent="0.55000000000000004">
      <c r="A9" s="114"/>
      <c r="B9" s="114"/>
      <c r="C9" s="114"/>
      <c r="D9" s="114"/>
      <c r="E9" s="114"/>
      <c r="F9" s="114"/>
      <c r="G9" s="114"/>
    </row>
    <row r="10" spans="1:7" ht="25" x14ac:dyDescent="0.7">
      <c r="A10" s="113" t="s">
        <v>96</v>
      </c>
      <c r="B10" s="113"/>
      <c r="C10" s="113"/>
      <c r="D10" s="113"/>
      <c r="E10" s="113"/>
      <c r="F10" s="116"/>
      <c r="G10" s="114"/>
    </row>
    <row r="11" spans="1:7" x14ac:dyDescent="0.55000000000000004">
      <c r="A11" s="116"/>
      <c r="B11" s="116"/>
      <c r="C11" s="116"/>
      <c r="D11" s="116"/>
      <c r="E11" s="116"/>
      <c r="F11" s="116"/>
      <c r="G11" s="114"/>
    </row>
    <row r="12" spans="1:7" x14ac:dyDescent="0.55000000000000004">
      <c r="A12" s="116" t="s">
        <v>79</v>
      </c>
      <c r="B12" s="116"/>
      <c r="C12" s="116"/>
      <c r="D12" s="116"/>
      <c r="E12" s="117">
        <f>D3</f>
        <v>395000000</v>
      </c>
      <c r="F12" s="116"/>
      <c r="G12" s="114"/>
    </row>
    <row r="13" spans="1:7" x14ac:dyDescent="0.55000000000000004">
      <c r="A13" s="116" t="s">
        <v>36</v>
      </c>
      <c r="B13" s="116"/>
      <c r="C13" s="116"/>
      <c r="D13" s="116"/>
      <c r="E13" s="117">
        <f>'II.B SFA Pool Assets'!D33</f>
        <v>-34615384.615384616</v>
      </c>
      <c r="F13" s="118" t="s">
        <v>44</v>
      </c>
      <c r="G13" s="114"/>
    </row>
    <row r="14" spans="1:7" ht="48.5" customHeight="1" x14ac:dyDescent="0.55000000000000004">
      <c r="A14" s="139" t="s">
        <v>83</v>
      </c>
      <c r="B14" s="140"/>
      <c r="C14" s="140"/>
      <c r="D14" s="140"/>
      <c r="E14" s="117">
        <f>E12+E13</f>
        <v>360384615.38461536</v>
      </c>
      <c r="F14" s="116"/>
      <c r="G14" s="114"/>
    </row>
    <row r="15" spans="1:7" x14ac:dyDescent="0.55000000000000004">
      <c r="A15" s="116"/>
      <c r="B15" s="116"/>
      <c r="C15" s="116"/>
      <c r="D15" s="116"/>
      <c r="E15" s="116"/>
      <c r="F15" s="116"/>
      <c r="G15" s="114"/>
    </row>
    <row r="16" spans="1:7" x14ac:dyDescent="0.55000000000000004">
      <c r="A16" s="116" t="s">
        <v>82</v>
      </c>
      <c r="B16" s="116"/>
      <c r="C16" s="116"/>
      <c r="D16" s="116"/>
      <c r="E16" s="117">
        <f>'II.B SFA Pool Assets'!D35</f>
        <v>56929092.884615384</v>
      </c>
      <c r="F16" s="118" t="s">
        <v>44</v>
      </c>
      <c r="G16" s="114"/>
    </row>
    <row r="17" spans="1:7" x14ac:dyDescent="0.55000000000000004">
      <c r="A17" s="116" t="s">
        <v>81</v>
      </c>
      <c r="B17" s="116"/>
      <c r="C17" s="116"/>
      <c r="D17" s="116"/>
      <c r="E17" s="117">
        <f>D8</f>
        <v>303455522.5</v>
      </c>
      <c r="F17" s="118" t="s">
        <v>84</v>
      </c>
      <c r="G17" s="114"/>
    </row>
    <row r="18" spans="1:7" x14ac:dyDescent="0.55000000000000004">
      <c r="A18" s="116" t="s">
        <v>80</v>
      </c>
      <c r="B18" s="116"/>
      <c r="C18" s="116"/>
      <c r="D18" s="116"/>
      <c r="E18" s="117">
        <f>E16+E17</f>
        <v>360384615.38461536</v>
      </c>
      <c r="F18" s="116"/>
      <c r="G18" s="114"/>
    </row>
    <row r="19" spans="1:7" x14ac:dyDescent="0.55000000000000004">
      <c r="A19" s="116"/>
      <c r="B19" s="116"/>
      <c r="C19" s="116"/>
      <c r="D19" s="116"/>
      <c r="E19" s="116"/>
      <c r="F19" s="116"/>
      <c r="G19" s="114"/>
    </row>
    <row r="20" spans="1:7" x14ac:dyDescent="0.55000000000000004">
      <c r="A20" s="116" t="s">
        <v>85</v>
      </c>
      <c r="B20" s="116"/>
      <c r="C20" s="116"/>
      <c r="D20" s="116"/>
      <c r="E20" s="117">
        <f>E14-E18</f>
        <v>0</v>
      </c>
      <c r="F20" s="116"/>
      <c r="G20" s="114"/>
    </row>
    <row r="21" spans="1:7" x14ac:dyDescent="0.55000000000000004">
      <c r="A21" s="114"/>
      <c r="B21" s="114"/>
      <c r="C21" s="114"/>
      <c r="D21" s="114"/>
      <c r="E21" s="114"/>
      <c r="F21" s="114"/>
      <c r="G21" s="114"/>
    </row>
    <row r="22" spans="1:7" x14ac:dyDescent="0.55000000000000004">
      <c r="A22" s="114"/>
      <c r="B22" s="114"/>
      <c r="C22" s="114"/>
      <c r="D22" s="114"/>
      <c r="E22" s="114"/>
      <c r="F22" s="114"/>
      <c r="G22" s="114"/>
    </row>
    <row r="23" spans="1:7" x14ac:dyDescent="0.55000000000000004">
      <c r="A23" s="114"/>
      <c r="B23" s="114"/>
      <c r="C23" s="114"/>
      <c r="D23" s="114"/>
      <c r="E23" s="114"/>
      <c r="F23" s="114"/>
      <c r="G23" s="114"/>
    </row>
    <row r="24" spans="1:7" x14ac:dyDescent="0.55000000000000004">
      <c r="A24" s="114"/>
      <c r="B24" s="114"/>
      <c r="C24" s="114"/>
      <c r="D24" s="114"/>
      <c r="E24" s="114"/>
      <c r="F24" s="114"/>
      <c r="G24" s="114"/>
    </row>
  </sheetData>
  <sheetProtection algorithmName="SHA-512" hashValue="QybkcbAinG1VWfOvJhwm7CCln6zMGcnIe7L3ZO9IZAr+nmRR0R9nre3Gb5p8JcEXbg5/orKyv0WJ8yUO9KfUCg==" saltValue="b/lFRorqtiL6uqScK+ianw==" spinCount="100000" sheet="1" objects="1" scenarios="1"/>
  <mergeCells count="1">
    <mergeCell ref="A14:D14"/>
  </mergeCells>
  <pageMargins left="0.7" right="0.7" top="0.75" bottom="0.75" header="0.3" footer="0.3"/>
  <pageSetup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456A-4AAE-4FFB-AA09-ED4B91ED17BA}">
  <sheetPr>
    <tabColor rgb="FFFFC000"/>
    <pageSetUpPr fitToPage="1"/>
  </sheetPr>
  <dimension ref="A1:J46"/>
  <sheetViews>
    <sheetView showGridLines="0" topLeftCell="A14" workbookViewId="0">
      <selection activeCell="D19" sqref="D19"/>
    </sheetView>
  </sheetViews>
  <sheetFormatPr defaultRowHeight="14.5" x14ac:dyDescent="0.35"/>
  <cols>
    <col min="1" max="1" width="47.54296875" customWidth="1"/>
    <col min="2" max="2" width="11.54296875" bestFit="1" customWidth="1"/>
    <col min="3" max="3" width="32.1796875" customWidth="1"/>
    <col min="4" max="4" width="24.1796875" customWidth="1"/>
    <col min="5" max="5" width="8.90625" customWidth="1"/>
  </cols>
  <sheetData>
    <row r="1" spans="1:10" ht="60" x14ac:dyDescent="0.8">
      <c r="A1" s="59" t="s">
        <v>102</v>
      </c>
      <c r="B1" s="26"/>
      <c r="C1" s="26"/>
      <c r="D1" s="26"/>
      <c r="E1" s="26"/>
      <c r="F1" s="120"/>
      <c r="G1" s="120"/>
      <c r="H1" s="120"/>
      <c r="I1" s="120"/>
      <c r="J1" s="120"/>
    </row>
    <row r="3" spans="1:10" ht="27" x14ac:dyDescent="0.7">
      <c r="A3" s="121" t="s">
        <v>47</v>
      </c>
      <c r="B3" s="122"/>
      <c r="C3" s="122"/>
      <c r="D3" s="122"/>
      <c r="E3" s="122"/>
      <c r="F3" s="124"/>
      <c r="G3" s="124"/>
      <c r="H3" s="124"/>
      <c r="I3" s="124"/>
      <c r="J3" s="124"/>
    </row>
    <row r="5" spans="1:10" ht="23.5" x14ac:dyDescent="0.55000000000000004">
      <c r="A5" s="36" t="s">
        <v>49</v>
      </c>
      <c r="B5" s="37"/>
      <c r="C5" s="37"/>
      <c r="D5" s="38">
        <f>'II.A SFA Pool Liabilities'!E4</f>
        <v>76240695.549489692</v>
      </c>
      <c r="E5" s="119" t="s">
        <v>77</v>
      </c>
      <c r="F5" s="37"/>
      <c r="G5" s="37"/>
      <c r="H5" s="37"/>
    </row>
    <row r="6" spans="1:10" ht="23.5" customHeight="1" x14ac:dyDescent="0.35">
      <c r="A6" s="37"/>
      <c r="B6" s="37"/>
      <c r="C6" s="37"/>
      <c r="D6" s="37"/>
      <c r="E6" s="37"/>
      <c r="F6" s="37"/>
      <c r="G6" s="37"/>
      <c r="H6" s="37"/>
    </row>
    <row r="7" spans="1:10" ht="23.5" x14ac:dyDescent="0.55000000000000004">
      <c r="A7" s="36" t="s">
        <v>55</v>
      </c>
      <c r="B7" s="37"/>
      <c r="C7" s="37"/>
      <c r="D7" s="38">
        <f>'II.B SFA Pool Assets'!D35</f>
        <v>56929092.884615384</v>
      </c>
      <c r="E7" s="119" t="s">
        <v>44</v>
      </c>
      <c r="F7" s="37"/>
      <c r="G7" s="37"/>
      <c r="H7" s="37"/>
    </row>
    <row r="8" spans="1:10" ht="23.5" customHeight="1" x14ac:dyDescent="0.35">
      <c r="A8" s="37"/>
      <c r="B8" s="37"/>
      <c r="C8" s="37"/>
      <c r="D8" s="37"/>
      <c r="E8" s="37"/>
      <c r="F8" s="37"/>
      <c r="G8" s="37"/>
      <c r="H8" s="37"/>
    </row>
    <row r="9" spans="1:10" ht="23.5" x14ac:dyDescent="0.55000000000000004">
      <c r="A9" s="36" t="s">
        <v>53</v>
      </c>
      <c r="B9" s="37"/>
      <c r="C9" s="37"/>
      <c r="D9" s="38">
        <f>D5-D7</f>
        <v>19311602.664874308</v>
      </c>
      <c r="E9" s="37"/>
      <c r="F9" s="37"/>
      <c r="G9" s="37"/>
      <c r="H9" s="37"/>
    </row>
    <row r="10" spans="1:10" ht="23.5" x14ac:dyDescent="0.55000000000000004">
      <c r="A10" s="36" t="s">
        <v>50</v>
      </c>
      <c r="B10" s="37"/>
      <c r="C10" s="37"/>
      <c r="D10" s="37"/>
      <c r="E10" s="37"/>
      <c r="F10" s="37"/>
      <c r="G10" s="37"/>
      <c r="H10" s="37"/>
    </row>
    <row r="11" spans="1:10" ht="23.5" customHeight="1" x14ac:dyDescent="0.35">
      <c r="A11" s="37"/>
      <c r="B11" s="37"/>
      <c r="C11" s="37"/>
      <c r="D11" s="37"/>
      <c r="E11" s="37"/>
      <c r="F11" s="37"/>
      <c r="G11" s="37"/>
      <c r="H11" s="37"/>
    </row>
    <row r="12" spans="1:10" ht="23.5" x14ac:dyDescent="0.55000000000000004">
      <c r="A12" s="36" t="s">
        <v>51</v>
      </c>
      <c r="B12" s="37"/>
      <c r="C12" s="37"/>
      <c r="D12" s="37"/>
      <c r="E12" s="37"/>
      <c r="F12" s="37"/>
      <c r="G12" s="37"/>
      <c r="H12" s="37"/>
    </row>
    <row r="13" spans="1:10" ht="23.5" x14ac:dyDescent="0.55000000000000004">
      <c r="A13" s="36" t="s">
        <v>91</v>
      </c>
      <c r="B13" s="37"/>
      <c r="C13" s="37"/>
      <c r="D13" s="38">
        <f>-MIN(0,D9)</f>
        <v>0</v>
      </c>
      <c r="E13" s="119" t="s">
        <v>101</v>
      </c>
      <c r="F13" s="37"/>
      <c r="G13" s="37"/>
      <c r="H13" s="37"/>
    </row>
    <row r="14" spans="1:10" ht="23.5" x14ac:dyDescent="0.55000000000000004">
      <c r="A14" s="36" t="s">
        <v>98</v>
      </c>
      <c r="B14" s="37"/>
      <c r="C14" s="37"/>
      <c r="D14" s="37"/>
      <c r="E14" s="37"/>
      <c r="F14" s="37"/>
      <c r="G14" s="37"/>
      <c r="H14" s="37"/>
    </row>
    <row r="15" spans="1:10" ht="23.5" customHeight="1" x14ac:dyDescent="0.35">
      <c r="A15" s="37"/>
      <c r="B15" s="37"/>
      <c r="C15" s="37"/>
      <c r="D15" s="37"/>
      <c r="E15" s="37"/>
      <c r="F15" s="37"/>
      <c r="G15" s="37"/>
      <c r="H15" s="37"/>
    </row>
    <row r="16" spans="1:10" ht="23.5" x14ac:dyDescent="0.55000000000000004">
      <c r="A16" s="36" t="s">
        <v>86</v>
      </c>
      <c r="B16" s="37"/>
      <c r="C16" s="37"/>
      <c r="D16" s="56">
        <f>D9+D13</f>
        <v>19311602.664874308</v>
      </c>
      <c r="E16" s="37"/>
      <c r="F16" s="37"/>
      <c r="G16" s="37"/>
      <c r="H16" s="37"/>
    </row>
    <row r="17" spans="1:10" ht="23.5" x14ac:dyDescent="0.55000000000000004">
      <c r="A17" s="36" t="s">
        <v>99</v>
      </c>
      <c r="B17" s="37"/>
      <c r="C17" s="37"/>
      <c r="D17" s="37"/>
      <c r="E17" s="37"/>
      <c r="F17" s="37"/>
      <c r="G17" s="37"/>
      <c r="H17" s="37"/>
    </row>
    <row r="18" spans="1:10" ht="23.5" x14ac:dyDescent="0.55000000000000004">
      <c r="A18" s="36"/>
      <c r="B18" s="37"/>
      <c r="C18" s="37"/>
      <c r="D18" s="37"/>
      <c r="E18" s="37"/>
      <c r="F18" s="37"/>
      <c r="G18" s="37"/>
      <c r="H18" s="37"/>
    </row>
    <row r="19" spans="1:10" ht="23.5" x14ac:dyDescent="0.55000000000000004">
      <c r="A19" s="27" t="s">
        <v>87</v>
      </c>
      <c r="B19" s="39"/>
      <c r="C19" s="39"/>
      <c r="D19" s="40">
        <f>D12+D16</f>
        <v>19311602.664874308</v>
      </c>
      <c r="E19" s="37"/>
      <c r="F19" s="37"/>
      <c r="G19" s="37"/>
      <c r="H19" s="37"/>
    </row>
    <row r="20" spans="1:10" ht="23.5" x14ac:dyDescent="0.55000000000000004">
      <c r="A20" s="27" t="s">
        <v>88</v>
      </c>
      <c r="B20" s="39"/>
      <c r="C20" s="39"/>
      <c r="D20" s="39"/>
      <c r="E20" s="37"/>
      <c r="F20" s="37"/>
      <c r="G20" s="37"/>
      <c r="H20" s="37"/>
    </row>
    <row r="21" spans="1:10" ht="23.5" x14ac:dyDescent="0.55000000000000004">
      <c r="A21" s="36"/>
      <c r="B21" s="37"/>
      <c r="C21" s="37"/>
      <c r="D21" s="37"/>
      <c r="E21" s="37"/>
      <c r="F21" s="37"/>
      <c r="G21" s="37"/>
      <c r="H21" s="37"/>
    </row>
    <row r="22" spans="1:10" ht="27" x14ac:dyDescent="0.7">
      <c r="A22" s="121" t="s">
        <v>48</v>
      </c>
      <c r="B22" s="122"/>
      <c r="C22" s="122"/>
      <c r="D22" s="122"/>
      <c r="E22" s="122"/>
      <c r="F22" s="123"/>
      <c r="G22" s="123"/>
      <c r="H22" s="123"/>
      <c r="I22" s="124"/>
      <c r="J22" s="124"/>
    </row>
    <row r="23" spans="1:10" x14ac:dyDescent="0.35">
      <c r="A23" s="37"/>
      <c r="B23" s="37"/>
      <c r="C23" s="37"/>
      <c r="D23" s="37"/>
      <c r="E23" s="37"/>
      <c r="F23" s="37"/>
      <c r="G23" s="37"/>
      <c r="H23" s="37"/>
    </row>
    <row r="24" spans="1:10" ht="23.5" x14ac:dyDescent="0.55000000000000004">
      <c r="A24" s="36" t="s">
        <v>49</v>
      </c>
      <c r="B24" s="37"/>
      <c r="C24" s="37"/>
      <c r="D24" s="38">
        <f>'III.A Merged Pool Liabilities'!G4</f>
        <v>359356860.48651093</v>
      </c>
      <c r="E24" s="119" t="s">
        <v>78</v>
      </c>
      <c r="F24" s="37"/>
      <c r="G24" s="37"/>
      <c r="H24" s="37"/>
    </row>
    <row r="25" spans="1:10" ht="23.5" customHeight="1" x14ac:dyDescent="0.35">
      <c r="A25" s="37"/>
      <c r="B25" s="37"/>
      <c r="C25" s="37"/>
      <c r="D25" s="37"/>
      <c r="E25" s="37"/>
      <c r="F25" s="37"/>
      <c r="G25" s="37"/>
      <c r="H25" s="37"/>
    </row>
    <row r="26" spans="1:10" ht="23.5" x14ac:dyDescent="0.55000000000000004">
      <c r="A26" s="36" t="s">
        <v>55</v>
      </c>
      <c r="B26" s="37"/>
      <c r="C26" s="37"/>
      <c r="D26" s="38">
        <f>'III.C Merged Plan Pool Assets'!D8</f>
        <v>303455522.5</v>
      </c>
      <c r="E26" s="119" t="s">
        <v>104</v>
      </c>
      <c r="F26" s="37"/>
      <c r="G26" s="37"/>
      <c r="H26" s="37"/>
    </row>
    <row r="27" spans="1:10" ht="23.5" customHeight="1" x14ac:dyDescent="0.35">
      <c r="A27" s="37"/>
      <c r="B27" s="37"/>
      <c r="C27" s="37"/>
      <c r="D27" s="37"/>
      <c r="E27" s="37"/>
      <c r="F27" s="37"/>
      <c r="G27" s="37"/>
      <c r="H27" s="37"/>
    </row>
    <row r="28" spans="1:10" ht="23.5" x14ac:dyDescent="0.55000000000000004">
      <c r="A28" s="36" t="s">
        <v>53</v>
      </c>
      <c r="B28" s="37"/>
      <c r="C28" s="37"/>
      <c r="D28" s="38">
        <f>D24-D26</f>
        <v>55901337.986510932</v>
      </c>
      <c r="E28" s="37"/>
      <c r="F28" s="37"/>
      <c r="G28" s="37"/>
      <c r="H28" s="37"/>
    </row>
    <row r="29" spans="1:10" ht="23.5" x14ac:dyDescent="0.55000000000000004">
      <c r="A29" s="36" t="s">
        <v>50</v>
      </c>
      <c r="B29" s="37"/>
      <c r="C29" s="37"/>
      <c r="D29" s="37"/>
      <c r="E29" s="37"/>
      <c r="F29" s="37"/>
      <c r="G29" s="37"/>
      <c r="H29" s="37"/>
    </row>
    <row r="30" spans="1:10" ht="23.5" customHeight="1" x14ac:dyDescent="0.35">
      <c r="A30" s="37"/>
      <c r="B30" s="37"/>
      <c r="C30" s="37"/>
      <c r="D30" s="37"/>
      <c r="E30" s="37"/>
      <c r="F30" s="37"/>
      <c r="G30" s="37"/>
      <c r="H30" s="37"/>
    </row>
    <row r="31" spans="1:10" ht="23.5" x14ac:dyDescent="0.55000000000000004">
      <c r="A31" s="36" t="s">
        <v>51</v>
      </c>
      <c r="B31" s="37"/>
      <c r="C31" s="37"/>
      <c r="D31" s="37"/>
      <c r="E31" s="37"/>
      <c r="F31" s="37"/>
      <c r="G31" s="37"/>
      <c r="H31" s="37"/>
    </row>
    <row r="32" spans="1:10" ht="23.5" x14ac:dyDescent="0.55000000000000004">
      <c r="A32" s="36" t="s">
        <v>52</v>
      </c>
      <c r="B32" s="37"/>
      <c r="C32" s="37"/>
      <c r="D32" s="38">
        <f>-D13</f>
        <v>0</v>
      </c>
      <c r="E32" s="119" t="s">
        <v>101</v>
      </c>
      <c r="F32" s="37"/>
      <c r="G32" s="37"/>
      <c r="H32" s="37"/>
    </row>
    <row r="33" spans="1:8" ht="23.5" x14ac:dyDescent="0.55000000000000004">
      <c r="A33" s="36" t="s">
        <v>97</v>
      </c>
      <c r="B33" s="37"/>
      <c r="C33" s="37"/>
      <c r="D33" s="37"/>
      <c r="E33" s="37"/>
      <c r="F33" s="37"/>
      <c r="G33" s="37"/>
      <c r="H33" s="37"/>
    </row>
    <row r="34" spans="1:8" ht="23.5" customHeight="1" x14ac:dyDescent="0.35">
      <c r="A34" s="37"/>
      <c r="B34" s="37"/>
      <c r="C34" s="37"/>
      <c r="D34" s="37"/>
      <c r="E34" s="37"/>
      <c r="F34" s="37"/>
      <c r="G34" s="37"/>
      <c r="H34" s="37"/>
    </row>
    <row r="35" spans="1:8" ht="23.5" x14ac:dyDescent="0.55000000000000004">
      <c r="A35" s="36" t="s">
        <v>89</v>
      </c>
      <c r="B35" s="37"/>
      <c r="C35" s="37"/>
      <c r="D35" s="56">
        <f>D28+D32</f>
        <v>55901337.986510932</v>
      </c>
      <c r="E35" s="37"/>
      <c r="F35" s="37"/>
      <c r="G35" s="37"/>
      <c r="H35" s="37"/>
    </row>
    <row r="36" spans="1:8" ht="23.5" x14ac:dyDescent="0.55000000000000004">
      <c r="A36" s="36" t="s">
        <v>54</v>
      </c>
      <c r="B36" s="37"/>
      <c r="C36" s="37"/>
      <c r="D36" s="37"/>
      <c r="E36" s="37"/>
      <c r="F36" s="37"/>
      <c r="G36" s="37"/>
      <c r="H36" s="37"/>
    </row>
    <row r="37" spans="1:8" ht="23.5" customHeight="1" x14ac:dyDescent="0.35">
      <c r="A37" s="37"/>
      <c r="B37" s="37"/>
      <c r="C37" s="37"/>
      <c r="D37" s="37"/>
      <c r="E37" s="37"/>
      <c r="F37" s="37"/>
      <c r="G37" s="37"/>
      <c r="H37" s="37"/>
    </row>
    <row r="38" spans="1:8" ht="23.5" x14ac:dyDescent="0.55000000000000004">
      <c r="A38" s="27" t="s">
        <v>90</v>
      </c>
      <c r="B38" s="39"/>
      <c r="C38" s="39"/>
      <c r="D38" s="40">
        <f>MAX(0,D31+D35)</f>
        <v>55901337.986510932</v>
      </c>
      <c r="E38" s="37"/>
      <c r="F38" s="37"/>
      <c r="G38" s="37"/>
      <c r="H38" s="37"/>
    </row>
    <row r="39" spans="1:8" ht="23.5" x14ac:dyDescent="0.55000000000000004">
      <c r="A39" s="27" t="s">
        <v>88</v>
      </c>
      <c r="B39" s="39"/>
      <c r="C39" s="39"/>
      <c r="D39" s="39"/>
      <c r="E39" s="37"/>
      <c r="F39" s="37"/>
      <c r="G39" s="37"/>
      <c r="H39" s="37"/>
    </row>
    <row r="40" spans="1:8" x14ac:dyDescent="0.35">
      <c r="A40" s="37"/>
      <c r="B40" s="37"/>
      <c r="C40" s="37"/>
      <c r="D40" s="37"/>
      <c r="E40" s="37"/>
      <c r="F40" s="37"/>
      <c r="G40" s="37"/>
      <c r="H40" s="37"/>
    </row>
    <row r="41" spans="1:8" x14ac:dyDescent="0.35">
      <c r="A41" s="37"/>
      <c r="B41" s="37"/>
      <c r="C41" s="37"/>
      <c r="D41" s="37"/>
      <c r="E41" s="37"/>
      <c r="F41" s="37"/>
      <c r="G41" s="37"/>
      <c r="H41" s="37"/>
    </row>
    <row r="42" spans="1:8" x14ac:dyDescent="0.35">
      <c r="A42" s="37"/>
      <c r="B42" s="37"/>
      <c r="C42" s="37"/>
      <c r="D42" s="37"/>
      <c r="E42" s="37"/>
      <c r="F42" s="37"/>
      <c r="G42" s="37"/>
      <c r="H42" s="37"/>
    </row>
    <row r="43" spans="1:8" x14ac:dyDescent="0.35">
      <c r="A43" s="37"/>
      <c r="B43" s="37"/>
      <c r="C43" s="37"/>
      <c r="D43" s="37"/>
      <c r="E43" s="37"/>
      <c r="F43" s="37"/>
      <c r="G43" s="37"/>
      <c r="H43" s="37"/>
    </row>
    <row r="44" spans="1:8" x14ac:dyDescent="0.35">
      <c r="A44" s="37"/>
      <c r="B44" s="37"/>
      <c r="C44" s="37"/>
      <c r="D44" s="37"/>
      <c r="E44" s="37"/>
      <c r="F44" s="37"/>
      <c r="G44" s="37"/>
      <c r="H44" s="37"/>
    </row>
    <row r="45" spans="1:8" x14ac:dyDescent="0.35">
      <c r="A45" s="37"/>
      <c r="B45" s="37"/>
      <c r="C45" s="37"/>
      <c r="D45" s="37"/>
      <c r="E45" s="37"/>
      <c r="F45" s="37"/>
      <c r="G45" s="37"/>
      <c r="H45" s="37"/>
    </row>
    <row r="46" spans="1:8" x14ac:dyDescent="0.35">
      <c r="A46" s="37"/>
      <c r="B46" s="37"/>
      <c r="C46" s="37"/>
      <c r="D46" s="37"/>
      <c r="E46" s="37"/>
      <c r="F46" s="37"/>
      <c r="G46" s="37"/>
      <c r="H46" s="37"/>
    </row>
  </sheetData>
  <sheetProtection algorithmName="SHA-512" hashValue="xUrVKpRiJv5YRX6AT7u+/NBP2Z7PIrwX1Xok24REhw09nX2PUQvTNYKBIxUJK7Vt4vPDfFtubzyUSWE1KPlx0g==" saltValue="FIMDe0hKVyXX2uUczy9gYA==" spinCount="100000" sheet="1" objects="1" scenarios="1"/>
  <pageMargins left="0.7" right="0.7" top="0.75" bottom="0.75" header="0.3" footer="0.3"/>
  <pageSetup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9E0D-2E72-4063-B925-CB54C022F427}">
  <dimension ref="A3:C85"/>
  <sheetViews>
    <sheetView workbookViewId="0">
      <selection activeCell="K31" sqref="K31"/>
    </sheetView>
  </sheetViews>
  <sheetFormatPr defaultRowHeight="14.5" x14ac:dyDescent="0.35"/>
  <cols>
    <col min="1" max="1" width="6.7265625" customWidth="1"/>
  </cols>
  <sheetData>
    <row r="3" spans="1:3" ht="16" x14ac:dyDescent="0.5">
      <c r="A3" s="21" t="s">
        <v>13</v>
      </c>
      <c r="B3" s="21" t="s">
        <v>9</v>
      </c>
      <c r="C3" s="21" t="s">
        <v>12</v>
      </c>
    </row>
    <row r="4" spans="1:3" x14ac:dyDescent="0.35">
      <c r="A4" s="1">
        <v>0.5</v>
      </c>
      <c r="B4" s="1">
        <v>2025</v>
      </c>
      <c r="C4" s="22">
        <f>IF(A4&gt;=30,'4044 Yield Curves - 2024'!$H$66,_xlfn.XLOOKUP('4044 Discount Rates'!A4,'4044 Yield Curves - 2024'!$B$7:$B$66,'4044 Yield Curves - 2024'!$H$7:$H$66))</f>
        <v>4.7899999999999998E-2</v>
      </c>
    </row>
    <row r="5" spans="1:3" x14ac:dyDescent="0.35">
      <c r="A5" s="1">
        <f>A4+1</f>
        <v>1.5</v>
      </c>
      <c r="B5" s="1">
        <f>B4+1</f>
        <v>2026</v>
      </c>
      <c r="C5" s="22">
        <f>IF(A5&gt;=30,'4044 Yield Curves - 2024'!$H$66,_xlfn.XLOOKUP('4044 Discount Rates'!A5,'4044 Yield Curves - 2024'!$B$7:$B$66,'4044 Yield Curves - 2024'!$H$7:$H$66))</f>
        <v>4.82E-2</v>
      </c>
    </row>
    <row r="6" spans="1:3" x14ac:dyDescent="0.35">
      <c r="A6" s="1">
        <f t="shared" ref="A6:A23" si="0">A5+1</f>
        <v>2.5</v>
      </c>
      <c r="B6" s="1">
        <f t="shared" ref="B6:B23" si="1">B5+1</f>
        <v>2027</v>
      </c>
      <c r="C6" s="22">
        <f>IF(A6&gt;=30,'4044 Yield Curves - 2024'!$H$66,_xlfn.XLOOKUP('4044 Discount Rates'!A6,'4044 Yield Curves - 2024'!$B$7:$B$66,'4044 Yield Curves - 2024'!$H$7:$H$66))</f>
        <v>4.8799999999999996E-2</v>
      </c>
    </row>
    <row r="7" spans="1:3" x14ac:dyDescent="0.35">
      <c r="A7" s="1">
        <f t="shared" si="0"/>
        <v>3.5</v>
      </c>
      <c r="B7" s="1">
        <f t="shared" si="1"/>
        <v>2028</v>
      </c>
      <c r="C7" s="22">
        <f>IF(A7&gt;=30,'4044 Yield Curves - 2024'!$H$66,_xlfn.XLOOKUP('4044 Discount Rates'!A7,'4044 Yield Curves - 2024'!$B$7:$B$66,'4044 Yield Curves - 2024'!$H$7:$H$66))</f>
        <v>4.9499999999999995E-2</v>
      </c>
    </row>
    <row r="8" spans="1:3" x14ac:dyDescent="0.35">
      <c r="A8" s="1">
        <f t="shared" si="0"/>
        <v>4.5</v>
      </c>
      <c r="B8" s="1">
        <f t="shared" si="1"/>
        <v>2029</v>
      </c>
      <c r="C8" s="22">
        <f>IF(A8&gt;=30,'4044 Yield Curves - 2024'!$H$66,_xlfn.XLOOKUP('4044 Discount Rates'!A8,'4044 Yield Curves - 2024'!$B$7:$B$66,'4044 Yield Curves - 2024'!$H$7:$H$66))</f>
        <v>5.0299999999999997E-2</v>
      </c>
    </row>
    <row r="9" spans="1:3" x14ac:dyDescent="0.35">
      <c r="A9" s="1">
        <f t="shared" si="0"/>
        <v>5.5</v>
      </c>
      <c r="B9" s="1">
        <f t="shared" si="1"/>
        <v>2030</v>
      </c>
      <c r="C9" s="22">
        <f>IF(A9&gt;=30,'4044 Yield Curves - 2024'!$H$66,_xlfn.XLOOKUP('4044 Discount Rates'!A9,'4044 Yield Curves - 2024'!$B$7:$B$66,'4044 Yield Curves - 2024'!$H$7:$H$66))</f>
        <v>5.1000000000000004E-2</v>
      </c>
    </row>
    <row r="10" spans="1:3" x14ac:dyDescent="0.35">
      <c r="A10" s="1">
        <f t="shared" si="0"/>
        <v>6.5</v>
      </c>
      <c r="B10" s="1">
        <f t="shared" si="1"/>
        <v>2031</v>
      </c>
      <c r="C10" s="22">
        <f>IF(A10&gt;=30,'4044 Yield Curves - 2024'!$H$66,_xlfn.XLOOKUP('4044 Discount Rates'!A10,'4044 Yield Curves - 2024'!$B$7:$B$66,'4044 Yield Curves - 2024'!$H$7:$H$66))</f>
        <v>5.1799999999999999E-2</v>
      </c>
    </row>
    <row r="11" spans="1:3" x14ac:dyDescent="0.35">
      <c r="A11" s="1">
        <f t="shared" si="0"/>
        <v>7.5</v>
      </c>
      <c r="B11" s="1">
        <f t="shared" si="1"/>
        <v>2032</v>
      </c>
      <c r="C11" s="22">
        <f>IF(A11&gt;=30,'4044 Yield Curves - 2024'!$H$66,_xlfn.XLOOKUP('4044 Discount Rates'!A11,'4044 Yield Curves - 2024'!$B$7:$B$66,'4044 Yield Curves - 2024'!$H$7:$H$66))</f>
        <v>5.2600000000000001E-2</v>
      </c>
    </row>
    <row r="12" spans="1:3" x14ac:dyDescent="0.35">
      <c r="A12" s="1">
        <f t="shared" si="0"/>
        <v>8.5</v>
      </c>
      <c r="B12" s="1">
        <f t="shared" si="1"/>
        <v>2033</v>
      </c>
      <c r="C12" s="22">
        <f>IF(A12&gt;=30,'4044 Yield Curves - 2024'!$H$66,_xlfn.XLOOKUP('4044 Discount Rates'!A12,'4044 Yield Curves - 2024'!$B$7:$B$66,'4044 Yield Curves - 2024'!$H$7:$H$66))</f>
        <v>5.33E-2</v>
      </c>
    </row>
    <row r="13" spans="1:3" x14ac:dyDescent="0.35">
      <c r="A13" s="1">
        <f t="shared" si="0"/>
        <v>9.5</v>
      </c>
      <c r="B13" s="1">
        <f t="shared" si="1"/>
        <v>2034</v>
      </c>
      <c r="C13" s="22">
        <f>IF(A13&gt;=30,'4044 Yield Curves - 2024'!$H$66,_xlfn.XLOOKUP('4044 Discount Rates'!A13,'4044 Yield Curves - 2024'!$B$7:$B$66,'4044 Yield Curves - 2024'!$H$7:$H$66))</f>
        <v>5.3900000000000003E-2</v>
      </c>
    </row>
    <row r="14" spans="1:3" x14ac:dyDescent="0.35">
      <c r="A14" s="1">
        <f t="shared" si="0"/>
        <v>10.5</v>
      </c>
      <c r="B14" s="1">
        <f t="shared" si="1"/>
        <v>2035</v>
      </c>
      <c r="C14" s="22">
        <f>IF(A14&gt;=30,'4044 Yield Curves - 2024'!$H$66,_xlfn.XLOOKUP('4044 Discount Rates'!A14,'4044 Yield Curves - 2024'!$B$7:$B$66,'4044 Yield Curves - 2024'!$H$7:$H$66))</f>
        <v>5.4400000000000004E-2</v>
      </c>
    </row>
    <row r="15" spans="1:3" x14ac:dyDescent="0.35">
      <c r="A15" s="1">
        <f t="shared" si="0"/>
        <v>11.5</v>
      </c>
      <c r="B15" s="1">
        <f t="shared" si="1"/>
        <v>2036</v>
      </c>
      <c r="C15" s="22">
        <f>IF(A15&gt;=30,'4044 Yield Curves - 2024'!$H$66,_xlfn.XLOOKUP('4044 Discount Rates'!A15,'4044 Yield Curves - 2024'!$B$7:$B$66,'4044 Yield Curves - 2024'!$H$7:$H$66))</f>
        <v>5.5E-2</v>
      </c>
    </row>
    <row r="16" spans="1:3" x14ac:dyDescent="0.35">
      <c r="A16" s="1">
        <f t="shared" si="0"/>
        <v>12.5</v>
      </c>
      <c r="B16" s="1">
        <f t="shared" si="1"/>
        <v>2037</v>
      </c>
      <c r="C16" s="22">
        <f>IF(A16&gt;=30,'4044 Yield Curves - 2024'!$H$66,_xlfn.XLOOKUP('4044 Discount Rates'!A16,'4044 Yield Curves - 2024'!$B$7:$B$66,'4044 Yield Curves - 2024'!$H$7:$H$66))</f>
        <v>5.5600000000000004E-2</v>
      </c>
    </row>
    <row r="17" spans="1:3" x14ac:dyDescent="0.35">
      <c r="A17" s="1">
        <f t="shared" si="0"/>
        <v>13.5</v>
      </c>
      <c r="B17" s="1">
        <f t="shared" si="1"/>
        <v>2038</v>
      </c>
      <c r="C17" s="22">
        <f>IF(A17&gt;=30,'4044 Yield Curves - 2024'!$H$66,_xlfn.XLOOKUP('4044 Discount Rates'!A17,'4044 Yield Curves - 2024'!$B$7:$B$66,'4044 Yield Curves - 2024'!$H$7:$H$66))</f>
        <v>5.6000000000000001E-2</v>
      </c>
    </row>
    <row r="18" spans="1:3" x14ac:dyDescent="0.35">
      <c r="A18" s="1">
        <f t="shared" si="0"/>
        <v>14.5</v>
      </c>
      <c r="B18" s="1">
        <f t="shared" si="1"/>
        <v>2039</v>
      </c>
      <c r="C18" s="22">
        <f>IF(A18&gt;=30,'4044 Yield Curves - 2024'!$H$66,_xlfn.XLOOKUP('4044 Discount Rates'!A18,'4044 Yield Curves - 2024'!$B$7:$B$66,'4044 Yield Curves - 2024'!$H$7:$H$66))</f>
        <v>5.6500000000000002E-2</v>
      </c>
    </row>
    <row r="19" spans="1:3" x14ac:dyDescent="0.35">
      <c r="A19" s="1">
        <f t="shared" si="0"/>
        <v>15.5</v>
      </c>
      <c r="B19" s="1">
        <f t="shared" si="1"/>
        <v>2040</v>
      </c>
      <c r="C19" s="22">
        <f>IF(A19&gt;=30,'4044 Yield Curves - 2024'!$H$66,_xlfn.XLOOKUP('4044 Discount Rates'!A19,'4044 Yield Curves - 2024'!$B$7:$B$66,'4044 Yield Curves - 2024'!$H$7:$H$66))</f>
        <v>5.7000000000000002E-2</v>
      </c>
    </row>
    <row r="20" spans="1:3" x14ac:dyDescent="0.35">
      <c r="A20" s="1">
        <f t="shared" si="0"/>
        <v>16.5</v>
      </c>
      <c r="B20" s="1">
        <f t="shared" si="1"/>
        <v>2041</v>
      </c>
      <c r="C20" s="22">
        <f>IF(A20&gt;=30,'4044 Yield Curves - 2024'!$H$66,_xlfn.XLOOKUP('4044 Discount Rates'!A20,'4044 Yield Curves - 2024'!$B$7:$B$66,'4044 Yield Curves - 2024'!$H$7:$H$66))</f>
        <v>5.7299999999999997E-2</v>
      </c>
    </row>
    <row r="21" spans="1:3" x14ac:dyDescent="0.35">
      <c r="A21" s="1">
        <f t="shared" si="0"/>
        <v>17.5</v>
      </c>
      <c r="B21" s="1">
        <f t="shared" si="1"/>
        <v>2042</v>
      </c>
      <c r="C21" s="22">
        <f>IF(A21&gt;=30,'4044 Yield Curves - 2024'!$H$66,_xlfn.XLOOKUP('4044 Discount Rates'!A21,'4044 Yield Curves - 2024'!$B$7:$B$66,'4044 Yield Curves - 2024'!$H$7:$H$66))</f>
        <v>5.7700000000000001E-2</v>
      </c>
    </row>
    <row r="22" spans="1:3" x14ac:dyDescent="0.35">
      <c r="A22" s="1">
        <f t="shared" si="0"/>
        <v>18.5</v>
      </c>
      <c r="B22" s="1">
        <f t="shared" si="1"/>
        <v>2043</v>
      </c>
      <c r="C22" s="22">
        <f>IF(A22&gt;=30,'4044 Yield Curves - 2024'!$H$66,_xlfn.XLOOKUP('4044 Discount Rates'!A22,'4044 Yield Curves - 2024'!$B$7:$B$66,'4044 Yield Curves - 2024'!$H$7:$H$66))</f>
        <v>5.79E-2</v>
      </c>
    </row>
    <row r="23" spans="1:3" x14ac:dyDescent="0.35">
      <c r="A23" s="1">
        <f t="shared" si="0"/>
        <v>19.5</v>
      </c>
      <c r="B23" s="1">
        <f t="shared" si="1"/>
        <v>2044</v>
      </c>
      <c r="C23" s="22">
        <f>IF(A23&gt;=30,'4044 Yield Curves - 2024'!$H$66,_xlfn.XLOOKUP('4044 Discount Rates'!A23,'4044 Yield Curves - 2024'!$B$7:$B$66,'4044 Yield Curves - 2024'!$H$7:$H$66))</f>
        <v>5.8000000000000003E-2</v>
      </c>
    </row>
    <row r="24" spans="1:3" x14ac:dyDescent="0.35">
      <c r="A24" s="1">
        <f t="shared" ref="A24:A41" si="2">A23+1</f>
        <v>20.5</v>
      </c>
      <c r="B24" s="1">
        <f t="shared" ref="B24:B41" si="3">B23+1</f>
        <v>2045</v>
      </c>
      <c r="C24" s="22">
        <f>IF(A24&gt;=30,'4044 Yield Curves - 2024'!$H$66,_xlfn.XLOOKUP('4044 Discount Rates'!A24,'4044 Yield Curves - 2024'!$B$7:$B$66,'4044 Yield Curves - 2024'!$H$7:$H$66))</f>
        <v>5.8100000000000006E-2</v>
      </c>
    </row>
    <row r="25" spans="1:3" x14ac:dyDescent="0.35">
      <c r="A25" s="1">
        <f t="shared" si="2"/>
        <v>21.5</v>
      </c>
      <c r="B25" s="1">
        <f t="shared" si="3"/>
        <v>2046</v>
      </c>
      <c r="C25" s="22">
        <f>IF(A25&gt;=30,'4044 Yield Curves - 2024'!$H$66,_xlfn.XLOOKUP('4044 Discount Rates'!A25,'4044 Yield Curves - 2024'!$B$7:$B$66,'4044 Yield Curves - 2024'!$H$7:$H$66))</f>
        <v>5.8200000000000002E-2</v>
      </c>
    </row>
    <row r="26" spans="1:3" x14ac:dyDescent="0.35">
      <c r="A26" s="1">
        <f t="shared" si="2"/>
        <v>22.5</v>
      </c>
      <c r="B26" s="1">
        <f t="shared" si="3"/>
        <v>2047</v>
      </c>
      <c r="C26" s="22">
        <f>IF(A26&gt;=30,'4044 Yield Curves - 2024'!$H$66,_xlfn.XLOOKUP('4044 Discount Rates'!A26,'4044 Yield Curves - 2024'!$B$7:$B$66,'4044 Yield Curves - 2024'!$H$7:$H$66))</f>
        <v>5.8100000000000006E-2</v>
      </c>
    </row>
    <row r="27" spans="1:3" x14ac:dyDescent="0.35">
      <c r="A27" s="1">
        <f t="shared" si="2"/>
        <v>23.5</v>
      </c>
      <c r="B27" s="1">
        <f t="shared" si="3"/>
        <v>2048</v>
      </c>
      <c r="C27" s="22">
        <f>IF(A27&gt;=30,'4044 Yield Curves - 2024'!$H$66,_xlfn.XLOOKUP('4044 Discount Rates'!A27,'4044 Yield Curves - 2024'!$B$7:$B$66,'4044 Yield Curves - 2024'!$H$7:$H$66))</f>
        <v>5.8100000000000006E-2</v>
      </c>
    </row>
    <row r="28" spans="1:3" x14ac:dyDescent="0.35">
      <c r="A28" s="1">
        <f t="shared" si="2"/>
        <v>24.5</v>
      </c>
      <c r="B28" s="1">
        <f t="shared" si="3"/>
        <v>2049</v>
      </c>
      <c r="C28" s="22">
        <f>IF(A28&gt;=30,'4044 Yield Curves - 2024'!$H$66,_xlfn.XLOOKUP('4044 Discount Rates'!A28,'4044 Yield Curves - 2024'!$B$7:$B$66,'4044 Yield Curves - 2024'!$H$7:$H$66))</f>
        <v>5.8000000000000003E-2</v>
      </c>
    </row>
    <row r="29" spans="1:3" x14ac:dyDescent="0.35">
      <c r="A29" s="1">
        <f t="shared" si="2"/>
        <v>25.5</v>
      </c>
      <c r="B29" s="1">
        <f t="shared" si="3"/>
        <v>2050</v>
      </c>
      <c r="C29" s="22">
        <f>IF(A29&gt;=30,'4044 Yield Curves - 2024'!$H$66,_xlfn.XLOOKUP('4044 Discount Rates'!A29,'4044 Yield Curves - 2024'!$B$7:$B$66,'4044 Yield Curves - 2024'!$H$7:$H$66))</f>
        <v>5.79E-2</v>
      </c>
    </row>
    <row r="30" spans="1:3" x14ac:dyDescent="0.35">
      <c r="A30" s="1">
        <f t="shared" si="2"/>
        <v>26.5</v>
      </c>
      <c r="B30" s="1">
        <f t="shared" si="3"/>
        <v>2051</v>
      </c>
      <c r="C30" s="22">
        <f>IF(A30&gt;=30,'4044 Yield Curves - 2024'!$H$66,_xlfn.XLOOKUP('4044 Discount Rates'!A30,'4044 Yield Curves - 2024'!$B$7:$B$66,'4044 Yield Curves - 2024'!$H$7:$H$66))</f>
        <v>5.7800000000000004E-2</v>
      </c>
    </row>
    <row r="31" spans="1:3" x14ac:dyDescent="0.35">
      <c r="A31" s="1">
        <f t="shared" si="2"/>
        <v>27.5</v>
      </c>
      <c r="B31" s="1">
        <f t="shared" si="3"/>
        <v>2052</v>
      </c>
      <c r="C31" s="22">
        <f>IF(A31&gt;=30,'4044 Yield Curves - 2024'!$H$66,_xlfn.XLOOKUP('4044 Discount Rates'!A31,'4044 Yield Curves - 2024'!$B$7:$B$66,'4044 Yield Curves - 2024'!$H$7:$H$66))</f>
        <v>5.7800000000000004E-2</v>
      </c>
    </row>
    <row r="32" spans="1:3" x14ac:dyDescent="0.35">
      <c r="A32" s="1">
        <f t="shared" si="2"/>
        <v>28.5</v>
      </c>
      <c r="B32" s="1">
        <f t="shared" si="3"/>
        <v>2053</v>
      </c>
      <c r="C32" s="22">
        <f>IF(A32&gt;=30,'4044 Yield Curves - 2024'!$H$66,_xlfn.XLOOKUP('4044 Discount Rates'!A32,'4044 Yield Curves - 2024'!$B$7:$B$66,'4044 Yield Curves - 2024'!$H$7:$H$66))</f>
        <v>5.7800000000000004E-2</v>
      </c>
    </row>
    <row r="33" spans="1:3" x14ac:dyDescent="0.35">
      <c r="A33" s="1">
        <f t="shared" si="2"/>
        <v>29.5</v>
      </c>
      <c r="B33" s="1">
        <f t="shared" si="3"/>
        <v>2054</v>
      </c>
      <c r="C33" s="22">
        <f>IF(A33&gt;=30,'4044 Yield Curves - 2024'!$H$66,_xlfn.XLOOKUP('4044 Discount Rates'!A33,'4044 Yield Curves - 2024'!$B$7:$B$66,'4044 Yield Curves - 2024'!$H$7:$H$66))</f>
        <v>5.7800000000000004E-2</v>
      </c>
    </row>
    <row r="34" spans="1:3" x14ac:dyDescent="0.35">
      <c r="A34" s="1">
        <f t="shared" si="2"/>
        <v>30.5</v>
      </c>
      <c r="B34" s="1">
        <f t="shared" si="3"/>
        <v>2055</v>
      </c>
      <c r="C34" s="22">
        <f>IF(A34&gt;=30,'4044 Yield Curves - 2024'!$H$66,_xlfn.XLOOKUP('4044 Discount Rates'!A34,'4044 Yield Curves - 2024'!$B$7:$B$66,'4044 Yield Curves - 2024'!$H$7:$H$66))</f>
        <v>5.7800000000000004E-2</v>
      </c>
    </row>
    <row r="35" spans="1:3" x14ac:dyDescent="0.35">
      <c r="A35" s="1">
        <f t="shared" si="2"/>
        <v>31.5</v>
      </c>
      <c r="B35" s="1">
        <f t="shared" si="3"/>
        <v>2056</v>
      </c>
      <c r="C35" s="22">
        <f>IF(A35&gt;=30,'4044 Yield Curves - 2024'!$H$66,_xlfn.XLOOKUP('4044 Discount Rates'!A35,'4044 Yield Curves - 2024'!$B$7:$B$66,'4044 Yield Curves - 2024'!$H$7:$H$66))</f>
        <v>5.7800000000000004E-2</v>
      </c>
    </row>
    <row r="36" spans="1:3" x14ac:dyDescent="0.35">
      <c r="A36" s="1">
        <f t="shared" si="2"/>
        <v>32.5</v>
      </c>
      <c r="B36" s="1">
        <f t="shared" si="3"/>
        <v>2057</v>
      </c>
      <c r="C36" s="22">
        <f>IF(A36&gt;=30,'4044 Yield Curves - 2024'!$H$66,_xlfn.XLOOKUP('4044 Discount Rates'!A36,'4044 Yield Curves - 2024'!$B$7:$B$66,'4044 Yield Curves - 2024'!$H$7:$H$66))</f>
        <v>5.7800000000000004E-2</v>
      </c>
    </row>
    <row r="37" spans="1:3" x14ac:dyDescent="0.35">
      <c r="A37" s="1">
        <f t="shared" si="2"/>
        <v>33.5</v>
      </c>
      <c r="B37" s="1">
        <f t="shared" si="3"/>
        <v>2058</v>
      </c>
      <c r="C37" s="22">
        <f>IF(A37&gt;=30,'4044 Yield Curves - 2024'!$H$66,_xlfn.XLOOKUP('4044 Discount Rates'!A37,'4044 Yield Curves - 2024'!$B$7:$B$66,'4044 Yield Curves - 2024'!$H$7:$H$66))</f>
        <v>5.7800000000000004E-2</v>
      </c>
    </row>
    <row r="38" spans="1:3" x14ac:dyDescent="0.35">
      <c r="A38" s="1">
        <f t="shared" si="2"/>
        <v>34.5</v>
      </c>
      <c r="B38" s="1">
        <f t="shared" si="3"/>
        <v>2059</v>
      </c>
      <c r="C38" s="22">
        <f>IF(A38&gt;=30,'4044 Yield Curves - 2024'!$H$66,_xlfn.XLOOKUP('4044 Discount Rates'!A38,'4044 Yield Curves - 2024'!$B$7:$B$66,'4044 Yield Curves - 2024'!$H$7:$H$66))</f>
        <v>5.7800000000000004E-2</v>
      </c>
    </row>
    <row r="39" spans="1:3" x14ac:dyDescent="0.35">
      <c r="A39" s="1">
        <f t="shared" si="2"/>
        <v>35.5</v>
      </c>
      <c r="B39" s="1">
        <f t="shared" si="3"/>
        <v>2060</v>
      </c>
      <c r="C39" s="22">
        <f>IF(A39&gt;=30,'4044 Yield Curves - 2024'!$H$66,_xlfn.XLOOKUP('4044 Discount Rates'!A39,'4044 Yield Curves - 2024'!$B$7:$B$66,'4044 Yield Curves - 2024'!$H$7:$H$66))</f>
        <v>5.7800000000000004E-2</v>
      </c>
    </row>
    <row r="40" spans="1:3" x14ac:dyDescent="0.35">
      <c r="A40" s="1">
        <f t="shared" si="2"/>
        <v>36.5</v>
      </c>
      <c r="B40" s="1">
        <f t="shared" si="3"/>
        <v>2061</v>
      </c>
      <c r="C40" s="22">
        <f>IF(A40&gt;=30,'4044 Yield Curves - 2024'!$H$66,_xlfn.XLOOKUP('4044 Discount Rates'!A40,'4044 Yield Curves - 2024'!$B$7:$B$66,'4044 Yield Curves - 2024'!$H$7:$H$66))</f>
        <v>5.7800000000000004E-2</v>
      </c>
    </row>
    <row r="41" spans="1:3" x14ac:dyDescent="0.35">
      <c r="A41" s="1">
        <f t="shared" si="2"/>
        <v>37.5</v>
      </c>
      <c r="B41" s="1">
        <f t="shared" si="3"/>
        <v>2062</v>
      </c>
      <c r="C41" s="22">
        <f>IF(A41&gt;=30,'4044 Yield Curves - 2024'!$H$66,_xlfn.XLOOKUP('4044 Discount Rates'!A41,'4044 Yield Curves - 2024'!$B$7:$B$66,'4044 Yield Curves - 2024'!$H$7:$H$66))</f>
        <v>5.7800000000000004E-2</v>
      </c>
    </row>
    <row r="42" spans="1:3" x14ac:dyDescent="0.35">
      <c r="A42" s="1">
        <f t="shared" ref="A42:A54" si="4">A41+1</f>
        <v>38.5</v>
      </c>
      <c r="B42" s="1">
        <f t="shared" ref="B42:B54" si="5">B41+1</f>
        <v>2063</v>
      </c>
      <c r="C42" s="22">
        <f>IF(A42&gt;=30,'4044 Yield Curves - 2024'!$H$66,_xlfn.XLOOKUP('4044 Discount Rates'!A42,'4044 Yield Curves - 2024'!$B$7:$B$66,'4044 Yield Curves - 2024'!$H$7:$H$66))</f>
        <v>5.7800000000000004E-2</v>
      </c>
    </row>
    <row r="43" spans="1:3" x14ac:dyDescent="0.35">
      <c r="A43" s="1">
        <f t="shared" si="4"/>
        <v>39.5</v>
      </c>
      <c r="B43" s="1">
        <f t="shared" si="5"/>
        <v>2064</v>
      </c>
      <c r="C43" s="22">
        <f>IF(A43&gt;=30,'4044 Yield Curves - 2024'!$H$66,_xlfn.XLOOKUP('4044 Discount Rates'!A43,'4044 Yield Curves - 2024'!$B$7:$B$66,'4044 Yield Curves - 2024'!$H$7:$H$66))</f>
        <v>5.7800000000000004E-2</v>
      </c>
    </row>
    <row r="44" spans="1:3" x14ac:dyDescent="0.35">
      <c r="A44" s="1">
        <f t="shared" si="4"/>
        <v>40.5</v>
      </c>
      <c r="B44" s="1">
        <f t="shared" si="5"/>
        <v>2065</v>
      </c>
      <c r="C44" s="22">
        <f>IF(A44&gt;=30,'4044 Yield Curves - 2024'!$H$66,_xlfn.XLOOKUP('4044 Discount Rates'!A44,'4044 Yield Curves - 2024'!$B$7:$B$66,'4044 Yield Curves - 2024'!$H$7:$H$66))</f>
        <v>5.7800000000000004E-2</v>
      </c>
    </row>
    <row r="45" spans="1:3" x14ac:dyDescent="0.35">
      <c r="A45" s="1">
        <f t="shared" si="4"/>
        <v>41.5</v>
      </c>
      <c r="B45" s="1">
        <f t="shared" si="5"/>
        <v>2066</v>
      </c>
      <c r="C45" s="22">
        <f>IF(A45&gt;=30,'4044 Yield Curves - 2024'!$H$66,_xlfn.XLOOKUP('4044 Discount Rates'!A45,'4044 Yield Curves - 2024'!$B$7:$B$66,'4044 Yield Curves - 2024'!$H$7:$H$66))</f>
        <v>5.7800000000000004E-2</v>
      </c>
    </row>
    <row r="46" spans="1:3" x14ac:dyDescent="0.35">
      <c r="A46" s="1">
        <f t="shared" si="4"/>
        <v>42.5</v>
      </c>
      <c r="B46" s="1">
        <f t="shared" si="5"/>
        <v>2067</v>
      </c>
      <c r="C46" s="22">
        <f>IF(A46&gt;=30,'4044 Yield Curves - 2024'!$H$66,_xlfn.XLOOKUP('4044 Discount Rates'!A46,'4044 Yield Curves - 2024'!$B$7:$B$66,'4044 Yield Curves - 2024'!$H$7:$H$66))</f>
        <v>5.7800000000000004E-2</v>
      </c>
    </row>
    <row r="47" spans="1:3" x14ac:dyDescent="0.35">
      <c r="A47" s="1">
        <f t="shared" si="4"/>
        <v>43.5</v>
      </c>
      <c r="B47" s="1">
        <f t="shared" si="5"/>
        <v>2068</v>
      </c>
      <c r="C47" s="22">
        <f>IF(A47&gt;=30,'4044 Yield Curves - 2024'!$H$66,_xlfn.XLOOKUP('4044 Discount Rates'!A47,'4044 Yield Curves - 2024'!$B$7:$B$66,'4044 Yield Curves - 2024'!$H$7:$H$66))</f>
        <v>5.7800000000000004E-2</v>
      </c>
    </row>
    <row r="48" spans="1:3" x14ac:dyDescent="0.35">
      <c r="A48" s="1">
        <f t="shared" si="4"/>
        <v>44.5</v>
      </c>
      <c r="B48" s="1">
        <f t="shared" si="5"/>
        <v>2069</v>
      </c>
      <c r="C48" s="22">
        <f>IF(A48&gt;=30,'4044 Yield Curves - 2024'!$H$66,_xlfn.XLOOKUP('4044 Discount Rates'!A48,'4044 Yield Curves - 2024'!$B$7:$B$66,'4044 Yield Curves - 2024'!$H$7:$H$66))</f>
        <v>5.7800000000000004E-2</v>
      </c>
    </row>
    <row r="49" spans="1:3" x14ac:dyDescent="0.35">
      <c r="A49" s="1">
        <f t="shared" si="4"/>
        <v>45.5</v>
      </c>
      <c r="B49" s="1">
        <f t="shared" si="5"/>
        <v>2070</v>
      </c>
      <c r="C49" s="22">
        <f>IF(A49&gt;=30,'4044 Yield Curves - 2024'!$H$66,_xlfn.XLOOKUP('4044 Discount Rates'!A49,'4044 Yield Curves - 2024'!$B$7:$B$66,'4044 Yield Curves - 2024'!$H$7:$H$66))</f>
        <v>5.7800000000000004E-2</v>
      </c>
    </row>
    <row r="50" spans="1:3" x14ac:dyDescent="0.35">
      <c r="A50" s="1">
        <f t="shared" si="4"/>
        <v>46.5</v>
      </c>
      <c r="B50" s="1">
        <f t="shared" si="5"/>
        <v>2071</v>
      </c>
      <c r="C50" s="22">
        <f>IF(A50&gt;=30,'4044 Yield Curves - 2024'!$H$66,_xlfn.XLOOKUP('4044 Discount Rates'!A50,'4044 Yield Curves - 2024'!$B$7:$B$66,'4044 Yield Curves - 2024'!$H$7:$H$66))</f>
        <v>5.7800000000000004E-2</v>
      </c>
    </row>
    <row r="51" spans="1:3" x14ac:dyDescent="0.35">
      <c r="A51" s="1">
        <f t="shared" si="4"/>
        <v>47.5</v>
      </c>
      <c r="B51" s="1">
        <f t="shared" si="5"/>
        <v>2072</v>
      </c>
      <c r="C51" s="22">
        <f>IF(A51&gt;=30,'4044 Yield Curves - 2024'!$H$66,_xlfn.XLOOKUP('4044 Discount Rates'!A51,'4044 Yield Curves - 2024'!$B$7:$B$66,'4044 Yield Curves - 2024'!$H$7:$H$66))</f>
        <v>5.7800000000000004E-2</v>
      </c>
    </row>
    <row r="52" spans="1:3" x14ac:dyDescent="0.35">
      <c r="A52" s="1">
        <f t="shared" si="4"/>
        <v>48.5</v>
      </c>
      <c r="B52" s="1">
        <f t="shared" si="5"/>
        <v>2073</v>
      </c>
      <c r="C52" s="22">
        <f>IF(A52&gt;=30,'4044 Yield Curves - 2024'!$H$66,_xlfn.XLOOKUP('4044 Discount Rates'!A52,'4044 Yield Curves - 2024'!$B$7:$B$66,'4044 Yield Curves - 2024'!$H$7:$H$66))</f>
        <v>5.7800000000000004E-2</v>
      </c>
    </row>
    <row r="53" spans="1:3" x14ac:dyDescent="0.35">
      <c r="A53" s="1">
        <f t="shared" si="4"/>
        <v>49.5</v>
      </c>
      <c r="B53" s="1">
        <f t="shared" si="5"/>
        <v>2074</v>
      </c>
      <c r="C53" s="22">
        <f>IF(A53&gt;=30,'4044 Yield Curves - 2024'!$H$66,_xlfn.XLOOKUP('4044 Discount Rates'!A53,'4044 Yield Curves - 2024'!$B$7:$B$66,'4044 Yield Curves - 2024'!$H$7:$H$66))</f>
        <v>5.7800000000000004E-2</v>
      </c>
    </row>
    <row r="54" spans="1:3" x14ac:dyDescent="0.35">
      <c r="A54" s="1">
        <f t="shared" si="4"/>
        <v>50.5</v>
      </c>
      <c r="B54" s="1">
        <f t="shared" si="5"/>
        <v>2075</v>
      </c>
      <c r="C54" s="22">
        <f>IF(A54&gt;=30,'4044 Yield Curves - 2024'!$H$66,_xlfn.XLOOKUP('4044 Discount Rates'!A54,'4044 Yield Curves - 2024'!$B$7:$B$66,'4044 Yield Curves - 2024'!$H$7:$H$66))</f>
        <v>5.7800000000000004E-2</v>
      </c>
    </row>
    <row r="55" spans="1:3" x14ac:dyDescent="0.35">
      <c r="A55" s="1"/>
      <c r="B55" s="1"/>
      <c r="C55" s="22"/>
    </row>
    <row r="56" spans="1:3" x14ac:dyDescent="0.35">
      <c r="A56" s="1"/>
      <c r="B56" s="1"/>
      <c r="C56" s="22"/>
    </row>
    <row r="57" spans="1:3" x14ac:dyDescent="0.35">
      <c r="A57" s="1"/>
      <c r="B57" s="1"/>
      <c r="C57" s="22"/>
    </row>
    <row r="58" spans="1:3" x14ac:dyDescent="0.35">
      <c r="A58" s="1"/>
      <c r="B58" s="1"/>
      <c r="C58" s="22"/>
    </row>
    <row r="59" spans="1:3" x14ac:dyDescent="0.35">
      <c r="A59" s="1"/>
      <c r="B59" s="1"/>
      <c r="C59" s="22"/>
    </row>
    <row r="60" spans="1:3" x14ac:dyDescent="0.35">
      <c r="A60" s="1"/>
      <c r="B60" s="1"/>
      <c r="C60" s="22"/>
    </row>
    <row r="61" spans="1:3" x14ac:dyDescent="0.35">
      <c r="A61" s="1"/>
      <c r="B61" s="1"/>
      <c r="C61" s="22"/>
    </row>
    <row r="62" spans="1:3" x14ac:dyDescent="0.35">
      <c r="A62" s="1"/>
      <c r="B62" s="1"/>
      <c r="C62" s="22"/>
    </row>
    <row r="63" spans="1:3" x14ac:dyDescent="0.35">
      <c r="A63" s="1"/>
      <c r="B63" s="1"/>
      <c r="C63" s="22"/>
    </row>
    <row r="64" spans="1:3" x14ac:dyDescent="0.35">
      <c r="A64" s="1"/>
      <c r="B64" s="1"/>
      <c r="C64" s="22"/>
    </row>
    <row r="65" spans="1:3" x14ac:dyDescent="0.35">
      <c r="A65" s="1"/>
      <c r="B65" s="1"/>
      <c r="C65" s="22"/>
    </row>
    <row r="66" spans="1:3" x14ac:dyDescent="0.35">
      <c r="A66" s="1"/>
      <c r="B66" s="1"/>
      <c r="C66" s="22"/>
    </row>
    <row r="67" spans="1:3" x14ac:dyDescent="0.35">
      <c r="A67" s="1"/>
      <c r="B67" s="1"/>
      <c r="C67" s="22"/>
    </row>
    <row r="68" spans="1:3" x14ac:dyDescent="0.35">
      <c r="A68" s="1"/>
      <c r="B68" s="1"/>
      <c r="C68" s="22"/>
    </row>
    <row r="69" spans="1:3" x14ac:dyDescent="0.35">
      <c r="A69" s="1"/>
      <c r="B69" s="1"/>
      <c r="C69" s="22"/>
    </row>
    <row r="70" spans="1:3" x14ac:dyDescent="0.35">
      <c r="A70" s="1"/>
      <c r="B70" s="1"/>
      <c r="C70" s="22"/>
    </row>
    <row r="71" spans="1:3" x14ac:dyDescent="0.35">
      <c r="A71" s="1"/>
      <c r="B71" s="1"/>
      <c r="C71" s="22"/>
    </row>
    <row r="72" spans="1:3" x14ac:dyDescent="0.35">
      <c r="A72" s="1"/>
      <c r="B72" s="1"/>
      <c r="C72" s="22"/>
    </row>
    <row r="73" spans="1:3" x14ac:dyDescent="0.35">
      <c r="A73" s="1"/>
      <c r="B73" s="1"/>
      <c r="C73" s="22"/>
    </row>
    <row r="74" spans="1:3" x14ac:dyDescent="0.35">
      <c r="A74" s="1"/>
      <c r="B74" s="1"/>
      <c r="C74" s="22"/>
    </row>
    <row r="75" spans="1:3" x14ac:dyDescent="0.35">
      <c r="A75" s="1"/>
      <c r="B75" s="1"/>
      <c r="C75" s="22"/>
    </row>
    <row r="76" spans="1:3" x14ac:dyDescent="0.35">
      <c r="A76" s="1"/>
      <c r="B76" s="1"/>
      <c r="C76" s="22"/>
    </row>
    <row r="77" spans="1:3" x14ac:dyDescent="0.35">
      <c r="A77" s="1"/>
      <c r="B77" s="1"/>
      <c r="C77" s="22"/>
    </row>
    <row r="78" spans="1:3" x14ac:dyDescent="0.35">
      <c r="A78" s="1"/>
      <c r="B78" s="1"/>
      <c r="C78" s="22"/>
    </row>
    <row r="79" spans="1:3" x14ac:dyDescent="0.35">
      <c r="A79" s="1"/>
      <c r="B79" s="1"/>
      <c r="C79" s="22"/>
    </row>
    <row r="80" spans="1:3" x14ac:dyDescent="0.35">
      <c r="A80" s="1"/>
      <c r="B80" s="1"/>
      <c r="C80" s="22"/>
    </row>
    <row r="81" spans="1:3" x14ac:dyDescent="0.35">
      <c r="A81" s="1"/>
      <c r="B81" s="1"/>
      <c r="C81" s="22"/>
    </row>
    <row r="82" spans="1:3" x14ac:dyDescent="0.35">
      <c r="A82" s="1"/>
      <c r="B82" s="1"/>
      <c r="C82" s="22"/>
    </row>
    <row r="83" spans="1:3" x14ac:dyDescent="0.35">
      <c r="A83" s="1"/>
      <c r="B83" s="1"/>
      <c r="C83" s="22"/>
    </row>
    <row r="84" spans="1:3" x14ac:dyDescent="0.35">
      <c r="A84" s="1"/>
      <c r="B84" s="1"/>
      <c r="C84" s="22"/>
    </row>
    <row r="85" spans="1:3" x14ac:dyDescent="0.35">
      <c r="A85" s="1"/>
      <c r="B85"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51945-3B52-41CC-AE85-A5EE43E9727A}">
  <dimension ref="A1:K70"/>
  <sheetViews>
    <sheetView workbookViewId="0">
      <selection activeCell="H15" sqref="H15"/>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5</v>
      </c>
      <c r="C1" s="5"/>
      <c r="D1" s="5"/>
      <c r="E1" s="5"/>
      <c r="F1" s="5"/>
      <c r="G1" s="5"/>
      <c r="I1" s="6" t="s">
        <v>6</v>
      </c>
    </row>
    <row r="3" spans="1:10" ht="55" customHeight="1" x14ac:dyDescent="0.3">
      <c r="A3" s="141" t="s">
        <v>7</v>
      </c>
      <c r="B3" s="141"/>
      <c r="C3" s="141"/>
      <c r="D3" s="141"/>
      <c r="E3" s="141"/>
      <c r="F3" s="141"/>
      <c r="G3" s="141"/>
      <c r="H3" s="141"/>
      <c r="I3" s="141"/>
      <c r="J3" s="7"/>
    </row>
    <row r="4" spans="1:10" x14ac:dyDescent="0.3">
      <c r="B4" s="8"/>
      <c r="C4" s="8"/>
      <c r="D4" s="8"/>
      <c r="E4" s="8"/>
      <c r="F4" s="8"/>
      <c r="G4" s="8"/>
      <c r="H4" s="8"/>
    </row>
    <row r="5" spans="1:10" s="9" customFormat="1" ht="27" customHeight="1" x14ac:dyDescent="0.3">
      <c r="B5" s="10">
        <v>2024</v>
      </c>
      <c r="C5" s="142" t="s">
        <v>8</v>
      </c>
      <c r="D5" s="143"/>
      <c r="E5" s="143"/>
      <c r="F5" s="143"/>
      <c r="G5" s="143"/>
      <c r="H5" s="144"/>
    </row>
    <row r="6" spans="1:10" s="9" customFormat="1" ht="20" customHeight="1" x14ac:dyDescent="0.3">
      <c r="B6" s="11" t="s">
        <v>9</v>
      </c>
      <c r="C6" s="12">
        <f>DATE(B5,7,31)</f>
        <v>45504</v>
      </c>
      <c r="D6" s="12">
        <f>EOMONTH(EDATE(C6,1),0)</f>
        <v>45535</v>
      </c>
      <c r="E6" s="12">
        <f t="shared" ref="E6:H6" si="0">EOMONTH(EDATE(D6,1),0)</f>
        <v>45565</v>
      </c>
      <c r="F6" s="12">
        <f t="shared" si="0"/>
        <v>45596</v>
      </c>
      <c r="G6" s="12">
        <f t="shared" si="0"/>
        <v>45626</v>
      </c>
      <c r="H6" s="12">
        <f t="shared" si="0"/>
        <v>45657</v>
      </c>
    </row>
    <row r="7" spans="1:10" ht="14" customHeight="1" x14ac:dyDescent="0.3">
      <c r="B7" s="13">
        <v>0.5</v>
      </c>
      <c r="C7" s="14">
        <v>5.6099999999999997E-2</v>
      </c>
      <c r="D7" s="14">
        <v>5.21E-2</v>
      </c>
      <c r="E7" s="14">
        <v>4.8000000000000001E-2</v>
      </c>
      <c r="F7" s="14">
        <v>4.9299999999999997E-2</v>
      </c>
      <c r="G7" s="14">
        <v>4.9200000000000001E-2</v>
      </c>
      <c r="H7" s="14">
        <v>4.7899999999999998E-2</v>
      </c>
    </row>
    <row r="8" spans="1:10" x14ac:dyDescent="0.3">
      <c r="B8" s="15">
        <f>B7+0.5</f>
        <v>1</v>
      </c>
      <c r="C8" s="14">
        <v>5.3699999999999998E-2</v>
      </c>
      <c r="D8" s="14">
        <v>4.9700000000000001E-2</v>
      </c>
      <c r="E8" s="14">
        <v>4.5999999999999999E-2</v>
      </c>
      <c r="F8" s="14">
        <v>4.8599999999999997E-2</v>
      </c>
      <c r="G8" s="14">
        <v>4.8499999999999995E-2</v>
      </c>
      <c r="H8" s="14">
        <v>4.7999999999999994E-2</v>
      </c>
    </row>
    <row r="9" spans="1:10" x14ac:dyDescent="0.3">
      <c r="B9" s="15">
        <f t="shared" ref="B9:B65" si="1">B8+0.5</f>
        <v>1.5</v>
      </c>
      <c r="C9" s="14">
        <v>5.1500000000000004E-2</v>
      </c>
      <c r="D9" s="14">
        <v>4.7600000000000003E-2</v>
      </c>
      <c r="E9" s="14">
        <v>4.4299999999999999E-2</v>
      </c>
      <c r="F9" s="14">
        <v>4.7999999999999994E-2</v>
      </c>
      <c r="G9" s="14">
        <v>4.7899999999999998E-2</v>
      </c>
      <c r="H9" s="14">
        <v>4.82E-2</v>
      </c>
    </row>
    <row r="10" spans="1:10" x14ac:dyDescent="0.3">
      <c r="B10" s="15">
        <f t="shared" si="1"/>
        <v>2</v>
      </c>
      <c r="C10" s="14">
        <v>4.99E-2</v>
      </c>
      <c r="D10" s="14">
        <v>4.6100000000000002E-2</v>
      </c>
      <c r="E10" s="14">
        <v>4.3200000000000002E-2</v>
      </c>
      <c r="F10" s="14">
        <v>4.7599999999999996E-2</v>
      </c>
      <c r="G10" s="14">
        <v>4.7399999999999998E-2</v>
      </c>
      <c r="H10" s="14">
        <v>4.8499999999999995E-2</v>
      </c>
    </row>
    <row r="11" spans="1:10" x14ac:dyDescent="0.3">
      <c r="B11" s="15">
        <f t="shared" si="1"/>
        <v>2.5</v>
      </c>
      <c r="C11" s="14">
        <v>4.8899999999999999E-2</v>
      </c>
      <c r="D11" s="14">
        <v>4.5200000000000004E-2</v>
      </c>
      <c r="E11" s="14">
        <v>4.2599999999999999E-2</v>
      </c>
      <c r="F11" s="14">
        <v>4.7500000000000001E-2</v>
      </c>
      <c r="G11" s="14">
        <v>4.7199999999999999E-2</v>
      </c>
      <c r="H11" s="14">
        <v>4.8799999999999996E-2</v>
      </c>
    </row>
    <row r="12" spans="1:10" x14ac:dyDescent="0.3">
      <c r="B12" s="15">
        <f t="shared" si="1"/>
        <v>3</v>
      </c>
      <c r="C12" s="14">
        <v>4.82E-2</v>
      </c>
      <c r="D12" s="14">
        <v>4.48E-2</v>
      </c>
      <c r="E12" s="14">
        <v>4.2500000000000003E-2</v>
      </c>
      <c r="F12" s="14">
        <v>4.7500000000000001E-2</v>
      </c>
      <c r="G12" s="14">
        <v>4.7099999999999996E-2</v>
      </c>
      <c r="H12" s="14">
        <v>4.9200000000000001E-2</v>
      </c>
    </row>
    <row r="13" spans="1:10" x14ac:dyDescent="0.3">
      <c r="B13" s="15">
        <f t="shared" si="1"/>
        <v>3.5</v>
      </c>
      <c r="C13" s="14">
        <v>4.7900000000000005E-2</v>
      </c>
      <c r="D13" s="14">
        <v>4.4700000000000004E-2</v>
      </c>
      <c r="E13" s="14">
        <v>4.2599999999999999E-2</v>
      </c>
      <c r="F13" s="14">
        <v>4.7699999999999999E-2</v>
      </c>
      <c r="G13" s="14">
        <v>4.7199999999999999E-2</v>
      </c>
      <c r="H13" s="14">
        <v>4.9499999999999995E-2</v>
      </c>
    </row>
    <row r="14" spans="1:10" x14ac:dyDescent="0.3">
      <c r="B14" s="15">
        <f t="shared" si="1"/>
        <v>4</v>
      </c>
      <c r="C14" s="14">
        <v>4.7699999999999999E-2</v>
      </c>
      <c r="D14" s="14">
        <v>4.48E-2</v>
      </c>
      <c r="E14" s="14">
        <v>4.2900000000000001E-2</v>
      </c>
      <c r="F14" s="14">
        <v>4.7999999999999994E-2</v>
      </c>
      <c r="G14" s="14">
        <v>4.7299999999999995E-2</v>
      </c>
      <c r="H14" s="14">
        <v>4.99E-2</v>
      </c>
    </row>
    <row r="15" spans="1:10" x14ac:dyDescent="0.3">
      <c r="B15" s="15">
        <f t="shared" si="1"/>
        <v>4.5</v>
      </c>
      <c r="C15" s="14">
        <v>4.7699999999999999E-2</v>
      </c>
      <c r="D15" s="14">
        <v>4.5000000000000005E-2</v>
      </c>
      <c r="E15" s="14">
        <v>4.3200000000000002E-2</v>
      </c>
      <c r="F15" s="14">
        <v>4.82E-2</v>
      </c>
      <c r="G15" s="14">
        <v>4.7500000000000001E-2</v>
      </c>
      <c r="H15" s="14">
        <v>5.0299999999999997E-2</v>
      </c>
    </row>
    <row r="16" spans="1:10" x14ac:dyDescent="0.3">
      <c r="B16" s="15">
        <f t="shared" si="1"/>
        <v>5</v>
      </c>
      <c r="C16" s="14">
        <v>4.7800000000000002E-2</v>
      </c>
      <c r="D16" s="14">
        <v>4.53E-2</v>
      </c>
      <c r="E16" s="14">
        <v>4.36E-2</v>
      </c>
      <c r="F16" s="14">
        <v>4.8499999999999995E-2</v>
      </c>
      <c r="G16" s="14">
        <v>4.7699999999999999E-2</v>
      </c>
      <c r="H16" s="14">
        <v>5.0699999999999995E-2</v>
      </c>
    </row>
    <row r="17" spans="2:8" x14ac:dyDescent="0.3">
      <c r="B17" s="15">
        <f t="shared" si="1"/>
        <v>5.5</v>
      </c>
      <c r="C17" s="14">
        <v>4.8000000000000001E-2</v>
      </c>
      <c r="D17" s="14">
        <v>4.5600000000000002E-2</v>
      </c>
      <c r="E17" s="14">
        <v>4.4000000000000004E-2</v>
      </c>
      <c r="F17" s="14">
        <v>4.87E-2</v>
      </c>
      <c r="G17" s="14">
        <v>4.7800000000000002E-2</v>
      </c>
      <c r="H17" s="14">
        <v>5.1000000000000004E-2</v>
      </c>
    </row>
    <row r="18" spans="2:8" x14ac:dyDescent="0.3">
      <c r="B18" s="15">
        <f t="shared" si="1"/>
        <v>6</v>
      </c>
      <c r="C18" s="14">
        <v>4.8300000000000003E-2</v>
      </c>
      <c r="D18" s="14">
        <v>4.5900000000000003E-2</v>
      </c>
      <c r="E18" s="14">
        <v>4.4400000000000002E-2</v>
      </c>
      <c r="F18" s="14">
        <v>4.9100000000000005E-2</v>
      </c>
      <c r="G18" s="14">
        <v>4.8100000000000004E-2</v>
      </c>
      <c r="H18" s="14">
        <v>5.1400000000000001E-2</v>
      </c>
    </row>
    <row r="19" spans="2:8" x14ac:dyDescent="0.3">
      <c r="B19" s="15">
        <f t="shared" si="1"/>
        <v>6.5</v>
      </c>
      <c r="C19" s="14">
        <v>4.8500000000000001E-2</v>
      </c>
      <c r="D19" s="14">
        <v>4.6300000000000001E-2</v>
      </c>
      <c r="E19" s="14">
        <v>4.4900000000000002E-2</v>
      </c>
      <c r="F19" s="14">
        <v>4.9399999999999999E-2</v>
      </c>
      <c r="G19" s="14">
        <v>4.8399999999999999E-2</v>
      </c>
      <c r="H19" s="14">
        <v>5.1799999999999999E-2</v>
      </c>
    </row>
    <row r="20" spans="2:8" x14ac:dyDescent="0.3">
      <c r="B20" s="15">
        <f t="shared" si="1"/>
        <v>7</v>
      </c>
      <c r="C20" s="14">
        <v>4.8800000000000003E-2</v>
      </c>
      <c r="D20" s="14">
        <v>4.6699999999999998E-2</v>
      </c>
      <c r="E20" s="14">
        <v>4.5200000000000004E-2</v>
      </c>
      <c r="F20" s="14">
        <v>4.9700000000000001E-2</v>
      </c>
      <c r="G20" s="14">
        <v>4.8600000000000004E-2</v>
      </c>
      <c r="H20" s="14">
        <v>5.2200000000000003E-2</v>
      </c>
    </row>
    <row r="21" spans="2:8" x14ac:dyDescent="0.3">
      <c r="B21" s="15">
        <f t="shared" si="1"/>
        <v>7.5</v>
      </c>
      <c r="C21" s="14">
        <v>4.9100000000000005E-2</v>
      </c>
      <c r="D21" s="14">
        <v>4.7100000000000003E-2</v>
      </c>
      <c r="E21" s="14">
        <v>4.5600000000000002E-2</v>
      </c>
      <c r="F21" s="14">
        <v>0.05</v>
      </c>
      <c r="G21" s="14">
        <v>4.9000000000000002E-2</v>
      </c>
      <c r="H21" s="14">
        <v>5.2600000000000001E-2</v>
      </c>
    </row>
    <row r="22" spans="2:8" x14ac:dyDescent="0.3">
      <c r="B22" s="15">
        <f t="shared" si="1"/>
        <v>8</v>
      </c>
      <c r="C22" s="14">
        <v>4.9500000000000002E-2</v>
      </c>
      <c r="D22" s="14">
        <v>4.7400000000000005E-2</v>
      </c>
      <c r="E22" s="14">
        <v>4.5999999999999999E-2</v>
      </c>
      <c r="F22" s="14">
        <v>5.0300000000000004E-2</v>
      </c>
      <c r="G22" s="14">
        <v>4.9200000000000001E-2</v>
      </c>
      <c r="H22" s="14">
        <v>5.2900000000000003E-2</v>
      </c>
    </row>
    <row r="23" spans="2:8" x14ac:dyDescent="0.3">
      <c r="B23" s="15">
        <f t="shared" si="1"/>
        <v>8.5</v>
      </c>
      <c r="C23" s="14">
        <v>4.9700000000000001E-2</v>
      </c>
      <c r="D23" s="14">
        <v>4.7800000000000002E-2</v>
      </c>
      <c r="E23" s="14">
        <v>4.6400000000000004E-2</v>
      </c>
      <c r="F23" s="14">
        <v>5.0599999999999999E-2</v>
      </c>
      <c r="G23" s="14">
        <v>4.9500000000000002E-2</v>
      </c>
      <c r="H23" s="14">
        <v>5.33E-2</v>
      </c>
    </row>
    <row r="24" spans="2:8" x14ac:dyDescent="0.3">
      <c r="B24" s="15">
        <f t="shared" si="1"/>
        <v>9</v>
      </c>
      <c r="C24" s="14">
        <v>5.0099999999999999E-2</v>
      </c>
      <c r="D24" s="14">
        <v>4.8100000000000004E-2</v>
      </c>
      <c r="E24" s="14">
        <v>4.6699999999999998E-2</v>
      </c>
      <c r="F24" s="14">
        <v>5.0900000000000001E-2</v>
      </c>
      <c r="G24" s="14">
        <v>4.9800000000000004E-2</v>
      </c>
      <c r="H24" s="14">
        <v>5.3600000000000002E-2</v>
      </c>
    </row>
    <row r="25" spans="2:8" x14ac:dyDescent="0.3">
      <c r="B25" s="15">
        <f t="shared" si="1"/>
        <v>9.5</v>
      </c>
      <c r="C25" s="14">
        <v>5.0299999999999997E-2</v>
      </c>
      <c r="D25" s="14">
        <v>4.8299999999999996E-2</v>
      </c>
      <c r="E25" s="14">
        <v>4.7E-2</v>
      </c>
      <c r="F25" s="14">
        <v>5.11E-2</v>
      </c>
      <c r="G25" s="14">
        <v>5.0099999999999999E-2</v>
      </c>
      <c r="H25" s="14">
        <v>5.3900000000000003E-2</v>
      </c>
    </row>
    <row r="26" spans="2:8" x14ac:dyDescent="0.3">
      <c r="B26" s="15">
        <f t="shared" si="1"/>
        <v>10</v>
      </c>
      <c r="C26" s="14">
        <v>5.0599999999999999E-2</v>
      </c>
      <c r="D26" s="14">
        <v>4.8599999999999997E-2</v>
      </c>
      <c r="E26" s="14">
        <v>4.7300000000000002E-2</v>
      </c>
      <c r="F26" s="14">
        <v>5.1400000000000001E-2</v>
      </c>
      <c r="G26" s="14">
        <v>5.0300000000000004E-2</v>
      </c>
      <c r="H26" s="14">
        <v>5.4199999999999998E-2</v>
      </c>
    </row>
    <row r="27" spans="2:8" x14ac:dyDescent="0.3">
      <c r="B27" s="15">
        <f t="shared" si="1"/>
        <v>10.5</v>
      </c>
      <c r="C27" s="14">
        <v>5.0900000000000001E-2</v>
      </c>
      <c r="D27" s="14">
        <v>4.8899999999999999E-2</v>
      </c>
      <c r="E27" s="14">
        <v>4.7599999999999996E-2</v>
      </c>
      <c r="F27" s="14">
        <v>5.16E-2</v>
      </c>
      <c r="G27" s="14">
        <v>5.0500000000000003E-2</v>
      </c>
      <c r="H27" s="14">
        <v>5.4400000000000004E-2</v>
      </c>
    </row>
    <row r="28" spans="2:8" x14ac:dyDescent="0.3">
      <c r="B28" s="15">
        <f t="shared" si="1"/>
        <v>11</v>
      </c>
      <c r="C28" s="14">
        <v>5.1200000000000002E-2</v>
      </c>
      <c r="D28" s="14">
        <v>4.9299999999999997E-2</v>
      </c>
      <c r="E28" s="14">
        <v>4.7899999999999998E-2</v>
      </c>
      <c r="F28" s="14">
        <v>5.1900000000000002E-2</v>
      </c>
      <c r="G28" s="14">
        <v>5.0800000000000005E-2</v>
      </c>
      <c r="H28" s="14">
        <v>5.4800000000000001E-2</v>
      </c>
    </row>
    <row r="29" spans="2:8" x14ac:dyDescent="0.3">
      <c r="B29" s="15">
        <f t="shared" si="1"/>
        <v>11.5</v>
      </c>
      <c r="C29" s="14">
        <v>5.1499999999999997E-2</v>
      </c>
      <c r="D29" s="14">
        <v>4.9599999999999998E-2</v>
      </c>
      <c r="E29" s="14">
        <v>4.82E-2</v>
      </c>
      <c r="F29" s="14">
        <v>5.21E-2</v>
      </c>
      <c r="G29" s="14">
        <v>5.11E-2</v>
      </c>
      <c r="H29" s="14">
        <v>5.5E-2</v>
      </c>
    </row>
    <row r="30" spans="2:8" x14ac:dyDescent="0.3">
      <c r="B30" s="15">
        <f t="shared" si="1"/>
        <v>12</v>
      </c>
      <c r="C30" s="14">
        <v>5.1799999999999999E-2</v>
      </c>
      <c r="D30" s="14">
        <v>4.99E-2</v>
      </c>
      <c r="E30" s="14">
        <v>4.8599999999999997E-2</v>
      </c>
      <c r="F30" s="14">
        <v>5.2400000000000002E-2</v>
      </c>
      <c r="G30" s="14">
        <v>5.1400000000000001E-2</v>
      </c>
      <c r="H30" s="14">
        <v>5.5300000000000002E-2</v>
      </c>
    </row>
    <row r="31" spans="2:8" x14ac:dyDescent="0.3">
      <c r="B31" s="15">
        <f t="shared" si="1"/>
        <v>12.5</v>
      </c>
      <c r="C31" s="14">
        <v>5.21E-2</v>
      </c>
      <c r="D31" s="14">
        <v>5.0299999999999997E-2</v>
      </c>
      <c r="E31" s="14">
        <v>4.8899999999999999E-2</v>
      </c>
      <c r="F31" s="14">
        <v>5.2700000000000004E-2</v>
      </c>
      <c r="G31" s="14">
        <v>5.16E-2</v>
      </c>
      <c r="H31" s="14">
        <v>5.5600000000000004E-2</v>
      </c>
    </row>
    <row r="32" spans="2:8" x14ac:dyDescent="0.3">
      <c r="B32" s="15">
        <f t="shared" si="1"/>
        <v>13</v>
      </c>
      <c r="C32" s="14">
        <v>5.2400000000000002E-2</v>
      </c>
      <c r="D32" s="14">
        <v>5.0599999999999999E-2</v>
      </c>
      <c r="E32" s="14">
        <v>4.9200000000000001E-2</v>
      </c>
      <c r="F32" s="14">
        <v>5.2999999999999999E-2</v>
      </c>
      <c r="G32" s="14">
        <v>5.1900000000000002E-2</v>
      </c>
      <c r="H32" s="14">
        <v>5.5899999999999998E-2</v>
      </c>
    </row>
    <row r="33" spans="2:8" x14ac:dyDescent="0.3">
      <c r="B33" s="15">
        <f t="shared" si="1"/>
        <v>13.5</v>
      </c>
      <c r="C33" s="14">
        <v>5.2600000000000001E-2</v>
      </c>
      <c r="D33" s="14">
        <v>5.0800000000000005E-2</v>
      </c>
      <c r="E33" s="14">
        <v>4.9400000000000006E-2</v>
      </c>
      <c r="F33" s="14">
        <v>5.3100000000000001E-2</v>
      </c>
      <c r="G33" s="14">
        <v>5.1999999999999998E-2</v>
      </c>
      <c r="H33" s="14">
        <v>5.6000000000000001E-2</v>
      </c>
    </row>
    <row r="34" spans="2:8" x14ac:dyDescent="0.3">
      <c r="B34" s="15">
        <f t="shared" si="1"/>
        <v>14</v>
      </c>
      <c r="C34" s="14">
        <v>5.2900000000000003E-2</v>
      </c>
      <c r="D34" s="14">
        <v>5.1200000000000002E-2</v>
      </c>
      <c r="E34" s="14">
        <v>4.9700000000000001E-2</v>
      </c>
      <c r="F34" s="14">
        <v>5.3399999999999996E-2</v>
      </c>
      <c r="G34" s="14">
        <v>5.2299999999999999E-2</v>
      </c>
      <c r="H34" s="14">
        <v>5.62E-2</v>
      </c>
    </row>
    <row r="35" spans="2:8" x14ac:dyDescent="0.3">
      <c r="B35" s="15">
        <f t="shared" si="1"/>
        <v>14.5</v>
      </c>
      <c r="C35" s="14">
        <v>5.3200000000000004E-2</v>
      </c>
      <c r="D35" s="14">
        <v>5.1400000000000001E-2</v>
      </c>
      <c r="E35" s="14">
        <v>0.05</v>
      </c>
      <c r="F35" s="14">
        <v>5.3699999999999998E-2</v>
      </c>
      <c r="G35" s="14">
        <v>5.2600000000000001E-2</v>
      </c>
      <c r="H35" s="14">
        <v>5.6500000000000002E-2</v>
      </c>
    </row>
    <row r="36" spans="2:8" x14ac:dyDescent="0.3">
      <c r="B36" s="15">
        <f t="shared" si="1"/>
        <v>15</v>
      </c>
      <c r="C36" s="14">
        <v>5.3400000000000003E-2</v>
      </c>
      <c r="D36" s="14">
        <v>5.1700000000000003E-2</v>
      </c>
      <c r="E36" s="14">
        <v>5.0300000000000004E-2</v>
      </c>
      <c r="F36" s="14">
        <v>5.3899999999999997E-2</v>
      </c>
      <c r="G36" s="14">
        <v>5.28E-2</v>
      </c>
      <c r="H36" s="14">
        <v>5.67E-2</v>
      </c>
    </row>
    <row r="37" spans="2:8" x14ac:dyDescent="0.3">
      <c r="B37" s="15">
        <f t="shared" si="1"/>
        <v>15.5</v>
      </c>
      <c r="C37" s="14">
        <v>5.3700000000000005E-2</v>
      </c>
      <c r="D37" s="14">
        <v>5.2000000000000005E-2</v>
      </c>
      <c r="E37" s="14">
        <v>5.0600000000000006E-2</v>
      </c>
      <c r="F37" s="14">
        <v>5.4199999999999998E-2</v>
      </c>
      <c r="G37" s="14">
        <v>5.2999999999999999E-2</v>
      </c>
      <c r="H37" s="14">
        <v>5.7000000000000002E-2</v>
      </c>
    </row>
    <row r="38" spans="2:8" x14ac:dyDescent="0.3">
      <c r="B38" s="15">
        <f t="shared" si="1"/>
        <v>16</v>
      </c>
      <c r="C38" s="14">
        <v>5.3900000000000003E-2</v>
      </c>
      <c r="D38" s="14">
        <v>5.2300000000000006E-2</v>
      </c>
      <c r="E38" s="14">
        <v>5.0800000000000005E-2</v>
      </c>
      <c r="F38" s="14">
        <v>5.4399999999999997E-2</v>
      </c>
      <c r="G38" s="14">
        <v>5.3199999999999997E-2</v>
      </c>
      <c r="H38" s="14">
        <v>5.7099999999999998E-2</v>
      </c>
    </row>
    <row r="39" spans="2:8" x14ac:dyDescent="0.3">
      <c r="B39" s="15">
        <f t="shared" si="1"/>
        <v>16.5</v>
      </c>
      <c r="C39" s="14">
        <v>5.4100000000000002E-2</v>
      </c>
      <c r="D39" s="14">
        <v>5.2400000000000002E-2</v>
      </c>
      <c r="E39" s="14">
        <v>5.1000000000000004E-2</v>
      </c>
      <c r="F39" s="14">
        <v>5.4599999999999996E-2</v>
      </c>
      <c r="G39" s="14">
        <v>5.3399999999999996E-2</v>
      </c>
      <c r="H39" s="14">
        <v>5.7299999999999997E-2</v>
      </c>
    </row>
    <row r="40" spans="2:8" x14ac:dyDescent="0.3">
      <c r="B40" s="15">
        <f t="shared" si="1"/>
        <v>17</v>
      </c>
      <c r="C40" s="14">
        <v>5.4199999999999998E-2</v>
      </c>
      <c r="D40" s="14">
        <v>5.2600000000000001E-2</v>
      </c>
      <c r="E40" s="14">
        <v>5.1200000000000002E-2</v>
      </c>
      <c r="F40" s="14">
        <v>5.4800000000000001E-2</v>
      </c>
      <c r="G40" s="14">
        <v>5.3600000000000002E-2</v>
      </c>
      <c r="H40" s="14">
        <v>5.7499999999999996E-2</v>
      </c>
    </row>
    <row r="41" spans="2:8" x14ac:dyDescent="0.3">
      <c r="B41" s="15">
        <f t="shared" si="1"/>
        <v>17.5</v>
      </c>
      <c r="C41" s="14">
        <v>5.45E-2</v>
      </c>
      <c r="D41" s="14">
        <v>5.2900000000000003E-2</v>
      </c>
      <c r="E41" s="14">
        <v>5.1499999999999997E-2</v>
      </c>
      <c r="F41" s="14">
        <v>5.5E-2</v>
      </c>
      <c r="G41" s="14">
        <v>5.3699999999999998E-2</v>
      </c>
      <c r="H41" s="14">
        <v>5.7700000000000001E-2</v>
      </c>
    </row>
    <row r="42" spans="2:8" x14ac:dyDescent="0.3">
      <c r="B42" s="15">
        <f t="shared" si="1"/>
        <v>18</v>
      </c>
      <c r="C42" s="14">
        <v>5.4600000000000003E-2</v>
      </c>
      <c r="D42" s="14">
        <v>5.2999999999999999E-2</v>
      </c>
      <c r="E42" s="14">
        <v>5.16E-2</v>
      </c>
      <c r="F42" s="14">
        <v>5.5099999999999996E-2</v>
      </c>
      <c r="G42" s="14">
        <v>5.3899999999999997E-2</v>
      </c>
      <c r="H42" s="14">
        <v>5.7799999999999997E-2</v>
      </c>
    </row>
    <row r="43" spans="2:8" x14ac:dyDescent="0.3">
      <c r="B43" s="15">
        <f t="shared" si="1"/>
        <v>18.5</v>
      </c>
      <c r="C43" s="14">
        <v>5.4800000000000001E-2</v>
      </c>
      <c r="D43" s="14">
        <v>5.3199999999999997E-2</v>
      </c>
      <c r="E43" s="14">
        <v>5.1799999999999999E-2</v>
      </c>
      <c r="F43" s="14">
        <v>5.5199999999999999E-2</v>
      </c>
      <c r="G43" s="14">
        <v>5.3999999999999999E-2</v>
      </c>
      <c r="H43" s="14">
        <v>5.79E-2</v>
      </c>
    </row>
    <row r="44" spans="2:8" x14ac:dyDescent="0.3">
      <c r="B44" s="15">
        <f t="shared" si="1"/>
        <v>19</v>
      </c>
      <c r="C44" s="14">
        <v>5.4899999999999997E-2</v>
      </c>
      <c r="D44" s="14">
        <v>5.3400000000000003E-2</v>
      </c>
      <c r="E44" s="14">
        <v>5.1999999999999998E-2</v>
      </c>
      <c r="F44" s="14">
        <v>5.5300000000000002E-2</v>
      </c>
      <c r="G44" s="14">
        <v>5.4099999999999995E-2</v>
      </c>
      <c r="H44" s="14">
        <v>5.7999999999999996E-2</v>
      </c>
    </row>
    <row r="45" spans="2:8" x14ac:dyDescent="0.3">
      <c r="B45" s="15">
        <f t="shared" si="1"/>
        <v>19.5</v>
      </c>
      <c r="C45" s="14">
        <v>5.5E-2</v>
      </c>
      <c r="D45" s="14">
        <v>5.3499999999999999E-2</v>
      </c>
      <c r="E45" s="14">
        <v>5.21E-2</v>
      </c>
      <c r="F45" s="14">
        <v>5.5300000000000002E-2</v>
      </c>
      <c r="G45" s="14">
        <v>5.4100000000000002E-2</v>
      </c>
      <c r="H45" s="14">
        <v>5.8000000000000003E-2</v>
      </c>
    </row>
    <row r="46" spans="2:8" x14ac:dyDescent="0.3">
      <c r="B46" s="15">
        <f t="shared" si="1"/>
        <v>20</v>
      </c>
      <c r="C46" s="14">
        <v>5.5100000000000003E-2</v>
      </c>
      <c r="D46" s="14">
        <v>5.3600000000000002E-2</v>
      </c>
      <c r="E46" s="14">
        <v>5.2200000000000003E-2</v>
      </c>
      <c r="F46" s="14">
        <v>5.5400000000000005E-2</v>
      </c>
      <c r="G46" s="14">
        <v>5.4200000000000005E-2</v>
      </c>
      <c r="H46" s="14">
        <v>5.8000000000000003E-2</v>
      </c>
    </row>
    <row r="47" spans="2:8" x14ac:dyDescent="0.3">
      <c r="B47" s="15">
        <f t="shared" si="1"/>
        <v>20.5</v>
      </c>
      <c r="C47" s="14">
        <v>5.5099999999999996E-2</v>
      </c>
      <c r="D47" s="14">
        <v>5.3499999999999999E-2</v>
      </c>
      <c r="E47" s="14">
        <v>5.2199999999999996E-2</v>
      </c>
      <c r="F47" s="14">
        <v>5.5400000000000005E-2</v>
      </c>
      <c r="G47" s="14">
        <v>5.4200000000000005E-2</v>
      </c>
      <c r="H47" s="14">
        <v>5.8100000000000006E-2</v>
      </c>
    </row>
    <row r="48" spans="2:8" x14ac:dyDescent="0.3">
      <c r="B48" s="15">
        <f t="shared" si="1"/>
        <v>21</v>
      </c>
      <c r="C48" s="14">
        <v>5.5099999999999996E-2</v>
      </c>
      <c r="D48" s="14">
        <v>5.3599999999999995E-2</v>
      </c>
      <c r="E48" s="14">
        <v>5.2299999999999999E-2</v>
      </c>
      <c r="F48" s="14">
        <v>5.5400000000000005E-2</v>
      </c>
      <c r="G48" s="14">
        <v>5.4200000000000005E-2</v>
      </c>
      <c r="H48" s="14">
        <v>5.8100000000000006E-2</v>
      </c>
    </row>
    <row r="49" spans="2:8" x14ac:dyDescent="0.3">
      <c r="B49" s="15">
        <f t="shared" si="1"/>
        <v>21.5</v>
      </c>
      <c r="C49" s="14">
        <v>5.5199999999999999E-2</v>
      </c>
      <c r="D49" s="14">
        <v>5.3599999999999995E-2</v>
      </c>
      <c r="E49" s="14">
        <v>5.2299999999999999E-2</v>
      </c>
      <c r="F49" s="14">
        <v>5.5400000000000005E-2</v>
      </c>
      <c r="G49" s="14">
        <v>5.4200000000000005E-2</v>
      </c>
      <c r="H49" s="14">
        <v>5.8200000000000002E-2</v>
      </c>
    </row>
    <row r="50" spans="2:8" x14ac:dyDescent="0.3">
      <c r="B50" s="15">
        <f t="shared" si="1"/>
        <v>22</v>
      </c>
      <c r="C50" s="14">
        <v>5.5199999999999999E-2</v>
      </c>
      <c r="D50" s="14">
        <v>5.3599999999999995E-2</v>
      </c>
      <c r="E50" s="14">
        <v>5.2399999999999995E-2</v>
      </c>
      <c r="F50" s="14">
        <v>5.5300000000000002E-2</v>
      </c>
      <c r="G50" s="14">
        <v>5.4300000000000001E-2</v>
      </c>
      <c r="H50" s="14">
        <v>5.8200000000000002E-2</v>
      </c>
    </row>
    <row r="51" spans="2:8" x14ac:dyDescent="0.3">
      <c r="B51" s="15">
        <f t="shared" si="1"/>
        <v>22.5</v>
      </c>
      <c r="C51" s="14">
        <v>5.5099999999999996E-2</v>
      </c>
      <c r="D51" s="14">
        <v>5.3599999999999995E-2</v>
      </c>
      <c r="E51" s="14">
        <v>5.2399999999999995E-2</v>
      </c>
      <c r="F51" s="14">
        <v>5.5300000000000002E-2</v>
      </c>
      <c r="G51" s="14">
        <v>5.4200000000000005E-2</v>
      </c>
      <c r="H51" s="14">
        <v>5.8100000000000006E-2</v>
      </c>
    </row>
    <row r="52" spans="2:8" x14ac:dyDescent="0.3">
      <c r="B52" s="15">
        <f t="shared" si="1"/>
        <v>23</v>
      </c>
      <c r="C52" s="14">
        <v>5.5199999999999999E-2</v>
      </c>
      <c r="D52" s="14">
        <v>5.3599999999999995E-2</v>
      </c>
      <c r="E52" s="14">
        <v>5.2299999999999999E-2</v>
      </c>
      <c r="F52" s="14">
        <v>5.5200000000000006E-2</v>
      </c>
      <c r="G52" s="14">
        <v>5.4200000000000005E-2</v>
      </c>
      <c r="H52" s="14">
        <v>5.8100000000000006E-2</v>
      </c>
    </row>
    <row r="53" spans="2:8" x14ac:dyDescent="0.3">
      <c r="B53" s="15">
        <f t="shared" si="1"/>
        <v>23.5</v>
      </c>
      <c r="C53" s="14">
        <v>5.5099999999999996E-2</v>
      </c>
      <c r="D53" s="14">
        <v>5.3499999999999999E-2</v>
      </c>
      <c r="E53" s="14">
        <v>5.2399999999999995E-2</v>
      </c>
      <c r="F53" s="14">
        <v>5.5100000000000003E-2</v>
      </c>
      <c r="G53" s="14">
        <v>5.4100000000000002E-2</v>
      </c>
      <c r="H53" s="14">
        <v>5.8100000000000006E-2</v>
      </c>
    </row>
    <row r="54" spans="2:8" x14ac:dyDescent="0.3">
      <c r="B54" s="15">
        <f t="shared" si="1"/>
        <v>24</v>
      </c>
      <c r="C54" s="14">
        <v>5.5099999999999996E-2</v>
      </c>
      <c r="D54" s="14">
        <v>5.3499999999999999E-2</v>
      </c>
      <c r="E54" s="14">
        <v>5.2299999999999999E-2</v>
      </c>
      <c r="F54" s="14">
        <v>5.5100000000000003E-2</v>
      </c>
      <c r="G54" s="14">
        <v>5.3999999999999999E-2</v>
      </c>
      <c r="H54" s="14">
        <v>5.8000000000000003E-2</v>
      </c>
    </row>
    <row r="55" spans="2:8" x14ac:dyDescent="0.3">
      <c r="B55" s="15">
        <f t="shared" si="1"/>
        <v>24.5</v>
      </c>
      <c r="C55" s="14">
        <v>5.5E-2</v>
      </c>
      <c r="D55" s="14">
        <v>5.3399999999999996E-2</v>
      </c>
      <c r="E55" s="14">
        <v>5.2299999999999999E-2</v>
      </c>
      <c r="F55" s="14">
        <v>5.4900000000000004E-2</v>
      </c>
      <c r="G55" s="14">
        <v>5.3999999999999999E-2</v>
      </c>
      <c r="H55" s="14">
        <v>5.8000000000000003E-2</v>
      </c>
    </row>
    <row r="56" spans="2:8" x14ac:dyDescent="0.3">
      <c r="B56" s="15">
        <f t="shared" si="1"/>
        <v>25</v>
      </c>
      <c r="C56" s="14">
        <v>5.5E-2</v>
      </c>
      <c r="D56" s="14">
        <v>5.3399999999999996E-2</v>
      </c>
      <c r="E56" s="14">
        <v>5.2299999999999999E-2</v>
      </c>
      <c r="F56" s="14">
        <v>5.4900000000000004E-2</v>
      </c>
      <c r="G56" s="14">
        <v>5.3900000000000003E-2</v>
      </c>
      <c r="H56" s="14">
        <v>5.8000000000000003E-2</v>
      </c>
    </row>
    <row r="57" spans="2:8" x14ac:dyDescent="0.3">
      <c r="B57" s="15">
        <f t="shared" si="1"/>
        <v>25.5</v>
      </c>
      <c r="C57" s="14">
        <v>5.4899999999999997E-2</v>
      </c>
      <c r="D57" s="14">
        <v>5.33E-2</v>
      </c>
      <c r="E57" s="14">
        <v>5.2299999999999999E-2</v>
      </c>
      <c r="F57" s="14">
        <v>5.4800000000000001E-2</v>
      </c>
      <c r="G57" s="14">
        <v>5.3900000000000003E-2</v>
      </c>
      <c r="H57" s="14">
        <v>5.79E-2</v>
      </c>
    </row>
    <row r="58" spans="2:8" x14ac:dyDescent="0.3">
      <c r="B58" s="15">
        <f t="shared" si="1"/>
        <v>26</v>
      </c>
      <c r="C58" s="14">
        <v>5.4899999999999997E-2</v>
      </c>
      <c r="D58" s="14">
        <v>5.33E-2</v>
      </c>
      <c r="E58" s="14">
        <v>5.2299999999999999E-2</v>
      </c>
      <c r="F58" s="14">
        <v>5.4700000000000006E-2</v>
      </c>
      <c r="G58" s="14">
        <v>5.3800000000000001E-2</v>
      </c>
      <c r="H58" s="14">
        <v>5.79E-2</v>
      </c>
    </row>
    <row r="59" spans="2:8" x14ac:dyDescent="0.3">
      <c r="B59" s="15">
        <f t="shared" si="1"/>
        <v>26.5</v>
      </c>
      <c r="C59" s="14">
        <v>5.4699999999999999E-2</v>
      </c>
      <c r="D59" s="14">
        <v>5.3100000000000001E-2</v>
      </c>
      <c r="E59" s="14">
        <v>5.21E-2</v>
      </c>
      <c r="F59" s="14">
        <v>5.4600000000000003E-2</v>
      </c>
      <c r="G59" s="14">
        <v>5.3700000000000005E-2</v>
      </c>
      <c r="H59" s="14">
        <v>5.7800000000000004E-2</v>
      </c>
    </row>
    <row r="60" spans="2:8" x14ac:dyDescent="0.3">
      <c r="B60" s="15">
        <f t="shared" si="1"/>
        <v>27</v>
      </c>
      <c r="C60" s="14">
        <v>5.4699999999999999E-2</v>
      </c>
      <c r="D60" s="14">
        <v>5.3100000000000001E-2</v>
      </c>
      <c r="E60" s="14">
        <v>5.21E-2</v>
      </c>
      <c r="F60" s="14">
        <v>5.45E-2</v>
      </c>
      <c r="G60" s="14">
        <v>5.3700000000000005E-2</v>
      </c>
      <c r="H60" s="14">
        <v>5.7800000000000004E-2</v>
      </c>
    </row>
    <row r="61" spans="2:8" x14ac:dyDescent="0.3">
      <c r="B61" s="15">
        <f t="shared" si="1"/>
        <v>27.5</v>
      </c>
      <c r="C61" s="14">
        <v>5.4699999999999999E-2</v>
      </c>
      <c r="D61" s="14">
        <v>5.2999999999999999E-2</v>
      </c>
      <c r="E61" s="14">
        <v>5.21E-2</v>
      </c>
      <c r="F61" s="14">
        <v>5.45E-2</v>
      </c>
      <c r="G61" s="14">
        <v>5.3600000000000002E-2</v>
      </c>
      <c r="H61" s="14">
        <v>5.7800000000000004E-2</v>
      </c>
    </row>
    <row r="62" spans="2:8" x14ac:dyDescent="0.3">
      <c r="B62" s="15">
        <f t="shared" si="1"/>
        <v>28</v>
      </c>
      <c r="C62" s="14">
        <v>5.4699999999999999E-2</v>
      </c>
      <c r="D62" s="14">
        <v>5.2999999999999999E-2</v>
      </c>
      <c r="E62" s="14">
        <v>5.21E-2</v>
      </c>
      <c r="F62" s="14">
        <v>5.45E-2</v>
      </c>
      <c r="G62" s="14">
        <v>5.3600000000000002E-2</v>
      </c>
      <c r="H62" s="14">
        <v>5.7800000000000004E-2</v>
      </c>
    </row>
    <row r="63" spans="2:8" x14ac:dyDescent="0.3">
      <c r="B63" s="15">
        <f t="shared" si="1"/>
        <v>28.5</v>
      </c>
      <c r="C63" s="14">
        <v>5.4699999999999999E-2</v>
      </c>
      <c r="D63" s="14">
        <v>5.2999999999999999E-2</v>
      </c>
      <c r="E63" s="14">
        <v>5.21E-2</v>
      </c>
      <c r="F63" s="14">
        <v>5.4400000000000004E-2</v>
      </c>
      <c r="G63" s="14">
        <v>5.3600000000000002E-2</v>
      </c>
      <c r="H63" s="14">
        <v>5.7800000000000004E-2</v>
      </c>
    </row>
    <row r="64" spans="2:8" x14ac:dyDescent="0.3">
      <c r="B64" s="15">
        <f t="shared" si="1"/>
        <v>29</v>
      </c>
      <c r="C64" s="14">
        <v>5.4699999999999999E-2</v>
      </c>
      <c r="D64" s="14">
        <v>5.2999999999999999E-2</v>
      </c>
      <c r="E64" s="14">
        <v>5.21E-2</v>
      </c>
      <c r="F64" s="14">
        <v>5.4400000000000004E-2</v>
      </c>
      <c r="G64" s="14">
        <v>5.3600000000000002E-2</v>
      </c>
      <c r="H64" s="14">
        <v>5.7800000000000004E-2</v>
      </c>
    </row>
    <row r="65" spans="2:11" x14ac:dyDescent="0.3">
      <c r="B65" s="15">
        <f t="shared" si="1"/>
        <v>29.5</v>
      </c>
      <c r="C65" s="14">
        <v>5.4699999999999999E-2</v>
      </c>
      <c r="D65" s="14">
        <v>5.2999999999999999E-2</v>
      </c>
      <c r="E65" s="14">
        <v>5.2200000000000003E-2</v>
      </c>
      <c r="F65" s="14">
        <v>5.4400000000000004E-2</v>
      </c>
      <c r="G65" s="14">
        <v>5.3600000000000002E-2</v>
      </c>
      <c r="H65" s="14">
        <v>5.7800000000000004E-2</v>
      </c>
    </row>
    <row r="66" spans="2:11" x14ac:dyDescent="0.3">
      <c r="B66" s="16" t="s">
        <v>10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145" t="s">
        <v>11</v>
      </c>
      <c r="C68" s="145"/>
      <c r="D68" s="145"/>
      <c r="E68" s="145"/>
      <c r="F68" s="145"/>
      <c r="G68" s="145"/>
      <c r="H68" s="145"/>
      <c r="I68" s="18"/>
      <c r="J68" s="18"/>
      <c r="K68" s="18"/>
    </row>
    <row r="69" spans="2:11" x14ac:dyDescent="0.3">
      <c r="B69" s="19"/>
      <c r="C69" s="20"/>
      <c r="D69" s="20"/>
      <c r="E69" s="20"/>
    </row>
    <row r="70" spans="2:11" x14ac:dyDescent="0.3">
      <c r="B70" s="19"/>
    </row>
  </sheetData>
  <mergeCells count="3">
    <mergeCell ref="A3:I3"/>
    <mergeCell ref="C5:H5"/>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Background Info</vt:lpstr>
      <vt:lpstr>II.A SFA Pool Liabilities</vt:lpstr>
      <vt:lpstr>II.B SFA Pool Assets</vt:lpstr>
      <vt:lpstr>III.A Merged Pool Liabilities</vt:lpstr>
      <vt:lpstr>III.C Merged Plan Pool Assets</vt:lpstr>
      <vt:lpstr>IV. Pools to be allocated</vt:lpstr>
      <vt:lpstr>4044 Discount Rates</vt:lpstr>
      <vt:lpstr>4044 Yield Curves - 2024</vt:lpstr>
      <vt:lpstr>'III.A Merged Pool Liabilities'!Print_Area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Michael</dc:creator>
  <cp:lastModifiedBy>Kelly Benjamin</cp:lastModifiedBy>
  <cp:lastPrinted>2025-05-14T22:44:11Z</cp:lastPrinted>
  <dcterms:created xsi:type="dcterms:W3CDTF">2025-04-05T16:49:12Z</dcterms:created>
  <dcterms:modified xsi:type="dcterms:W3CDTF">2026-05-07T19:19:35Z</dcterms:modified>
</cp:coreProperties>
</file>