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sdagcc.sharepoint.com/sites/FNS-SNAS-SFPD-PB/SFMNP Program Administration/ICRs/SFMNP ICR 0584-0541/SFMNP ICB 2026 - Reinstatement/ICR Package/2. SFMNP ICR Package Post-Comments/"/>
    </mc:Choice>
  </mc:AlternateContent>
  <xr:revisionPtr revIDLastSave="798" documentId="8_{E8A48B80-C471-4018-A003-22BEBB82225F}" xr6:coauthVersionLast="47" xr6:coauthVersionMax="47" xr10:uidLastSave="{F874CADC-55F7-444E-BDD4-724734AC9BF5}"/>
  <bookViews>
    <workbookView xWindow="-120" yWindow="-120" windowWidth="29040" windowHeight="15720" tabRatio="694" firstSheet="2" activeTab="2" xr2:uid="{00000000-000D-0000-FFFF-FFFF00000000}"/>
  </bookViews>
  <sheets>
    <sheet name="2025 Consolidated S-FMNP" sheetId="9" state="hidden" r:id="rId1"/>
    <sheet name="2025 WIC FMNP Only" sheetId="6" state="hidden" r:id="rId2"/>
    <sheet name="SFMNP 2026" sheetId="4" r:id="rId3"/>
    <sheet name="FMNP Data" sheetId="7" state="hidden" r:id="rId4"/>
    <sheet name="SFMNP Data" sheetId="8" r:id="rId5"/>
    <sheet name="SFMNP Annualized Cost" sheetId="17" r:id="rId6"/>
    <sheet name="A3 and A5" sheetId="18" r:id="rId7"/>
    <sheet name="Estimated Annualized Cost" sheetId="16" state="hidden" r:id="rId8"/>
    <sheet name="WIC FMNP 2024" sheetId="3" state="hidden" r:id="rId9"/>
    <sheet name="WIC FMNP 2021" sheetId="10" state="hidden" r:id="rId10"/>
    <sheet name="WIC FMNP 2018" sheetId="11" state="hidden" r:id="rId11"/>
    <sheet name="WIC FMNP 2014" sheetId="12" state="hidden" r:id="rId12"/>
    <sheet name="SFMNP 2022" sheetId="2" r:id="rId13"/>
    <sheet name="SFMNP 2019" sheetId="13" r:id="rId14"/>
    <sheet name="SFMNP 2013" sheetId="14" r:id="rId15"/>
    <sheet name="SFMNP 2010" sheetId="15" r:id="rId16"/>
  </sheets>
  <definedNames>
    <definedName name="Consolidated_Outlets">'FMNP Data'!$E$31</definedName>
    <definedName name="Consolidated_SAs">'FMNP Data'!$C$16</definedName>
    <definedName name="F_auto">'FMNP Data'!$C$13</definedName>
    <definedName name="F_hybrid">'FMNP Data'!$C$11</definedName>
    <definedName name="F_mail">'FMNP Data'!$C$12</definedName>
    <definedName name="FMNP_eSol">'FMNP Data'!$C$15</definedName>
    <definedName name="FMNP_LAs">'FMNP Data'!$C$8</definedName>
    <definedName name="FMNP_Outlet_Complaints">'FMNP Data'!$E$24</definedName>
    <definedName name="FMNP_outlets">'FMNP Data'!$C$10</definedName>
    <definedName name="FMNP_paper">'FMNP Data'!$C$14</definedName>
    <definedName name="FMNP_participants">'FMNP Data'!$C$9</definedName>
    <definedName name="FMNP_SAs">'FMNP Data'!$C$7</definedName>
    <definedName name="Prev_FMNP_outlets">'FMNP Data'!$B$10</definedName>
    <definedName name="Prev_SFMNP_outlets">'SFMNP Data'!$B$10</definedName>
    <definedName name="Prev_SFMNP_participants">'SFMNP Data'!$B$9</definedName>
    <definedName name="S_auto">'SFMNP Data'!$C$13</definedName>
    <definedName name="S_hybrid">'SFMNP Data'!$C$11</definedName>
    <definedName name="S_mail">'SFMNP Data'!$C$12</definedName>
    <definedName name="SFMNP_eSol">'SFMNP Data'!$C$15</definedName>
    <definedName name="SFMNP_LAs">'SFMNP Data'!$C$8</definedName>
    <definedName name="SFMNP_Outlet_Complaints">'SFMNP Data'!$E$23</definedName>
    <definedName name="SFMNP_outlets">'SFMNP Data'!$C$10</definedName>
    <definedName name="SFMNP_paper">'SFMNP Data'!$C$14</definedName>
    <definedName name="SFMNP_Participant_Complaints">'SFMNP Data'!$E$22</definedName>
    <definedName name="SFMNP_participants">'SFMNP Data'!$C$9</definedName>
    <definedName name="SFMNP_SAs">'SFMNP Data'!$C$7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7" l="1"/>
  <c r="H44" i="4"/>
  <c r="F40" i="4"/>
  <c r="K58" i="4"/>
  <c r="K57" i="4"/>
  <c r="K56" i="4"/>
  <c r="K55" i="4"/>
  <c r="K54" i="4"/>
  <c r="K53" i="4"/>
  <c r="K52" i="4"/>
  <c r="K51" i="4"/>
  <c r="K50" i="4"/>
  <c r="K49" i="4"/>
  <c r="K48" i="4"/>
  <c r="K43" i="4"/>
  <c r="K40" i="4"/>
  <c r="K39" i="4"/>
  <c r="K38" i="4"/>
  <c r="K37" i="4"/>
  <c r="K36" i="4"/>
  <c r="K35" i="4"/>
  <c r="K32" i="4"/>
  <c r="K31" i="4"/>
  <c r="K30" i="4"/>
  <c r="K27" i="4"/>
  <c r="K26" i="4"/>
  <c r="K25" i="4"/>
  <c r="K24" i="4"/>
  <c r="K23" i="4"/>
  <c r="K22" i="4"/>
  <c r="K21" i="4"/>
  <c r="K20" i="4"/>
  <c r="K18" i="4"/>
  <c r="K17" i="4"/>
  <c r="K16" i="4"/>
  <c r="K15" i="4"/>
  <c r="K14" i="4"/>
  <c r="K13" i="4"/>
  <c r="K12" i="4"/>
  <c r="K11" i="4"/>
  <c r="K10" i="4"/>
  <c r="K8" i="4"/>
  <c r="K7" i="4"/>
  <c r="K6" i="4"/>
  <c r="M21" i="4"/>
  <c r="M9" i="4"/>
  <c r="E13" i="17"/>
  <c r="E12" i="17"/>
  <c r="E18" i="17"/>
  <c r="B20" i="17"/>
  <c r="E17" i="17" s="1"/>
  <c r="C19" i="18"/>
  <c r="C17" i="18"/>
  <c r="C16" i="18"/>
  <c r="C15" i="18"/>
  <c r="C13" i="18"/>
  <c r="C14" i="18"/>
  <c r="F45" i="4"/>
  <c r="F44" i="4"/>
  <c r="F28" i="4"/>
  <c r="F35" i="4"/>
  <c r="F6" i="4"/>
  <c r="F59" i="4"/>
  <c r="L49" i="4"/>
  <c r="L40" i="4"/>
  <c r="L30" i="4"/>
  <c r="G8" i="4"/>
  <c r="N46" i="9"/>
  <c r="N47" i="9" s="1"/>
  <c r="N61" i="9"/>
  <c r="N41" i="9"/>
  <c r="N35" i="9"/>
  <c r="N19" i="9"/>
  <c r="N30" i="9"/>
  <c r="C13" i="16"/>
  <c r="C12" i="16"/>
  <c r="E18" i="16"/>
  <c r="E19" i="16" s="1"/>
  <c r="E17" i="16"/>
  <c r="B20" i="16"/>
  <c r="C3" i="16"/>
  <c r="F35" i="9"/>
  <c r="E14" i="17" l="1"/>
  <c r="E19" i="17"/>
  <c r="C13" i="17"/>
  <c r="C12" i="17"/>
  <c r="N62" i="9"/>
  <c r="D12" i="16"/>
  <c r="E12" i="16" s="1"/>
  <c r="D13" i="16"/>
  <c r="E13" i="16"/>
  <c r="F36" i="4"/>
  <c r="G10" i="4"/>
  <c r="D35" i="6"/>
  <c r="E9" i="6"/>
  <c r="D13" i="17" l="1"/>
  <c r="C14" i="17"/>
  <c r="D12" i="17"/>
  <c r="D14" i="16"/>
  <c r="C14" i="16"/>
  <c r="F61" i="9"/>
  <c r="D45" i="3"/>
  <c r="F33" i="9"/>
  <c r="B31" i="7"/>
  <c r="B30" i="7"/>
  <c r="E29" i="7"/>
  <c r="B29" i="7"/>
  <c r="C24" i="7"/>
  <c r="E24" i="7" s="1"/>
  <c r="B24" i="7"/>
  <c r="B23" i="7"/>
  <c r="C23" i="7" s="1"/>
  <c r="B22" i="7"/>
  <c r="C22" i="7" s="1"/>
  <c r="B21" i="7"/>
  <c r="C21" i="7" s="1"/>
  <c r="B27" i="8"/>
  <c r="B29" i="8"/>
  <c r="B28" i="8"/>
  <c r="E27" i="8"/>
  <c r="E28" i="8" s="1"/>
  <c r="B23" i="8"/>
  <c r="C23" i="8" s="1"/>
  <c r="E23" i="8" s="1"/>
  <c r="B22" i="8"/>
  <c r="C22" i="8" s="1"/>
  <c r="E22" i="8" s="1"/>
  <c r="M20" i="4" s="1"/>
  <c r="K28" i="4" s="1"/>
  <c r="B21" i="8"/>
  <c r="C21" i="8" s="1"/>
  <c r="B20" i="8"/>
  <c r="C20" i="8" s="1"/>
  <c r="D32" i="15"/>
  <c r="H31" i="15"/>
  <c r="H30" i="15"/>
  <c r="H29" i="15"/>
  <c r="H28" i="15"/>
  <c r="H27" i="15"/>
  <c r="F26" i="15"/>
  <c r="F32" i="15" s="1"/>
  <c r="F23" i="15"/>
  <c r="H23" i="15" s="1"/>
  <c r="D23" i="15"/>
  <c r="H22" i="15"/>
  <c r="F22" i="15"/>
  <c r="F19" i="15"/>
  <c r="D19" i="15"/>
  <c r="D33" i="15" s="1"/>
  <c r="H18" i="15"/>
  <c r="H19" i="15" s="1"/>
  <c r="F15" i="15"/>
  <c r="H14" i="15"/>
  <c r="H13" i="15"/>
  <c r="H12" i="15"/>
  <c r="H11" i="15"/>
  <c r="H10" i="15"/>
  <c r="H9" i="15"/>
  <c r="H8" i="15"/>
  <c r="H7" i="15"/>
  <c r="H6" i="15"/>
  <c r="H5" i="15"/>
  <c r="H4" i="15"/>
  <c r="H15" i="15" s="1"/>
  <c r="C41" i="14"/>
  <c r="G40" i="14"/>
  <c r="K34" i="14"/>
  <c r="H34" i="14"/>
  <c r="F34" i="14"/>
  <c r="E40" i="14" s="1"/>
  <c r="D34" i="14"/>
  <c r="C40" i="14" s="1"/>
  <c r="J33" i="14"/>
  <c r="G33" i="14"/>
  <c r="J32" i="14"/>
  <c r="G32" i="14"/>
  <c r="J31" i="14"/>
  <c r="G31" i="14"/>
  <c r="J30" i="14"/>
  <c r="G30" i="14"/>
  <c r="J29" i="14"/>
  <c r="G29" i="14"/>
  <c r="I34" i="14"/>
  <c r="G28" i="14"/>
  <c r="E28" i="14"/>
  <c r="J24" i="14"/>
  <c r="I24" i="14"/>
  <c r="F23" i="14"/>
  <c r="F24" i="14" s="1"/>
  <c r="D23" i="14"/>
  <c r="D24" i="14" s="1"/>
  <c r="J21" i="14"/>
  <c r="I21" i="14"/>
  <c r="F21" i="14"/>
  <c r="D21" i="14"/>
  <c r="H20" i="14"/>
  <c r="K20" i="14" s="1"/>
  <c r="K21" i="14" s="1"/>
  <c r="F20" i="14"/>
  <c r="D18" i="14"/>
  <c r="H17" i="14"/>
  <c r="J17" i="14" s="1"/>
  <c r="F17" i="14"/>
  <c r="F16" i="14"/>
  <c r="H16" i="14" s="1"/>
  <c r="J16" i="14" s="1"/>
  <c r="J15" i="14"/>
  <c r="H15" i="14"/>
  <c r="F15" i="14"/>
  <c r="H14" i="14"/>
  <c r="J14" i="14" s="1"/>
  <c r="F14" i="14"/>
  <c r="F13" i="14"/>
  <c r="H13" i="14" s="1"/>
  <c r="J13" i="14" s="1"/>
  <c r="J12" i="14"/>
  <c r="H12" i="14"/>
  <c r="F12" i="14"/>
  <c r="H11" i="14"/>
  <c r="J11" i="14" s="1"/>
  <c r="F11" i="14"/>
  <c r="F10" i="14"/>
  <c r="H10" i="14" s="1"/>
  <c r="J10" i="14" s="1"/>
  <c r="E9" i="14"/>
  <c r="F9" i="14" s="1"/>
  <c r="H9" i="14" s="1"/>
  <c r="J9" i="14" s="1"/>
  <c r="E8" i="14"/>
  <c r="F8" i="14" s="1"/>
  <c r="H8" i="14" s="1"/>
  <c r="K8" i="14" s="1"/>
  <c r="E7" i="14"/>
  <c r="F7" i="14" s="1"/>
  <c r="H7" i="14" s="1"/>
  <c r="K7" i="14" s="1"/>
  <c r="F6" i="14"/>
  <c r="H6" i="14" s="1"/>
  <c r="J6" i="14" s="1"/>
  <c r="I18" i="14"/>
  <c r="F5" i="14"/>
  <c r="H5" i="14" s="1"/>
  <c r="D5" i="14"/>
  <c r="C45" i="13"/>
  <c r="C39" i="13"/>
  <c r="K34" i="13"/>
  <c r="I34" i="13"/>
  <c r="F33" i="13"/>
  <c r="H33" i="13" s="1"/>
  <c r="J33" i="13" s="1"/>
  <c r="F32" i="13"/>
  <c r="H32" i="13" s="1"/>
  <c r="J32" i="13" s="1"/>
  <c r="F31" i="13"/>
  <c r="H31" i="13" s="1"/>
  <c r="J31" i="13" s="1"/>
  <c r="H30" i="13"/>
  <c r="J30" i="13" s="1"/>
  <c r="F30" i="13"/>
  <c r="E28" i="13"/>
  <c r="F28" i="13" s="1"/>
  <c r="K24" i="13"/>
  <c r="I24" i="13"/>
  <c r="H24" i="13"/>
  <c r="F24" i="13"/>
  <c r="D24" i="13"/>
  <c r="H23" i="13"/>
  <c r="J23" i="13" s="1"/>
  <c r="J24" i="13" s="1"/>
  <c r="F23" i="13"/>
  <c r="K21" i="13"/>
  <c r="I21" i="13"/>
  <c r="D21" i="13"/>
  <c r="D25" i="13" s="1"/>
  <c r="F20" i="13"/>
  <c r="H20" i="13" s="1"/>
  <c r="K18" i="13"/>
  <c r="K25" i="13" s="1"/>
  <c r="K35" i="13" s="1"/>
  <c r="I18" i="13"/>
  <c r="I25" i="13" s="1"/>
  <c r="I35" i="13" s="1"/>
  <c r="F17" i="13"/>
  <c r="H17" i="13" s="1"/>
  <c r="J17" i="13" s="1"/>
  <c r="H16" i="13"/>
  <c r="J16" i="13" s="1"/>
  <c r="F16" i="13"/>
  <c r="F15" i="13"/>
  <c r="H15" i="13" s="1"/>
  <c r="J15" i="13" s="1"/>
  <c r="F14" i="13"/>
  <c r="H14" i="13" s="1"/>
  <c r="J14" i="13" s="1"/>
  <c r="F13" i="13"/>
  <c r="H13" i="13" s="1"/>
  <c r="J13" i="13" s="1"/>
  <c r="H12" i="13"/>
  <c r="J12" i="13" s="1"/>
  <c r="F12" i="13"/>
  <c r="F11" i="13"/>
  <c r="H11" i="13" s="1"/>
  <c r="J11" i="13" s="1"/>
  <c r="E10" i="13"/>
  <c r="F10" i="13" s="1"/>
  <c r="H10" i="13" s="1"/>
  <c r="J10" i="13" s="1"/>
  <c r="F9" i="13"/>
  <c r="H9" i="13" s="1"/>
  <c r="J9" i="13" s="1"/>
  <c r="E8" i="13"/>
  <c r="F8" i="13" s="1"/>
  <c r="H8" i="13" s="1"/>
  <c r="J8" i="13" s="1"/>
  <c r="F7" i="13"/>
  <c r="H7" i="13" s="1"/>
  <c r="J7" i="13" s="1"/>
  <c r="D6" i="13"/>
  <c r="F6" i="13" s="1"/>
  <c r="D14" i="17" l="1"/>
  <c r="D42" i="6"/>
  <c r="E21" i="6"/>
  <c r="F45" i="9"/>
  <c r="F43" i="4"/>
  <c r="G22" i="9"/>
  <c r="E29" i="8"/>
  <c r="G20" i="4"/>
  <c r="F31" i="4"/>
  <c r="E14" i="16"/>
  <c r="I25" i="14"/>
  <c r="I35" i="14" s="1"/>
  <c r="K18" i="14"/>
  <c r="E30" i="7"/>
  <c r="E31" i="7" s="1"/>
  <c r="H33" i="15"/>
  <c r="F33" i="15"/>
  <c r="H26" i="15"/>
  <c r="H32" i="15" s="1"/>
  <c r="D25" i="14"/>
  <c r="D40" i="14"/>
  <c r="J5" i="14"/>
  <c r="J18" i="14" s="1"/>
  <c r="J25" i="14" s="1"/>
  <c r="H18" i="14"/>
  <c r="F40" i="14"/>
  <c r="F18" i="14"/>
  <c r="H21" i="14"/>
  <c r="J28" i="14"/>
  <c r="J34" i="14" s="1"/>
  <c r="H23" i="14"/>
  <c r="F18" i="13"/>
  <c r="H6" i="13"/>
  <c r="F34" i="13"/>
  <c r="H28" i="13"/>
  <c r="J20" i="13"/>
  <c r="J21" i="13" s="1"/>
  <c r="H21" i="13"/>
  <c r="C38" i="13"/>
  <c r="D35" i="13"/>
  <c r="C40" i="13"/>
  <c r="F21" i="13"/>
  <c r="F38" i="9" l="1"/>
  <c r="G10" i="9"/>
  <c r="G55" i="9"/>
  <c r="F40" i="9"/>
  <c r="G16" i="9"/>
  <c r="J35" i="14"/>
  <c r="K23" i="14"/>
  <c r="K24" i="14" s="1"/>
  <c r="K25" i="14" s="1"/>
  <c r="K35" i="14" s="1"/>
  <c r="H24" i="14"/>
  <c r="H25" i="14" s="1"/>
  <c r="D35" i="14"/>
  <c r="C39" i="14"/>
  <c r="F25" i="14"/>
  <c r="E18" i="14"/>
  <c r="G18" i="14"/>
  <c r="F25" i="13"/>
  <c r="E18" i="13"/>
  <c r="J28" i="13"/>
  <c r="J40" i="13"/>
  <c r="E39" i="13"/>
  <c r="D39" i="13" s="1"/>
  <c r="H18" i="13"/>
  <c r="J6" i="13"/>
  <c r="J18" i="13" s="1"/>
  <c r="J25" i="13" s="1"/>
  <c r="G39" i="14" l="1"/>
  <c r="H35" i="14"/>
  <c r="E39" i="14"/>
  <c r="F35" i="14"/>
  <c r="H25" i="13"/>
  <c r="G18" i="13"/>
  <c r="E38" i="13"/>
  <c r="F35" i="13"/>
  <c r="D39" i="14" l="1"/>
  <c r="E41" i="14"/>
  <c r="F39" i="14"/>
  <c r="G41" i="14"/>
  <c r="D38" i="13"/>
  <c r="E40" i="13"/>
  <c r="D40" i="13" s="1"/>
  <c r="G38" i="13"/>
  <c r="D45" i="14" l="1"/>
  <c r="D46" i="14" s="1"/>
  <c r="F41" i="14"/>
  <c r="C45" i="14"/>
  <c r="C46" i="14" s="1"/>
  <c r="D41" i="14"/>
  <c r="F38" i="13"/>
  <c r="E23" i="12" l="1"/>
  <c r="G23" i="12" s="1"/>
  <c r="E22" i="12"/>
  <c r="G22" i="12" s="1"/>
  <c r="E21" i="12"/>
  <c r="E24" i="12" s="1"/>
  <c r="D24" i="12" s="1"/>
  <c r="E20" i="12"/>
  <c r="G20" i="12" s="1"/>
  <c r="E16" i="12"/>
  <c r="C16" i="12"/>
  <c r="C17" i="12" s="1"/>
  <c r="C25" i="12" s="1"/>
  <c r="E15" i="12"/>
  <c r="G15" i="12" s="1"/>
  <c r="H13" i="12"/>
  <c r="N12" i="12"/>
  <c r="J12" i="12"/>
  <c r="J11" i="12"/>
  <c r="E11" i="12"/>
  <c r="G11" i="12" s="1"/>
  <c r="N11" i="12" s="1"/>
  <c r="E10" i="12"/>
  <c r="G10" i="12" s="1"/>
  <c r="E9" i="12"/>
  <c r="G9" i="12" s="1"/>
  <c r="E8" i="12"/>
  <c r="G8" i="12" s="1"/>
  <c r="E7" i="12"/>
  <c r="G7" i="12" s="1"/>
  <c r="G6" i="12"/>
  <c r="I6" i="12" s="1"/>
  <c r="D6" i="12"/>
  <c r="E5" i="12"/>
  <c r="G5" i="12" s="1"/>
  <c r="N4" i="12"/>
  <c r="G4" i="12"/>
  <c r="I4" i="12" s="1"/>
  <c r="E4" i="12"/>
  <c r="E13" i="12" s="1"/>
  <c r="E17" i="12" s="1"/>
  <c r="E25" i="12" s="1"/>
  <c r="C37" i="11"/>
  <c r="K31" i="11"/>
  <c r="I31" i="11"/>
  <c r="H30" i="11"/>
  <c r="J30" i="11" s="1"/>
  <c r="J29" i="11"/>
  <c r="G29" i="11"/>
  <c r="J28" i="11"/>
  <c r="G28" i="11"/>
  <c r="J27" i="11"/>
  <c r="G27" i="11"/>
  <c r="H26" i="11"/>
  <c r="J26" i="11" s="1"/>
  <c r="E25" i="11"/>
  <c r="F25" i="11" s="1"/>
  <c r="K22" i="11"/>
  <c r="K32" i="11" s="1"/>
  <c r="K21" i="11"/>
  <c r="I21" i="11"/>
  <c r="F21" i="11"/>
  <c r="E21" i="11" s="1"/>
  <c r="D21" i="11"/>
  <c r="F20" i="11"/>
  <c r="H20" i="11" s="1"/>
  <c r="K18" i="11"/>
  <c r="I18" i="11"/>
  <c r="F18" i="11"/>
  <c r="E18" i="11"/>
  <c r="D18" i="11"/>
  <c r="F17" i="11"/>
  <c r="H17" i="11" s="1"/>
  <c r="K15" i="11"/>
  <c r="I15" i="11"/>
  <c r="I22" i="11" s="1"/>
  <c r="I32" i="11" s="1"/>
  <c r="D15" i="11"/>
  <c r="D22" i="11" s="1"/>
  <c r="F14" i="11"/>
  <c r="H14" i="11" s="1"/>
  <c r="J14" i="11" s="1"/>
  <c r="F13" i="11"/>
  <c r="H13" i="11" s="1"/>
  <c r="J13" i="11" s="1"/>
  <c r="F12" i="11"/>
  <c r="H12" i="11" s="1"/>
  <c r="J12" i="11" s="1"/>
  <c r="F11" i="11"/>
  <c r="H11" i="11" s="1"/>
  <c r="J11" i="11" s="1"/>
  <c r="F10" i="11"/>
  <c r="H10" i="11" s="1"/>
  <c r="J10" i="11" s="1"/>
  <c r="F9" i="11"/>
  <c r="H9" i="11" s="1"/>
  <c r="J9" i="11" s="1"/>
  <c r="E9" i="11"/>
  <c r="E8" i="11"/>
  <c r="F8" i="11" s="1"/>
  <c r="H8" i="11" s="1"/>
  <c r="J8" i="11" s="1"/>
  <c r="E7" i="11"/>
  <c r="F7" i="11" s="1"/>
  <c r="H7" i="11" s="1"/>
  <c r="J7" i="11" s="1"/>
  <c r="F6" i="11"/>
  <c r="H6" i="11" s="1"/>
  <c r="J6" i="11" s="1"/>
  <c r="D5" i="11"/>
  <c r="F5" i="11" s="1"/>
  <c r="C59" i="10"/>
  <c r="I53" i="10"/>
  <c r="D53" i="10"/>
  <c r="F52" i="10"/>
  <c r="H52" i="10" s="1"/>
  <c r="J52" i="10" s="1"/>
  <c r="L52" i="10" s="1"/>
  <c r="F51" i="10"/>
  <c r="H51" i="10" s="1"/>
  <c r="K51" i="10" s="1"/>
  <c r="F50" i="10"/>
  <c r="H50" i="10" s="1"/>
  <c r="J50" i="10" s="1"/>
  <c r="L50" i="10" s="1"/>
  <c r="F49" i="10"/>
  <c r="H49" i="10" s="1"/>
  <c r="J49" i="10" s="1"/>
  <c r="L49" i="10" s="1"/>
  <c r="E48" i="10"/>
  <c r="F48" i="10" s="1"/>
  <c r="H48" i="10" s="1"/>
  <c r="E47" i="10"/>
  <c r="F47" i="10" s="1"/>
  <c r="H47" i="10" s="1"/>
  <c r="J47" i="10" s="1"/>
  <c r="L47" i="10" s="1"/>
  <c r="L46" i="10"/>
  <c r="F46" i="10"/>
  <c r="H46" i="10" s="1"/>
  <c r="F45" i="10"/>
  <c r="H45" i="10" s="1"/>
  <c r="J45" i="10" s="1"/>
  <c r="L45" i="10" s="1"/>
  <c r="K44" i="10"/>
  <c r="L44" i="10" s="1"/>
  <c r="H44" i="10"/>
  <c r="F44" i="10"/>
  <c r="E43" i="10"/>
  <c r="F43" i="10" s="1"/>
  <c r="L42" i="10"/>
  <c r="F42" i="10"/>
  <c r="H42" i="10" s="1"/>
  <c r="I38" i="10"/>
  <c r="D38" i="10"/>
  <c r="F37" i="10"/>
  <c r="H37" i="10" s="1"/>
  <c r="K37" i="10" s="1"/>
  <c r="L37" i="10" s="1"/>
  <c r="L36" i="10"/>
  <c r="D36" i="10"/>
  <c r="F36" i="10" s="1"/>
  <c r="H36" i="10" s="1"/>
  <c r="D35" i="10"/>
  <c r="F35" i="10" s="1"/>
  <c r="H35" i="10" s="1"/>
  <c r="K35" i="10" s="1"/>
  <c r="L35" i="10" s="1"/>
  <c r="H34" i="10"/>
  <c r="J34" i="10" s="1"/>
  <c r="L34" i="10" s="1"/>
  <c r="F34" i="10"/>
  <c r="H33" i="10"/>
  <c r="K33" i="10" s="1"/>
  <c r="L33" i="10" s="1"/>
  <c r="F33" i="10"/>
  <c r="D32" i="10"/>
  <c r="F32" i="10" s="1"/>
  <c r="H32" i="10" s="1"/>
  <c r="K32" i="10" s="1"/>
  <c r="D31" i="10"/>
  <c r="F31" i="10" s="1"/>
  <c r="K29" i="10"/>
  <c r="I29" i="10"/>
  <c r="F29" i="10"/>
  <c r="D29" i="10"/>
  <c r="E29" i="10" s="1"/>
  <c r="F28" i="10"/>
  <c r="H28" i="10" s="1"/>
  <c r="I26" i="10"/>
  <c r="I39" i="10" s="1"/>
  <c r="I54" i="10" s="1"/>
  <c r="D63" i="10" s="1"/>
  <c r="H25" i="10"/>
  <c r="J25" i="10" s="1"/>
  <c r="L25" i="10" s="1"/>
  <c r="F25" i="10"/>
  <c r="F24" i="10"/>
  <c r="H24" i="10" s="1"/>
  <c r="K24" i="10" s="1"/>
  <c r="L24" i="10" s="1"/>
  <c r="H23" i="10"/>
  <c r="J23" i="10" s="1"/>
  <c r="L23" i="10" s="1"/>
  <c r="F23" i="10"/>
  <c r="H22" i="10"/>
  <c r="K22" i="10" s="1"/>
  <c r="L22" i="10" s="1"/>
  <c r="F22" i="10"/>
  <c r="F21" i="10"/>
  <c r="H21" i="10" s="1"/>
  <c r="J21" i="10" s="1"/>
  <c r="L21" i="10" s="1"/>
  <c r="E20" i="10"/>
  <c r="F20" i="10" s="1"/>
  <c r="H20" i="10" s="1"/>
  <c r="K20" i="10" s="1"/>
  <c r="L20" i="10" s="1"/>
  <c r="E19" i="10"/>
  <c r="F19" i="10" s="1"/>
  <c r="H19" i="10" s="1"/>
  <c r="K19" i="10" s="1"/>
  <c r="L19" i="10" s="1"/>
  <c r="F18" i="10"/>
  <c r="H18" i="10" s="1"/>
  <c r="J18" i="10" s="1"/>
  <c r="L18" i="10" s="1"/>
  <c r="F17" i="10"/>
  <c r="H17" i="10" s="1"/>
  <c r="J17" i="10" s="1"/>
  <c r="L17" i="10" s="1"/>
  <c r="E16" i="10"/>
  <c r="F16" i="10" s="1"/>
  <c r="H16" i="10" s="1"/>
  <c r="K16" i="10" s="1"/>
  <c r="L16" i="10" s="1"/>
  <c r="L15" i="10"/>
  <c r="E15" i="10"/>
  <c r="F15" i="10" s="1"/>
  <c r="H15" i="10" s="1"/>
  <c r="F14" i="10"/>
  <c r="H14" i="10" s="1"/>
  <c r="K14" i="10" s="1"/>
  <c r="L14" i="10" s="1"/>
  <c r="F13" i="10"/>
  <c r="H13" i="10" s="1"/>
  <c r="K13" i="10" s="1"/>
  <c r="L13" i="10" s="1"/>
  <c r="F12" i="10"/>
  <c r="H12" i="10" s="1"/>
  <c r="K12" i="10" s="1"/>
  <c r="L12" i="10" s="1"/>
  <c r="F11" i="10"/>
  <c r="H11" i="10" s="1"/>
  <c r="K11" i="10" s="1"/>
  <c r="L11" i="10" s="1"/>
  <c r="F10" i="10"/>
  <c r="H10" i="10" s="1"/>
  <c r="K10" i="10" s="1"/>
  <c r="F9" i="10"/>
  <c r="H9" i="10" s="1"/>
  <c r="J9" i="10" s="1"/>
  <c r="L9" i="10" s="1"/>
  <c r="E9" i="10"/>
  <c r="L8" i="10"/>
  <c r="F8" i="10"/>
  <c r="H8" i="10" s="1"/>
  <c r="E8" i="10"/>
  <c r="F7" i="10"/>
  <c r="H7" i="10" s="1"/>
  <c r="J7" i="10" s="1"/>
  <c r="L6" i="10"/>
  <c r="F6" i="10"/>
  <c r="F26" i="10" s="1"/>
  <c r="D6" i="10"/>
  <c r="D26" i="10" s="1"/>
  <c r="D39" i="10" s="1"/>
  <c r="N13" i="12" l="1"/>
  <c r="N17" i="12" s="1"/>
  <c r="G16" i="12"/>
  <c r="N15" i="12"/>
  <c r="N16" i="12" s="1"/>
  <c r="I15" i="12"/>
  <c r="N20" i="12"/>
  <c r="I20" i="12"/>
  <c r="N8" i="12"/>
  <c r="I8" i="12"/>
  <c r="N5" i="12"/>
  <c r="I5" i="12"/>
  <c r="I13" i="12" s="1"/>
  <c r="N7" i="12"/>
  <c r="I7" i="12"/>
  <c r="I9" i="12"/>
  <c r="N9" i="12"/>
  <c r="N22" i="12"/>
  <c r="I22" i="12"/>
  <c r="N10" i="12"/>
  <c r="I10" i="12"/>
  <c r="N23" i="12"/>
  <c r="I23" i="12"/>
  <c r="G21" i="12"/>
  <c r="N6" i="12"/>
  <c r="G13" i="12"/>
  <c r="G17" i="12" s="1"/>
  <c r="D5" i="12"/>
  <c r="D13" i="12" s="1"/>
  <c r="F31" i="11"/>
  <c r="H25" i="11"/>
  <c r="H5" i="11"/>
  <c r="F15" i="11"/>
  <c r="D32" i="11"/>
  <c r="C36" i="11"/>
  <c r="C38" i="11" s="1"/>
  <c r="J17" i="11"/>
  <c r="J18" i="11" s="1"/>
  <c r="H18" i="11"/>
  <c r="G18" i="11" s="1"/>
  <c r="J20" i="11"/>
  <c r="J21" i="11" s="1"/>
  <c r="H21" i="11"/>
  <c r="G21" i="11" s="1"/>
  <c r="C58" i="10"/>
  <c r="D54" i="10"/>
  <c r="C60" i="10" s="1"/>
  <c r="L51" i="10"/>
  <c r="K53" i="10"/>
  <c r="E26" i="10"/>
  <c r="J28" i="10"/>
  <c r="H29" i="10"/>
  <c r="G29" i="10" s="1"/>
  <c r="K38" i="10"/>
  <c r="K39" i="10" s="1"/>
  <c r="K54" i="10" s="1"/>
  <c r="L32" i="10"/>
  <c r="H43" i="10"/>
  <c r="J43" i="10" s="1"/>
  <c r="F53" i="10"/>
  <c r="J26" i="10"/>
  <c r="L7" i="10"/>
  <c r="L10" i="10"/>
  <c r="K26" i="10"/>
  <c r="H31" i="10"/>
  <c r="F38" i="10"/>
  <c r="E38" i="10" s="1"/>
  <c r="L26" i="10"/>
  <c r="H6" i="10"/>
  <c r="H26" i="10" s="1"/>
  <c r="G25" i="12" l="1"/>
  <c r="I21" i="12"/>
  <c r="N21" i="12"/>
  <c r="N24" i="12"/>
  <c r="N25" i="12"/>
  <c r="G24" i="12"/>
  <c r="E31" i="11"/>
  <c r="E37" i="11"/>
  <c r="D37" i="11" s="1"/>
  <c r="H31" i="11"/>
  <c r="J25" i="11"/>
  <c r="J31" i="11" s="1"/>
  <c r="F22" i="11"/>
  <c r="E15" i="11"/>
  <c r="E22" i="11" s="1"/>
  <c r="J5" i="11"/>
  <c r="J15" i="11" s="1"/>
  <c r="J22" i="11" s="1"/>
  <c r="H15" i="11"/>
  <c r="L43" i="10"/>
  <c r="J53" i="10"/>
  <c r="G26" i="10"/>
  <c r="L28" i="10"/>
  <c r="J29" i="10"/>
  <c r="L29" i="10" s="1"/>
  <c r="F39" i="10"/>
  <c r="H38" i="10"/>
  <c r="G38" i="10" s="1"/>
  <c r="J31" i="10"/>
  <c r="H53" i="10"/>
  <c r="E59" i="10"/>
  <c r="D59" i="10" s="1"/>
  <c r="E53" i="10"/>
  <c r="I24" i="12" l="1"/>
  <c r="F24" i="12"/>
  <c r="E32" i="11"/>
  <c r="G31" i="11"/>
  <c r="G37" i="11"/>
  <c r="F37" i="11" s="1"/>
  <c r="H22" i="11"/>
  <c r="G15" i="11"/>
  <c r="E36" i="11"/>
  <c r="F32" i="11"/>
  <c r="J32" i="11"/>
  <c r="G59" i="10"/>
  <c r="F59" i="10" s="1"/>
  <c r="G53" i="10"/>
  <c r="E58" i="10"/>
  <c r="F54" i="10"/>
  <c r="E54" i="10" s="1"/>
  <c r="E39" i="10"/>
  <c r="H39" i="10"/>
  <c r="L31" i="10"/>
  <c r="L38" i="10" s="1"/>
  <c r="L39" i="10" s="1"/>
  <c r="J38" i="10"/>
  <c r="J39" i="10" s="1"/>
  <c r="J54" i="10"/>
  <c r="L54" i="10" s="1"/>
  <c r="L53" i="10"/>
  <c r="D36" i="11" l="1"/>
  <c r="E38" i="11"/>
  <c r="G36" i="11"/>
  <c r="G22" i="11"/>
  <c r="G32" i="11" s="1"/>
  <c r="H32" i="11"/>
  <c r="G58" i="10"/>
  <c r="G39" i="10"/>
  <c r="H54" i="10"/>
  <c r="G54" i="10" s="1"/>
  <c r="E60" i="10"/>
  <c r="D58" i="10"/>
  <c r="F36" i="11" l="1"/>
  <c r="G38" i="11"/>
  <c r="C42" i="11"/>
  <c r="C43" i="11" s="1"/>
  <c r="D38" i="11"/>
  <c r="C64" i="10"/>
  <c r="C65" i="10" s="1"/>
  <c r="D60" i="10"/>
  <c r="G60" i="10"/>
  <c r="F58" i="10"/>
  <c r="D42" i="11" l="1"/>
  <c r="D43" i="11" s="1"/>
  <c r="F38" i="11"/>
  <c r="D64" i="10"/>
  <c r="F60" i="10"/>
  <c r="D58" i="6" l="1"/>
  <c r="E53" i="6"/>
  <c r="E52" i="6"/>
  <c r="J48" i="6"/>
  <c r="E48" i="6"/>
  <c r="D57" i="6"/>
  <c r="D56" i="6"/>
  <c r="D55" i="6"/>
  <c r="D54" i="6"/>
  <c r="D53" i="6"/>
  <c r="D52" i="6"/>
  <c r="D51" i="6"/>
  <c r="D50" i="6"/>
  <c r="D49" i="6"/>
  <c r="D48" i="6"/>
  <c r="D47" i="6"/>
  <c r="D44" i="6"/>
  <c r="D59" i="6" s="1"/>
  <c r="D43" i="6"/>
  <c r="I38" i="6"/>
  <c r="D41" i="6"/>
  <c r="D40" i="6"/>
  <c r="D39" i="6"/>
  <c r="D37" i="6"/>
  <c r="D34" i="6"/>
  <c r="D32" i="6"/>
  <c r="J31" i="6"/>
  <c r="D31" i="6"/>
  <c r="D29" i="6"/>
  <c r="E22" i="6"/>
  <c r="I18" i="6"/>
  <c r="D19" i="6"/>
  <c r="E16" i="6"/>
  <c r="E15" i="6"/>
  <c r="E7" i="6"/>
  <c r="L7" i="4"/>
  <c r="J6" i="6"/>
  <c r="D5" i="6"/>
  <c r="D23" i="6"/>
  <c r="D22" i="6"/>
  <c r="D21" i="6"/>
  <c r="D17" i="6"/>
  <c r="D16" i="6"/>
  <c r="D15" i="6"/>
  <c r="D14" i="6"/>
  <c r="D13" i="6"/>
  <c r="D11" i="6"/>
  <c r="D10" i="6"/>
  <c r="D9" i="6"/>
  <c r="D8" i="6"/>
  <c r="F8" i="6" s="1"/>
  <c r="H8" i="6" s="1"/>
  <c r="K8" i="6" s="1"/>
  <c r="L8" i="6" s="1"/>
  <c r="D7" i="6"/>
  <c r="D6" i="6"/>
  <c r="G54" i="4"/>
  <c r="G53" i="4"/>
  <c r="O51" i="9"/>
  <c r="G49" i="4"/>
  <c r="F58" i="4"/>
  <c r="F57" i="4"/>
  <c r="F56" i="4"/>
  <c r="F55" i="4"/>
  <c r="F54" i="4"/>
  <c r="F53" i="4"/>
  <c r="F52" i="4"/>
  <c r="F51" i="4"/>
  <c r="F50" i="4"/>
  <c r="F49" i="4"/>
  <c r="K44" i="4"/>
  <c r="L39" i="4"/>
  <c r="F42" i="4"/>
  <c r="F41" i="4"/>
  <c r="F38" i="4"/>
  <c r="K33" i="4"/>
  <c r="F33" i="4"/>
  <c r="F32" i="4"/>
  <c r="F30" i="4"/>
  <c r="G21" i="4"/>
  <c r="L18" i="4"/>
  <c r="F18" i="4"/>
  <c r="G15" i="4"/>
  <c r="G14" i="4"/>
  <c r="F22" i="4"/>
  <c r="F21" i="4"/>
  <c r="F20" i="4"/>
  <c r="F16" i="4"/>
  <c r="F15" i="4"/>
  <c r="F14" i="4"/>
  <c r="F12" i="4"/>
  <c r="F11" i="4"/>
  <c r="F10" i="4"/>
  <c r="F7" i="4"/>
  <c r="F8" i="4"/>
  <c r="F9" i="4"/>
  <c r="H9" i="4" s="1"/>
  <c r="J9" i="4" s="1"/>
  <c r="F47" i="9"/>
  <c r="F62" i="9" s="1"/>
  <c r="L46" i="9"/>
  <c r="F46" i="9"/>
  <c r="J40" i="3"/>
  <c r="L41" i="9"/>
  <c r="K41" i="9"/>
  <c r="K40" i="9"/>
  <c r="M40" i="9" s="1"/>
  <c r="F37" i="9"/>
  <c r="L35" i="9"/>
  <c r="K35" i="9"/>
  <c r="O32" i="9"/>
  <c r="L30" i="9"/>
  <c r="K30" i="9"/>
  <c r="F30" i="9"/>
  <c r="P23" i="9"/>
  <c r="P22" i="9"/>
  <c r="K19" i="9"/>
  <c r="G56" i="9"/>
  <c r="F56" i="9"/>
  <c r="K45" i="4" l="1"/>
  <c r="N9" i="4"/>
  <c r="L47" i="9"/>
  <c r="K46" i="9"/>
  <c r="F27" i="9"/>
  <c r="G23" i="9"/>
  <c r="F6" i="9" l="1"/>
  <c r="H6" i="9" s="1"/>
  <c r="M9" i="9"/>
  <c r="F9" i="9"/>
  <c r="H9" i="9" s="1"/>
  <c r="J9" i="9" s="1"/>
  <c r="H27" i="9"/>
  <c r="J27" i="9" s="1"/>
  <c r="F55" i="9"/>
  <c r="F54" i="9"/>
  <c r="H54" i="9" s="1"/>
  <c r="J54" i="9" s="1"/>
  <c r="F53" i="9"/>
  <c r="H53" i="9" s="1"/>
  <c r="J53" i="9" s="1"/>
  <c r="F52" i="9"/>
  <c r="H52" i="9" s="1"/>
  <c r="J52" i="9" s="1"/>
  <c r="F50" i="9"/>
  <c r="E67" i="9" s="1"/>
  <c r="F18" i="9"/>
  <c r="H18" i="9" s="1"/>
  <c r="J18" i="9" s="1"/>
  <c r="F16" i="9"/>
  <c r="F15" i="9"/>
  <c r="H15" i="9" s="1"/>
  <c r="J15" i="9" s="1"/>
  <c r="F14" i="9"/>
  <c r="H14" i="9" s="1"/>
  <c r="J14" i="9" s="1"/>
  <c r="F10" i="9"/>
  <c r="F7" i="9"/>
  <c r="H7" i="9" s="1"/>
  <c r="J7" i="9" s="1"/>
  <c r="C17" i="8"/>
  <c r="C17" i="7"/>
  <c r="F71" i="9"/>
  <c r="E71" i="9"/>
  <c r="L61" i="9"/>
  <c r="L62" i="9" s="1"/>
  <c r="K61" i="9"/>
  <c r="M60" i="9"/>
  <c r="F60" i="9"/>
  <c r="H60" i="9" s="1"/>
  <c r="J60" i="9" s="1"/>
  <c r="M59" i="9"/>
  <c r="F59" i="9"/>
  <c r="H59" i="9" s="1"/>
  <c r="J59" i="9" s="1"/>
  <c r="M58" i="9"/>
  <c r="F58" i="9"/>
  <c r="H58" i="9" s="1"/>
  <c r="J58" i="9" s="1"/>
  <c r="M57" i="9"/>
  <c r="F57" i="9"/>
  <c r="H57" i="9" s="1"/>
  <c r="J57" i="9" s="1"/>
  <c r="M56" i="9"/>
  <c r="M55" i="9"/>
  <c r="M54" i="9"/>
  <c r="M53" i="9"/>
  <c r="M52" i="9"/>
  <c r="M51" i="9"/>
  <c r="G51" i="9"/>
  <c r="F51" i="9"/>
  <c r="M50" i="9"/>
  <c r="M45" i="9"/>
  <c r="H45" i="9"/>
  <c r="J45" i="9" s="1"/>
  <c r="M44" i="9"/>
  <c r="F44" i="9"/>
  <c r="M43" i="9"/>
  <c r="F43" i="9"/>
  <c r="H43" i="9" s="1"/>
  <c r="J43" i="9" s="1"/>
  <c r="M42" i="9"/>
  <c r="F42" i="9"/>
  <c r="H42" i="9" s="1"/>
  <c r="J42" i="9" s="1"/>
  <c r="M41" i="9"/>
  <c r="H40" i="9"/>
  <c r="J40" i="9" s="1"/>
  <c r="M39" i="9"/>
  <c r="H39" i="9"/>
  <c r="J39" i="9" s="1"/>
  <c r="M38" i="9"/>
  <c r="H38" i="9"/>
  <c r="J38" i="9" s="1"/>
  <c r="M37" i="9"/>
  <c r="H37" i="9"/>
  <c r="M34" i="9"/>
  <c r="F34" i="9"/>
  <c r="H34" i="9" s="1"/>
  <c r="J34" i="9" s="1"/>
  <c r="O34" i="9" s="1"/>
  <c r="Q34" i="9" s="1"/>
  <c r="M33" i="9"/>
  <c r="H33" i="9"/>
  <c r="J33" i="9" s="1"/>
  <c r="M32" i="9"/>
  <c r="F32" i="9"/>
  <c r="H32" i="9" s="1"/>
  <c r="M29" i="9"/>
  <c r="F29" i="9"/>
  <c r="H29" i="9" s="1"/>
  <c r="J29" i="9" s="1"/>
  <c r="M28" i="9"/>
  <c r="F28" i="9"/>
  <c r="H28" i="9" s="1"/>
  <c r="J28" i="9" s="1"/>
  <c r="M27" i="9"/>
  <c r="M26" i="9"/>
  <c r="F26" i="9"/>
  <c r="H26" i="9" s="1"/>
  <c r="J26" i="9" s="1"/>
  <c r="M25" i="9"/>
  <c r="F25" i="9"/>
  <c r="H25" i="9" s="1"/>
  <c r="J25" i="9" s="1"/>
  <c r="M24" i="9"/>
  <c r="F24" i="9"/>
  <c r="H24" i="9" s="1"/>
  <c r="J24" i="9" s="1"/>
  <c r="M23" i="9"/>
  <c r="F23" i="9"/>
  <c r="M22" i="9"/>
  <c r="F22" i="9"/>
  <c r="M21" i="9"/>
  <c r="M20" i="9"/>
  <c r="F20" i="9"/>
  <c r="H20" i="9" s="1"/>
  <c r="J20" i="9" s="1"/>
  <c r="L19" i="9"/>
  <c r="M19" i="9" s="1"/>
  <c r="M18" i="9"/>
  <c r="M17" i="9"/>
  <c r="G17" i="9"/>
  <c r="F17" i="9"/>
  <c r="M16" i="9"/>
  <c r="M13" i="9"/>
  <c r="F13" i="9"/>
  <c r="H13" i="9" s="1"/>
  <c r="M15" i="9"/>
  <c r="M14" i="9"/>
  <c r="M12" i="9"/>
  <c r="F12" i="9"/>
  <c r="H12" i="9" s="1"/>
  <c r="J12" i="9" s="1"/>
  <c r="O12" i="9" s="1"/>
  <c r="Q12" i="9" s="1"/>
  <c r="M11" i="9"/>
  <c r="F11" i="9"/>
  <c r="H11" i="9" s="1"/>
  <c r="J11" i="9" s="1"/>
  <c r="O11" i="9" s="1"/>
  <c r="Q11" i="9" s="1"/>
  <c r="M10" i="9"/>
  <c r="M8" i="9"/>
  <c r="G8" i="9"/>
  <c r="F8" i="9"/>
  <c r="M7" i="9"/>
  <c r="M6" i="9"/>
  <c r="F19" i="4"/>
  <c r="C15" i="7"/>
  <c r="D20" i="6" s="1"/>
  <c r="B15" i="7"/>
  <c r="P18" i="9" l="1"/>
  <c r="Q18" i="9" s="1"/>
  <c r="H35" i="9"/>
  <c r="H44" i="9"/>
  <c r="J44" i="9" s="1"/>
  <c r="E38" i="9"/>
  <c r="B4" i="16"/>
  <c r="D4" i="16" s="1"/>
  <c r="E4" i="16" s="1"/>
  <c r="F4" i="16" s="1"/>
  <c r="O25" i="9"/>
  <c r="Q25" i="9" s="1"/>
  <c r="F21" i="9"/>
  <c r="H21" i="9" s="1"/>
  <c r="J21" i="9" s="1"/>
  <c r="J19" i="9" s="1"/>
  <c r="O33" i="9"/>
  <c r="O35" i="9" s="1"/>
  <c r="J13" i="9"/>
  <c r="O13" i="9" s="1"/>
  <c r="Q13" i="9" s="1"/>
  <c r="O26" i="9"/>
  <c r="Q26" i="9" s="1"/>
  <c r="O58" i="9"/>
  <c r="Q58" i="9" s="1"/>
  <c r="P9" i="9"/>
  <c r="Q9" i="9" s="1"/>
  <c r="P15" i="9"/>
  <c r="Q15" i="9" s="1"/>
  <c r="P52" i="9"/>
  <c r="Q52" i="9" s="1"/>
  <c r="O24" i="9"/>
  <c r="Q24" i="9" s="1"/>
  <c r="M35" i="9"/>
  <c r="O60" i="9"/>
  <c r="Q60" i="9" s="1"/>
  <c r="M46" i="9"/>
  <c r="O57" i="9"/>
  <c r="Q57" i="9" s="1"/>
  <c r="P54" i="9"/>
  <c r="Q54" i="9" s="1"/>
  <c r="O28" i="9"/>
  <c r="Q28" i="9" s="1"/>
  <c r="O45" i="9"/>
  <c r="Q45" i="9" s="1"/>
  <c r="P27" i="9"/>
  <c r="Q27" i="9" s="1"/>
  <c r="M30" i="9"/>
  <c r="P7" i="9"/>
  <c r="Q7" i="9" s="1"/>
  <c r="O29" i="9"/>
  <c r="Q29" i="9" s="1"/>
  <c r="P39" i="9"/>
  <c r="Q39" i="9" s="1"/>
  <c r="P53" i="9"/>
  <c r="Q53" i="9" s="1"/>
  <c r="H46" i="9"/>
  <c r="O59" i="9"/>
  <c r="Q59" i="9" s="1"/>
  <c r="P14" i="9"/>
  <c r="Q14" i="9" s="1"/>
  <c r="H8" i="9"/>
  <c r="J8" i="9" s="1"/>
  <c r="O8" i="9" s="1"/>
  <c r="Q8" i="9" s="1"/>
  <c r="H17" i="9"/>
  <c r="J17" i="9" s="1"/>
  <c r="O17" i="9" s="1"/>
  <c r="Q17" i="9" s="1"/>
  <c r="K47" i="9"/>
  <c r="K62" i="9" s="1"/>
  <c r="H22" i="9"/>
  <c r="J22" i="9" s="1"/>
  <c r="O22" i="9" s="1"/>
  <c r="Q22" i="9" s="1"/>
  <c r="H55" i="9"/>
  <c r="J55" i="9" s="1"/>
  <c r="H10" i="9"/>
  <c r="J10" i="9" s="1"/>
  <c r="H16" i="9"/>
  <c r="J16" i="9" s="1"/>
  <c r="H50" i="9"/>
  <c r="J50" i="9" s="1"/>
  <c r="P50" i="9" s="1"/>
  <c r="Q50" i="9" s="1"/>
  <c r="H51" i="9"/>
  <c r="J51" i="9" s="1"/>
  <c r="P51" i="9" s="1"/>
  <c r="Q51" i="9" s="1"/>
  <c r="M61" i="9"/>
  <c r="H23" i="9"/>
  <c r="J23" i="9" s="1"/>
  <c r="O23" i="9" s="1"/>
  <c r="Q23" i="9" s="1"/>
  <c r="H56" i="9"/>
  <c r="J56" i="9" s="1"/>
  <c r="O56" i="9" s="1"/>
  <c r="Q56" i="9" s="1"/>
  <c r="J32" i="9"/>
  <c r="J6" i="9"/>
  <c r="J41" i="9"/>
  <c r="J37" i="9"/>
  <c r="B5" i="16" l="1"/>
  <c r="D5" i="16" s="1"/>
  <c r="Q33" i="9"/>
  <c r="E5" i="16"/>
  <c r="F5" i="16" s="1"/>
  <c r="H30" i="9"/>
  <c r="M47" i="9"/>
  <c r="M62" i="9" s="1"/>
  <c r="J46" i="9"/>
  <c r="I46" i="9" s="1"/>
  <c r="O37" i="9"/>
  <c r="Q37" i="9" s="1"/>
  <c r="J30" i="9"/>
  <c r="O6" i="9"/>
  <c r="Q6" i="9" s="1"/>
  <c r="G46" i="9"/>
  <c r="J35" i="9"/>
  <c r="P32" i="9"/>
  <c r="G35" i="9"/>
  <c r="H61" i="9"/>
  <c r="J61" i="9"/>
  <c r="B3" i="16" l="1"/>
  <c r="D3" i="16" s="1"/>
  <c r="I35" i="9"/>
  <c r="B6" i="16"/>
  <c r="D6" i="16" s="1"/>
  <c r="G30" i="9"/>
  <c r="H47" i="9"/>
  <c r="G47" i="9" s="1"/>
  <c r="P35" i="9"/>
  <c r="Q32" i="9"/>
  <c r="Q35" i="9" s="1"/>
  <c r="G61" i="9"/>
  <c r="I30" i="9"/>
  <c r="J47" i="9"/>
  <c r="J62" i="9" s="1"/>
  <c r="E66" i="9"/>
  <c r="E68" i="9" s="1"/>
  <c r="G67" i="9"/>
  <c r="F67" i="9" s="1"/>
  <c r="I61" i="9"/>
  <c r="I67" i="9"/>
  <c r="B7" i="16" l="1"/>
  <c r="E3" i="16"/>
  <c r="D7" i="16"/>
  <c r="E6" i="16"/>
  <c r="F6" i="16" s="1"/>
  <c r="H62" i="9"/>
  <c r="G62" i="9" s="1"/>
  <c r="H67" i="9"/>
  <c r="G66" i="9"/>
  <c r="F66" i="9" s="1"/>
  <c r="I47" i="9"/>
  <c r="I66" i="9"/>
  <c r="F40" i="6"/>
  <c r="H40" i="6" s="1"/>
  <c r="F39" i="6"/>
  <c r="F41" i="6"/>
  <c r="H41" i="6" s="1"/>
  <c r="F21" i="6"/>
  <c r="H21" i="6" s="1"/>
  <c r="J21" i="6" s="1"/>
  <c r="L21" i="6" s="1"/>
  <c r="F7" i="6"/>
  <c r="H7" i="6" s="1"/>
  <c r="J7" i="6" s="1"/>
  <c r="L7" i="6" s="1"/>
  <c r="F22" i="6"/>
  <c r="H22" i="6" s="1"/>
  <c r="J22" i="6" s="1"/>
  <c r="L22" i="6" s="1"/>
  <c r="F16" i="6"/>
  <c r="H16" i="6" s="1"/>
  <c r="J16" i="6" s="1"/>
  <c r="L16" i="6" s="1"/>
  <c r="F9" i="6"/>
  <c r="H9" i="6" s="1"/>
  <c r="K9" i="6" s="1"/>
  <c r="L9" i="6" s="1"/>
  <c r="F36" i="6"/>
  <c r="H36" i="6" s="1"/>
  <c r="F35" i="6"/>
  <c r="H35" i="6" s="1"/>
  <c r="K35" i="6" s="1"/>
  <c r="L35" i="6" s="1"/>
  <c r="F52" i="6"/>
  <c r="H52" i="6" s="1"/>
  <c r="J52" i="6" s="1"/>
  <c r="L52" i="6" s="1"/>
  <c r="D6" i="3"/>
  <c r="F53" i="6"/>
  <c r="H53" i="6" s="1"/>
  <c r="J53" i="6" s="1"/>
  <c r="L53" i="6" s="1"/>
  <c r="F5" i="6"/>
  <c r="C64" i="6"/>
  <c r="I58" i="6"/>
  <c r="F57" i="6"/>
  <c r="H57" i="6" s="1"/>
  <c r="J57" i="6" s="1"/>
  <c r="L57" i="6" s="1"/>
  <c r="F56" i="6"/>
  <c r="H56" i="6" s="1"/>
  <c r="J56" i="6" s="1"/>
  <c r="L56" i="6" s="1"/>
  <c r="F55" i="6"/>
  <c r="H55" i="6" s="1"/>
  <c r="J55" i="6" s="1"/>
  <c r="L55" i="6" s="1"/>
  <c r="F54" i="6"/>
  <c r="H54" i="6" s="1"/>
  <c r="J54" i="6" s="1"/>
  <c r="L54" i="6" s="1"/>
  <c r="F51" i="6"/>
  <c r="H51" i="6" s="1"/>
  <c r="J51" i="6" s="1"/>
  <c r="L51" i="6" s="1"/>
  <c r="F50" i="6"/>
  <c r="H50" i="6" s="1"/>
  <c r="J50" i="6" s="1"/>
  <c r="L50" i="6" s="1"/>
  <c r="F49" i="6"/>
  <c r="H49" i="6" s="1"/>
  <c r="J49" i="6" s="1"/>
  <c r="L49" i="6" s="1"/>
  <c r="F48" i="6"/>
  <c r="H48" i="6" s="1"/>
  <c r="F47" i="6"/>
  <c r="I43" i="6"/>
  <c r="F42" i="6"/>
  <c r="H42" i="6" s="1"/>
  <c r="J42" i="6" s="1"/>
  <c r="L42" i="6" s="1"/>
  <c r="F37" i="6"/>
  <c r="H37" i="6" s="1"/>
  <c r="J37" i="6" s="1"/>
  <c r="L37" i="6" s="1"/>
  <c r="I32" i="6"/>
  <c r="F31" i="6"/>
  <c r="H31" i="6" s="1"/>
  <c r="K31" i="6" s="1"/>
  <c r="K32" i="6" s="1"/>
  <c r="I29" i="6"/>
  <c r="F28" i="6"/>
  <c r="H28" i="6" s="1"/>
  <c r="J28" i="6" s="1"/>
  <c r="L28" i="6" s="1"/>
  <c r="F27" i="6"/>
  <c r="H27" i="6" s="1"/>
  <c r="J27" i="6" s="1"/>
  <c r="L27" i="6" s="1"/>
  <c r="F26" i="6"/>
  <c r="H26" i="6" s="1"/>
  <c r="F25" i="6"/>
  <c r="H25" i="6" s="1"/>
  <c r="J25" i="6" s="1"/>
  <c r="L25" i="6" s="1"/>
  <c r="F24" i="6"/>
  <c r="H24" i="6" s="1"/>
  <c r="K24" i="6" s="1"/>
  <c r="L24" i="6" s="1"/>
  <c r="F23" i="6"/>
  <c r="H23" i="6" s="1"/>
  <c r="J23" i="6" s="1"/>
  <c r="L23" i="6" s="1"/>
  <c r="F20" i="6"/>
  <c r="H20" i="6" s="1"/>
  <c r="J20" i="6" s="1"/>
  <c r="O21" i="9" s="1"/>
  <c r="F19" i="6"/>
  <c r="H19" i="6" s="1"/>
  <c r="J19" i="6" s="1"/>
  <c r="F17" i="6"/>
  <c r="H17" i="6" s="1"/>
  <c r="J17" i="6" s="1"/>
  <c r="L17" i="6" s="1"/>
  <c r="F15" i="6"/>
  <c r="H15" i="6" s="1"/>
  <c r="J15" i="6" s="1"/>
  <c r="L15" i="6" s="1"/>
  <c r="F14" i="6"/>
  <c r="H14" i="6" s="1"/>
  <c r="J14" i="6" s="1"/>
  <c r="L14" i="6" s="1"/>
  <c r="F13" i="6"/>
  <c r="H13" i="6" s="1"/>
  <c r="J13" i="6" s="1"/>
  <c r="L13" i="6" s="1"/>
  <c r="F12" i="6"/>
  <c r="H12" i="6" s="1"/>
  <c r="J12" i="6" s="1"/>
  <c r="L12" i="6" s="1"/>
  <c r="F11" i="6"/>
  <c r="H11" i="6" s="1"/>
  <c r="J11" i="6" s="1"/>
  <c r="L11" i="6" s="1"/>
  <c r="F10" i="6"/>
  <c r="H10" i="6" s="1"/>
  <c r="J10" i="6" s="1"/>
  <c r="L10" i="6" s="1"/>
  <c r="F6" i="6"/>
  <c r="H6" i="6" s="1"/>
  <c r="H20" i="4"/>
  <c r="J20" i="4" s="1"/>
  <c r="L20" i="4" s="1"/>
  <c r="H54" i="4"/>
  <c r="H15" i="4"/>
  <c r="J15" i="4" s="1"/>
  <c r="L15" i="4" s="1"/>
  <c r="H6" i="4"/>
  <c r="E67" i="4"/>
  <c r="K59" i="4"/>
  <c r="K60" i="4" s="1"/>
  <c r="L39" i="3"/>
  <c r="H42" i="4"/>
  <c r="H41" i="4"/>
  <c r="J41" i="4" s="1"/>
  <c r="M41" i="4" s="1"/>
  <c r="N41" i="4" s="1"/>
  <c r="H40" i="4"/>
  <c r="J40" i="4" s="1"/>
  <c r="M40" i="4" s="1"/>
  <c r="E32" i="3"/>
  <c r="K20" i="3"/>
  <c r="L19" i="3"/>
  <c r="K19" i="3"/>
  <c r="L25" i="4"/>
  <c r="N25" i="4" s="1"/>
  <c r="L17" i="4"/>
  <c r="H53" i="4"/>
  <c r="J53" i="4" s="1"/>
  <c r="L53" i="4" s="1"/>
  <c r="H21" i="4"/>
  <c r="J21" i="4" s="1"/>
  <c r="L21" i="4" s="1"/>
  <c r="H14" i="4"/>
  <c r="J14" i="4" s="1"/>
  <c r="L14" i="4" s="1"/>
  <c r="N14" i="4" s="1"/>
  <c r="H10" i="4"/>
  <c r="J10" i="4" s="1"/>
  <c r="M10" i="4" s="1"/>
  <c r="L10" i="4" s="1"/>
  <c r="O10" i="9" s="1"/>
  <c r="P10" i="9" s="1"/>
  <c r="Q10" i="9" s="1"/>
  <c r="H8" i="4"/>
  <c r="J8" i="4" s="1"/>
  <c r="L8" i="4" s="1"/>
  <c r="H32" i="4"/>
  <c r="H18" i="4"/>
  <c r="H19" i="4"/>
  <c r="J19" i="4" s="1"/>
  <c r="M19" i="4" s="1"/>
  <c r="H49" i="4"/>
  <c r="J49" i="4" s="1"/>
  <c r="M49" i="4" s="1"/>
  <c r="H58" i="4"/>
  <c r="J58" i="4" s="1"/>
  <c r="L58" i="4" s="1"/>
  <c r="H57" i="4"/>
  <c r="J57" i="4" s="1"/>
  <c r="L57" i="4" s="1"/>
  <c r="H56" i="4"/>
  <c r="J56" i="4" s="1"/>
  <c r="H55" i="4"/>
  <c r="J55" i="4" s="1"/>
  <c r="L55" i="4" s="1"/>
  <c r="H52" i="4"/>
  <c r="J52" i="4" s="1"/>
  <c r="L52" i="4" s="1"/>
  <c r="H51" i="4"/>
  <c r="J51" i="4" s="1"/>
  <c r="L51" i="4" s="1"/>
  <c r="H50" i="4"/>
  <c r="J50" i="4" s="1"/>
  <c r="L50" i="4" s="1"/>
  <c r="H48" i="4"/>
  <c r="H43" i="4"/>
  <c r="J43" i="4" s="1"/>
  <c r="L43" i="4" s="1"/>
  <c r="N43" i="4" s="1"/>
  <c r="H38" i="4"/>
  <c r="J38" i="4" s="1"/>
  <c r="L38" i="4" s="1"/>
  <c r="N38" i="4" s="1"/>
  <c r="H37" i="4"/>
  <c r="J37" i="4" s="1"/>
  <c r="H36" i="4"/>
  <c r="J36" i="4" s="1"/>
  <c r="H31" i="4"/>
  <c r="J31" i="4" s="1"/>
  <c r="L31" i="4" s="1"/>
  <c r="H30" i="4"/>
  <c r="H27" i="4"/>
  <c r="J27" i="4" s="1"/>
  <c r="L27" i="4" s="1"/>
  <c r="N27" i="4" s="1"/>
  <c r="H26" i="4"/>
  <c r="J26" i="4" s="1"/>
  <c r="L26" i="4" s="1"/>
  <c r="N26" i="4" s="1"/>
  <c r="H25" i="4"/>
  <c r="J25" i="4" s="1"/>
  <c r="H24" i="4"/>
  <c r="J24" i="4" s="1"/>
  <c r="M24" i="4" s="1"/>
  <c r="H23" i="4"/>
  <c r="J23" i="4" s="1"/>
  <c r="L23" i="4" s="1"/>
  <c r="N23" i="4" s="1"/>
  <c r="H22" i="4"/>
  <c r="J22" i="4" s="1"/>
  <c r="H16" i="4"/>
  <c r="J16" i="4" s="1"/>
  <c r="L16" i="4" s="1"/>
  <c r="N16" i="4" s="1"/>
  <c r="H13" i="4"/>
  <c r="H12" i="4"/>
  <c r="J12" i="4" s="1"/>
  <c r="L12" i="4" s="1"/>
  <c r="N12" i="4" s="1"/>
  <c r="H11" i="4"/>
  <c r="J11" i="4" s="1"/>
  <c r="L11" i="4" s="1"/>
  <c r="N11" i="4" s="1"/>
  <c r="H7" i="4"/>
  <c r="J7" i="4" s="1"/>
  <c r="C65" i="3"/>
  <c r="K59" i="3"/>
  <c r="J58" i="3"/>
  <c r="L58" i="3" s="1"/>
  <c r="H58" i="3"/>
  <c r="F58" i="3"/>
  <c r="F57" i="3"/>
  <c r="H57" i="3" s="1"/>
  <c r="F56" i="3"/>
  <c r="H56" i="3" s="1"/>
  <c r="F55" i="3"/>
  <c r="H55" i="3" s="1"/>
  <c r="F54" i="3"/>
  <c r="H54" i="3" s="1"/>
  <c r="E54" i="3"/>
  <c r="E53" i="3"/>
  <c r="F53" i="3" s="1"/>
  <c r="H53" i="3" s="1"/>
  <c r="F52" i="3"/>
  <c r="H52" i="3" s="1"/>
  <c r="H51" i="3"/>
  <c r="J51" i="3" s="1"/>
  <c r="L51" i="3" s="1"/>
  <c r="F51" i="3"/>
  <c r="F50" i="3"/>
  <c r="H50" i="3" s="1"/>
  <c r="E49" i="3"/>
  <c r="F49" i="3" s="1"/>
  <c r="H49" i="3" s="1"/>
  <c r="H48" i="3"/>
  <c r="J48" i="3" s="1"/>
  <c r="F48" i="3"/>
  <c r="D44" i="3"/>
  <c r="H43" i="3"/>
  <c r="F43" i="3"/>
  <c r="D42" i="3"/>
  <c r="F42" i="3" s="1"/>
  <c r="H42" i="3" s="1"/>
  <c r="K42" i="3" s="1"/>
  <c r="L42" i="3" s="1"/>
  <c r="D41" i="3"/>
  <c r="F41" i="3" s="1"/>
  <c r="H41" i="3" s="1"/>
  <c r="K41" i="3" s="1"/>
  <c r="L41" i="3" s="1"/>
  <c r="D40" i="3"/>
  <c r="F40" i="3" s="1"/>
  <c r="H40" i="3" s="1"/>
  <c r="J39" i="3"/>
  <c r="I39" i="3"/>
  <c r="F38" i="3"/>
  <c r="H38" i="3" s="1"/>
  <c r="D38" i="3"/>
  <c r="F37" i="3"/>
  <c r="H37" i="3" s="1"/>
  <c r="D37" i="3"/>
  <c r="F36" i="3"/>
  <c r="H36" i="3" s="1"/>
  <c r="D36" i="3"/>
  <c r="F35" i="3"/>
  <c r="H35" i="3" s="1"/>
  <c r="D35" i="3"/>
  <c r="F34" i="3"/>
  <c r="D34" i="3"/>
  <c r="K32" i="3"/>
  <c r="F32" i="3"/>
  <c r="D32" i="3"/>
  <c r="I32" i="3"/>
  <c r="F31" i="3"/>
  <c r="H31" i="3" s="1"/>
  <c r="F28" i="3"/>
  <c r="H28" i="3" s="1"/>
  <c r="J28" i="3" s="1"/>
  <c r="L28" i="3" s="1"/>
  <c r="H27" i="3"/>
  <c r="F27" i="3"/>
  <c r="F26" i="3"/>
  <c r="H26" i="3" s="1"/>
  <c r="F25" i="3"/>
  <c r="H25" i="3" s="1"/>
  <c r="F24" i="3"/>
  <c r="H24" i="3" s="1"/>
  <c r="K24" i="3" s="1"/>
  <c r="L24" i="3" s="1"/>
  <c r="F23" i="3"/>
  <c r="H23" i="3" s="1"/>
  <c r="H22" i="3"/>
  <c r="J22" i="3" s="1"/>
  <c r="L22" i="3" s="1"/>
  <c r="F22" i="3"/>
  <c r="E22" i="3"/>
  <c r="E21" i="3"/>
  <c r="F21" i="3" s="1"/>
  <c r="H21" i="3" s="1"/>
  <c r="J21" i="3" s="1"/>
  <c r="L21" i="3" s="1"/>
  <c r="F20" i="3"/>
  <c r="H20" i="3" s="1"/>
  <c r="L20" i="3" s="1"/>
  <c r="D19" i="3"/>
  <c r="F19" i="3" s="1"/>
  <c r="H19" i="3" s="1"/>
  <c r="J18" i="3"/>
  <c r="I18" i="3"/>
  <c r="J17" i="3"/>
  <c r="L17" i="3" s="1"/>
  <c r="H17" i="3"/>
  <c r="F17" i="3"/>
  <c r="F16" i="3"/>
  <c r="H16" i="3" s="1"/>
  <c r="E16" i="3"/>
  <c r="J15" i="3"/>
  <c r="L15" i="3" s="1"/>
  <c r="H15" i="3"/>
  <c r="F15" i="3"/>
  <c r="E15" i="3"/>
  <c r="F14" i="3"/>
  <c r="H14" i="3" s="1"/>
  <c r="H13" i="3"/>
  <c r="F13" i="3"/>
  <c r="F12" i="3"/>
  <c r="H12" i="3" s="1"/>
  <c r="F11" i="3"/>
  <c r="H11" i="3" s="1"/>
  <c r="F10" i="3"/>
  <c r="H10" i="3" s="1"/>
  <c r="H9" i="3"/>
  <c r="F9" i="3"/>
  <c r="E9" i="3"/>
  <c r="E8" i="3"/>
  <c r="F8" i="3" s="1"/>
  <c r="H8" i="3" s="1"/>
  <c r="H7" i="3"/>
  <c r="F7" i="3"/>
  <c r="H6" i="3"/>
  <c r="F6" i="3"/>
  <c r="F29" i="3" s="1"/>
  <c r="D29" i="3"/>
  <c r="N22" i="4" l="1"/>
  <c r="L22" i="4"/>
  <c r="N40" i="4"/>
  <c r="J42" i="4"/>
  <c r="M42" i="4" s="1"/>
  <c r="N42" i="4" s="1"/>
  <c r="B4" i="18"/>
  <c r="M36" i="4"/>
  <c r="L36" i="4" s="1"/>
  <c r="N10" i="4"/>
  <c r="E7" i="16"/>
  <c r="F3" i="16"/>
  <c r="F7" i="16" s="1"/>
  <c r="K26" i="6"/>
  <c r="L26" i="6" s="1"/>
  <c r="I62" i="9"/>
  <c r="O20" i="9"/>
  <c r="P20" i="9" s="1"/>
  <c r="Q20" i="9" s="1"/>
  <c r="J18" i="6"/>
  <c r="H47" i="6"/>
  <c r="H58" i="6" s="1"/>
  <c r="F58" i="6"/>
  <c r="F29" i="6"/>
  <c r="K6" i="6"/>
  <c r="L6" i="6" s="1"/>
  <c r="K48" i="6"/>
  <c r="K58" i="6" s="1"/>
  <c r="K36" i="6"/>
  <c r="L36" i="6" s="1"/>
  <c r="M7" i="4"/>
  <c r="J6" i="4"/>
  <c r="L6" i="4" s="1"/>
  <c r="H28" i="4"/>
  <c r="B3" i="18" s="1"/>
  <c r="B7" i="18" s="1"/>
  <c r="M37" i="4"/>
  <c r="J30" i="4"/>
  <c r="H33" i="4"/>
  <c r="G33" i="4" s="1"/>
  <c r="N31" i="4"/>
  <c r="N21" i="4"/>
  <c r="I44" i="6"/>
  <c r="I59" i="6" s="1"/>
  <c r="K20" i="6"/>
  <c r="L20" i="6" s="1"/>
  <c r="F34" i="6"/>
  <c r="P21" i="9"/>
  <c r="O40" i="9"/>
  <c r="P40" i="9" s="1"/>
  <c r="Q40" i="9" s="1"/>
  <c r="O16" i="9"/>
  <c r="N57" i="4"/>
  <c r="N58" i="4"/>
  <c r="L56" i="4"/>
  <c r="N56" i="4" s="1"/>
  <c r="J13" i="4"/>
  <c r="L13" i="4" s="1"/>
  <c r="N52" i="4"/>
  <c r="N55" i="4"/>
  <c r="G68" i="9"/>
  <c r="E72" i="9" s="1"/>
  <c r="E73" i="9" s="1"/>
  <c r="H66" i="9"/>
  <c r="I68" i="9"/>
  <c r="H39" i="6"/>
  <c r="J39" i="6" s="1"/>
  <c r="J41" i="6"/>
  <c r="J40" i="6"/>
  <c r="H32" i="6"/>
  <c r="L31" i="6"/>
  <c r="F32" i="6"/>
  <c r="E32" i="6" s="1"/>
  <c r="C65" i="6"/>
  <c r="H18" i="6"/>
  <c r="K19" i="6"/>
  <c r="H5" i="6"/>
  <c r="H29" i="6" s="1"/>
  <c r="J47" i="6"/>
  <c r="J32" i="6"/>
  <c r="L32" i="6" s="1"/>
  <c r="E66" i="4"/>
  <c r="E68" i="4" s="1"/>
  <c r="J54" i="4"/>
  <c r="H59" i="4"/>
  <c r="N49" i="4"/>
  <c r="N50" i="4"/>
  <c r="N51" i="4"/>
  <c r="N53" i="4"/>
  <c r="N19" i="4"/>
  <c r="L24" i="4"/>
  <c r="N24" i="4" s="1"/>
  <c r="N15" i="4"/>
  <c r="J18" i="4"/>
  <c r="N8" i="4"/>
  <c r="I29" i="3"/>
  <c r="J23" i="3"/>
  <c r="L23" i="3" s="1"/>
  <c r="J50" i="3"/>
  <c r="L50" i="3" s="1"/>
  <c r="J55" i="3"/>
  <c r="L55" i="3" s="1"/>
  <c r="J36" i="3"/>
  <c r="L36" i="3" s="1"/>
  <c r="J32" i="4"/>
  <c r="H35" i="4"/>
  <c r="B6" i="18" s="1"/>
  <c r="J48" i="4"/>
  <c r="J10" i="3"/>
  <c r="L10" i="3" s="1"/>
  <c r="J52" i="3"/>
  <c r="L52" i="3" s="1"/>
  <c r="J11" i="3"/>
  <c r="L11" i="3" s="1"/>
  <c r="J14" i="3"/>
  <c r="L14" i="3" s="1"/>
  <c r="J26" i="3"/>
  <c r="L26" i="3" s="1"/>
  <c r="J37" i="3"/>
  <c r="L37" i="3" s="1"/>
  <c r="J43" i="3"/>
  <c r="L43" i="3" s="1"/>
  <c r="J57" i="3"/>
  <c r="L57" i="3" s="1"/>
  <c r="J7" i="3"/>
  <c r="L7" i="3" s="1"/>
  <c r="J12" i="3"/>
  <c r="L12" i="3" s="1"/>
  <c r="J16" i="3"/>
  <c r="L16" i="3" s="1"/>
  <c r="J27" i="3"/>
  <c r="L27" i="3" s="1"/>
  <c r="J38" i="3"/>
  <c r="L38" i="3" s="1"/>
  <c r="J53" i="3"/>
  <c r="L53" i="3" s="1"/>
  <c r="I44" i="3"/>
  <c r="I45" i="3" s="1"/>
  <c r="I59" i="3"/>
  <c r="J13" i="3"/>
  <c r="L13" i="3" s="1"/>
  <c r="J35" i="3"/>
  <c r="L35" i="3" s="1"/>
  <c r="J49" i="3"/>
  <c r="L49" i="3" s="1"/>
  <c r="J54" i="3"/>
  <c r="L54" i="3" s="1"/>
  <c r="J9" i="3"/>
  <c r="L9" i="3" s="1"/>
  <c r="J25" i="3"/>
  <c r="L25" i="3" s="1"/>
  <c r="J56" i="3"/>
  <c r="L56" i="3" s="1"/>
  <c r="H29" i="3"/>
  <c r="J8" i="3"/>
  <c r="L8" i="3" s="1"/>
  <c r="H32" i="3"/>
  <c r="G32" i="3" s="1"/>
  <c r="J31" i="3"/>
  <c r="H39" i="3"/>
  <c r="K40" i="3"/>
  <c r="L48" i="3"/>
  <c r="D60" i="3"/>
  <c r="C66" i="3" s="1"/>
  <c r="C64" i="3"/>
  <c r="F45" i="3"/>
  <c r="E29" i="3"/>
  <c r="H18" i="3"/>
  <c r="F44" i="3"/>
  <c r="E44" i="3" s="1"/>
  <c r="F59" i="3"/>
  <c r="J6" i="3"/>
  <c r="H34" i="3"/>
  <c r="H59" i="3"/>
  <c r="N39" i="4" l="1"/>
  <c r="M39" i="4"/>
  <c r="J39" i="4"/>
  <c r="M44" i="4"/>
  <c r="M48" i="4"/>
  <c r="M59" i="4" s="1"/>
  <c r="O38" i="9"/>
  <c r="P38" i="9" s="1"/>
  <c r="Q38" i="9" s="1"/>
  <c r="N36" i="4"/>
  <c r="K18" i="6"/>
  <c r="O19" i="9"/>
  <c r="O42" i="9"/>
  <c r="P42" i="9" s="1"/>
  <c r="Q42" i="9" s="1"/>
  <c r="J38" i="6"/>
  <c r="L48" i="6"/>
  <c r="F43" i="6"/>
  <c r="E43" i="6" s="1"/>
  <c r="M30" i="4"/>
  <c r="M33" i="4" s="1"/>
  <c r="J33" i="4"/>
  <c r="B6" i="17" s="1"/>
  <c r="J17" i="4"/>
  <c r="N17" i="4" s="1"/>
  <c r="M18" i="4"/>
  <c r="M17" i="4" s="1"/>
  <c r="H45" i="4"/>
  <c r="N37" i="4"/>
  <c r="J28" i="4"/>
  <c r="L28" i="4"/>
  <c r="N7" i="4"/>
  <c r="K39" i="6"/>
  <c r="L39" i="6" s="1"/>
  <c r="H38" i="6"/>
  <c r="P19" i="9"/>
  <c r="Q19" i="9" s="1"/>
  <c r="Q21" i="9"/>
  <c r="K41" i="6"/>
  <c r="L41" i="6" s="1"/>
  <c r="O44" i="9"/>
  <c r="K40" i="6"/>
  <c r="L40" i="6" s="1"/>
  <c r="O43" i="9"/>
  <c r="H34" i="6"/>
  <c r="M13" i="4"/>
  <c r="N13" i="4" s="1"/>
  <c r="L32" i="4"/>
  <c r="L33" i="4" s="1"/>
  <c r="O55" i="9"/>
  <c r="P16" i="9"/>
  <c r="Q16" i="9" s="1"/>
  <c r="O30" i="9"/>
  <c r="F68" i="9"/>
  <c r="F72" i="9"/>
  <c r="F73" i="9" s="1"/>
  <c r="H68" i="9"/>
  <c r="G32" i="6"/>
  <c r="C63" i="6"/>
  <c r="G64" i="6"/>
  <c r="G58" i="6"/>
  <c r="E29" i="6"/>
  <c r="E58" i="6"/>
  <c r="E64" i="6"/>
  <c r="D64" i="6" s="1"/>
  <c r="J5" i="6"/>
  <c r="J58" i="6"/>
  <c r="L47" i="6"/>
  <c r="L19" i="6"/>
  <c r="L18" i="6" s="1"/>
  <c r="K29" i="6"/>
  <c r="N20" i="4"/>
  <c r="L54" i="4"/>
  <c r="J59" i="4"/>
  <c r="G59" i="4"/>
  <c r="G67" i="4"/>
  <c r="F67" i="4" s="1"/>
  <c r="F60" i="4"/>
  <c r="C20" i="18" s="1"/>
  <c r="C21" i="18" s="1"/>
  <c r="N6" i="4"/>
  <c r="G28" i="4"/>
  <c r="L59" i="3"/>
  <c r="J59" i="3"/>
  <c r="I60" i="3"/>
  <c r="J35" i="4"/>
  <c r="B5" i="17" s="1"/>
  <c r="K18" i="3"/>
  <c r="K29" i="3"/>
  <c r="L18" i="3"/>
  <c r="F60" i="3"/>
  <c r="E60" i="3" s="1"/>
  <c r="E64" i="3"/>
  <c r="E45" i="3"/>
  <c r="J34" i="3"/>
  <c r="H44" i="3"/>
  <c r="G44" i="3" s="1"/>
  <c r="E65" i="3"/>
  <c r="D65" i="3" s="1"/>
  <c r="E59" i="3"/>
  <c r="G29" i="3"/>
  <c r="H45" i="3"/>
  <c r="G65" i="3"/>
  <c r="F65" i="3" s="1"/>
  <c r="G59" i="3"/>
  <c r="J29" i="3"/>
  <c r="L6" i="3"/>
  <c r="K39" i="3"/>
  <c r="K44" i="3"/>
  <c r="L40" i="3"/>
  <c r="J32" i="3"/>
  <c r="L32" i="3" s="1"/>
  <c r="L31" i="3"/>
  <c r="B3" i="17" l="1"/>
  <c r="L48" i="4"/>
  <c r="N48" i="4" s="1"/>
  <c r="B4" i="17"/>
  <c r="D4" i="17" s="1"/>
  <c r="E4" i="17" s="1"/>
  <c r="F4" i="17" s="1"/>
  <c r="I33" i="4"/>
  <c r="D6" i="17"/>
  <c r="J44" i="4"/>
  <c r="D5" i="17"/>
  <c r="D3" i="17"/>
  <c r="F44" i="6"/>
  <c r="F59" i="6" s="1"/>
  <c r="E59" i="6" s="1"/>
  <c r="M28" i="4"/>
  <c r="M45" i="4" s="1"/>
  <c r="M60" i="4" s="1"/>
  <c r="H43" i="6"/>
  <c r="G43" i="6" s="1"/>
  <c r="O41" i="9"/>
  <c r="G44" i="4"/>
  <c r="N18" i="4"/>
  <c r="N30" i="4"/>
  <c r="J34" i="6"/>
  <c r="L34" i="6" s="1"/>
  <c r="L43" i="6" s="1"/>
  <c r="P43" i="9"/>
  <c r="K43" i="6"/>
  <c r="K44" i="6" s="1"/>
  <c r="K59" i="6" s="1"/>
  <c r="K38" i="6"/>
  <c r="P44" i="9"/>
  <c r="L38" i="6"/>
  <c r="O46" i="9"/>
  <c r="O47" i="9" s="1"/>
  <c r="N32" i="4"/>
  <c r="Q30" i="9"/>
  <c r="P30" i="9"/>
  <c r="P55" i="9"/>
  <c r="P61" i="9" s="1"/>
  <c r="O61" i="9"/>
  <c r="L58" i="6"/>
  <c r="F64" i="6"/>
  <c r="L5" i="6"/>
  <c r="L29" i="6" s="1"/>
  <c r="J29" i="6"/>
  <c r="E44" i="6"/>
  <c r="G29" i="6"/>
  <c r="I59" i="4"/>
  <c r="I67" i="4"/>
  <c r="H67" i="4" s="1"/>
  <c r="L59" i="4"/>
  <c r="N54" i="4"/>
  <c r="L35" i="4"/>
  <c r="L44" i="4" s="1"/>
  <c r="L45" i="4" s="1"/>
  <c r="H60" i="4"/>
  <c r="B8" i="18" s="1"/>
  <c r="G66" i="4"/>
  <c r="G68" i="4" s="1"/>
  <c r="E72" i="4" s="1"/>
  <c r="I28" i="4"/>
  <c r="G64" i="3"/>
  <c r="G45" i="3"/>
  <c r="H60" i="3"/>
  <c r="G60" i="3" s="1"/>
  <c r="L34" i="3"/>
  <c r="L44" i="3" s="1"/>
  <c r="J44" i="3"/>
  <c r="J45" i="3" s="1"/>
  <c r="J60" i="3" s="1"/>
  <c r="D64" i="3"/>
  <c r="E66" i="3"/>
  <c r="K45" i="3"/>
  <c r="K60" i="3" s="1"/>
  <c r="L29" i="3"/>
  <c r="J45" i="4" l="1"/>
  <c r="J60" i="4" s="1"/>
  <c r="I44" i="4"/>
  <c r="L60" i="4"/>
  <c r="E3" i="17"/>
  <c r="F3" i="17" s="1"/>
  <c r="E5" i="17"/>
  <c r="F5" i="17" s="1"/>
  <c r="E6" i="17"/>
  <c r="F6" i="17"/>
  <c r="B7" i="17"/>
  <c r="D7" i="17"/>
  <c r="E63" i="6"/>
  <c r="H44" i="6"/>
  <c r="H59" i="6" s="1"/>
  <c r="N28" i="4"/>
  <c r="J43" i="6"/>
  <c r="J44" i="6" s="1"/>
  <c r="J59" i="6" s="1"/>
  <c r="N33" i="4"/>
  <c r="P46" i="9"/>
  <c r="P47" i="9" s="1"/>
  <c r="P62" i="9" s="1"/>
  <c r="Q44" i="9"/>
  <c r="P41" i="9"/>
  <c r="Q41" i="9" s="1"/>
  <c r="Q43" i="9"/>
  <c r="O62" i="9"/>
  <c r="N59" i="4"/>
  <c r="Q55" i="9"/>
  <c r="Q61" i="9" s="1"/>
  <c r="L44" i="6"/>
  <c r="L59" i="6" s="1"/>
  <c r="D63" i="6"/>
  <c r="E65" i="6"/>
  <c r="G63" i="6"/>
  <c r="G44" i="6"/>
  <c r="G59" i="6"/>
  <c r="N35" i="4"/>
  <c r="N44" i="4" s="1"/>
  <c r="G45" i="4"/>
  <c r="G60" i="4"/>
  <c r="L45" i="3"/>
  <c r="L60" i="3" s="1"/>
  <c r="F64" i="3"/>
  <c r="G66" i="3"/>
  <c r="C70" i="3"/>
  <c r="C71" i="3" s="1"/>
  <c r="D66" i="3"/>
  <c r="F7" i="17" l="1"/>
  <c r="E7" i="17"/>
  <c r="N45" i="4"/>
  <c r="N60" i="4" s="1"/>
  <c r="Q46" i="9"/>
  <c r="Q47" i="9" s="1"/>
  <c r="Q62" i="9" s="1"/>
  <c r="F63" i="6"/>
  <c r="G65" i="6"/>
  <c r="C69" i="6"/>
  <c r="C70" i="6" s="1"/>
  <c r="D65" i="6"/>
  <c r="I60" i="4"/>
  <c r="I66" i="4"/>
  <c r="I45" i="4"/>
  <c r="F66" i="4"/>
  <c r="D70" i="3"/>
  <c r="D71" i="3" s="1"/>
  <c r="F66" i="3"/>
  <c r="D69" i="6" l="1"/>
  <c r="D70" i="6" s="1"/>
  <c r="F65" i="6"/>
  <c r="E73" i="4"/>
  <c r="F68" i="4"/>
  <c r="H66" i="4"/>
  <c r="I68" i="4"/>
  <c r="F72" i="4" s="1"/>
  <c r="C58" i="2"/>
  <c r="I53" i="2"/>
  <c r="H52" i="2"/>
  <c r="J52" i="2" s="1"/>
  <c r="F52" i="2"/>
  <c r="F51" i="2"/>
  <c r="H51" i="2" s="1"/>
  <c r="K51" i="2" s="1"/>
  <c r="H50" i="2"/>
  <c r="J50" i="2" s="1"/>
  <c r="F50" i="2"/>
  <c r="H49" i="2"/>
  <c r="J49" i="2" s="1"/>
  <c r="F49" i="2"/>
  <c r="H48" i="2"/>
  <c r="K48" i="2" s="1"/>
  <c r="F48" i="2"/>
  <c r="E48" i="2"/>
  <c r="E47" i="2"/>
  <c r="F47" i="2" s="1"/>
  <c r="H47" i="2" s="1"/>
  <c r="J47" i="2" s="1"/>
  <c r="F46" i="2"/>
  <c r="F45" i="2"/>
  <c r="H45" i="2" s="1"/>
  <c r="J45" i="2" s="1"/>
  <c r="K44" i="2"/>
  <c r="H44" i="2"/>
  <c r="F44" i="2"/>
  <c r="F43" i="2"/>
  <c r="H43" i="2" s="1"/>
  <c r="J43" i="2" s="1"/>
  <c r="E43" i="2"/>
  <c r="H42" i="2"/>
  <c r="F42" i="2"/>
  <c r="I38" i="2"/>
  <c r="I39" i="2" s="1"/>
  <c r="I54" i="2" s="1"/>
  <c r="D62" i="2" s="1"/>
  <c r="F37" i="2"/>
  <c r="H37" i="2" s="1"/>
  <c r="K37" i="2" s="1"/>
  <c r="F36" i="2"/>
  <c r="H36" i="2" s="1"/>
  <c r="K36" i="2" s="1"/>
  <c r="F35" i="2"/>
  <c r="H35" i="2" s="1"/>
  <c r="K35" i="2" s="1"/>
  <c r="K34" i="2"/>
  <c r="H34" i="2"/>
  <c r="F34" i="2"/>
  <c r="D34" i="2"/>
  <c r="F33" i="2"/>
  <c r="H33" i="2" s="1"/>
  <c r="J33" i="2" s="1"/>
  <c r="J38" i="2" s="1"/>
  <c r="D33" i="2"/>
  <c r="D32" i="2"/>
  <c r="D38" i="2" s="1"/>
  <c r="I30" i="2"/>
  <c r="D30" i="2"/>
  <c r="F29" i="2"/>
  <c r="H29" i="2" s="1"/>
  <c r="K29" i="2" s="1"/>
  <c r="D29" i="2"/>
  <c r="H28" i="2"/>
  <c r="K28" i="2" s="1"/>
  <c r="F28" i="2"/>
  <c r="F30" i="2" s="1"/>
  <c r="H27" i="2"/>
  <c r="J27" i="2" s="1"/>
  <c r="J30" i="2" s="1"/>
  <c r="F27" i="2"/>
  <c r="I25" i="2"/>
  <c r="D25" i="2"/>
  <c r="F24" i="2"/>
  <c r="H24" i="2" s="1"/>
  <c r="J24" i="2" s="1"/>
  <c r="F23" i="2"/>
  <c r="H23" i="2" s="1"/>
  <c r="K23" i="2" s="1"/>
  <c r="F22" i="2"/>
  <c r="H22" i="2" s="1"/>
  <c r="J22" i="2" s="1"/>
  <c r="F21" i="2"/>
  <c r="H21" i="2" s="1"/>
  <c r="K21" i="2" s="1"/>
  <c r="J20" i="2"/>
  <c r="H20" i="2"/>
  <c r="F20" i="2"/>
  <c r="F19" i="2"/>
  <c r="H19" i="2" s="1"/>
  <c r="J19" i="2" s="1"/>
  <c r="F18" i="2"/>
  <c r="H18" i="2" s="1"/>
  <c r="K18" i="2" s="1"/>
  <c r="E18" i="2"/>
  <c r="H17" i="2"/>
  <c r="K17" i="2" s="1"/>
  <c r="F17" i="2"/>
  <c r="E17" i="2"/>
  <c r="F16" i="2"/>
  <c r="H16" i="2" s="1"/>
  <c r="J16" i="2" s="1"/>
  <c r="F15" i="2"/>
  <c r="H15" i="2" s="1"/>
  <c r="J15" i="2" s="1"/>
  <c r="E14" i="2"/>
  <c r="F14" i="2" s="1"/>
  <c r="H14" i="2" s="1"/>
  <c r="K14" i="2" s="1"/>
  <c r="E13" i="2"/>
  <c r="F13" i="2" s="1"/>
  <c r="H13" i="2" s="1"/>
  <c r="J13" i="2" s="1"/>
  <c r="H12" i="2"/>
  <c r="K12" i="2" s="1"/>
  <c r="F12" i="2"/>
  <c r="H11" i="2"/>
  <c r="K11" i="2" s="1"/>
  <c r="F11" i="2"/>
  <c r="H10" i="2"/>
  <c r="K10" i="2" s="1"/>
  <c r="F10" i="2"/>
  <c r="E9" i="2"/>
  <c r="F9" i="2" s="1"/>
  <c r="H9" i="2" s="1"/>
  <c r="J9" i="2" s="1"/>
  <c r="E8" i="2"/>
  <c r="F8" i="2" s="1"/>
  <c r="H8" i="2" s="1"/>
  <c r="J8" i="2" s="1"/>
  <c r="F7" i="2"/>
  <c r="J6" i="2"/>
  <c r="H6" i="2"/>
  <c r="F6" i="2"/>
  <c r="D6" i="2"/>
  <c r="F73" i="4" l="1"/>
  <c r="H68" i="4"/>
  <c r="F25" i="2"/>
  <c r="E25" i="2" s="1"/>
  <c r="D39" i="2"/>
  <c r="J53" i="2"/>
  <c r="K25" i="2"/>
  <c r="K30" i="2"/>
  <c r="F53" i="2"/>
  <c r="H7" i="2"/>
  <c r="F32" i="2"/>
  <c r="K42" i="2"/>
  <c r="H46" i="2"/>
  <c r="K46" i="2" s="1"/>
  <c r="H30" i="2"/>
  <c r="G30" i="2" s="1"/>
  <c r="K53" i="2" l="1"/>
  <c r="J54" i="2"/>
  <c r="H53" i="2"/>
  <c r="F38" i="2"/>
  <c r="H32" i="2"/>
  <c r="H25" i="2"/>
  <c r="J7" i="2"/>
  <c r="J25" i="2" s="1"/>
  <c r="J39" i="2" s="1"/>
  <c r="E58" i="2"/>
  <c r="D58" i="2" s="1"/>
  <c r="E53" i="2"/>
  <c r="D54" i="2"/>
  <c r="C57" i="2"/>
  <c r="C59" i="2" s="1"/>
  <c r="K54" i="2" l="1"/>
  <c r="H39" i="2"/>
  <c r="H54" i="2" s="1"/>
  <c r="G25" i="2"/>
  <c r="K32" i="2"/>
  <c r="K38" i="2" s="1"/>
  <c r="K39" i="2" s="1"/>
  <c r="H38" i="2"/>
  <c r="G38" i="2" s="1"/>
  <c r="E38" i="2"/>
  <c r="F39" i="2"/>
  <c r="G53" i="2"/>
  <c r="G58" i="2"/>
  <c r="F58" i="2" s="1"/>
  <c r="E39" i="2" l="1"/>
  <c r="E57" i="2"/>
  <c r="F54" i="2"/>
  <c r="E54" i="2" s="1"/>
  <c r="G57" i="2"/>
  <c r="G39" i="2"/>
  <c r="D57" i="2" l="1"/>
  <c r="E59" i="2"/>
  <c r="G54" i="2"/>
  <c r="G59" i="2"/>
  <c r="F57" i="2"/>
  <c r="C63" i="2" l="1"/>
  <c r="C64" i="2" s="1"/>
  <c r="D59" i="2"/>
  <c r="D63" i="2"/>
  <c r="D64" i="2" s="1"/>
  <c r="F59" i="2"/>
  <c r="H34" i="13"/>
  <c r="H35" i="13" s="1"/>
  <c r="G35" i="13" s="1"/>
  <c r="H29" i="13"/>
  <c r="J29" i="13" s="1"/>
  <c r="J34" i="13" s="1"/>
  <c r="J35" i="13" s="1"/>
  <c r="G39" i="13" l="1"/>
  <c r="F39" i="13" l="1"/>
  <c r="G40" i="13"/>
  <c r="F40" i="13" l="1"/>
  <c r="D44" i="13"/>
  <c r="D4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Stewart - FNS</author>
  </authors>
  <commentList>
    <comment ref="D7" authorId="0" shapeId="0" xr:uid="{BD2DF321-2C14-4CC3-8AAB-C8C5683726D2}">
      <text>
        <r>
          <rPr>
            <b/>
            <sz val="9"/>
            <color indexed="81"/>
            <rFont val="Tahoma"/>
            <family val="2"/>
          </rPr>
          <t>Kelly Stewart - FNS:</t>
        </r>
        <r>
          <rPr>
            <sz val="9"/>
            <color indexed="81"/>
            <rFont val="Tahoma"/>
            <family val="2"/>
          </rPr>
          <t xml:space="preserve">
Count SA only once</t>
        </r>
      </text>
    </comment>
  </commentList>
</comments>
</file>

<file path=xl/sharedStrings.xml><?xml version="1.0" encoding="utf-8"?>
<sst xmlns="http://schemas.openxmlformats.org/spreadsheetml/2006/main" count="1719" uniqueCount="573">
  <si>
    <t>Appendix G
WIC FMNP and SFMNP Burden Table (OMB # 0584-0447)</t>
  </si>
  <si>
    <t>ESTIMATE OF THE COLLECTION OF INFORMATION BURDEN TABLE</t>
  </si>
  <si>
    <t>Burden Narrative Line Item</t>
  </si>
  <si>
    <t>FMNP Regulatory Section</t>
  </si>
  <si>
    <t>SFMNP Regulatory Section</t>
  </si>
  <si>
    <t>Information Collected</t>
  </si>
  <si>
    <t>Form(s)</t>
  </si>
  <si>
    <t>Estimated Number of Respondents</t>
  </si>
  <si>
    <t>Annual Responses per Respondent</t>
  </si>
  <si>
    <t>Total Annual Responses</t>
  </si>
  <si>
    <t>Hours per Response</t>
  </si>
  <si>
    <t>Total Annual Burden Hours</t>
  </si>
  <si>
    <r>
      <rPr>
        <b/>
        <i/>
        <sz val="10"/>
        <color rgb="FF000000"/>
        <rFont val="Arial"/>
        <family val="2"/>
      </rPr>
      <t xml:space="preserve">Previous FMNP Submission: 0584-0447 </t>
    </r>
    <r>
      <rPr>
        <b/>
        <sz val="10"/>
        <color rgb="FF000000"/>
        <rFont val="Arial"/>
        <family val="2"/>
      </rPr>
      <t>Total Annual Burden Hours</t>
    </r>
  </si>
  <si>
    <r>
      <rPr>
        <b/>
        <i/>
        <sz val="10"/>
        <color rgb="FF000000"/>
        <rFont val="Arial"/>
        <family val="2"/>
      </rPr>
      <t xml:space="preserve">Previous SFMNP Submission: 0584-0541 </t>
    </r>
    <r>
      <rPr>
        <b/>
        <sz val="10"/>
        <color rgb="FF000000"/>
        <rFont val="Arial"/>
        <family val="2"/>
      </rPr>
      <t>Total Annual Burden Hours</t>
    </r>
  </si>
  <si>
    <r>
      <rPr>
        <b/>
        <i/>
        <sz val="10"/>
        <rFont val="Arial"/>
        <family val="2"/>
      </rPr>
      <t>Combined Previous Submission:</t>
    </r>
    <r>
      <rPr>
        <b/>
        <sz val="10"/>
        <rFont val="Arial"/>
        <family val="2"/>
      </rPr>
      <t xml:space="preserve"> Total Annual Burden Hours</t>
    </r>
  </si>
  <si>
    <t>PRA Violation in Use without OMB approval</t>
  </si>
  <si>
    <t>Combined Difference Due to Adjustments</t>
  </si>
  <si>
    <t>Combined Difference Due to Changes</t>
  </si>
  <si>
    <t>Combined Total Difference</t>
  </si>
  <si>
    <t>Reason for Difference 
(see Burden Narrative for more detail)</t>
  </si>
  <si>
    <t>REPORTING BURDEN ESTIMATES</t>
  </si>
  <si>
    <t>Affected Public: STATE &amp; LOCAL AGENCIES (Including U.S. Territories and Indian Tribal Organizations)</t>
  </si>
  <si>
    <t>248.3(e), 246.5</t>
  </si>
  <si>
    <t>249.3(d)</t>
  </si>
  <si>
    <t xml:space="preserve">Local Agency Applications </t>
  </si>
  <si>
    <t>Increase in number of local agencies across both programs.</t>
  </si>
  <si>
    <t>State Plan</t>
  </si>
  <si>
    <t>Appendices I, J, K</t>
  </si>
  <si>
    <t>N/A</t>
  </si>
  <si>
    <t>248.6, 248.10(i)</t>
  </si>
  <si>
    <t>249.6, 249.10(i)</t>
  </si>
  <si>
    <t>Participant Certification and Instructions</t>
  </si>
  <si>
    <t>Increase in number of participants.</t>
  </si>
  <si>
    <t>Development and Coordination of Nutrition Education</t>
  </si>
  <si>
    <t>Not reported in previous submissions.</t>
  </si>
  <si>
    <t>248.10(a)(2)-(3),(b),(c)</t>
  </si>
  <si>
    <t>249.10(a)(2)-(3),(b),(c)</t>
  </si>
  <si>
    <t>Authorization - Review of Outlet Applications (Farmers, Farmers' Markets, Roadside Stands, CSA Programs)</t>
  </si>
  <si>
    <t>Adjustment: Decrease in number of authorized outlets across programs. Changes: More accurate reporting of consolidated programs. Estimating 1/3 outlets apply each year.</t>
  </si>
  <si>
    <t>6a</t>
  </si>
  <si>
    <t>248.10(a)(4),(d)</t>
  </si>
  <si>
    <t>Face-to-Face Training Development</t>
  </si>
  <si>
    <t>Decrease in number of FMNP State agencies.</t>
  </si>
  <si>
    <t>6b</t>
  </si>
  <si>
    <t xml:space="preserve">Face-to-Face Training </t>
  </si>
  <si>
    <t>248.10(b)(5)</t>
  </si>
  <si>
    <t>249.10(b)(8)</t>
  </si>
  <si>
    <t xml:space="preserve">Disqualification of Authorized Outlets </t>
  </si>
  <si>
    <t>8a</t>
  </si>
  <si>
    <t>248.10(d)</t>
  </si>
  <si>
    <t>249.10(a)(7),(d)</t>
  </si>
  <si>
    <t>Development of Annual Training for Authorized Outlets</t>
  </si>
  <si>
    <t>More accurate reporting of consolidated programs.</t>
  </si>
  <si>
    <t>8b</t>
  </si>
  <si>
    <t>Annual Training for Authorized Outlets</t>
  </si>
  <si>
    <t xml:space="preserve">248.10(e)(2),(3); 248.17(c)(1)(i) </t>
  </si>
  <si>
    <t>249.10(e)(2)(3), 249.17(c)(1)(i)</t>
  </si>
  <si>
    <t>Monitoring/Review of Authorized Outlets</t>
  </si>
  <si>
    <t>Adjustment: Decrease in number of authorized outlets across programs. Change: More accurate reporting of consolidated programs.</t>
  </si>
  <si>
    <t>248.10(e)(4); 248.17(c)(1)(ii)-(iii)</t>
  </si>
  <si>
    <t>249.10(e)(4), 249.17(c)(1)(ii)-(iii)</t>
  </si>
  <si>
    <t xml:space="preserve">Monitoring/Review of Local Agencies </t>
  </si>
  <si>
    <t>Increase in number of State and local agencies.</t>
  </si>
  <si>
    <t>248.10(f)</t>
  </si>
  <si>
    <t>249.10(f)</t>
  </si>
  <si>
    <t>Coupon/CSA Management System</t>
  </si>
  <si>
    <t>248.10(h)</t>
  </si>
  <si>
    <t>249.10(h)</t>
  </si>
  <si>
    <t xml:space="preserve">Coupon reconciliation </t>
  </si>
  <si>
    <t>Adjustments: Increase in the number of SFMNP State agencies; decrease in number of FMNP State agencies overall; increase in number of FMNP State agencies using an eSolution. Change: Decrease in burden hours for State agencies using eSolutions (first time reporting for SFMNP).</t>
  </si>
  <si>
    <t>12a</t>
  </si>
  <si>
    <t>Paper Coupon Reconciliation</t>
  </si>
  <si>
    <t>12b</t>
  </si>
  <si>
    <t>Electronic Benefit Reconciliation</t>
  </si>
  <si>
    <t>248.10(j)</t>
  </si>
  <si>
    <t>249.10(j)</t>
  </si>
  <si>
    <t>Authorized Outlet and Participant Complaints</t>
  </si>
  <si>
    <t>Adjustments: decrease in number of authorized outlets across both programs. Change: Previously unreported State agency burden associated with handling SFMNP participant complaints.</t>
  </si>
  <si>
    <t>248.10(k)</t>
  </si>
  <si>
    <t>249.10(k)</t>
  </si>
  <si>
    <t>Authorized Outlet and Participant Sanctions</t>
  </si>
  <si>
    <t>Adjustments: decrease in number of authorized outlets across both programs. Change: Previously unreported State agency burden associated with handling SFMNP participant sanctions.</t>
  </si>
  <si>
    <t>248.11(a)</t>
  </si>
  <si>
    <t>Financial Management System (Disclosure of Financial Expenditures)</t>
  </si>
  <si>
    <t>248.12(a)(2)</t>
  </si>
  <si>
    <t>249.12(a)(2)</t>
  </si>
  <si>
    <t>Prior Approval for Cost Items per 2 CFR part 200, subpart E, and 2 CFR parts 400 and 415</t>
  </si>
  <si>
    <t>248.17(a)</t>
  </si>
  <si>
    <t>249.17(a)</t>
  </si>
  <si>
    <t>Establishment of Management Evaluation System</t>
  </si>
  <si>
    <t>248.17(b)(2)(ii)</t>
  </si>
  <si>
    <t>249.17(b)(2)(ii)</t>
  </si>
  <si>
    <t>State Agency Corrective Action Plans</t>
  </si>
  <si>
    <t>Increase in estimated number of FMNP respondents to align with SFMNP.</t>
  </si>
  <si>
    <t>248.17(c)(2)</t>
  </si>
  <si>
    <t>249.17(c)(2)</t>
  </si>
  <si>
    <t>Special Reports</t>
  </si>
  <si>
    <t>248.18(b)</t>
  </si>
  <si>
    <t>249.18(b)</t>
  </si>
  <si>
    <t>Audit Responses</t>
  </si>
  <si>
    <t>Subtotal Reporting: State and Local Agencies (Including Indian Tribal Organizations and U.S. Territories)</t>
  </si>
  <si>
    <t>Affected Public: INDIVIDUALS/HOUSEHOLDS (Applicants for Program Benefits)</t>
  </si>
  <si>
    <t>Certification Data and Instructions for Participants</t>
  </si>
  <si>
    <t>Adjustments: Increase in number of participants across both programs. Changes: Increase in burden from 1 minute (SFMNP) and 3 minutes (FMNP) to 15 minutes.</t>
  </si>
  <si>
    <t xml:space="preserve">Participant Complaints </t>
  </si>
  <si>
    <t>Increase in number of SFMNP State agencies and participants.</t>
  </si>
  <si>
    <t xml:space="preserve">249.16(a)(1)(i)-(ii) </t>
  </si>
  <si>
    <t xml:space="preserve">Appeal of Denial </t>
  </si>
  <si>
    <t>Increase in number of SFMNP participants.</t>
  </si>
  <si>
    <t>Subtotal Reporting: Individuals/Households</t>
  </si>
  <si>
    <t xml:space="preserve">Affected Public: BUSINESSES (Including Authorized Outlets (Farmers, Farmers' Markets, Roadside Stands, and Community Supported Agriculture Programs) and Non-Profit Businesses) </t>
  </si>
  <si>
    <t>Non-Profit Business Local Agency Applications</t>
  </si>
  <si>
    <t>Increase in number of local agencies across programs.</t>
  </si>
  <si>
    <t>248.10(b),(c)</t>
  </si>
  <si>
    <t>249.10(b),(c)</t>
  </si>
  <si>
    <t>Authorized Outlet Agreements</t>
  </si>
  <si>
    <t>Revised number of estimated appeals to align with corresonding State agency burden.</t>
  </si>
  <si>
    <t>248.10(a)(4), 248.10(d)</t>
  </si>
  <si>
    <t>249.10(d)</t>
  </si>
  <si>
    <t>Annual Training for Authorized Outlets (New and Returning)</t>
  </si>
  <si>
    <t>248.10(e)(1)</t>
  </si>
  <si>
    <t>249.10(e)(1)</t>
  </si>
  <si>
    <t>Coupon Reimbursement</t>
  </si>
  <si>
    <t>Adjustments: Decrease in the number of authorized outlets across programs; decrease in number of FMNP State agencies overall; increase in number of FMNP State agencies using an eSolution. Change: Decrease in burden hours for reimbursement of electronic benefits (first time reporting eSolutions for SFMNP).</t>
  </si>
  <si>
    <t>5a</t>
  </si>
  <si>
    <t>Paper Coupon Reimbursement &amp; Electronic Benefit Mail-In</t>
  </si>
  <si>
    <t>5b</t>
  </si>
  <si>
    <t>Electronic Benefit Reimbursement via Hybrid Processing</t>
  </si>
  <si>
    <t>5c</t>
  </si>
  <si>
    <t>Electronic Benefit Reimbursement via Electronic Processing</t>
  </si>
  <si>
    <t>Authorized Outlet Complaints</t>
  </si>
  <si>
    <t>Decrease in number of authorized outlets across programs.</t>
  </si>
  <si>
    <t>Subtotal Reporting: Authorized Outlets and Non-Profit Businesses</t>
  </si>
  <si>
    <t>GRAND SUBTOTAL: REPORTING</t>
  </si>
  <si>
    <t>RECORDKEEPING BURDEN ESTIMATES</t>
  </si>
  <si>
    <t xml:space="preserve">248.4(c) </t>
  </si>
  <si>
    <t>249.4(c)</t>
  </si>
  <si>
    <t xml:space="preserve">State Plan Record Maintenance </t>
  </si>
  <si>
    <t>Nutrition Education Records</t>
  </si>
  <si>
    <t>Adjustment: Increase in number of participants across programs. Change: Decrease in time burden per response from 15 minutes to 1 minute.</t>
  </si>
  <si>
    <t>249.10(a)(4),(d)</t>
  </si>
  <si>
    <t>Authorized Outlet Training Records</t>
  </si>
  <si>
    <t>249.10(b)</t>
  </si>
  <si>
    <t>Maintenance of Disqualification and Sanction Records</t>
  </si>
  <si>
    <t>248.10(e)(2)-(3); 248.17(c)(1)(i)</t>
  </si>
  <si>
    <t>249.10(e)(2)-(3); 249.17(c)(1)(i)</t>
  </si>
  <si>
    <t>Adjustment: Decrease in number of authorized outlets. Change: More accurate reporting of consolidated programs.</t>
  </si>
  <si>
    <t>248.10(e)(4); 248.17(c)(1)(ii)</t>
  </si>
  <si>
    <t>249.10(e)(4); 249.17(c)(1)(ii)</t>
  </si>
  <si>
    <t xml:space="preserve">248.11(c) </t>
  </si>
  <si>
    <t>249.11(c)</t>
  </si>
  <si>
    <t>Record of Financial Expenditures</t>
  </si>
  <si>
    <t>FNS-683A, FNS-683B</t>
  </si>
  <si>
    <t>248.16(a)</t>
  </si>
  <si>
    <t>249.16(a)</t>
  </si>
  <si>
    <t>Fair Hearings</t>
  </si>
  <si>
    <t>Maintenance of Management Evaluations</t>
  </si>
  <si>
    <t>248.23(a)</t>
  </si>
  <si>
    <t>249.23(a)</t>
  </si>
  <si>
    <t>Records of Program Operations</t>
  </si>
  <si>
    <t>GRAND SUBTOTAL: RECORDKEEPING</t>
  </si>
  <si>
    <t>GRAND SUBTOTAL REPORTING AND RECORDKEEPING</t>
  </si>
  <si>
    <t>Note: FNS-683A &amp; FNS-683B, OMB Control Number: 0584-0594 Food Programs Reporting System (FPRS), Expiration Date: 09/30/2026</t>
  </si>
  <si>
    <t xml:space="preserve"> </t>
  </si>
  <si>
    <t>Estimated # Respondents</t>
  </si>
  <si>
    <t>Responses Per Respondent</t>
  </si>
  <si>
    <t>Total Annual Responses (Col. BxC)</t>
  </si>
  <si>
    <t>Estimated Avg. # of Hours Per Response</t>
  </si>
  <si>
    <t>Estimated Total Hours (Col. DxE)</t>
  </si>
  <si>
    <t>Total Reporting Burden</t>
  </si>
  <si>
    <t>Total Recordkeeping Burden</t>
  </si>
  <si>
    <t>TOTAL BURDEN FOR #0584-0447</t>
  </si>
  <si>
    <t>Responses</t>
  </si>
  <si>
    <t>Hours</t>
  </si>
  <si>
    <t>Currently approved burden</t>
  </si>
  <si>
    <t>Burden Requested with this ICR</t>
  </si>
  <si>
    <t>Difference</t>
  </si>
  <si>
    <t>WIC FMNP BURDEN ESTIMATES (Not Accounting for Consolidated Programs)</t>
  </si>
  <si>
    <t>Regulatory Section</t>
  </si>
  <si>
    <r>
      <rPr>
        <b/>
        <i/>
        <sz val="10"/>
        <color theme="1"/>
        <rFont val="Arial"/>
        <family val="2"/>
      </rPr>
      <t xml:space="preserve">Previous Submission: </t>
    </r>
    <r>
      <rPr>
        <b/>
        <sz val="10"/>
        <color theme="1"/>
        <rFont val="Arial"/>
        <family val="2"/>
      </rPr>
      <t>Total Annual Burden Hours</t>
    </r>
  </si>
  <si>
    <t>Difference Due to Adjustments</t>
  </si>
  <si>
    <t>Difference Due to Program Changes</t>
  </si>
  <si>
    <t>Total Difference</t>
  </si>
  <si>
    <t>Affected Public: STATE &amp; LOCAL AGENCIES (Including Indian Tribal Organizations and U.S. Territories)</t>
  </si>
  <si>
    <t>Decrease in the number of local agencies.</t>
  </si>
  <si>
    <t>Appendices I, J</t>
  </si>
  <si>
    <t>Decrease in number of State agencies.</t>
  </si>
  <si>
    <t>Increase in the number of participants.</t>
  </si>
  <si>
    <t>248.10(a)(2),(3),(b),(c)</t>
  </si>
  <si>
    <t>Adjustment: Decrease in the number of authorized outlets. Change: Estimating 1/3 outlets submit applications per year.</t>
  </si>
  <si>
    <t>248.10(a)(4)(d)</t>
  </si>
  <si>
    <t>Decrease in the number of State agencies.</t>
  </si>
  <si>
    <t xml:space="preserve">Annual Training for Authorized Outlets </t>
  </si>
  <si>
    <t>Decrease in the number of authorized outlets and State agencies.</t>
  </si>
  <si>
    <t>Decrease in the number of State and local agencies.</t>
  </si>
  <si>
    <t>Coupon Management System</t>
  </si>
  <si>
    <t>Coupon Reconciliation</t>
  </si>
  <si>
    <t>Decrease in the number of State agencies using paper coupons.</t>
  </si>
  <si>
    <t>Incease in the number of State agencies using eSolutions.</t>
  </si>
  <si>
    <t>Authorized Outlet Sanctions</t>
  </si>
  <si>
    <t>Disclosure of Financial Expenditures</t>
  </si>
  <si>
    <t>State Agency Corrective Action Plan</t>
  </si>
  <si>
    <t>Number of respondents adjusted to align with SFMNP.</t>
  </si>
  <si>
    <t>Adjustment: Increase in number of participants. Change: Increase in burden from 3 minutes to 15 minutes.</t>
  </si>
  <si>
    <r>
      <t>Affected Public: Authorized Outlets (Farmers</t>
    </r>
    <r>
      <rPr>
        <b/>
        <sz val="10"/>
        <color rgb="FFFF0000"/>
        <rFont val="Arial"/>
        <family val="2"/>
      </rPr>
      <t xml:space="preserve">, Farmers' </t>
    </r>
    <r>
      <rPr>
        <b/>
        <sz val="10"/>
        <color theme="1"/>
        <rFont val="Arial"/>
        <family val="2"/>
      </rPr>
      <t>Markets</t>
    </r>
    <r>
      <rPr>
        <b/>
        <sz val="10"/>
        <color rgb="FFFF0000"/>
        <rFont val="Arial"/>
        <family val="2"/>
      </rPr>
      <t xml:space="preserve">, and </t>
    </r>
    <r>
      <rPr>
        <b/>
        <sz val="10"/>
        <color theme="1"/>
        <rFont val="Arial"/>
        <family val="2"/>
      </rPr>
      <t xml:space="preserve">Roadside Stands) and </t>
    </r>
    <r>
      <rPr>
        <b/>
        <sz val="10"/>
        <color rgb="FFFF0000"/>
        <rFont val="Arial"/>
        <family val="2"/>
      </rPr>
      <t xml:space="preserve">Non-Profit </t>
    </r>
    <r>
      <rPr>
        <b/>
        <sz val="10"/>
        <color theme="1"/>
        <rFont val="Arial"/>
        <family val="2"/>
      </rPr>
      <t>Businesses</t>
    </r>
  </si>
  <si>
    <t>Decrease in the number of authorized outlets.</t>
  </si>
  <si>
    <t>Decrease in the number of State agenies using paper coupons.</t>
  </si>
  <si>
    <t>Increase in the number of State agencies using hybrid processing.</t>
  </si>
  <si>
    <t>Increase in the number of State agencies using electronic processing.</t>
  </si>
  <si>
    <t>Affected Public: STATE &amp; LOCAL AGENCIES (Including Indian Tribal Organizations and U.S.Territories)</t>
  </si>
  <si>
    <t>Adjustment: Increase in number of participants. Change: Decrease in time burden per response from 15 minutes to 1 minute.</t>
  </si>
  <si>
    <t>248.10(e)(2),(3); 248.17(c)(1)(i)</t>
  </si>
  <si>
    <t>FNS-683B</t>
  </si>
  <si>
    <t>GRAND TOTAL: REPORTING AND RECORDKEEPING</t>
  </si>
  <si>
    <t>Note: FNS-683B, OMB Control Number: 0584-0594 Food Programs Reporting System (FPRS), Expiration Date: 09/30/2026</t>
  </si>
  <si>
    <t xml:space="preserve">Total Annual Responses </t>
  </si>
  <si>
    <t>TOTAL BURDEN FOR #0584-0447 (previously only FMNP)</t>
  </si>
  <si>
    <t>Difference Due to Changes</t>
  </si>
  <si>
    <t>Increase in number of local agencies.</t>
  </si>
  <si>
    <t xml:space="preserve">Adjustment: Increase in number of State agencies. Change: Majority of State Plan burden moved to WiSP ICR (OMB # 0584-0704). </t>
  </si>
  <si>
    <t>249.6(a)(3)</t>
  </si>
  <si>
    <t>Increase in number of participants and number of State agencies.</t>
  </si>
  <si>
    <t>Increase in number of State agencies.</t>
  </si>
  <si>
    <t>249.10(e)(2)-(3), 249.17(c)(1)(i)</t>
  </si>
  <si>
    <t>Decrease in number of authorized outlets.</t>
  </si>
  <si>
    <t>Adjustment: Increase in the number of State agencies. Change: Decrease in burden hours for State agencies using eSolutions.</t>
  </si>
  <si>
    <t>11a</t>
  </si>
  <si>
    <t>11b</t>
  </si>
  <si>
    <t>Adjustment: Decrease in number of authorized outlets. Change: Previously unreported State agency burden associated with handling participant complaints.</t>
  </si>
  <si>
    <t>Adjustment: Decrease in number of authorized outlets. Change: Previously unreported State agency burden associated with handling participant sanctions.</t>
  </si>
  <si>
    <t>Adjustment: Increase in number of participants. Change: Increase in burden from 1 minute to 15 minutes.</t>
  </si>
  <si>
    <t>Adjustment: Decrease in the number of authorized outlets. Change: Decrease in burden hours for reimbursement of electronic benefits.</t>
  </si>
  <si>
    <r>
      <rPr>
        <strike/>
        <sz val="10"/>
        <rFont val="Arial"/>
        <family val="2"/>
      </rPr>
      <t>A</t>
    </r>
    <r>
      <rPr>
        <sz val="10"/>
        <rFont val="Arial"/>
        <family val="2"/>
      </rPr>
      <t>uthorized Outlet Complaints</t>
    </r>
  </si>
  <si>
    <t>State Plan burden moved to WiSP ICR (OMB # 0584-0704).</t>
  </si>
  <si>
    <t>Adjustment: Increase in number of State agencies and participants. Change: Decrease in time burden per response from 15 minutes to 1 minute.</t>
  </si>
  <si>
    <t>Net decrease due to decrease in number of authorized outlets.</t>
  </si>
  <si>
    <t>FNS-683A</t>
  </si>
  <si>
    <t>Note: FNS-683A, OMB Control Number: 0584-0594 Food Programs Reporting System (FPRS), Expiration Date: 09/30/2026</t>
  </si>
  <si>
    <t>TOTAL BURDEN FOR SFMNP</t>
  </si>
  <si>
    <t xml:space="preserve">This tab includes named values that are used in FMNP-related calculations in the burden table. </t>
  </si>
  <si>
    <t>Changing a number in the table will automatically update all formulas in the burden tables that include that number.</t>
  </si>
  <si>
    <t>You can adjust the names of values in the "Formulas" tab using the "Name Manager."</t>
  </si>
  <si>
    <t>2025 Renewal Numbers</t>
  </si>
  <si>
    <t>2024 renewal (for reference)</t>
  </si>
  <si>
    <t>2025 renewal</t>
  </si>
  <si>
    <t>Name</t>
  </si>
  <si>
    <t>2025 Source Year</t>
  </si>
  <si>
    <t>source</t>
  </si>
  <si>
    <t>SAs</t>
  </si>
  <si>
    <t>FMNP_SAs</t>
  </si>
  <si>
    <t>FY25</t>
  </si>
  <si>
    <t>State Plans</t>
  </si>
  <si>
    <t>LAs</t>
  </si>
  <si>
    <t>FMNP_LAs</t>
  </si>
  <si>
    <t>participants</t>
  </si>
  <si>
    <t>FMNP_participants</t>
  </si>
  <si>
    <t>FY23</t>
  </si>
  <si>
    <t>NDB</t>
  </si>
  <si>
    <t>outlets</t>
  </si>
  <si>
    <t>FMNP_outlets</t>
  </si>
  <si>
    <t>eSolution - hybrid</t>
  </si>
  <si>
    <t>F_hybrid</t>
  </si>
  <si>
    <t>eSol Tracker</t>
  </si>
  <si>
    <t>eSolution - mail in</t>
  </si>
  <si>
    <t>F_mail</t>
  </si>
  <si>
    <t>eSolution - automated</t>
  </si>
  <si>
    <t>F_auto</t>
  </si>
  <si>
    <t>Paper</t>
  </si>
  <si>
    <t>FMNP_paper</t>
  </si>
  <si>
    <t>eSolution</t>
  </si>
  <si>
    <t>FMNP_eSol</t>
  </si>
  <si>
    <t>ConsolidatedSAs</t>
  </si>
  <si>
    <t>Consolidated_SAs</t>
  </si>
  <si>
    <t>JustFMNP</t>
  </si>
  <si>
    <t>Change from 2022-2025</t>
  </si>
  <si>
    <t>Number</t>
  </si>
  <si>
    <t>Percent</t>
  </si>
  <si>
    <t>Estimates Adjusted</t>
  </si>
  <si>
    <t>Adj. Estimate</t>
  </si>
  <si>
    <t>FMNP_Outlet_Complaints</t>
  </si>
  <si>
    <t>Consolidated Calculations (same as on SFMNP Data tab)</t>
  </si>
  <si>
    <t>Outlets</t>
  </si>
  <si>
    <t>% SAs Consolidated</t>
  </si>
  <si>
    <t>Total Outlets</t>
  </si>
  <si>
    <t>#SAs w/out Consolidation</t>
  </si>
  <si>
    <t># Outlets in Consolidated SAs</t>
  </si>
  <si>
    <t>#SAs w/Consolidation</t>
  </si>
  <si>
    <t>Outlets w/out double counting</t>
  </si>
  <si>
    <t>Name: Consolidated_Outlets</t>
  </si>
  <si>
    <t xml:space="preserve">This tab includes named values that are used in SFMNP-related calculations in the burden table. </t>
  </si>
  <si>
    <t>2022 renewal (for reference)</t>
  </si>
  <si>
    <t>2026 Source Year</t>
  </si>
  <si>
    <t>Source</t>
  </si>
  <si>
    <t>SFMNP_SAs</t>
  </si>
  <si>
    <t>FY26</t>
  </si>
  <si>
    <t>SFMNP_LAs</t>
  </si>
  <si>
    <t>SFMNP_participants</t>
  </si>
  <si>
    <t>FY24</t>
  </si>
  <si>
    <t>SFMNP_outlets</t>
  </si>
  <si>
    <t>S_hybrid</t>
  </si>
  <si>
    <t>S_mail</t>
  </si>
  <si>
    <t>S_auto</t>
  </si>
  <si>
    <t>SFMNP_paper</t>
  </si>
  <si>
    <t>SFMNP_eSol</t>
  </si>
  <si>
    <t>Consolidated SAs</t>
  </si>
  <si>
    <t>(see FMNP Data tab)</t>
  </si>
  <si>
    <t>Just SFMNP SAs</t>
  </si>
  <si>
    <t>Change from 2022-2026</t>
  </si>
  <si>
    <t>Participant Complaints</t>
  </si>
  <si>
    <t>SFMNP_Participant_Complaints</t>
  </si>
  <si>
    <t>SFMNP_Outlet_Complaints</t>
  </si>
  <si>
    <t>Consolidated Calculations (same as on FMNP Data tab)</t>
  </si>
  <si>
    <t>Estimates of the annualized cost to respondents (Supporting Statement A12-B)</t>
  </si>
  <si>
    <t>Respondent</t>
  </si>
  <si>
    <t>Average Income per Hour</t>
  </si>
  <si>
    <t>Base Annual Cost</t>
  </si>
  <si>
    <t>Fringe Benefits</t>
  </si>
  <si>
    <t>Total Annual Cost</t>
  </si>
  <si>
    <t>State and local staff</t>
  </si>
  <si>
    <t>Authorized outlets</t>
  </si>
  <si>
    <t>Non-profit businesses</t>
  </si>
  <si>
    <t>Individuals/households</t>
  </si>
  <si>
    <t>TOTALS</t>
  </si>
  <si>
    <t>Estimates of annualized cost to the Federal government (Supporting Statement A14)</t>
  </si>
  <si>
    <t>FNS FTEs</t>
  </si>
  <si>
    <t>Number FTEs</t>
  </si>
  <si>
    <t>Cost</t>
  </si>
  <si>
    <t>Fringe (0.33 Cost)</t>
  </si>
  <si>
    <t>Total Cost</t>
  </si>
  <si>
    <t>FNS National Office Staff</t>
  </si>
  <si>
    <t>FNS Regional Office Staff</t>
  </si>
  <si>
    <t>Total</t>
  </si>
  <si>
    <t>2026 Pay Rates</t>
  </si>
  <si>
    <t>GS-11, Step 6</t>
  </si>
  <si>
    <t>Cost per FTE</t>
  </si>
  <si>
    <t>GS-12, Step 6</t>
  </si>
  <si>
    <t>Fringe per FTE</t>
  </si>
  <si>
    <t>GS-13, Step 6</t>
  </si>
  <si>
    <t>Total per FTE</t>
  </si>
  <si>
    <t>Average</t>
  </si>
  <si>
    <t>Source:</t>
  </si>
  <si>
    <t>https://www.opm.gov/policy-data-oversight/pay-leave/salaries-wages/2026/general-schedule/</t>
  </si>
  <si>
    <t>Appendix D
FMNP Burden Table</t>
  </si>
  <si>
    <t>Reason for Difference (See also Narrative Statement)</t>
  </si>
  <si>
    <t>Affected Public:  STATE &amp; LOCAL AGENCIES (Including Indian Tribal Organizations and U.S. Territories)</t>
  </si>
  <si>
    <t>Local Agency Applications</t>
  </si>
  <si>
    <t>Increase in the number of local agencies.</t>
  </si>
  <si>
    <t>Appendices F,G</t>
  </si>
  <si>
    <t>Increase in the number of State agencies.</t>
  </si>
  <si>
    <t>Certification Data for Participants</t>
  </si>
  <si>
    <t>Decrease in the number of participants.</t>
  </si>
  <si>
    <t>Authorization - Review of Outlet Applications (Farmers, Farmers' Market, Roadside Stand)</t>
  </si>
  <si>
    <t xml:space="preserve">Decrease in the number of authorized outlets. Hours per response adjusted to align with SFMNP estimate. </t>
  </si>
  <si>
    <t>Annual Training for Authorized Outlets Development</t>
  </si>
  <si>
    <t>Increase in the number of State agencies.
Decrease in burden hours for State agencies using eSolutions.</t>
  </si>
  <si>
    <t>Recipients and Authorized Outlet Complaints</t>
  </si>
  <si>
    <t>Farmer/farmers' market sanctions</t>
  </si>
  <si>
    <t>Prior approval for cost items per 2 CFR part 200, subpart E, and 2 CFR parts 400 and 415</t>
  </si>
  <si>
    <t>Not reported in previous submission.</t>
  </si>
  <si>
    <t>Establishment of ME System</t>
  </si>
  <si>
    <t>Affected Public:  INDIVIDUALS/HOUSEHOLDS (Applicants for Program Benefits)</t>
  </si>
  <si>
    <t>Affected Public: Authorized Outlets (Farmers/Markets/Roadside Stands) and Businesses</t>
  </si>
  <si>
    <t>Non-profit businesses Applications</t>
  </si>
  <si>
    <t>Decrease in the number of authorized outlets.
Reduced burden for reimbursement of electronic benefits.</t>
  </si>
  <si>
    <t>Farmer/farmers' market complaints</t>
  </si>
  <si>
    <t>Subtotal Reporting: Authorized outlets</t>
  </si>
  <si>
    <t>Affected Public:  STATE &amp; LOCAL AGENCIES (Including Indian Tribal Organizations and U.S.Territories)</t>
  </si>
  <si>
    <t>Nutrition Education</t>
  </si>
  <si>
    <t>Authorized Outlet Training Content</t>
  </si>
  <si>
    <t>Monitoring and Review of Authorized Outlets</t>
  </si>
  <si>
    <t>Record of Program Operations</t>
  </si>
  <si>
    <t>GRAND TOTAL:  REPORTING AND RECORDKEEPING</t>
  </si>
  <si>
    <t>Decrease by including estimate of nonprofit businesses in authorized outlets</t>
  </si>
  <si>
    <t>Appendix F,G</t>
  </si>
  <si>
    <t>Decrease in participation rates</t>
  </si>
  <si>
    <t>248.10(a)(2),(3),(b)(c)</t>
  </si>
  <si>
    <t xml:space="preserve">Decrease in the number of farmers, farmers' markets, roadside stands.  </t>
  </si>
  <si>
    <t>Increase due to not being reported in previous submission</t>
  </si>
  <si>
    <t xml:space="preserve">Coupon Reconciliation </t>
  </si>
  <si>
    <t xml:space="preserve">Slight increase due to use of standardized conversion of minutes to hours but greater overall decrease in participation rates </t>
  </si>
  <si>
    <t>Increase due to the fact that some of the WIC local agencies, which are actually non-profit organizations, were counted as part of the SLT respondent group.</t>
  </si>
  <si>
    <t>248.10(b)(1)(xi)</t>
  </si>
  <si>
    <t>248.10(b)(c)</t>
  </si>
  <si>
    <t>Decrease in number of participants</t>
  </si>
  <si>
    <t xml:space="preserve">Increase due to more accurate calcuation </t>
  </si>
  <si>
    <t>Note: FNS-683B, OMB Control Number: 0584-0594 Food Programs Reporting System (FPRS), Expiration Date: 07/31/2023</t>
  </si>
  <si>
    <t>248.2, 248.3(e), 246.5</t>
  </si>
  <si>
    <t>Burden hours associated with FMNP local agency applications were previously reported under the Special Supplemental Nutrition Program for Women, Infants, and Children (WIC) burden. Under this revision, and future revisions, FMNP local agency application burden hours will be reported under the FMNP burden.</t>
  </si>
  <si>
    <t>Increase in State agencies from 47 to 49.</t>
  </si>
  <si>
    <t>248.6, 246.7(c)</t>
  </si>
  <si>
    <t xml:space="preserve">Burden hours associated with FMNP certification data was previously reported under the WIC burden.  Under this revision, and future revisions, FMNP certification data for participants will be reported in the FMNP burden. </t>
  </si>
  <si>
    <t>248.10(a)(2),(3),(b)</t>
  </si>
  <si>
    <t xml:space="preserve">Increase in the number of farmers, farmers' markets, roadside stands.  </t>
  </si>
  <si>
    <t>248.10(e)</t>
  </si>
  <si>
    <t>Decrease in the estimated hours to monitor each authorized outlet (hours per response).</t>
  </si>
  <si>
    <t xml:space="preserve">Burden hours associated with coupon reconciliation were previously reported under the WIC burden. Under this revision, and future revisions, coupon reconciliation data will be reported in the FMNP burden. </t>
  </si>
  <si>
    <t>Financial Management System</t>
  </si>
  <si>
    <t xml:space="preserve">Decrease in the estimated number of Management Evaluations (MEs) requiring corrective action plans for deficiencies. </t>
  </si>
  <si>
    <t>Decrease in the estimated number of audit responses due to a decrease in the estimated number of OIG inspections.</t>
  </si>
  <si>
    <t>Subtotal Reporting: State and Local Agencies (Including Indian Tribal Orgranizations and U.S. Territories)</t>
  </si>
  <si>
    <t>248.6, 246.7</t>
  </si>
  <si>
    <t xml:space="preserve">Burden hours associated with FMNP certification data were previously reported under the WIC burden.  Under this revision, and future revisions, FMNP certification data for participants will be reported in the FMNP burden. </t>
  </si>
  <si>
    <t>Affected Public: Authorized Outlets (Farmers/Markets/Roadside Stands)</t>
  </si>
  <si>
    <t>248.10(b)</t>
  </si>
  <si>
    <t xml:space="preserve">Burden hours associated with FMNP authorization were previously reported under the WIC burden.  Under this revision, and future revisions, FMNP authorization will be reported in the FMNP burden. </t>
  </si>
  <si>
    <t xml:space="preserve">Increase in the estimated burden to perform nutrition education (hours per response).  Change made in the calculation of burden hours for record-keeping associated with nutrition education to reflect documentation of nutrition education per participant.  </t>
  </si>
  <si>
    <t>248.11(c)</t>
  </si>
  <si>
    <t xml:space="preserve">Burden hours associated with fair hearing record-keeping was not included under the prior FMNP burden revision.   Under this revision, and future burden revisions, burden hours associated with fair hearing record-keeping will be reported in the FMNP burden. </t>
  </si>
  <si>
    <t xml:space="preserve">Burden hours associated with a record of program operations were not included under the prior FMNP burden revision.  Under this revision, and future revisions, burden hours associated with a record of program operations will be reported in the FMNP burden. </t>
  </si>
  <si>
    <t xml:space="preserve">Regulation Section </t>
  </si>
  <si>
    <t>Requirement</t>
  </si>
  <si>
    <t>Estimated No. Respondents</t>
  </si>
  <si>
    <t>Avg. No. Responses Per Respondent</t>
  </si>
  <si>
    <t xml:space="preserve"> Total Annual Responses</t>
  </si>
  <si>
    <t>Hours Per Response</t>
  </si>
  <si>
    <t xml:space="preserve"> Annual Burden Hours</t>
  </si>
  <si>
    <t>Previously Approved Burden Hours</t>
  </si>
  <si>
    <r>
      <rPr>
        <b/>
        <sz val="10"/>
        <color indexed="10"/>
        <rFont val="Arial"/>
        <family val="2"/>
      </rPr>
      <t xml:space="preserve">Difference Due to Program </t>
    </r>
    <r>
      <rPr>
        <b/>
        <sz val="10"/>
        <color indexed="8"/>
        <rFont val="Arial"/>
        <family val="2"/>
      </rPr>
      <t xml:space="preserve">Adjustment </t>
    </r>
  </si>
  <si>
    <t>Difference Due to Program Adjustments</t>
  </si>
  <si>
    <t>Reason to Increase or decrease to Burden Hours</t>
  </si>
  <si>
    <t>Estimated Hourly Wage Rate</t>
  </si>
  <si>
    <t>Estimated Total Annual Cost to Respondent</t>
  </si>
  <si>
    <t>Affected Public:  STATE &amp; LOCAL AGENCIES (Including Indian Tribal Organizations and US Territories)</t>
  </si>
  <si>
    <t xml:space="preserve">Reporting </t>
  </si>
  <si>
    <t>Increase in State Agencies from 45 to 47</t>
  </si>
  <si>
    <t>248.10(a)(2)&amp;(3)&amp;(b)</t>
  </si>
  <si>
    <t xml:space="preserve">Authorization </t>
  </si>
  <si>
    <r>
      <t xml:space="preserve">Monitoring/Review  </t>
    </r>
    <r>
      <rPr>
        <sz val="9"/>
        <color indexed="10"/>
        <rFont val="Arial"/>
        <family val="2"/>
      </rPr>
      <t xml:space="preserve">                                                                        </t>
    </r>
  </si>
  <si>
    <t xml:space="preserve">Increase due to athorization of more farmers/ markets/ farm stands </t>
  </si>
  <si>
    <t>248.23(b)</t>
  </si>
  <si>
    <t>Annual Financial Report FNS-683</t>
  </si>
  <si>
    <t>Burden has been removed and is maintained in OMB Control Number 0584-0594.  Indicate this by moving all previously approved burden to Program adjustment the other cells should be Zero out.  This is a merge now that it is in FPRS and is coded correctly as an adjustment. Zero out this line and submit Non-substative change for the FPRS.  recalculate rows Increase in State Agencies from 45 to 47 and consolidation of FNS-683 and FNS-203--added .30 hours</t>
  </si>
  <si>
    <t>Annual Report on Recipients, Farmers, Farmer's Markets, Roadside Stands FNS 203</t>
  </si>
  <si>
    <t>this is a deliberate change and should reflect program changes not adjustments.  Move to program changes column &amp; recalculate Decrease due burden moved to OMB# 0584-0595 and the consolidation of FNS-683 and FNS 203</t>
  </si>
  <si>
    <t>Subtotal (Reporting Requirement)</t>
  </si>
  <si>
    <t>-</t>
  </si>
  <si>
    <t>Affected Public: Farms (Farmers/Markets/Roadside stands)</t>
  </si>
  <si>
    <t>248.10(a)(2)(3)&amp;(b)</t>
  </si>
  <si>
    <r>
      <t xml:space="preserve">Farmer's Market Agreement and Authorization (1/3 or .33 of 23,793 authorized entities or 7,851.69 or 7,852 per year for 3 year periods)                                                 </t>
    </r>
    <r>
      <rPr>
        <i/>
        <sz val="10"/>
        <rFont val="Arial"/>
        <family val="2"/>
      </rPr>
      <t xml:space="preserve">         </t>
    </r>
    <r>
      <rPr>
        <sz val="10"/>
        <rFont val="Arial"/>
        <family val="2"/>
      </rPr>
      <t xml:space="preserve">   </t>
    </r>
  </si>
  <si>
    <t>Total Reporting Requirment</t>
  </si>
  <si>
    <t>Recordkeeping</t>
  </si>
  <si>
    <t xml:space="preserve">Nutrition Education                                               </t>
  </si>
  <si>
    <t>Farmer/Farmers Market/Roadside Stand Agreement and Authorization</t>
  </si>
  <si>
    <t>Summary of Farmer/Farmers' Market/Roadside Stand Monitoring</t>
  </si>
  <si>
    <t>248.11(c )</t>
  </si>
  <si>
    <t>Subtotal (Recordkeeping Requirment)</t>
  </si>
  <si>
    <t>TOTAL BURDEN</t>
  </si>
  <si>
    <t>Attachment D</t>
  </si>
  <si>
    <r>
      <rPr>
        <b/>
        <i/>
        <sz val="10"/>
        <rFont val="Arial"/>
        <family val="2"/>
      </rPr>
      <t xml:space="preserve">Previous Submission: </t>
    </r>
    <r>
      <rPr>
        <b/>
        <sz val="10"/>
        <rFont val="Arial"/>
        <family val="2"/>
      </rPr>
      <t>Total Annual Burden Hours</t>
    </r>
  </si>
  <si>
    <t xml:space="preserve">Local agency applications </t>
  </si>
  <si>
    <t>Decrease in number of  local agencies</t>
  </si>
  <si>
    <t>State Plan of Operations</t>
  </si>
  <si>
    <t>Appendix F, G, &amp; H</t>
  </si>
  <si>
    <t>Increase do to increased number of State agencies</t>
  </si>
  <si>
    <t>Certification data for seniors</t>
  </si>
  <si>
    <t>249.10(a)(2),(b),(c)</t>
  </si>
  <si>
    <t>Authorization - Review of Outlet Applications (Farmers, Farmers' Market, Roadside Stand, CSA Program)</t>
  </si>
  <si>
    <t xml:space="preserve">Decrease in the number of participating authorized outlets </t>
  </si>
  <si>
    <t>249.10(e )(2)(3),249.17(c)(1)(i)</t>
  </si>
  <si>
    <t>Monitoring and review of at least 10 percent of authorized farmers, farmers' markets, roadside stands, and CSA programs</t>
  </si>
  <si>
    <t>Decrease in number of local agencies</t>
  </si>
  <si>
    <t>249.10(e)(4), 249.17(c )(1)(ii)(iii)</t>
  </si>
  <si>
    <t>Coupon/CSA management system</t>
  </si>
  <si>
    <t>Increase in number of State agencies</t>
  </si>
  <si>
    <t>Recipients and Authorized Outlet Sanctions</t>
  </si>
  <si>
    <t>Financial management system</t>
  </si>
  <si>
    <t>249.17(b)(2)</t>
  </si>
  <si>
    <t>State agency corrective action plans</t>
  </si>
  <si>
    <t>Audit responses</t>
  </si>
  <si>
    <t>Subtotal Reporting: State and Local Agencies</t>
  </si>
  <si>
    <t>Decrease in partcipation</t>
  </si>
  <si>
    <t xml:space="preserve">Participant compliants </t>
  </si>
  <si>
    <t xml:space="preserve">249.16(a)(1)(i);(ii) </t>
  </si>
  <si>
    <t xml:space="preserve">Affected Public: BUSINESSES (including authorized outlets and nonprofit businesses) </t>
  </si>
  <si>
    <t>Slight increase due to use of standardized conversion of minutes to hours but greater overall decrease due to less authorized outlets</t>
  </si>
  <si>
    <t>Subtotal Reporting: Authorized farmers, farmers' markets, roadside stands and CSA programs</t>
  </si>
  <si>
    <t>Nutrition education</t>
  </si>
  <si>
    <t>Decrease in participation</t>
  </si>
  <si>
    <t>Authorized farmers, farmers' markets, roadside stands and CSA program agreements</t>
  </si>
  <si>
    <t>Increase in the number of State agencies</t>
  </si>
  <si>
    <t>248.10(b)(8)</t>
  </si>
  <si>
    <t>Increase due to more accurate calcuation</t>
  </si>
  <si>
    <t>249.11(c )</t>
  </si>
  <si>
    <t>Record of financial expenditures</t>
  </si>
  <si>
    <t xml:space="preserve">Increase in the number of State agencies </t>
  </si>
  <si>
    <t>Fair hearings</t>
  </si>
  <si>
    <t>Record of Program operations</t>
  </si>
  <si>
    <t>TOTAL BURDEN FOR #0584-0541</t>
  </si>
  <si>
    <t>Attachment B</t>
  </si>
  <si>
    <t>Increase in State agencies from 53 to 55</t>
  </si>
  <si>
    <t>Increase in program recipients from 800,000 to 840,000.</t>
  </si>
  <si>
    <t>Review of farmer, farmers' market, roadside stand and CSA program applications</t>
  </si>
  <si>
    <t xml:space="preserve">Decrease in burden hours due to a miscalculation in the number of farmers, farmers’ markets, roadside stands, and CSA programs under the last burden revision. </t>
  </si>
  <si>
    <t>249.10(e)</t>
  </si>
  <si>
    <t xml:space="preserve">Increase in burden hours due to a miscalculation in the number of farmers, farmers’ markets, roadside stands, and CSA programs under the last burden revision. </t>
  </si>
  <si>
    <t>Increase in State agencies from 52 to 53</t>
  </si>
  <si>
    <t xml:space="preserve">Recalculation of the estimated time it would take for a State agency to complete a request for prior approval for capital expenditures, and other cost items in the administration and operation of the SFMNP.  </t>
  </si>
  <si>
    <t xml:space="preserve">Increase in the expected number of management evaluations scheduled each year. </t>
  </si>
  <si>
    <t>Limited OIG Inspections, no expected increase.</t>
  </si>
  <si>
    <t>249.23(b)</t>
  </si>
  <si>
    <t>Financial/recipient reports</t>
  </si>
  <si>
    <t>Removed because reporting burden is covered under FPRS OMB #0584-0594, expiration date 10/31/2019.</t>
  </si>
  <si>
    <t>Increase in burden hours due to an increase in the number of program recipients.</t>
  </si>
  <si>
    <t>Affected Public: AUTHORIZED FARMERS, FARMERS' MARKETS, ROADSIDE STANDS, CSA PROGRAMS</t>
  </si>
  <si>
    <t>Authorized farmer, farmers' market, roadside stand and CSA program applications</t>
  </si>
  <si>
    <t xml:space="preserve">   </t>
  </si>
  <si>
    <t>ATTACHMENT A:  SFMNP REPORTING AND RECORDKEEPING REQUIREMENTS (OMB #0584-0541)</t>
  </si>
  <si>
    <t>249.3(e)</t>
  </si>
  <si>
    <t>Increase in State agencies from 49 to 51</t>
  </si>
  <si>
    <t>Burden previously accounted for under wrong affected public (Individual / Household).
Also decrease in participants from 963,685 to 900,000.</t>
  </si>
  <si>
    <t>Review of vendor applications</t>
  </si>
  <si>
    <t>Burden previously accounted for under wrong affected public (Vendors).
Also decrease in number of farmers, markets, roadside stands, and CSA programs from 5,870 to 4,598.</t>
  </si>
  <si>
    <t>Monitoring/review of vendors</t>
  </si>
  <si>
    <t>Decrease in number of farmers, markets, roadside stands, and CSA programs</t>
  </si>
  <si>
    <t>Prior approval for costs per 7 CFR 3016.22</t>
  </si>
  <si>
    <t>Increase in State agencies from 49 to 51.</t>
  </si>
  <si>
    <t>Annual Financial and Program Data Report</t>
  </si>
  <si>
    <t>FNS 683A</t>
  </si>
  <si>
    <t>Burden reduced due to correction.  Previously accounted for State Agency burden instead of Individual/Household burden.</t>
  </si>
  <si>
    <t>Affected Public: VENDORS (Farmers/Markets/Roadside Stands/CSAs)</t>
  </si>
  <si>
    <t>Farmer applications &amp; agreements</t>
  </si>
  <si>
    <t>Burden reduced due to correction.  Previously accounted for State Agency burden instead of Vendor burden.</t>
  </si>
  <si>
    <t>Subtotal Reporting: Vendors</t>
  </si>
  <si>
    <t>Decrease in recipients from 963,683 to 900,000</t>
  </si>
  <si>
    <t>Authorized outlet agreements</t>
  </si>
  <si>
    <t>Summary of authorized outlet monitoring</t>
  </si>
  <si>
    <t>Regulation Section</t>
  </si>
  <si>
    <t>Title</t>
  </si>
  <si>
    <t>Forms</t>
  </si>
  <si>
    <t>Estimated No. of Respondents</t>
  </si>
  <si>
    <t>Reports Filed Annually</t>
  </si>
  <si>
    <t>Total Annual Response</t>
  </si>
  <si>
    <t>Estimated Hrs/ Response</t>
  </si>
  <si>
    <t>Annual Burden Hrs</t>
  </si>
  <si>
    <t>Reporting</t>
  </si>
  <si>
    <t>Monitoring/review of outlets</t>
  </si>
  <si>
    <t>Prior Approval for costs per 7 CFR 3016.22</t>
  </si>
  <si>
    <t>FNS 683-A</t>
  </si>
  <si>
    <t>Subtotal</t>
  </si>
  <si>
    <t>(Reporting Requirements)</t>
  </si>
  <si>
    <t>Affected Public: Farms (Farmers/Markets/Roadside stands/CSA's)</t>
  </si>
  <si>
    <t>Record of program operations</t>
  </si>
  <si>
    <t>(Recordkeeping Requirements)</t>
  </si>
  <si>
    <t xml:space="preserve">  (Reporting &amp; Recordkeeping)</t>
  </si>
  <si>
    <t># eResponses</t>
  </si>
  <si>
    <t>Notes</t>
  </si>
  <si>
    <t>All responses</t>
  </si>
  <si>
    <t>Individuals</t>
  </si>
  <si>
    <t>None</t>
  </si>
  <si>
    <t>Electronic transaction records</t>
  </si>
  <si>
    <t>Precent of all</t>
  </si>
  <si>
    <t>prev row divided by all responses</t>
  </si>
  <si>
    <t>% small entities</t>
  </si>
  <si>
    <t>number small entities</t>
  </si>
  <si>
    <t>State and local</t>
  </si>
  <si>
    <t>Nonprofit locals</t>
  </si>
  <si>
    <t>small entities</t>
  </si>
  <si>
    <t>total respondents</t>
  </si>
  <si>
    <t>% small</t>
  </si>
  <si>
    <t>249.10(e)(4), 249.17(c)(1)(ii)</t>
  </si>
  <si>
    <t>2026 Renewal Numbers</t>
  </si>
  <si>
    <t>2026 renewal</t>
  </si>
  <si>
    <t>Electronic Responses (Supporting Statement A3)</t>
  </si>
  <si>
    <t>Small Businesses/Entities (Supporting Statement A5)</t>
  </si>
  <si>
    <t>Appendix F</t>
  </si>
  <si>
    <t>Appendix D
Senior Farmers' Market Nutrition Program (SFMNP) Burden Table (OMB # 0584-0541)</t>
  </si>
  <si>
    <t>* The subtotals of the column "PRA Violation: Expired Submission &amp; Burden in use without OMB Approval" only include the annual burden hours that are expired but were previously approved.</t>
  </si>
  <si>
    <r>
      <rPr>
        <b/>
        <i/>
        <sz val="10"/>
        <rFont val="Arial"/>
        <family val="2"/>
      </rPr>
      <t xml:space="preserve">PRA Violation: </t>
    </r>
    <r>
      <rPr>
        <b/>
        <sz val="10"/>
        <rFont val="Arial"/>
        <family val="2"/>
      </rPr>
      <t>Expired Submission &amp; Burden in use without OMB Approval*</t>
    </r>
  </si>
  <si>
    <t>Development and Coordination of Nutrition Education**</t>
  </si>
  <si>
    <t>Authorized Outlet and Participant Complaints**</t>
  </si>
  <si>
    <t>Authorized Outlet and Participant Sanctions**</t>
  </si>
  <si>
    <t>** Line item includes burden that was not included in the previous submission (i.e., was in use without OMB approval). The amount previously in use without OMB approval is reflected in the "Differences Due to Changes" column.</t>
  </si>
  <si>
    <t>Previously approved burden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</si>
</sst>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44" formatCode="_(&quot;$&quot;* #,##0.00_);_(&quot;$&quot;* \(#,##0.00\);_(&quot;$&quot;* &quot;-&quot;??_);_(@_)"/>
    <numFmt numFmtId="43" formatCode="_(* #,##0.00_);_(* \(#,##0.00\);_(* &quot;-&quot;??_);_(@_)"/>
    <numFmt numFmtId="164" formatCode="_(* #,##0.000_);_(* \(#,##0.000\);_(* &quot;-&quot;??_);_(@_)"/>
    <numFmt numFmtId="165" formatCode="_(* #,##0_);_(* \(#,##0\);_(* &quot;-&quot;??_);_(@_)"/>
    <numFmt numFmtId="166" formatCode="_(* #,##0.000000_);_(* \(#,##0.000000\);_(* &quot;-&quot;??_);_(@_)"/>
    <numFmt numFmtId="167" formatCode="#,##0.000_);\(#,##0.000\)"/>
    <numFmt numFmtId="168" formatCode="#,##0.00000_);\(#,##0.00000\)"/>
    <numFmt numFmtId="169" formatCode="#,##0.0000000"/>
    <numFmt numFmtId="170" formatCode="0.000000"/>
    <numFmt numFmtId="171" formatCode="#,##0.0_);\(#,##0.0\)"/>
    <numFmt numFmtId="172" formatCode="#,##0.0000_);\(#,##0.0000\)"/>
    <numFmt numFmtId="173" formatCode="#,##0.000"/>
    <numFmt numFmtId="174" formatCode="_(* #,##0.0_);_(* \(#,##0.0\);_(* &quot;-&quot;??_);_(@_)"/>
    <numFmt numFmtId="175" formatCode="_(* #,##0.0000000_);_(* \(#,##0.0000000\);_(* &quot;-&quot;??_);_(@_)"/>
    <numFmt numFmtId="176" formatCode="_(* #,##0.0000_);_(* \(#,##0.0000\);_(* &quot;-&quot;????_);_(@_)"/>
    <numFmt numFmtId="177" formatCode="#,##0;[Red]#,##0"/>
    <numFmt numFmtId="178" formatCode="#,##0.00000"/>
    <numFmt numFmtId="179" formatCode="#,##0.0000"/>
    <numFmt numFmtId="180" formatCode="0.000"/>
    <numFmt numFmtId="181" formatCode="0.0000"/>
    <numFmt numFmtId="182" formatCode="0.0%"/>
    <numFmt numFmtId="183" formatCode="_(&quot;$&quot;* #,##0.000000_);_(&quot;$&quot;* \(#,##0.000000\);_(&quot;$&quot;* &quot;-&quot;??_);_(@_)"/>
  </numFmts>
  <fonts count="41">
    <font>
      <sz val="11"/>
      <color theme="1"/>
      <name val="Calibri"/>
      <family val="2"/>
      <scheme val="minor"/>
    </font>
    <font>
      <sz val="11"/>
      <color theme="1"/>
      <name val="Calibri"/>
      <family val="2"/>
      <scheme val="minor"/>
    </font>
    <font>
      <b/>
      <sz val="11"/>
      <color theme="1"/>
      <name val="Calibri"/>
      <family val="2"/>
      <scheme val="minor"/>
    </font>
    <font>
      <b/>
      <sz val="16"/>
      <name val="Arial"/>
      <family val="2"/>
    </font>
    <font>
      <b/>
      <sz val="16"/>
      <name val="Calibri"/>
      <family val="2"/>
      <scheme val="minor"/>
    </font>
    <font>
      <b/>
      <sz val="14"/>
      <name val="Arial"/>
      <family val="2"/>
    </font>
    <font>
      <sz val="11"/>
      <name val="Calibri"/>
      <family val="2"/>
      <scheme val="minor"/>
    </font>
    <font>
      <b/>
      <sz val="10"/>
      <name val="Arial"/>
      <family val="2"/>
    </font>
    <font>
      <sz val="10"/>
      <name val="Arial"/>
      <family val="2"/>
    </font>
    <font>
      <b/>
      <i/>
      <sz val="10"/>
      <name val="Arial"/>
      <family val="2"/>
    </font>
    <font>
      <b/>
      <sz val="11"/>
      <name val="Calibri"/>
      <family val="2"/>
      <scheme val="minor"/>
    </font>
    <font>
      <sz val="10"/>
      <name val="Arial "/>
    </font>
    <font>
      <b/>
      <sz val="10"/>
      <color theme="1"/>
      <name val="Arial"/>
      <family val="2"/>
    </font>
    <font>
      <sz val="10"/>
      <name val="Calibri"/>
      <family val="2"/>
      <scheme val="minor"/>
    </font>
    <font>
      <b/>
      <sz val="12"/>
      <name val="Arial"/>
      <family val="2"/>
    </font>
    <font>
      <b/>
      <sz val="14"/>
      <color theme="1"/>
      <name val="Arial"/>
      <family val="2"/>
    </font>
    <font>
      <b/>
      <i/>
      <sz val="10"/>
      <color theme="1"/>
      <name val="Arial"/>
      <family val="2"/>
    </font>
    <font>
      <sz val="10"/>
      <color theme="1"/>
      <name val="Arial"/>
      <family val="2"/>
    </font>
    <font>
      <i/>
      <sz val="10"/>
      <name val="Arial"/>
      <family val="2"/>
    </font>
    <font>
      <sz val="8"/>
      <name val="Times New Roman"/>
      <family val="1"/>
    </font>
    <font>
      <sz val="10"/>
      <color indexed="8"/>
      <name val="Arial"/>
      <family val="2"/>
    </font>
    <font>
      <b/>
      <sz val="10"/>
      <color indexed="8"/>
      <name val="Arial"/>
      <family val="2"/>
    </font>
    <font>
      <sz val="10"/>
      <color theme="1"/>
      <name val="Calibri"/>
      <family val="2"/>
      <scheme val="minor"/>
    </font>
    <font>
      <sz val="10"/>
      <color rgb="FFFF0000"/>
      <name val="Arial"/>
      <family val="2"/>
    </font>
    <font>
      <b/>
      <sz val="10"/>
      <color rgb="FFFF0000"/>
      <name val="Arial"/>
      <family val="2"/>
    </font>
    <font>
      <i/>
      <sz val="11"/>
      <name val="Calibri"/>
      <family val="2"/>
      <scheme val="minor"/>
    </font>
    <font>
      <sz val="8"/>
      <color rgb="FFFF0000"/>
      <name val="Times New Roman"/>
      <family val="1"/>
    </font>
    <font>
      <sz val="11"/>
      <name val="Arial"/>
      <family val="2"/>
    </font>
    <font>
      <sz val="9"/>
      <color indexed="81"/>
      <name val="Tahoma"/>
      <family val="2"/>
    </font>
    <font>
      <b/>
      <sz val="12"/>
      <color theme="1"/>
      <name val="Arial"/>
      <family val="2"/>
    </font>
    <font>
      <sz val="10"/>
      <color rgb="FF000000"/>
      <name val="Arial"/>
      <family val="2"/>
    </font>
    <font>
      <b/>
      <sz val="10"/>
      <color rgb="FF000000"/>
      <name val="Arial"/>
      <family val="2"/>
    </font>
    <font>
      <sz val="8"/>
      <color theme="1"/>
      <name val="Times New Roman"/>
      <family val="1"/>
    </font>
    <font>
      <b/>
      <sz val="10"/>
      <color indexed="10"/>
      <name val="Arial"/>
      <family val="2"/>
    </font>
    <font>
      <sz val="9"/>
      <color indexed="10"/>
      <name val="Arial"/>
      <family val="2"/>
    </font>
    <font>
      <b/>
      <sz val="9"/>
      <color indexed="81"/>
      <name val="Tahoma"/>
      <family val="2"/>
    </font>
    <font>
      <i/>
      <sz val="11"/>
      <color theme="1"/>
      <name val="Calibri"/>
      <family val="2"/>
      <scheme val="minor"/>
    </font>
    <font>
      <sz val="8"/>
      <name val="Arial"/>
      <family val="2"/>
    </font>
    <font>
      <strike/>
      <sz val="10"/>
      <name val="Arial"/>
      <family val="2"/>
    </font>
    <font>
      <b/>
      <i/>
      <sz val="11"/>
      <color theme="1"/>
      <name val="Calibri"/>
      <family val="2"/>
      <scheme val="minor"/>
    </font>
    <font>
      <b/>
      <i/>
      <sz val="10"/>
      <color rgb="FF000000"/>
      <name val="Arial"/>
      <family val="2"/>
    </font>
  </fonts>
  <fills count="23">
    <fill>
      <patternFill patternType="none"/>
    </fill>
    <fill>
      <patternFill patternType="gray125"/>
    </fill>
    <fill>
      <patternFill patternType="solid">
        <fgColor theme="6" tint="-0.249977111117893"/>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3F5F7"/>
        <bgColor indexed="64"/>
      </patternFill>
    </fill>
    <fill>
      <patternFill patternType="solid">
        <fgColor theme="3" tint="0.59999389629810485"/>
        <bgColor indexed="64"/>
      </patternFill>
    </fill>
    <fill>
      <patternFill patternType="solid">
        <fgColor rgb="FFE2EFDA"/>
        <bgColor indexed="64"/>
      </patternFill>
    </fill>
    <fill>
      <patternFill patternType="solid">
        <fgColor indexed="65"/>
        <bgColor indexed="64"/>
      </patternFill>
    </fill>
    <fill>
      <patternFill patternType="solid">
        <fgColor theme="0" tint="-0.499984740745262"/>
        <bgColor indexed="64"/>
      </patternFill>
    </fill>
    <fill>
      <patternFill patternType="solid">
        <fgColor theme="8"/>
        <bgColor indexed="64"/>
      </patternFill>
    </fill>
    <fill>
      <patternFill patternType="solid">
        <fgColor rgb="FF00B050"/>
        <bgColor indexed="64"/>
      </patternFill>
    </fill>
    <fill>
      <patternFill patternType="solid">
        <fgColor theme="5"/>
        <bgColor indexed="64"/>
      </patternFill>
    </fill>
    <fill>
      <patternFill patternType="solid">
        <fgColor theme="9"/>
        <bgColor indexed="64"/>
      </patternFill>
    </fill>
    <fill>
      <patternFill patternType="solid">
        <fgColor theme="2" tint="-0.249977111117893"/>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double">
        <color indexed="64"/>
      </bottom>
      <diagonal/>
    </border>
    <border>
      <left/>
      <right style="thin">
        <color indexed="64"/>
      </right>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cellStyleXfs>
  <cellXfs count="1132">
    <xf numFmtId="0" fontId="0" fillId="0" borderId="0" xfId="0"/>
    <xf numFmtId="0" fontId="3" fillId="0" borderId="0" xfId="0" applyFont="1" applyAlignment="1">
      <alignment horizontal="left"/>
    </xf>
    <xf numFmtId="0" fontId="3" fillId="0" borderId="0" xfId="0" applyFont="1"/>
    <xf numFmtId="0" fontId="4" fillId="0" borderId="0" xfId="0" applyFont="1"/>
    <xf numFmtId="0" fontId="6" fillId="0" borderId="0" xfId="0" applyFont="1" applyAlignment="1">
      <alignment vertical="center"/>
    </xf>
    <xf numFmtId="0" fontId="7" fillId="0" borderId="2" xfId="0" applyFont="1" applyBorder="1" applyAlignment="1">
      <alignment horizontal="center" vertical="center" wrapText="1"/>
    </xf>
    <xf numFmtId="0" fontId="7" fillId="0" borderId="2" xfId="4" applyFont="1" applyBorder="1" applyAlignment="1">
      <alignment horizontal="center" vertical="center" wrapText="1"/>
    </xf>
    <xf numFmtId="0" fontId="7" fillId="3" borderId="2" xfId="0" applyFont="1" applyFill="1" applyBorder="1" applyAlignment="1">
      <alignment horizontal="center" vertical="center" wrapText="1"/>
    </xf>
    <xf numFmtId="0" fontId="10" fillId="4" borderId="0" xfId="0" applyFont="1" applyFill="1" applyAlignment="1">
      <alignment vertical="center"/>
    </xf>
    <xf numFmtId="0" fontId="10" fillId="4" borderId="0" xfId="0" applyFont="1" applyFill="1" applyAlignment="1">
      <alignment vertical="center" wrapText="1"/>
    </xf>
    <xf numFmtId="0" fontId="6" fillId="4" borderId="0" xfId="0" applyFont="1" applyFill="1" applyAlignment="1">
      <alignment vertical="center"/>
    </xf>
    <xf numFmtId="0" fontId="7" fillId="0" borderId="2" xfId="0" applyFont="1" applyBorder="1" applyAlignment="1">
      <alignment horizontal="left" wrapText="1"/>
    </xf>
    <xf numFmtId="0" fontId="8" fillId="0" borderId="2" xfId="0" applyFont="1" applyBorder="1" applyAlignment="1">
      <alignment horizontal="right"/>
    </xf>
    <xf numFmtId="2" fontId="8" fillId="4" borderId="2" xfId="1" applyNumberFormat="1" applyFont="1" applyFill="1" applyBorder="1" applyAlignment="1">
      <alignment horizontal="right"/>
    </xf>
    <xf numFmtId="2" fontId="8" fillId="0" borderId="2" xfId="1" applyNumberFormat="1" applyFont="1" applyBorder="1" applyAlignment="1">
      <alignment horizontal="right"/>
    </xf>
    <xf numFmtId="2" fontId="8" fillId="3" borderId="2" xfId="1" applyNumberFormat="1" applyFont="1" applyFill="1" applyBorder="1" applyAlignment="1">
      <alignment horizontal="right"/>
    </xf>
    <xf numFmtId="0" fontId="8" fillId="0" borderId="2" xfId="0" applyFont="1" applyBorder="1" applyAlignment="1">
      <alignment vertical="center" wrapText="1"/>
    </xf>
    <xf numFmtId="0" fontId="6" fillId="0" borderId="0" xfId="0" applyFont="1"/>
    <xf numFmtId="0" fontId="8" fillId="0" borderId="2" xfId="0" applyFont="1" applyBorder="1"/>
    <xf numFmtId="4" fontId="8" fillId="3" borderId="2" xfId="1" applyNumberFormat="1" applyFont="1" applyFill="1" applyBorder="1" applyAlignment="1">
      <alignment horizontal="right"/>
    </xf>
    <xf numFmtId="4" fontId="8" fillId="0" borderId="2" xfId="1" applyNumberFormat="1" applyFont="1" applyBorder="1"/>
    <xf numFmtId="4" fontId="8" fillId="0" borderId="0" xfId="0" applyNumberFormat="1" applyFont="1"/>
    <xf numFmtId="2" fontId="8" fillId="0" borderId="2" xfId="0" applyNumberFormat="1" applyFont="1" applyBorder="1"/>
    <xf numFmtId="0" fontId="7" fillId="4" borderId="2" xfId="0" applyFont="1" applyFill="1" applyBorder="1" applyAlignment="1">
      <alignment horizontal="left" wrapText="1"/>
    </xf>
    <xf numFmtId="0" fontId="8" fillId="4" borderId="2" xfId="0" applyFont="1" applyFill="1" applyBorder="1" applyAlignment="1">
      <alignment horizontal="left" wrapText="1"/>
    </xf>
    <xf numFmtId="0" fontId="8" fillId="4" borderId="2" xfId="0" applyFont="1" applyFill="1" applyBorder="1" applyAlignment="1">
      <alignment wrapText="1"/>
    </xf>
    <xf numFmtId="4" fontId="8" fillId="4" borderId="2" xfId="1" applyNumberFormat="1" applyFont="1" applyFill="1" applyBorder="1"/>
    <xf numFmtId="4" fontId="8" fillId="4" borderId="2" xfId="0" applyNumberFormat="1" applyFont="1" applyFill="1" applyBorder="1"/>
    <xf numFmtId="2" fontId="8" fillId="4" borderId="2" xfId="1" applyNumberFormat="1" applyFont="1" applyFill="1" applyBorder="1"/>
    <xf numFmtId="0" fontId="11" fillId="0" borderId="2" xfId="0" applyFont="1" applyBorder="1" applyAlignment="1">
      <alignment wrapText="1"/>
    </xf>
    <xf numFmtId="0" fontId="7" fillId="0" borderId="0" xfId="0" applyFont="1" applyAlignment="1">
      <alignment wrapText="1"/>
    </xf>
    <xf numFmtId="2" fontId="8" fillId="4" borderId="2" xfId="0" applyNumberFormat="1" applyFont="1" applyFill="1" applyBorder="1"/>
    <xf numFmtId="0" fontId="8" fillId="4" borderId="2" xfId="0" applyFont="1" applyFill="1" applyBorder="1" applyAlignment="1">
      <alignment vertical="center" wrapText="1"/>
    </xf>
    <xf numFmtId="0" fontId="8" fillId="4" borderId="2" xfId="0" applyFont="1" applyFill="1" applyBorder="1" applyAlignment="1">
      <alignment horizontal="right"/>
    </xf>
    <xf numFmtId="4" fontId="8" fillId="4" borderId="2" xfId="1" applyNumberFormat="1" applyFont="1" applyFill="1" applyBorder="1" applyAlignment="1">
      <alignment horizontal="right"/>
    </xf>
    <xf numFmtId="0" fontId="8" fillId="4" borderId="2" xfId="0" applyFont="1" applyFill="1" applyBorder="1" applyAlignment="1">
      <alignment vertical="top" wrapText="1"/>
    </xf>
    <xf numFmtId="0" fontId="8" fillId="0" borderId="2"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left" wrapText="1"/>
    </xf>
    <xf numFmtId="0" fontId="8" fillId="0" borderId="0" xfId="0" applyFont="1" applyAlignment="1">
      <alignment vertical="center"/>
    </xf>
    <xf numFmtId="0" fontId="7" fillId="0" borderId="2" xfId="0" applyFont="1" applyBorder="1" applyAlignment="1">
      <alignment horizontal="right"/>
    </xf>
    <xf numFmtId="2" fontId="7" fillId="4" borderId="2" xfId="1" applyNumberFormat="1" applyFont="1" applyFill="1" applyBorder="1" applyAlignment="1">
      <alignment horizontal="right"/>
    </xf>
    <xf numFmtId="4" fontId="7" fillId="4" borderId="2" xfId="1" applyNumberFormat="1" applyFont="1" applyFill="1" applyBorder="1" applyAlignment="1">
      <alignment horizontal="right"/>
    </xf>
    <xf numFmtId="4" fontId="7" fillId="0" borderId="2" xfId="1" applyNumberFormat="1" applyFont="1" applyFill="1" applyBorder="1" applyAlignment="1">
      <alignment horizontal="right"/>
    </xf>
    <xf numFmtId="0" fontId="10" fillId="0" borderId="0" xfId="0" applyFont="1"/>
    <xf numFmtId="0" fontId="7" fillId="0" borderId="2" xfId="0" applyFont="1" applyBorder="1" applyAlignment="1">
      <alignment horizontal="left"/>
    </xf>
    <xf numFmtId="0" fontId="8" fillId="0" borderId="2" xfId="0" applyFont="1" applyBorder="1" applyAlignment="1">
      <alignment horizontal="left"/>
    </xf>
    <xf numFmtId="4" fontId="6" fillId="0" borderId="2" xfId="0" applyNumberFormat="1" applyFont="1" applyBorder="1"/>
    <xf numFmtId="0" fontId="8" fillId="0" borderId="2" xfId="1" applyNumberFormat="1" applyFont="1" applyBorder="1" applyAlignment="1">
      <alignment horizontal="right"/>
    </xf>
    <xf numFmtId="4" fontId="8" fillId="0" borderId="2" xfId="1" applyNumberFormat="1" applyFont="1" applyBorder="1" applyAlignment="1">
      <alignment horizontal="right"/>
    </xf>
    <xf numFmtId="4" fontId="8" fillId="0" borderId="2" xfId="0" applyNumberFormat="1" applyFont="1" applyBorder="1"/>
    <xf numFmtId="0" fontId="8" fillId="0" borderId="2" xfId="1" applyNumberFormat="1" applyFont="1" applyBorder="1"/>
    <xf numFmtId="0" fontId="7" fillId="0" borderId="3" xfId="0" applyFont="1" applyBorder="1" applyAlignment="1">
      <alignment horizontal="left"/>
    </xf>
    <xf numFmtId="0" fontId="8" fillId="0" borderId="5" xfId="0" applyFont="1" applyBorder="1" applyAlignment="1">
      <alignment horizontal="left"/>
    </xf>
    <xf numFmtId="0" fontId="7" fillId="6" borderId="2" xfId="0" applyFont="1" applyFill="1" applyBorder="1"/>
    <xf numFmtId="2" fontId="7" fillId="0" borderId="2" xfId="1" applyNumberFormat="1" applyFont="1" applyFill="1" applyBorder="1" applyAlignment="1">
      <alignment horizontal="right"/>
    </xf>
    <xf numFmtId="2" fontId="12" fillId="6" borderId="2" xfId="1" applyNumberFormat="1" applyFont="1" applyFill="1" applyBorder="1" applyAlignment="1">
      <alignment horizontal="center"/>
    </xf>
    <xf numFmtId="4" fontId="12" fillId="4" borderId="2" xfId="1" applyNumberFormat="1" applyFont="1" applyFill="1" applyBorder="1" applyAlignment="1">
      <alignment horizontal="right"/>
    </xf>
    <xf numFmtId="2" fontId="12" fillId="0" borderId="2" xfId="1" applyNumberFormat="1" applyFont="1" applyFill="1" applyBorder="1" applyAlignment="1">
      <alignment horizontal="center"/>
    </xf>
    <xf numFmtId="4" fontId="7" fillId="6" borderId="2" xfId="1" applyNumberFormat="1" applyFont="1" applyFill="1" applyBorder="1"/>
    <xf numFmtId="2" fontId="7" fillId="6" borderId="2" xfId="1" applyNumberFormat="1" applyFont="1" applyFill="1" applyBorder="1"/>
    <xf numFmtId="0" fontId="8" fillId="4" borderId="2" xfId="1" applyNumberFormat="1" applyFont="1" applyFill="1" applyBorder="1" applyAlignment="1">
      <alignment horizontal="right"/>
    </xf>
    <xf numFmtId="0" fontId="8" fillId="3" borderId="2" xfId="1" applyNumberFormat="1" applyFont="1" applyFill="1" applyBorder="1" applyAlignment="1">
      <alignment horizontal="right"/>
    </xf>
    <xf numFmtId="0" fontId="8" fillId="0" borderId="2" xfId="1" applyNumberFormat="1" applyFont="1" applyFill="1" applyBorder="1"/>
    <xf numFmtId="0" fontId="8" fillId="0" borderId="2" xfId="1" applyNumberFormat="1" applyFont="1" applyFill="1" applyBorder="1" applyAlignment="1">
      <alignment horizontal="right"/>
    </xf>
    <xf numFmtId="0" fontId="11" fillId="4" borderId="2" xfId="0" applyFont="1" applyFill="1" applyBorder="1" applyAlignment="1">
      <alignment wrapText="1"/>
    </xf>
    <xf numFmtId="0" fontId="7" fillId="0" borderId="0" xfId="0" applyFont="1"/>
    <xf numFmtId="2" fontId="7" fillId="0" borderId="2" xfId="1" applyNumberFormat="1" applyFont="1" applyFill="1" applyBorder="1" applyAlignment="1">
      <alignment horizontal="center" vertical="center"/>
    </xf>
    <xf numFmtId="0" fontId="8" fillId="4" borderId="2" xfId="0" applyFont="1" applyFill="1" applyBorder="1"/>
    <xf numFmtId="2" fontId="7" fillId="6" borderId="2" xfId="1" applyNumberFormat="1" applyFont="1" applyFill="1" applyBorder="1" applyAlignment="1">
      <alignment horizontal="right"/>
    </xf>
    <xf numFmtId="0" fontId="8" fillId="6" borderId="2" xfId="0" applyFont="1" applyFill="1" applyBorder="1"/>
    <xf numFmtId="0" fontId="8" fillId="0" borderId="0" xfId="0" applyFont="1" applyAlignment="1">
      <alignment horizontal="left"/>
    </xf>
    <xf numFmtId="0" fontId="8" fillId="0" borderId="0" xfId="0" applyFont="1"/>
    <xf numFmtId="0" fontId="8" fillId="0" borderId="6" xfId="4" applyBorder="1" applyAlignment="1">
      <alignment horizontal="center" vertical="center" wrapText="1"/>
    </xf>
    <xf numFmtId="0" fontId="8" fillId="0" borderId="7" xfId="4" applyBorder="1" applyAlignment="1">
      <alignment horizontal="center" vertical="center" wrapText="1"/>
    </xf>
    <xf numFmtId="0" fontId="8" fillId="0" borderId="8" xfId="4" applyBorder="1" applyAlignment="1">
      <alignment horizontal="center" vertical="center" wrapText="1"/>
    </xf>
    <xf numFmtId="0" fontId="7" fillId="0" borderId="9" xfId="4" applyFont="1" applyBorder="1" applyAlignment="1">
      <alignment vertical="center"/>
    </xf>
    <xf numFmtId="2" fontId="8" fillId="0" borderId="9" xfId="4" applyNumberFormat="1" applyBorder="1" applyAlignment="1">
      <alignment vertical="center"/>
    </xf>
    <xf numFmtId="2" fontId="8" fillId="0" borderId="9" xfId="4" applyNumberFormat="1" applyBorder="1" applyAlignment="1">
      <alignment horizontal="center" vertical="center"/>
    </xf>
    <xf numFmtId="2" fontId="8" fillId="0" borderId="9" xfId="5" applyNumberFormat="1" applyFont="1" applyFill="1" applyBorder="1" applyAlignment="1">
      <alignment vertical="center"/>
    </xf>
    <xf numFmtId="2" fontId="7" fillId="0" borderId="10" xfId="5" applyNumberFormat="1" applyFont="1" applyFill="1" applyBorder="1" applyAlignment="1">
      <alignment vertical="center"/>
    </xf>
    <xf numFmtId="0" fontId="8" fillId="0" borderId="0" xfId="0" applyFont="1" applyAlignment="1">
      <alignment wrapText="1"/>
    </xf>
    <xf numFmtId="0" fontId="7" fillId="0" borderId="11" xfId="4" applyFont="1" applyBorder="1" applyAlignment="1">
      <alignment horizontal="left" vertical="center"/>
    </xf>
    <xf numFmtId="2" fontId="8" fillId="0" borderId="12" xfId="4" applyNumberFormat="1" applyBorder="1" applyAlignment="1">
      <alignment vertical="center"/>
    </xf>
    <xf numFmtId="2" fontId="8" fillId="0" borderId="12" xfId="4" applyNumberFormat="1" applyBorder="1" applyAlignment="1">
      <alignment horizontal="center" vertical="center"/>
    </xf>
    <xf numFmtId="2" fontId="7" fillId="0" borderId="13" xfId="4" applyNumberFormat="1" applyFont="1" applyBorder="1" applyAlignment="1">
      <alignment vertical="center"/>
    </xf>
    <xf numFmtId="0" fontId="7" fillId="0" borderId="6" xfId="4" applyFont="1" applyBorder="1" applyAlignment="1">
      <alignment horizontal="left" vertical="center"/>
    </xf>
    <xf numFmtId="2" fontId="7" fillId="0" borderId="6" xfId="4" applyNumberFormat="1" applyFont="1" applyBorder="1" applyAlignment="1">
      <alignment vertical="center"/>
    </xf>
    <xf numFmtId="2" fontId="8" fillId="0" borderId="6" xfId="4" applyNumberFormat="1" applyBorder="1" applyAlignment="1">
      <alignment horizontal="center" vertical="center"/>
    </xf>
    <xf numFmtId="4" fontId="7" fillId="0" borderId="6" xfId="4" applyNumberFormat="1" applyFont="1" applyBorder="1" applyAlignment="1">
      <alignment vertical="center"/>
    </xf>
    <xf numFmtId="2" fontId="8" fillId="0" borderId="7" xfId="4" applyNumberFormat="1" applyBorder="1" applyAlignment="1">
      <alignment horizontal="center" vertical="center"/>
    </xf>
    <xf numFmtId="4" fontId="7" fillId="0" borderId="8" xfId="4" applyNumberFormat="1" applyFont="1" applyBorder="1" applyAlignment="1">
      <alignment vertical="center"/>
    </xf>
    <xf numFmtId="0" fontId="7" fillId="0" borderId="0" xfId="4" applyFont="1" applyAlignment="1">
      <alignment horizontal="left" vertical="center"/>
    </xf>
    <xf numFmtId="0" fontId="7" fillId="0" borderId="0" xfId="4" applyFont="1" applyAlignment="1">
      <alignment vertical="center"/>
    </xf>
    <xf numFmtId="0" fontId="8" fillId="0" borderId="0" xfId="4" applyAlignment="1">
      <alignment vertical="center"/>
    </xf>
    <xf numFmtId="0" fontId="8" fillId="0" borderId="14" xfId="0" applyFont="1" applyBorder="1"/>
    <xf numFmtId="0" fontId="8" fillId="0" borderId="15" xfId="4" applyBorder="1" applyAlignment="1">
      <alignment horizontal="center" vertical="center" wrapText="1"/>
    </xf>
    <xf numFmtId="0" fontId="7" fillId="0" borderId="16" xfId="4" applyFont="1" applyBorder="1"/>
    <xf numFmtId="3" fontId="7" fillId="0" borderId="17" xfId="5" applyNumberFormat="1" applyFont="1" applyFill="1" applyBorder="1" applyAlignment="1"/>
    <xf numFmtId="4" fontId="7" fillId="0" borderId="18" xfId="1" applyNumberFormat="1" applyFont="1" applyFill="1" applyBorder="1" applyAlignment="1"/>
    <xf numFmtId="0" fontId="7" fillId="0" borderId="0" xfId="5" applyNumberFormat="1" applyFont="1" applyBorder="1"/>
    <xf numFmtId="0" fontId="7" fillId="0" borderId="0" xfId="4" applyFont="1"/>
    <xf numFmtId="0" fontId="7" fillId="0" borderId="0" xfId="5" applyNumberFormat="1" applyFont="1" applyFill="1" applyBorder="1"/>
    <xf numFmtId="0" fontId="7" fillId="0" borderId="19" xfId="4" applyFont="1" applyBorder="1"/>
    <xf numFmtId="0" fontId="7" fillId="0" borderId="21" xfId="4" applyFont="1" applyBorder="1"/>
    <xf numFmtId="4" fontId="7" fillId="0" borderId="12" xfId="5" applyNumberFormat="1" applyFont="1" applyFill="1" applyBorder="1" applyAlignment="1"/>
    <xf numFmtId="4" fontId="7" fillId="0" borderId="22" xfId="5" applyNumberFormat="1" applyFont="1" applyFill="1" applyBorder="1" applyAlignment="1"/>
    <xf numFmtId="0" fontId="13" fillId="0" borderId="0" xfId="0" applyFont="1"/>
    <xf numFmtId="0" fontId="0" fillId="0" borderId="0" xfId="0" applyAlignment="1">
      <alignment vertical="center"/>
    </xf>
    <xf numFmtId="0" fontId="12" fillId="0" borderId="12" xfId="0" applyFont="1" applyBorder="1" applyAlignment="1">
      <alignment horizontal="center" vertical="center" wrapText="1"/>
    </xf>
    <xf numFmtId="0" fontId="7" fillId="0" borderId="12" xfId="4" applyFont="1" applyBorder="1" applyAlignment="1">
      <alignment horizontal="center" vertical="center" wrapText="1"/>
    </xf>
    <xf numFmtId="0" fontId="12" fillId="3" borderId="12"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7" fillId="4" borderId="2" xfId="0" applyFont="1" applyFill="1" applyBorder="1" applyAlignment="1">
      <alignment horizontal="left" vertical="center"/>
    </xf>
    <xf numFmtId="0" fontId="17" fillId="0" borderId="2" xfId="0" applyFont="1" applyBorder="1" applyAlignment="1">
      <alignment horizontal="center" vertical="center"/>
    </xf>
    <xf numFmtId="4" fontId="8" fillId="0" borderId="2" xfId="1" applyNumberFormat="1" applyFont="1" applyFill="1" applyBorder="1" applyAlignment="1">
      <alignment horizontal="right" vertical="center"/>
    </xf>
    <xf numFmtId="4" fontId="8" fillId="0" borderId="2" xfId="1" applyNumberFormat="1" applyFont="1" applyBorder="1" applyAlignment="1">
      <alignment horizontal="right" vertical="center"/>
    </xf>
    <xf numFmtId="4" fontId="8" fillId="3" borderId="2" xfId="1" applyNumberFormat="1" applyFont="1" applyFill="1" applyBorder="1" applyAlignment="1">
      <alignment horizontal="right" vertical="center"/>
    </xf>
    <xf numFmtId="0" fontId="12" fillId="0" borderId="2" xfId="0" applyFont="1" applyBorder="1" applyAlignment="1">
      <alignment horizontal="left" vertical="center" wrapText="1"/>
    </xf>
    <xf numFmtId="0" fontId="17" fillId="0" borderId="2" xfId="0" applyFont="1" applyBorder="1" applyAlignment="1">
      <alignment horizontal="left" vertical="center"/>
    </xf>
    <xf numFmtId="0" fontId="8" fillId="0" borderId="2" xfId="0" applyFont="1" applyBorder="1" applyAlignment="1">
      <alignment horizontal="center" vertical="center"/>
    </xf>
    <xf numFmtId="0" fontId="7"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4" borderId="2" xfId="0" applyFont="1" applyFill="1" applyBorder="1" applyAlignment="1">
      <alignment horizontal="left" vertical="center" wrapText="1"/>
    </xf>
    <xf numFmtId="0" fontId="8" fillId="4" borderId="25" xfId="0" applyFont="1" applyFill="1" applyBorder="1" applyAlignment="1">
      <alignment vertical="center" wrapText="1"/>
    </xf>
    <xf numFmtId="0" fontId="8" fillId="4" borderId="2" xfId="0" applyFont="1" applyFill="1" applyBorder="1" applyAlignment="1">
      <alignment horizontal="center" vertical="center"/>
    </xf>
    <xf numFmtId="4" fontId="8" fillId="4" borderId="2" xfId="1" applyNumberFormat="1" applyFont="1" applyFill="1" applyBorder="1" applyAlignment="1">
      <alignment horizontal="right" vertical="center"/>
    </xf>
    <xf numFmtId="0" fontId="8" fillId="0" borderId="2" xfId="0" applyFont="1" applyBorder="1" applyAlignment="1">
      <alignment horizontal="left" vertical="center"/>
    </xf>
    <xf numFmtId="0" fontId="8" fillId="0" borderId="2" xfId="0" applyFont="1" applyBorder="1" applyAlignment="1">
      <alignment horizontal="right" vertical="center"/>
    </xf>
    <xf numFmtId="0" fontId="9" fillId="0" borderId="2" xfId="0" applyFont="1" applyBorder="1" applyAlignment="1">
      <alignment horizontal="left" vertical="center" wrapText="1"/>
    </xf>
    <xf numFmtId="0" fontId="18" fillId="4" borderId="2" xfId="0" applyFont="1" applyFill="1" applyBorder="1" applyAlignment="1">
      <alignment horizontal="left" vertical="center"/>
    </xf>
    <xf numFmtId="0" fontId="18" fillId="0" borderId="2" xfId="0" applyFont="1" applyBorder="1" applyAlignment="1">
      <alignment horizontal="right" vertical="center"/>
    </xf>
    <xf numFmtId="4" fontId="18" fillId="0" borderId="2" xfId="1" applyNumberFormat="1" applyFont="1" applyBorder="1" applyAlignment="1">
      <alignment horizontal="right" vertical="center"/>
    </xf>
    <xf numFmtId="4" fontId="18" fillId="3" borderId="2" xfId="1" applyNumberFormat="1" applyFont="1" applyFill="1" applyBorder="1" applyAlignment="1">
      <alignment horizontal="right" vertical="center"/>
    </xf>
    <xf numFmtId="4" fontId="18" fillId="0" borderId="2" xfId="1" applyNumberFormat="1" applyFont="1" applyFill="1" applyBorder="1" applyAlignment="1">
      <alignment horizontal="right" vertical="center"/>
    </xf>
    <xf numFmtId="0" fontId="7" fillId="0" borderId="2" xfId="0" applyFont="1" applyBorder="1" applyAlignment="1">
      <alignment horizontal="left" vertical="center" wrapText="1" indent="2"/>
    </xf>
    <xf numFmtId="0" fontId="8" fillId="4" borderId="2" xfId="0" applyFont="1" applyFill="1" applyBorder="1" applyAlignment="1">
      <alignment horizontal="left" vertical="center" indent="2"/>
    </xf>
    <xf numFmtId="2" fontId="0" fillId="0" borderId="0" xfId="0" applyNumberFormat="1"/>
    <xf numFmtId="0" fontId="8" fillId="4" borderId="2" xfId="0" applyFont="1" applyFill="1" applyBorder="1" applyAlignment="1">
      <alignment horizontal="left" vertical="center"/>
    </xf>
    <xf numFmtId="0" fontId="8" fillId="0" borderId="2" xfId="0" applyFont="1" applyBorder="1" applyAlignment="1">
      <alignment vertical="center"/>
    </xf>
    <xf numFmtId="0" fontId="8" fillId="0" borderId="5" xfId="0" applyFont="1" applyBorder="1" applyAlignment="1">
      <alignment horizontal="left" vertical="center"/>
    </xf>
    <xf numFmtId="0" fontId="2" fillId="0" borderId="0" xfId="0" applyFont="1"/>
    <xf numFmtId="164" fontId="7" fillId="6" borderId="2" xfId="0" applyNumberFormat="1" applyFont="1" applyFill="1" applyBorder="1" applyAlignment="1">
      <alignment horizontal="right" vertical="center"/>
    </xf>
    <xf numFmtId="4" fontId="7" fillId="6" borderId="2" xfId="1" applyNumberFormat="1" applyFont="1" applyFill="1" applyBorder="1" applyAlignment="1">
      <alignment vertical="center"/>
    </xf>
    <xf numFmtId="0" fontId="7" fillId="6" borderId="2" xfId="0" applyFont="1" applyFill="1" applyBorder="1" applyAlignment="1">
      <alignment vertical="center"/>
    </xf>
    <xf numFmtId="43" fontId="0" fillId="0" borderId="0" xfId="0" applyNumberFormat="1"/>
    <xf numFmtId="0" fontId="7" fillId="4" borderId="2" xfId="0" applyFont="1" applyFill="1" applyBorder="1" applyAlignment="1">
      <alignment horizontal="left" vertical="center"/>
    </xf>
    <xf numFmtId="4" fontId="8" fillId="0" borderId="25" xfId="0" applyNumberFormat="1" applyFont="1" applyBorder="1" applyAlignment="1">
      <alignment vertical="center"/>
    </xf>
    <xf numFmtId="4" fontId="8" fillId="0" borderId="5" xfId="1" applyNumberFormat="1" applyFont="1" applyBorder="1" applyAlignment="1">
      <alignment vertical="center"/>
    </xf>
    <xf numFmtId="4" fontId="7" fillId="6" borderId="2" xfId="1" applyNumberFormat="1" applyFont="1" applyFill="1" applyBorder="1" applyAlignment="1">
      <alignment horizontal="right" vertical="center"/>
    </xf>
    <xf numFmtId="0" fontId="7" fillId="4" borderId="25" xfId="0" applyFont="1" applyFill="1" applyBorder="1" applyAlignment="1">
      <alignment vertical="center"/>
    </xf>
    <xf numFmtId="0" fontId="8" fillId="4" borderId="25" xfId="0" applyFont="1" applyFill="1" applyBorder="1" applyAlignment="1">
      <alignment horizontal="left" vertical="center" wrapText="1"/>
    </xf>
    <xf numFmtId="0" fontId="8" fillId="4" borderId="5" xfId="0" applyFont="1" applyFill="1" applyBorder="1" applyAlignment="1">
      <alignment vertical="center" wrapText="1"/>
    </xf>
    <xf numFmtId="4" fontId="8" fillId="0" borderId="2" xfId="1" applyNumberFormat="1" applyFont="1" applyFill="1" applyBorder="1" applyAlignment="1">
      <alignment vertical="center"/>
    </xf>
    <xf numFmtId="4" fontId="8" fillId="4" borderId="2" xfId="1" applyNumberFormat="1" applyFont="1" applyFill="1" applyBorder="1" applyAlignment="1">
      <alignment vertical="center"/>
    </xf>
    <xf numFmtId="4" fontId="8" fillId="3" borderId="2" xfId="1" applyNumberFormat="1" applyFont="1" applyFill="1" applyBorder="1" applyAlignment="1">
      <alignment vertical="center"/>
    </xf>
    <xf numFmtId="4" fontId="8" fillId="0" borderId="2" xfId="1" applyNumberFormat="1" applyFont="1" applyBorder="1" applyAlignment="1">
      <alignment vertical="center"/>
    </xf>
    <xf numFmtId="4" fontId="8" fillId="4" borderId="31" xfId="0" applyNumberFormat="1" applyFont="1" applyFill="1" applyBorder="1" applyAlignment="1">
      <alignment vertical="center"/>
    </xf>
    <xf numFmtId="4" fontId="8" fillId="4" borderId="2" xfId="0" applyNumberFormat="1" applyFont="1" applyFill="1" applyBorder="1" applyAlignment="1">
      <alignment vertical="center"/>
    </xf>
    <xf numFmtId="0" fontId="8" fillId="0" borderId="5" xfId="0" applyFont="1" applyBorder="1" applyAlignment="1">
      <alignment vertical="center" wrapText="1"/>
    </xf>
    <xf numFmtId="0" fontId="7" fillId="4" borderId="25" xfId="0" applyFont="1" applyFill="1" applyBorder="1" applyAlignment="1">
      <alignment horizontal="left" vertical="center" wrapText="1"/>
    </xf>
    <xf numFmtId="0" fontId="8" fillId="4" borderId="2" xfId="0" applyFont="1" applyFill="1" applyBorder="1" applyAlignment="1">
      <alignment vertical="center"/>
    </xf>
    <xf numFmtId="43" fontId="7" fillId="8" borderId="25" xfId="1" applyFont="1" applyFill="1" applyBorder="1" applyAlignment="1">
      <alignment horizontal="center" vertical="center"/>
    </xf>
    <xf numFmtId="4" fontId="8" fillId="8" borderId="25" xfId="1" applyNumberFormat="1" applyFont="1" applyFill="1" applyBorder="1" applyAlignment="1">
      <alignment vertical="center"/>
    </xf>
    <xf numFmtId="4" fontId="8" fillId="3" borderId="25" xfId="1" applyNumberFormat="1" applyFont="1" applyFill="1" applyBorder="1" applyAlignment="1">
      <alignment vertical="center"/>
    </xf>
    <xf numFmtId="0" fontId="8" fillId="4" borderId="32" xfId="0" applyFont="1" applyFill="1" applyBorder="1" applyAlignment="1">
      <alignment vertical="center" wrapText="1"/>
    </xf>
    <xf numFmtId="0" fontId="7" fillId="4" borderId="17" xfId="0" applyFont="1" applyFill="1" applyBorder="1" applyAlignment="1">
      <alignment horizontal="left" vertical="center"/>
    </xf>
    <xf numFmtId="0" fontId="8" fillId="4" borderId="17" xfId="0" applyFont="1" applyFill="1" applyBorder="1" applyAlignment="1">
      <alignment vertical="center" wrapText="1"/>
    </xf>
    <xf numFmtId="4" fontId="8" fillId="0" borderId="17" xfId="1" applyNumberFormat="1" applyFont="1" applyFill="1" applyBorder="1" applyAlignment="1">
      <alignment vertical="center"/>
    </xf>
    <xf numFmtId="4" fontId="8" fillId="4" borderId="17" xfId="1" applyNumberFormat="1" applyFont="1" applyFill="1" applyBorder="1" applyAlignment="1">
      <alignment vertical="center"/>
    </xf>
    <xf numFmtId="4" fontId="8" fillId="3" borderId="17" xfId="1" applyNumberFormat="1" applyFont="1" applyFill="1" applyBorder="1" applyAlignment="1">
      <alignment vertical="center"/>
    </xf>
    <xf numFmtId="0" fontId="8" fillId="4" borderId="24" xfId="0" applyFont="1" applyFill="1" applyBorder="1" applyAlignment="1">
      <alignment vertical="center" wrapText="1"/>
    </xf>
    <xf numFmtId="0" fontId="7" fillId="4" borderId="26" xfId="0" applyFont="1" applyFill="1" applyBorder="1" applyAlignment="1">
      <alignment horizontal="left" vertical="center"/>
    </xf>
    <xf numFmtId="0" fontId="2" fillId="4" borderId="0" xfId="0" applyFont="1" applyFill="1"/>
    <xf numFmtId="0" fontId="2" fillId="7" borderId="0" xfId="0" applyFont="1" applyFill="1"/>
    <xf numFmtId="0" fontId="9" fillId="4" borderId="17" xfId="0" applyFont="1" applyFill="1" applyBorder="1" applyAlignment="1">
      <alignment horizontal="left" vertical="center"/>
    </xf>
    <xf numFmtId="0" fontId="18" fillId="4" borderId="17" xfId="0" applyFont="1" applyFill="1" applyBorder="1" applyAlignment="1">
      <alignment horizontal="left" vertical="center" wrapText="1"/>
    </xf>
    <xf numFmtId="0" fontId="18" fillId="0" borderId="2" xfId="0" applyFont="1" applyBorder="1" applyAlignment="1">
      <alignment vertical="center" wrapText="1"/>
    </xf>
    <xf numFmtId="4" fontId="18" fillId="0" borderId="2" xfId="1" applyNumberFormat="1" applyFont="1" applyFill="1" applyBorder="1" applyAlignment="1">
      <alignment vertical="center"/>
    </xf>
    <xf numFmtId="4" fontId="18" fillId="3" borderId="2" xfId="1" applyNumberFormat="1" applyFont="1" applyFill="1" applyBorder="1" applyAlignment="1">
      <alignment vertical="center"/>
    </xf>
    <xf numFmtId="4" fontId="18" fillId="0" borderId="2" xfId="1" applyNumberFormat="1" applyFont="1" applyBorder="1" applyAlignment="1">
      <alignment vertical="center"/>
    </xf>
    <xf numFmtId="4" fontId="18" fillId="0" borderId="25" xfId="0" applyNumberFormat="1" applyFont="1" applyBorder="1" applyAlignment="1">
      <alignment vertical="center"/>
    </xf>
    <xf numFmtId="0" fontId="7" fillId="4" borderId="17" xfId="0" applyFont="1" applyFill="1" applyBorder="1" applyAlignment="1">
      <alignment horizontal="left" vertical="center" indent="2"/>
    </xf>
    <xf numFmtId="0" fontId="8" fillId="0" borderId="17" xfId="0" applyFont="1" applyBorder="1" applyAlignment="1">
      <alignment horizontal="left" vertical="center" wrapText="1" indent="2"/>
    </xf>
    <xf numFmtId="4" fontId="0" fillId="0" borderId="0" xfId="0" applyNumberFormat="1"/>
    <xf numFmtId="39" fontId="0" fillId="0" borderId="0" xfId="0" applyNumberFormat="1"/>
    <xf numFmtId="44" fontId="0" fillId="0" borderId="0" xfId="2" applyFont="1" applyFill="1"/>
    <xf numFmtId="44" fontId="0" fillId="0" borderId="0" xfId="0" applyNumberFormat="1"/>
    <xf numFmtId="43" fontId="7" fillId="4" borderId="25" xfId="1" applyFont="1" applyFill="1" applyBorder="1" applyAlignment="1">
      <alignment horizontal="left" vertical="center"/>
    </xf>
    <xf numFmtId="0" fontId="8" fillId="0" borderId="25" xfId="0" applyFont="1" applyBorder="1" applyAlignment="1">
      <alignment horizontal="left" vertical="center" wrapText="1"/>
    </xf>
    <xf numFmtId="4" fontId="8" fillId="0" borderId="25" xfId="1" applyNumberFormat="1" applyFont="1" applyFill="1" applyBorder="1" applyAlignment="1">
      <alignment vertical="center"/>
    </xf>
    <xf numFmtId="0" fontId="7" fillId="6" borderId="5" xfId="0" applyFont="1" applyFill="1" applyBorder="1" applyAlignment="1">
      <alignment vertical="center"/>
    </xf>
    <xf numFmtId="0" fontId="7" fillId="9" borderId="2" xfId="0" applyFont="1" applyFill="1" applyBorder="1" applyAlignment="1">
      <alignment vertical="center"/>
    </xf>
    <xf numFmtId="4" fontId="7" fillId="9" borderId="2" xfId="1" applyNumberFormat="1" applyFont="1" applyFill="1" applyBorder="1" applyAlignment="1">
      <alignment vertical="center"/>
    </xf>
    <xf numFmtId="0" fontId="8" fillId="9" borderId="2" xfId="0" applyFont="1" applyFill="1" applyBorder="1" applyAlignment="1">
      <alignment vertical="center"/>
    </xf>
    <xf numFmtId="10" fontId="0" fillId="0" borderId="0" xfId="3" applyNumberFormat="1" applyFont="1" applyFill="1"/>
    <xf numFmtId="0" fontId="12" fillId="4" borderId="2" xfId="0" applyFont="1" applyFill="1" applyBorder="1" applyAlignment="1">
      <alignment horizontal="left" vertical="center"/>
    </xf>
    <xf numFmtId="2" fontId="17" fillId="4" borderId="2" xfId="0" applyNumberFormat="1" applyFont="1" applyFill="1" applyBorder="1" applyAlignment="1">
      <alignment horizontal="left" vertical="center"/>
    </xf>
    <xf numFmtId="4" fontId="8" fillId="8" borderId="2" xfId="0" applyNumberFormat="1" applyFont="1" applyFill="1" applyBorder="1" applyAlignment="1">
      <alignment horizontal="right" vertical="center"/>
    </xf>
    <xf numFmtId="4" fontId="8" fillId="8" borderId="3" xfId="0" applyNumberFormat="1" applyFont="1" applyFill="1" applyBorder="1" applyAlignment="1">
      <alignment horizontal="right" vertical="center"/>
    </xf>
    <xf numFmtId="0" fontId="17" fillId="4" borderId="2" xfId="0" applyFont="1" applyFill="1" applyBorder="1" applyAlignment="1">
      <alignment vertical="center"/>
    </xf>
    <xf numFmtId="0" fontId="17" fillId="0" borderId="2" xfId="0" applyFont="1" applyBorder="1" applyAlignment="1">
      <alignment vertical="center"/>
    </xf>
    <xf numFmtId="0" fontId="17" fillId="4" borderId="2" xfId="0" applyFont="1" applyFill="1" applyBorder="1" applyAlignment="1">
      <alignment vertical="center" wrapText="1"/>
    </xf>
    <xf numFmtId="4" fontId="8" fillId="3" borderId="2" xfId="0" applyNumberFormat="1" applyFont="1" applyFill="1" applyBorder="1" applyAlignment="1">
      <alignment horizontal="right" vertical="center"/>
    </xf>
    <xf numFmtId="4" fontId="7" fillId="9" borderId="2" xfId="1" applyNumberFormat="1" applyFont="1" applyFill="1" applyBorder="1" applyAlignment="1">
      <alignment horizontal="right" vertical="center"/>
    </xf>
    <xf numFmtId="0" fontId="19" fillId="0" borderId="0" xfId="0" applyFont="1" applyAlignment="1">
      <alignment vertical="center"/>
    </xf>
    <xf numFmtId="0" fontId="17" fillId="0" borderId="0" xfId="0" applyFont="1"/>
    <xf numFmtId="3" fontId="17" fillId="0" borderId="0" xfId="0" applyNumberFormat="1" applyFont="1"/>
    <xf numFmtId="0" fontId="17" fillId="0" borderId="0" xfId="0" applyFont="1" applyAlignment="1">
      <alignment horizontal="left"/>
    </xf>
    <xf numFmtId="165" fontId="17" fillId="0" borderId="0" xfId="0" applyNumberFormat="1" applyFont="1"/>
    <xf numFmtId="166" fontId="17" fillId="0" borderId="0" xfId="0" applyNumberFormat="1" applyFont="1"/>
    <xf numFmtId="0" fontId="20" fillId="0" borderId="14" xfId="4" applyFont="1" applyBorder="1" applyAlignment="1">
      <alignment horizontal="center" vertical="center" wrapText="1"/>
    </xf>
    <xf numFmtId="0" fontId="20" fillId="0" borderId="6"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17" fillId="0" borderId="0" xfId="0" applyFont="1" applyAlignment="1">
      <alignment wrapText="1"/>
    </xf>
    <xf numFmtId="167" fontId="17" fillId="0" borderId="0" xfId="0" applyNumberFormat="1" applyFont="1"/>
    <xf numFmtId="0" fontId="21" fillId="0" borderId="36" xfId="4" applyFont="1" applyBorder="1" applyAlignment="1">
      <alignment vertical="center"/>
    </xf>
    <xf numFmtId="4" fontId="20" fillId="0" borderId="9" xfId="1" applyNumberFormat="1" applyFont="1" applyFill="1" applyBorder="1" applyAlignment="1">
      <alignment horizontal="right" vertical="center"/>
    </xf>
    <xf numFmtId="4" fontId="20" fillId="4" borderId="9" xfId="4" applyNumberFormat="1" applyFont="1" applyFill="1" applyBorder="1" applyAlignment="1">
      <alignment horizontal="right" vertical="center"/>
    </xf>
    <xf numFmtId="4" fontId="21" fillId="0" borderId="10" xfId="1" applyNumberFormat="1" applyFont="1" applyFill="1" applyBorder="1" applyAlignment="1">
      <alignment horizontal="right" vertical="center"/>
    </xf>
    <xf numFmtId="4" fontId="17" fillId="0" borderId="0" xfId="1" applyNumberFormat="1" applyFont="1"/>
    <xf numFmtId="0" fontId="21" fillId="0" borderId="37" xfId="4" applyFont="1" applyBorder="1" applyAlignment="1">
      <alignment horizontal="left" vertical="center"/>
    </xf>
    <xf numFmtId="4" fontId="20" fillId="0" borderId="12" xfId="4" applyNumberFormat="1" applyFont="1" applyBorder="1" applyAlignment="1">
      <alignment horizontal="right" vertical="center"/>
    </xf>
    <xf numFmtId="4" fontId="20" fillId="4" borderId="12" xfId="1" applyNumberFormat="1" applyFont="1" applyFill="1" applyBorder="1" applyAlignment="1"/>
    <xf numFmtId="4" fontId="8" fillId="0" borderId="12" xfId="1" applyNumberFormat="1" applyFont="1" applyFill="1" applyBorder="1" applyAlignment="1">
      <alignment horizontal="right" vertical="center"/>
    </xf>
    <xf numFmtId="4" fontId="20" fillId="4" borderId="12" xfId="4" applyNumberFormat="1" applyFont="1" applyFill="1" applyBorder="1" applyAlignment="1">
      <alignment horizontal="right" vertical="center"/>
    </xf>
    <xf numFmtId="4" fontId="21" fillId="0" borderId="13" xfId="1" applyNumberFormat="1" applyFont="1" applyFill="1" applyBorder="1" applyAlignment="1">
      <alignment horizontal="right" vertical="center"/>
    </xf>
    <xf numFmtId="0" fontId="7" fillId="0" borderId="14" xfId="4" applyFont="1" applyBorder="1" applyAlignment="1">
      <alignment horizontal="left" vertical="center"/>
    </xf>
    <xf numFmtId="4" fontId="7" fillId="0" borderId="6" xfId="1" applyNumberFormat="1" applyFont="1" applyFill="1" applyBorder="1" applyAlignment="1">
      <alignment horizontal="right" vertical="center"/>
    </xf>
    <xf numFmtId="4" fontId="8" fillId="4" borderId="6" xfId="4" applyNumberFormat="1" applyFill="1" applyBorder="1" applyAlignment="1">
      <alignment horizontal="right" vertical="center"/>
    </xf>
    <xf numFmtId="4" fontId="8" fillId="4" borderId="7" xfId="4" applyNumberFormat="1" applyFill="1" applyBorder="1" applyAlignment="1">
      <alignment horizontal="right" vertical="center"/>
    </xf>
    <xf numFmtId="4" fontId="7" fillId="0" borderId="8" xfId="1" applyNumberFormat="1" applyFont="1" applyFill="1" applyBorder="1" applyAlignment="1">
      <alignment horizontal="right" vertical="center"/>
    </xf>
    <xf numFmtId="3" fontId="7" fillId="0" borderId="0" xfId="4" applyNumberFormat="1" applyFont="1" applyAlignment="1">
      <alignment vertical="center"/>
    </xf>
    <xf numFmtId="168" fontId="8" fillId="0" borderId="0" xfId="4" applyNumberFormat="1" applyAlignment="1">
      <alignment vertical="center"/>
    </xf>
    <xf numFmtId="164" fontId="7" fillId="0" borderId="0" xfId="4" applyNumberFormat="1" applyFont="1" applyAlignment="1">
      <alignment vertical="center"/>
    </xf>
    <xf numFmtId="169" fontId="8" fillId="0" borderId="0" xfId="4" applyNumberFormat="1" applyAlignment="1">
      <alignment vertical="center"/>
    </xf>
    <xf numFmtId="43" fontId="17" fillId="0" borderId="0" xfId="0" applyNumberFormat="1" applyFont="1"/>
    <xf numFmtId="0" fontId="17" fillId="0" borderId="14" xfId="0" applyFont="1" applyBorder="1"/>
    <xf numFmtId="0" fontId="20" fillId="0" borderId="15" xfId="4" applyFont="1" applyBorder="1" applyAlignment="1">
      <alignment horizontal="center" vertical="center" wrapText="1"/>
    </xf>
    <xf numFmtId="4" fontId="7" fillId="0" borderId="17" xfId="1" applyNumberFormat="1" applyFont="1" applyFill="1" applyBorder="1" applyAlignment="1"/>
    <xf numFmtId="43" fontId="7" fillId="0" borderId="0" xfId="5" applyFont="1" applyBorder="1"/>
    <xf numFmtId="170" fontId="7" fillId="0" borderId="0" xfId="4" applyNumberFormat="1" applyFont="1"/>
    <xf numFmtId="43" fontId="7" fillId="0" borderId="0" xfId="5" applyFont="1" applyFill="1" applyBorder="1"/>
    <xf numFmtId="4" fontId="7" fillId="0" borderId="2" xfId="1" applyNumberFormat="1" applyFont="1" applyFill="1" applyBorder="1" applyAlignment="1"/>
    <xf numFmtId="4" fontId="7" fillId="0" borderId="20" xfId="1" applyNumberFormat="1" applyFont="1" applyFill="1" applyBorder="1" applyAlignment="1"/>
    <xf numFmtId="165" fontId="7" fillId="0" borderId="0" xfId="5" applyNumberFormat="1" applyFont="1" applyFill="1" applyBorder="1"/>
    <xf numFmtId="0" fontId="22" fillId="0" borderId="0" xfId="0" applyFont="1"/>
    <xf numFmtId="4" fontId="17" fillId="0" borderId="0" xfId="0" applyNumberFormat="1" applyFont="1"/>
    <xf numFmtId="4" fontId="17" fillId="0" borderId="0" xfId="1" applyNumberFormat="1" applyFont="1" applyFill="1"/>
    <xf numFmtId="10" fontId="17" fillId="0" borderId="0" xfId="3" applyNumberFormat="1" applyFont="1" applyFill="1"/>
    <xf numFmtId="4" fontId="18" fillId="0" borderId="31" xfId="0" applyNumberFormat="1" applyFont="1" applyBorder="1" applyAlignment="1">
      <alignment vertical="center"/>
    </xf>
    <xf numFmtId="4" fontId="8" fillId="4" borderId="3" xfId="0" applyNumberFormat="1" applyFont="1" applyFill="1" applyBorder="1" applyAlignment="1">
      <alignment vertical="center"/>
    </xf>
    <xf numFmtId="0" fontId="6" fillId="0" borderId="2" xfId="0" applyFont="1" applyBorder="1"/>
    <xf numFmtId="0" fontId="7" fillId="4" borderId="0" xfId="0" applyFont="1" applyFill="1" applyAlignment="1">
      <alignment vertical="center"/>
    </xf>
    <xf numFmtId="0" fontId="7" fillId="4" borderId="0" xfId="0" applyFont="1" applyFill="1" applyAlignment="1">
      <alignment vertical="center" wrapText="1"/>
    </xf>
    <xf numFmtId="0" fontId="8" fillId="4" borderId="0" xfId="0" applyFont="1" applyFill="1" applyAlignment="1">
      <alignment vertical="center"/>
    </xf>
    <xf numFmtId="0" fontId="7" fillId="0" borderId="24" xfId="0" applyFont="1" applyBorder="1" applyAlignment="1">
      <alignment horizontal="left" vertical="center" wrapText="1"/>
    </xf>
    <xf numFmtId="4" fontId="18" fillId="0" borderId="17" xfId="1" applyNumberFormat="1" applyFont="1" applyFill="1" applyBorder="1" applyAlignment="1">
      <alignment horizontal="right" vertical="center"/>
    </xf>
    <xf numFmtId="0" fontId="7" fillId="0" borderId="5" xfId="0" applyFont="1" applyBorder="1" applyAlignment="1">
      <alignment horizontal="left" vertical="center" wrapText="1"/>
    </xf>
    <xf numFmtId="0" fontId="23" fillId="0" borderId="2" xfId="0" applyFont="1" applyBorder="1" applyAlignment="1">
      <alignment vertical="center"/>
    </xf>
    <xf numFmtId="0" fontId="7" fillId="0" borderId="2" xfId="0" applyFont="1" applyBorder="1" applyAlignment="1">
      <alignment vertical="center" wrapText="1"/>
    </xf>
    <xf numFmtId="4" fontId="8" fillId="0" borderId="2" xfId="0" applyNumberFormat="1" applyFont="1" applyBorder="1" applyAlignment="1">
      <alignment vertical="center"/>
    </xf>
    <xf numFmtId="0" fontId="8" fillId="0" borderId="2" xfId="0" applyFont="1" applyBorder="1" applyAlignment="1">
      <alignment horizontal="right" vertical="center" wrapText="1"/>
    </xf>
    <xf numFmtId="0" fontId="7" fillId="0" borderId="17" xfId="0" applyFont="1" applyBorder="1" applyAlignment="1">
      <alignment horizontal="left" vertical="center" wrapText="1"/>
    </xf>
    <xf numFmtId="0" fontId="8" fillId="0" borderId="17" xfId="0" applyFont="1" applyBorder="1" applyAlignment="1">
      <alignment horizontal="left" vertical="center"/>
    </xf>
    <xf numFmtId="0" fontId="8" fillId="0" borderId="17" xfId="0" applyFont="1" applyBorder="1" applyAlignment="1">
      <alignment horizontal="right" vertical="center"/>
    </xf>
    <xf numFmtId="4" fontId="8" fillId="0" borderId="17" xfId="1" applyNumberFormat="1" applyFont="1" applyFill="1" applyBorder="1" applyAlignment="1">
      <alignment horizontal="right" vertical="center"/>
    </xf>
    <xf numFmtId="4" fontId="8" fillId="0" borderId="17" xfId="0" applyNumberFormat="1" applyFont="1" applyBorder="1" applyAlignment="1">
      <alignment vertical="center"/>
    </xf>
    <xf numFmtId="0" fontId="8" fillId="0" borderId="17" xfId="0" applyFont="1" applyBorder="1" applyAlignment="1">
      <alignment vertical="center" wrapText="1"/>
    </xf>
    <xf numFmtId="0" fontId="7" fillId="12" borderId="2" xfId="0" applyFont="1" applyFill="1" applyBorder="1" applyAlignment="1">
      <alignment horizontal="center" vertical="center" wrapText="1"/>
    </xf>
    <xf numFmtId="4" fontId="8" fillId="12" borderId="17" xfId="1" applyNumberFormat="1" applyFont="1" applyFill="1" applyBorder="1" applyAlignment="1">
      <alignment horizontal="right" vertical="center"/>
    </xf>
    <xf numFmtId="4" fontId="8" fillId="12" borderId="2" xfId="1" applyNumberFormat="1" applyFont="1" applyFill="1" applyBorder="1" applyAlignment="1">
      <alignment horizontal="right" vertical="center"/>
    </xf>
    <xf numFmtId="4" fontId="8" fillId="0" borderId="17" xfId="1" applyNumberFormat="1" applyFont="1" applyBorder="1" applyAlignment="1">
      <alignment horizontal="right" vertical="center"/>
    </xf>
    <xf numFmtId="4" fontId="18" fillId="0" borderId="17" xfId="1" applyNumberFormat="1" applyFont="1" applyBorder="1" applyAlignment="1">
      <alignment horizontal="right" vertical="center"/>
    </xf>
    <xf numFmtId="4" fontId="18" fillId="4" borderId="2" xfId="1" applyNumberFormat="1" applyFont="1" applyFill="1" applyBorder="1" applyAlignment="1">
      <alignment horizontal="right" vertical="center"/>
    </xf>
    <xf numFmtId="0" fontId="18" fillId="0" borderId="2" xfId="0" applyFont="1" applyBorder="1" applyAlignment="1">
      <alignment horizontal="left" vertical="center"/>
    </xf>
    <xf numFmtId="0" fontId="18" fillId="0" borderId="2" xfId="0" applyFont="1" applyBorder="1" applyAlignment="1">
      <alignment horizontal="center" vertical="center"/>
    </xf>
    <xf numFmtId="0" fontId="8" fillId="0" borderId="2" xfId="0" applyFont="1" applyBorder="1" applyAlignment="1">
      <alignment horizontal="left" vertical="center" indent="2"/>
    </xf>
    <xf numFmtId="2" fontId="8" fillId="0" borderId="2" xfId="1" applyNumberFormat="1" applyFont="1" applyBorder="1" applyAlignment="1">
      <alignment horizontal="right" vertical="center"/>
    </xf>
    <xf numFmtId="0" fontId="7" fillId="0" borderId="2" xfId="0" applyFont="1" applyBorder="1" applyAlignment="1">
      <alignment horizontal="left" vertical="center"/>
    </xf>
    <xf numFmtId="2" fontId="8" fillId="0" borderId="2" xfId="1" applyNumberFormat="1" applyFont="1" applyFill="1" applyBorder="1" applyAlignment="1">
      <alignment horizontal="right" vertical="center"/>
    </xf>
    <xf numFmtId="2" fontId="8" fillId="12" borderId="2" xfId="1" applyNumberFormat="1" applyFont="1" applyFill="1" applyBorder="1" applyAlignment="1">
      <alignment horizontal="right" vertical="center"/>
    </xf>
    <xf numFmtId="2" fontId="8" fillId="0" borderId="2" xfId="0" applyNumberFormat="1" applyFont="1" applyBorder="1" applyAlignment="1">
      <alignment vertical="center"/>
    </xf>
    <xf numFmtId="0" fontId="9" fillId="0" borderId="5" xfId="0" applyFont="1" applyBorder="1" applyAlignment="1">
      <alignment horizontal="left" vertical="center" wrapText="1"/>
    </xf>
    <xf numFmtId="0" fontId="9" fillId="0" borderId="2" xfId="0" applyFont="1" applyBorder="1" applyAlignment="1">
      <alignment vertical="center"/>
    </xf>
    <xf numFmtId="0" fontId="18" fillId="0" borderId="2" xfId="0" applyFont="1" applyBorder="1" applyAlignment="1">
      <alignment horizontal="left" vertical="center" wrapText="1"/>
    </xf>
    <xf numFmtId="4" fontId="18" fillId="0" borderId="2" xfId="0" applyNumberFormat="1" applyFont="1" applyBorder="1" applyAlignment="1">
      <alignment vertical="center" wrapText="1"/>
    </xf>
    <xf numFmtId="4" fontId="18" fillId="12" borderId="2" xfId="1" applyNumberFormat="1" applyFont="1" applyFill="1" applyBorder="1" applyAlignment="1">
      <alignment horizontal="right" vertical="center"/>
    </xf>
    <xf numFmtId="0" fontId="7" fillId="0" borderId="5" xfId="0" applyFont="1" applyBorder="1" applyAlignment="1">
      <alignment horizontal="left" vertical="center" wrapText="1" indent="2"/>
    </xf>
    <xf numFmtId="0" fontId="7" fillId="0" borderId="2" xfId="0" applyFont="1" applyBorder="1" applyAlignment="1">
      <alignment horizontal="left" vertical="center" indent="2"/>
    </xf>
    <xf numFmtId="0" fontId="8" fillId="0" borderId="2" xfId="0" applyFont="1" applyBorder="1" applyAlignment="1">
      <alignment horizontal="left" vertical="center" wrapText="1" indent="2"/>
    </xf>
    <xf numFmtId="4" fontId="8" fillId="0" borderId="2" xfId="0" applyNumberFormat="1" applyFont="1" applyBorder="1" applyAlignment="1">
      <alignment vertical="center" wrapText="1"/>
    </xf>
    <xf numFmtId="4" fontId="18" fillId="0" borderId="2" xfId="0" applyNumberFormat="1" applyFont="1" applyBorder="1" applyAlignment="1">
      <alignment vertical="center"/>
    </xf>
    <xf numFmtId="0" fontId="7" fillId="13" borderId="2" xfId="0" applyFont="1" applyFill="1" applyBorder="1" applyAlignment="1">
      <alignment horizontal="right" vertical="center"/>
    </xf>
    <xf numFmtId="4" fontId="7" fillId="13" borderId="2" xfId="1" applyNumberFormat="1" applyFont="1" applyFill="1" applyBorder="1" applyAlignment="1">
      <alignment horizontal="right" vertical="center"/>
    </xf>
    <xf numFmtId="4" fontId="9" fillId="13" borderId="2" xfId="1" applyNumberFormat="1" applyFont="1" applyFill="1" applyBorder="1" applyAlignment="1">
      <alignment horizontal="right" vertical="center"/>
    </xf>
    <xf numFmtId="0" fontId="7" fillId="13" borderId="2" xfId="0" applyFont="1" applyFill="1" applyBorder="1" applyAlignment="1">
      <alignment vertical="center"/>
    </xf>
    <xf numFmtId="4" fontId="7" fillId="13" borderId="2" xfId="0" applyNumberFormat="1" applyFont="1" applyFill="1" applyBorder="1" applyAlignment="1">
      <alignment vertical="center"/>
    </xf>
    <xf numFmtId="2" fontId="12" fillId="13" borderId="2" xfId="1" applyNumberFormat="1" applyFont="1" applyFill="1" applyBorder="1" applyAlignment="1">
      <alignment horizontal="right" vertical="center"/>
    </xf>
    <xf numFmtId="4" fontId="9" fillId="13" borderId="2" xfId="1" applyNumberFormat="1" applyFont="1" applyFill="1" applyBorder="1" applyAlignment="1">
      <alignment vertical="center"/>
    </xf>
    <xf numFmtId="4" fontId="7" fillId="13" borderId="2" xfId="1" applyNumberFormat="1" applyFont="1" applyFill="1" applyBorder="1" applyAlignment="1">
      <alignment vertical="center"/>
    </xf>
    <xf numFmtId="0" fontId="3" fillId="4" borderId="0" xfId="0" applyFont="1" applyFill="1"/>
    <xf numFmtId="0" fontId="27" fillId="4" borderId="0" xfId="0" applyFont="1" applyFill="1" applyAlignment="1">
      <alignment vertical="center"/>
    </xf>
    <xf numFmtId="10" fontId="8" fillId="4" borderId="0" xfId="3" applyNumberFormat="1" applyFont="1" applyFill="1" applyAlignment="1">
      <alignment vertical="center"/>
    </xf>
    <xf numFmtId="1" fontId="8" fillId="4" borderId="0" xfId="0" applyNumberFormat="1" applyFont="1" applyFill="1" applyAlignment="1">
      <alignment vertical="center"/>
    </xf>
    <xf numFmtId="9" fontId="8" fillId="4" borderId="0" xfId="3" applyFont="1" applyFill="1" applyAlignment="1">
      <alignment vertical="center"/>
    </xf>
    <xf numFmtId="3" fontId="8" fillId="4" borderId="0" xfId="0" applyNumberFormat="1" applyFont="1" applyFill="1" applyAlignment="1">
      <alignment vertical="center"/>
    </xf>
    <xf numFmtId="2" fontId="8" fillId="4" borderId="0" xfId="0" applyNumberFormat="1" applyFont="1" applyFill="1" applyAlignment="1">
      <alignment vertical="center"/>
    </xf>
    <xf numFmtId="0" fontId="7" fillId="4" borderId="0" xfId="0" applyFont="1" applyFill="1"/>
    <xf numFmtId="0" fontId="8" fillId="4" borderId="0" xfId="0" applyFont="1" applyFill="1"/>
    <xf numFmtId="0" fontId="18" fillId="4" borderId="0" xfId="0" applyFont="1" applyFill="1"/>
    <xf numFmtId="4" fontId="18" fillId="4" borderId="0" xfId="0" applyNumberFormat="1" applyFont="1" applyFill="1"/>
    <xf numFmtId="0" fontId="27" fillId="4" borderId="0" xfId="0" applyFont="1" applyFill="1"/>
    <xf numFmtId="0" fontId="27" fillId="4" borderId="0" xfId="0" applyFont="1" applyFill="1" applyAlignment="1">
      <alignment horizontal="left"/>
    </xf>
    <xf numFmtId="0" fontId="8" fillId="4" borderId="0" xfId="0" applyFont="1" applyFill="1" applyAlignment="1">
      <alignment horizontal="left"/>
    </xf>
    <xf numFmtId="0" fontId="8" fillId="4" borderId="14" xfId="4" applyFill="1" applyBorder="1" applyAlignment="1">
      <alignment horizontal="center" vertical="center" wrapText="1"/>
    </xf>
    <xf numFmtId="0" fontId="8" fillId="4" borderId="6" xfId="4" applyFill="1" applyBorder="1" applyAlignment="1">
      <alignment horizontal="center" vertical="center" wrapText="1"/>
    </xf>
    <xf numFmtId="0" fontId="8" fillId="4" borderId="7" xfId="4" applyFill="1" applyBorder="1" applyAlignment="1">
      <alignment horizontal="center" vertical="center" wrapText="1"/>
    </xf>
    <xf numFmtId="0" fontId="8" fillId="4" borderId="8" xfId="4" applyFill="1" applyBorder="1" applyAlignment="1">
      <alignment horizontal="center" vertical="center" wrapText="1"/>
    </xf>
    <xf numFmtId="0" fontId="7" fillId="4" borderId="36" xfId="4" applyFont="1" applyFill="1" applyBorder="1" applyAlignment="1">
      <alignment vertical="center"/>
    </xf>
    <xf numFmtId="4" fontId="8" fillId="4" borderId="9" xfId="4" applyNumberFormat="1" applyFill="1" applyBorder="1" applyAlignment="1">
      <alignment vertical="center"/>
    </xf>
    <xf numFmtId="4" fontId="8" fillId="4" borderId="9" xfId="4" applyNumberFormat="1" applyFill="1" applyBorder="1" applyAlignment="1">
      <alignment horizontal="center" vertical="center"/>
    </xf>
    <xf numFmtId="4" fontId="8" fillId="4" borderId="9" xfId="5" applyNumberFormat="1" applyFont="1" applyFill="1" applyBorder="1" applyAlignment="1">
      <alignment vertical="center"/>
    </xf>
    <xf numFmtId="4" fontId="7" fillId="4" borderId="10" xfId="5" applyNumberFormat="1" applyFont="1" applyFill="1" applyBorder="1" applyAlignment="1">
      <alignment vertical="center"/>
    </xf>
    <xf numFmtId="0" fontId="8" fillId="4" borderId="0" xfId="0" applyFont="1" applyFill="1" applyAlignment="1">
      <alignment wrapText="1"/>
    </xf>
    <xf numFmtId="0" fontId="7" fillId="4" borderId="37" xfId="4" applyFont="1" applyFill="1" applyBorder="1" applyAlignment="1">
      <alignment horizontal="left" vertical="center"/>
    </xf>
    <xf numFmtId="4" fontId="8" fillId="4" borderId="12" xfId="4" applyNumberFormat="1" applyFill="1" applyBorder="1" applyAlignment="1">
      <alignment vertical="center"/>
    </xf>
    <xf numFmtId="4" fontId="8" fillId="4" borderId="12" xfId="4" applyNumberFormat="1" applyFill="1" applyBorder="1" applyAlignment="1">
      <alignment horizontal="center" vertical="center"/>
    </xf>
    <xf numFmtId="4" fontId="7" fillId="4" borderId="13" xfId="4" applyNumberFormat="1" applyFont="1" applyFill="1" applyBorder="1" applyAlignment="1">
      <alignment vertical="center"/>
    </xf>
    <xf numFmtId="0" fontId="7" fillId="4" borderId="14" xfId="4" applyFont="1" applyFill="1" applyBorder="1" applyAlignment="1">
      <alignment horizontal="left" vertical="center"/>
    </xf>
    <xf numFmtId="4" fontId="7" fillId="4" borderId="6" xfId="4" applyNumberFormat="1" applyFont="1" applyFill="1" applyBorder="1" applyAlignment="1">
      <alignment vertical="center"/>
    </xf>
    <xf numFmtId="4" fontId="8" fillId="4" borderId="6" xfId="4" applyNumberFormat="1" applyFill="1" applyBorder="1" applyAlignment="1">
      <alignment horizontal="center" vertical="center"/>
    </xf>
    <xf numFmtId="4" fontId="8" fillId="4" borderId="7" xfId="4" applyNumberFormat="1" applyFill="1" applyBorder="1" applyAlignment="1">
      <alignment horizontal="center" vertical="center"/>
    </xf>
    <xf numFmtId="4" fontId="7" fillId="4" borderId="8" xfId="4" applyNumberFormat="1" applyFont="1" applyFill="1" applyBorder="1" applyAlignment="1">
      <alignment vertical="center"/>
    </xf>
    <xf numFmtId="0" fontId="7" fillId="4" borderId="0" xfId="4" applyFont="1" applyFill="1" applyAlignment="1">
      <alignment horizontal="left" vertical="center"/>
    </xf>
    <xf numFmtId="0" fontId="7" fillId="4" borderId="0" xfId="4" applyFont="1" applyFill="1" applyAlignment="1">
      <alignment vertical="center"/>
    </xf>
    <xf numFmtId="0" fontId="8" fillId="4" borderId="0" xfId="4" applyFill="1" applyAlignment="1">
      <alignment vertical="center"/>
    </xf>
    <xf numFmtId="0" fontId="8" fillId="4" borderId="14" xfId="0" applyFont="1" applyFill="1" applyBorder="1"/>
    <xf numFmtId="0" fontId="8" fillId="4" borderId="15" xfId="4" applyFill="1" applyBorder="1" applyAlignment="1">
      <alignment horizontal="center" vertical="center" wrapText="1"/>
    </xf>
    <xf numFmtId="0" fontId="7" fillId="4" borderId="16" xfId="4" applyFont="1" applyFill="1" applyBorder="1"/>
    <xf numFmtId="4" fontId="7" fillId="4" borderId="17" xfId="5" applyNumberFormat="1" applyFont="1" applyFill="1" applyBorder="1" applyAlignment="1"/>
    <xf numFmtId="4" fontId="7" fillId="4" borderId="18" xfId="1" applyNumberFormat="1" applyFont="1" applyFill="1" applyBorder="1" applyAlignment="1"/>
    <xf numFmtId="0" fontId="7" fillId="4" borderId="0" xfId="5" applyNumberFormat="1" applyFont="1" applyFill="1" applyBorder="1"/>
    <xf numFmtId="0" fontId="7" fillId="4" borderId="0" xfId="4" applyFont="1" applyFill="1"/>
    <xf numFmtId="0" fontId="7" fillId="4" borderId="19" xfId="4" applyFont="1" applyFill="1" applyBorder="1"/>
    <xf numFmtId="4" fontId="7" fillId="4" borderId="2" xfId="5" applyNumberFormat="1" applyFont="1" applyFill="1" applyBorder="1" applyAlignment="1"/>
    <xf numFmtId="4" fontId="7" fillId="4" borderId="20" xfId="1" applyNumberFormat="1" applyFont="1" applyFill="1" applyBorder="1" applyAlignment="1"/>
    <xf numFmtId="0" fontId="7" fillId="4" borderId="21" xfId="4" applyFont="1" applyFill="1" applyBorder="1"/>
    <xf numFmtId="4" fontId="7" fillId="4" borderId="12" xfId="5" applyNumberFormat="1" applyFont="1" applyFill="1" applyBorder="1" applyAlignment="1"/>
    <xf numFmtId="4" fontId="7" fillId="4" borderId="22" xfId="5" applyNumberFormat="1" applyFont="1" applyFill="1" applyBorder="1" applyAlignment="1"/>
    <xf numFmtId="0" fontId="7" fillId="14" borderId="2" xfId="0" applyFont="1" applyFill="1" applyBorder="1"/>
    <xf numFmtId="4" fontId="7" fillId="14" borderId="2" xfId="1" applyNumberFormat="1" applyFont="1" applyFill="1" applyBorder="1" applyAlignment="1">
      <alignment horizontal="right"/>
    </xf>
    <xf numFmtId="2" fontId="7" fillId="14" borderId="2" xfId="1" applyNumberFormat="1" applyFont="1" applyFill="1" applyBorder="1" applyAlignment="1">
      <alignment horizontal="right"/>
    </xf>
    <xf numFmtId="4" fontId="9" fillId="14" borderId="2" xfId="1" applyNumberFormat="1" applyFont="1" applyFill="1" applyBorder="1" applyAlignment="1">
      <alignment horizontal="right"/>
    </xf>
    <xf numFmtId="0" fontId="8" fillId="14" borderId="2" xfId="0" applyFont="1" applyFill="1" applyBorder="1"/>
    <xf numFmtId="0" fontId="7" fillId="14" borderId="2" xfId="0" applyFont="1" applyFill="1" applyBorder="1" applyAlignment="1">
      <alignment vertical="center"/>
    </xf>
    <xf numFmtId="4" fontId="7" fillId="14" borderId="2" xfId="1" applyNumberFormat="1" applyFont="1" applyFill="1" applyBorder="1" applyAlignment="1">
      <alignment horizontal="right" vertical="center"/>
    </xf>
    <xf numFmtId="4" fontId="9" fillId="14" borderId="2" xfId="1" applyNumberFormat="1" applyFont="1" applyFill="1" applyBorder="1" applyAlignment="1">
      <alignment horizontal="right" vertical="center"/>
    </xf>
    <xf numFmtId="0" fontId="8" fillId="14" borderId="2" xfId="0" applyFont="1" applyFill="1" applyBorder="1" applyAlignment="1">
      <alignment vertical="center"/>
    </xf>
    <xf numFmtId="2" fontId="8" fillId="4" borderId="2" xfId="1" applyNumberFormat="1" applyFont="1" applyFill="1" applyBorder="1" applyAlignment="1">
      <alignment horizontal="right" vertical="center"/>
    </xf>
    <xf numFmtId="4" fontId="18" fillId="4" borderId="2" xfId="1" applyNumberFormat="1" applyFont="1" applyFill="1" applyBorder="1" applyAlignment="1">
      <alignment vertical="center"/>
    </xf>
    <xf numFmtId="0" fontId="11" fillId="0" borderId="2" xfId="0" applyFont="1" applyBorder="1" applyAlignment="1">
      <alignment vertical="center" wrapText="1"/>
    </xf>
    <xf numFmtId="0" fontId="8" fillId="12" borderId="2" xfId="1" applyNumberFormat="1" applyFont="1" applyFill="1" applyBorder="1" applyAlignment="1">
      <alignment horizontal="right" vertical="center"/>
    </xf>
    <xf numFmtId="43" fontId="7" fillId="14" borderId="2" xfId="1" applyFont="1" applyFill="1" applyBorder="1" applyAlignment="1">
      <alignment vertical="center"/>
    </xf>
    <xf numFmtId="2" fontId="7" fillId="14" borderId="2" xfId="1" applyNumberFormat="1" applyFont="1" applyFill="1" applyBorder="1" applyAlignment="1">
      <alignment horizontal="right" vertical="center"/>
    </xf>
    <xf numFmtId="0" fontId="6" fillId="4" borderId="0" xfId="0" applyFont="1" applyFill="1"/>
    <xf numFmtId="10" fontId="6" fillId="4" borderId="0" xfId="3" applyNumberFormat="1" applyFont="1" applyFill="1" applyAlignment="1"/>
    <xf numFmtId="1" fontId="6" fillId="4" borderId="0" xfId="0" applyNumberFormat="1" applyFont="1" applyFill="1"/>
    <xf numFmtId="9" fontId="6" fillId="4" borderId="0" xfId="3" applyFont="1" applyFill="1"/>
    <xf numFmtId="3" fontId="6" fillId="4" borderId="0" xfId="0" applyNumberFormat="1" applyFont="1" applyFill="1"/>
    <xf numFmtId="2" fontId="6" fillId="4" borderId="0" xfId="0" applyNumberFormat="1" applyFont="1" applyFill="1"/>
    <xf numFmtId="0" fontId="10" fillId="4" borderId="0" xfId="0" applyFont="1" applyFill="1"/>
    <xf numFmtId="0" fontId="25" fillId="4" borderId="0" xfId="0" applyFont="1" applyFill="1"/>
    <xf numFmtId="4" fontId="25" fillId="4" borderId="0" xfId="0" applyNumberFormat="1" applyFont="1" applyFill="1"/>
    <xf numFmtId="0" fontId="13" fillId="4" borderId="0" xfId="0" applyFont="1" applyFill="1"/>
    <xf numFmtId="0" fontId="7" fillId="4" borderId="14" xfId="4" applyFont="1" applyFill="1" applyBorder="1" applyAlignment="1">
      <alignment horizontal="left" vertical="center" wrapText="1"/>
    </xf>
    <xf numFmtId="164" fontId="7" fillId="13" borderId="2" xfId="0" applyNumberFormat="1" applyFont="1" applyFill="1" applyBorder="1" applyAlignment="1">
      <alignment horizontal="right" vertical="center"/>
    </xf>
    <xf numFmtId="0" fontId="12" fillId="12" borderId="12" xfId="0" applyFont="1" applyFill="1" applyBorder="1" applyAlignment="1">
      <alignment horizontal="center" vertical="center" wrapText="1"/>
    </xf>
    <xf numFmtId="4" fontId="8" fillId="12" borderId="2" xfId="1" applyNumberFormat="1" applyFont="1" applyFill="1" applyBorder="1" applyAlignment="1">
      <alignment vertical="center"/>
    </xf>
    <xf numFmtId="4" fontId="18" fillId="12" borderId="2" xfId="1" applyNumberFormat="1" applyFont="1" applyFill="1" applyBorder="1" applyAlignment="1">
      <alignment vertical="center"/>
    </xf>
    <xf numFmtId="4" fontId="8" fillId="12" borderId="17" xfId="1" applyNumberFormat="1" applyFont="1" applyFill="1" applyBorder="1" applyAlignment="1">
      <alignment vertical="center"/>
    </xf>
    <xf numFmtId="4" fontId="8" fillId="12" borderId="25" xfId="1" applyNumberFormat="1" applyFont="1" applyFill="1" applyBorder="1" applyAlignment="1">
      <alignment vertical="center"/>
    </xf>
    <xf numFmtId="0" fontId="7" fillId="13" borderId="5" xfId="0" applyFont="1" applyFill="1" applyBorder="1" applyAlignment="1">
      <alignment vertical="center"/>
    </xf>
    <xf numFmtId="4" fontId="7" fillId="14" borderId="2" xfId="1" applyNumberFormat="1" applyFont="1" applyFill="1" applyBorder="1" applyAlignment="1">
      <alignment vertical="center"/>
    </xf>
    <xf numFmtId="4" fontId="9" fillId="14" borderId="2" xfId="1" applyNumberFormat="1" applyFont="1" applyFill="1" applyBorder="1" applyAlignment="1">
      <alignment vertical="center"/>
    </xf>
    <xf numFmtId="0" fontId="8" fillId="4" borderId="33" xfId="0" applyFont="1" applyFill="1" applyBorder="1" applyAlignment="1">
      <alignment vertical="center" wrapText="1"/>
    </xf>
    <xf numFmtId="0" fontId="8" fillId="4" borderId="38" xfId="0" applyFont="1" applyFill="1" applyBorder="1" applyAlignment="1">
      <alignment vertical="center" wrapText="1"/>
    </xf>
    <xf numFmtId="0" fontId="17" fillId="4" borderId="0" xfId="0" applyFont="1" applyFill="1"/>
    <xf numFmtId="3" fontId="17" fillId="4" borderId="0" xfId="0" applyNumberFormat="1" applyFont="1" applyFill="1"/>
    <xf numFmtId="0" fontId="0" fillId="4" borderId="0" xfId="0" applyFill="1"/>
    <xf numFmtId="0" fontId="17" fillId="4" borderId="0" xfId="0" applyFont="1" applyFill="1" applyAlignment="1">
      <alignment horizontal="left"/>
    </xf>
    <xf numFmtId="165" fontId="17" fillId="4" borderId="0" xfId="0" applyNumberFormat="1" applyFont="1" applyFill="1"/>
    <xf numFmtId="166" fontId="17" fillId="4" borderId="0" xfId="0" applyNumberFormat="1" applyFont="1" applyFill="1"/>
    <xf numFmtId="0" fontId="20" fillId="4" borderId="14" xfId="4" applyFont="1" applyFill="1" applyBorder="1" applyAlignment="1">
      <alignment horizontal="center" vertical="center" wrapText="1"/>
    </xf>
    <xf numFmtId="0" fontId="20" fillId="4" borderId="6" xfId="4" applyFont="1" applyFill="1" applyBorder="1" applyAlignment="1">
      <alignment horizontal="center" vertical="center" wrapText="1"/>
    </xf>
    <xf numFmtId="0" fontId="20" fillId="4" borderId="7" xfId="4" applyFont="1" applyFill="1" applyBorder="1" applyAlignment="1">
      <alignment horizontal="center" vertical="center" wrapText="1"/>
    </xf>
    <xf numFmtId="0" fontId="20" fillId="4" borderId="8" xfId="4" applyFont="1" applyFill="1" applyBorder="1" applyAlignment="1">
      <alignment horizontal="center" vertical="center" wrapText="1"/>
    </xf>
    <xf numFmtId="0" fontId="17" fillId="4" borderId="0" xfId="0" applyFont="1" applyFill="1" applyAlignment="1">
      <alignment wrapText="1"/>
    </xf>
    <xf numFmtId="167" fontId="17" fillId="4" borderId="0" xfId="0" applyNumberFormat="1" applyFont="1" applyFill="1"/>
    <xf numFmtId="0" fontId="21" fillId="4" borderId="36" xfId="4" applyFont="1" applyFill="1" applyBorder="1" applyAlignment="1">
      <alignment vertical="center"/>
    </xf>
    <xf numFmtId="4" fontId="20" fillId="4" borderId="9" xfId="1" applyNumberFormat="1" applyFont="1" applyFill="1" applyBorder="1" applyAlignment="1">
      <alignment horizontal="right" vertical="center"/>
    </xf>
    <xf numFmtId="4" fontId="21" fillId="4" borderId="10" xfId="1" applyNumberFormat="1" applyFont="1" applyFill="1" applyBorder="1" applyAlignment="1">
      <alignment horizontal="right" vertical="center"/>
    </xf>
    <xf numFmtId="4" fontId="17" fillId="4" borderId="0" xfId="1" applyNumberFormat="1" applyFont="1" applyFill="1"/>
    <xf numFmtId="0" fontId="21" fillId="4" borderId="37" xfId="4" applyFont="1" applyFill="1" applyBorder="1" applyAlignment="1">
      <alignment horizontal="left" vertical="center"/>
    </xf>
    <xf numFmtId="4" fontId="8" fillId="4" borderId="12" xfId="1" applyNumberFormat="1" applyFont="1" applyFill="1" applyBorder="1" applyAlignment="1">
      <alignment horizontal="right" vertical="center"/>
    </xf>
    <xf numFmtId="4" fontId="21" fillId="4" borderId="13" xfId="1" applyNumberFormat="1" applyFont="1" applyFill="1" applyBorder="1" applyAlignment="1">
      <alignment horizontal="right" vertical="center"/>
    </xf>
    <xf numFmtId="4" fontId="7" fillId="4" borderId="6" xfId="1" applyNumberFormat="1" applyFont="1" applyFill="1" applyBorder="1" applyAlignment="1">
      <alignment horizontal="right" vertical="center"/>
    </xf>
    <xf numFmtId="4" fontId="7" fillId="4" borderId="8" xfId="1" applyNumberFormat="1" applyFont="1" applyFill="1" applyBorder="1" applyAlignment="1">
      <alignment horizontal="right" vertical="center"/>
    </xf>
    <xf numFmtId="3" fontId="7" fillId="4" borderId="0" xfId="4" applyNumberFormat="1" applyFont="1" applyFill="1" applyAlignment="1">
      <alignment vertical="center"/>
    </xf>
    <xf numFmtId="168" fontId="8" fillId="4" borderId="0" xfId="4" applyNumberFormat="1" applyFill="1" applyAlignment="1">
      <alignment vertical="center"/>
    </xf>
    <xf numFmtId="164" fontId="7" fillId="4" borderId="0" xfId="4" applyNumberFormat="1" applyFont="1" applyFill="1" applyAlignment="1">
      <alignment vertical="center"/>
    </xf>
    <xf numFmtId="169" fontId="8" fillId="4" borderId="0" xfId="4" applyNumberFormat="1" applyFill="1" applyAlignment="1">
      <alignment vertical="center"/>
    </xf>
    <xf numFmtId="43" fontId="17" fillId="4" borderId="0" xfId="0" applyNumberFormat="1" applyFont="1" applyFill="1"/>
    <xf numFmtId="0" fontId="17" fillId="4" borderId="14" xfId="0" applyFont="1" applyFill="1" applyBorder="1"/>
    <xf numFmtId="0" fontId="20" fillId="4" borderId="15" xfId="4" applyFont="1" applyFill="1" applyBorder="1" applyAlignment="1">
      <alignment horizontal="center" vertical="center" wrapText="1"/>
    </xf>
    <xf numFmtId="4" fontId="7" fillId="4" borderId="17" xfId="1" applyNumberFormat="1" applyFont="1" applyFill="1" applyBorder="1" applyAlignment="1"/>
    <xf numFmtId="43" fontId="7" fillId="4" borderId="0" xfId="5" applyFont="1" applyFill="1" applyBorder="1"/>
    <xf numFmtId="170" fontId="7" fillId="4" borderId="0" xfId="4" applyNumberFormat="1" applyFont="1" applyFill="1"/>
    <xf numFmtId="4" fontId="7" fillId="4" borderId="2" xfId="1" applyNumberFormat="1" applyFont="1" applyFill="1" applyBorder="1" applyAlignment="1"/>
    <xf numFmtId="165" fontId="7" fillId="4" borderId="0" xfId="5" applyNumberFormat="1" applyFont="1" applyFill="1" applyBorder="1"/>
    <xf numFmtId="0" fontId="22" fillId="4" borderId="0" xfId="0" applyFont="1" applyFill="1"/>
    <xf numFmtId="4" fontId="17" fillId="4" borderId="0" xfId="0" applyNumberFormat="1" applyFont="1" applyFill="1"/>
    <xf numFmtId="10" fontId="17" fillId="4" borderId="0" xfId="3" applyNumberFormat="1" applyFont="1" applyFill="1"/>
    <xf numFmtId="4" fontId="8" fillId="12" borderId="2" xfId="0" applyNumberFormat="1" applyFont="1" applyFill="1" applyBorder="1" applyAlignment="1">
      <alignment horizontal="right" vertical="center"/>
    </xf>
    <xf numFmtId="0" fontId="0" fillId="4" borderId="0" xfId="0" applyFill="1" applyAlignment="1">
      <alignment vertical="center"/>
    </xf>
    <xf numFmtId="1" fontId="6" fillId="4" borderId="0" xfId="3" applyNumberFormat="1" applyFont="1" applyFill="1" applyAlignment="1"/>
    <xf numFmtId="43" fontId="0" fillId="4" borderId="0" xfId="0" applyNumberFormat="1" applyFill="1"/>
    <xf numFmtId="6" fontId="0" fillId="4" borderId="0" xfId="0" applyNumberFormat="1" applyFill="1"/>
    <xf numFmtId="44" fontId="0" fillId="4" borderId="0" xfId="2" applyFont="1" applyFill="1"/>
    <xf numFmtId="44" fontId="0" fillId="4" borderId="0" xfId="0" applyNumberFormat="1" applyFill="1"/>
    <xf numFmtId="10" fontId="0" fillId="4" borderId="0" xfId="3" applyNumberFormat="1" applyFont="1" applyFill="1"/>
    <xf numFmtId="0" fontId="12" fillId="0" borderId="2" xfId="0" applyFont="1" applyBorder="1" applyAlignment="1">
      <alignment horizontal="center" vertical="center" wrapText="1"/>
    </xf>
    <xf numFmtId="0" fontId="12" fillId="3" borderId="2" xfId="0" applyFont="1" applyFill="1" applyBorder="1" applyAlignment="1">
      <alignment horizontal="center" vertical="center" wrapText="1"/>
    </xf>
    <xf numFmtId="2" fontId="17" fillId="4" borderId="2" xfId="1" applyNumberFormat="1" applyFont="1" applyFill="1" applyBorder="1" applyAlignment="1">
      <alignment horizontal="right" vertical="center"/>
    </xf>
    <xf numFmtId="2" fontId="17" fillId="0" borderId="2" xfId="1" applyNumberFormat="1" applyFont="1" applyBorder="1" applyAlignment="1">
      <alignment horizontal="right" vertical="center"/>
    </xf>
    <xf numFmtId="2" fontId="17" fillId="3" borderId="2" xfId="1" applyNumberFormat="1" applyFont="1" applyFill="1" applyBorder="1" applyAlignment="1">
      <alignment horizontal="right" vertical="center"/>
    </xf>
    <xf numFmtId="43" fontId="17" fillId="0" borderId="2" xfId="1" applyFont="1" applyBorder="1" applyAlignment="1">
      <alignment horizontal="right"/>
    </xf>
    <xf numFmtId="0" fontId="17" fillId="4" borderId="2" xfId="0" applyFont="1" applyFill="1" applyBorder="1" applyAlignment="1">
      <alignment vertical="top" wrapText="1"/>
    </xf>
    <xf numFmtId="0" fontId="17" fillId="4" borderId="2" xfId="0" applyFont="1" applyFill="1" applyBorder="1" applyAlignment="1">
      <alignment horizontal="center" vertical="center"/>
    </xf>
    <xf numFmtId="43" fontId="17" fillId="3" borderId="2" xfId="1" applyFont="1" applyFill="1" applyBorder="1" applyAlignment="1">
      <alignment horizontal="right" vertical="center"/>
    </xf>
    <xf numFmtId="43" fontId="17" fillId="0" borderId="2" xfId="1" applyFont="1" applyBorder="1" applyAlignment="1">
      <alignment horizontal="right" vertical="center"/>
    </xf>
    <xf numFmtId="0" fontId="17" fillId="0" borderId="2" xfId="0" applyFont="1" applyBorder="1" applyAlignment="1">
      <alignment vertical="top" wrapText="1"/>
    </xf>
    <xf numFmtId="4" fontId="17" fillId="0" borderId="0" xfId="0" applyNumberFormat="1" applyFont="1" applyAlignment="1">
      <alignment horizontal="right" vertical="center"/>
    </xf>
    <xf numFmtId="165" fontId="23" fillId="0" borderId="2" xfId="0" applyNumberFormat="1" applyFont="1" applyBorder="1"/>
    <xf numFmtId="4" fontId="17" fillId="0" borderId="2" xfId="1" applyNumberFormat="1" applyFont="1" applyBorder="1" applyAlignment="1">
      <alignment horizontal="right" vertical="center"/>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2" fontId="17" fillId="0" borderId="2" xfId="1" applyNumberFormat="1" applyFont="1" applyFill="1" applyBorder="1" applyAlignment="1">
      <alignment horizontal="right" vertical="center"/>
    </xf>
    <xf numFmtId="43" fontId="17" fillId="0" borderId="2" xfId="1" applyFont="1" applyFill="1" applyBorder="1" applyAlignment="1">
      <alignment horizontal="right" vertical="center"/>
    </xf>
    <xf numFmtId="4" fontId="17" fillId="0" borderId="2" xfId="0" applyNumberFormat="1" applyFont="1" applyBorder="1" applyAlignment="1">
      <alignment horizontal="right" vertical="center"/>
    </xf>
    <xf numFmtId="43" fontId="17" fillId="0" borderId="2" xfId="1" applyFont="1" applyFill="1" applyBorder="1"/>
    <xf numFmtId="0" fontId="17" fillId="4" borderId="2" xfId="0" applyFont="1" applyFill="1" applyBorder="1" applyAlignment="1">
      <alignment horizontal="left" vertical="center" wrapText="1"/>
    </xf>
    <xf numFmtId="2" fontId="17" fillId="0" borderId="2" xfId="0" applyNumberFormat="1" applyFont="1" applyBorder="1" applyAlignment="1">
      <alignment horizontal="right" vertical="center"/>
    </xf>
    <xf numFmtId="0" fontId="17" fillId="4" borderId="25" xfId="0" applyFont="1" applyFill="1" applyBorder="1" applyAlignment="1">
      <alignment vertical="top" wrapText="1"/>
    </xf>
    <xf numFmtId="43" fontId="17" fillId="15" borderId="2" xfId="1" applyFont="1" applyFill="1" applyBorder="1" applyAlignment="1">
      <alignment horizontal="right" vertical="center"/>
    </xf>
    <xf numFmtId="43" fontId="17" fillId="4" borderId="2" xfId="1" applyFont="1" applyFill="1" applyBorder="1" applyAlignment="1">
      <alignment horizontal="right" vertical="center"/>
    </xf>
    <xf numFmtId="43" fontId="17" fillId="4" borderId="2" xfId="1" applyFont="1" applyFill="1" applyBorder="1" applyAlignment="1">
      <alignment horizontal="right"/>
    </xf>
    <xf numFmtId="0" fontId="17" fillId="0" borderId="2" xfId="0" applyFont="1" applyBorder="1" applyAlignment="1">
      <alignment horizontal="right" vertical="center"/>
    </xf>
    <xf numFmtId="0" fontId="30" fillId="0" borderId="2" xfId="0" applyFont="1" applyBorder="1" applyAlignment="1">
      <alignment vertical="center"/>
    </xf>
    <xf numFmtId="0" fontId="17" fillId="0" borderId="5" xfId="0" applyFont="1" applyBorder="1" applyAlignment="1">
      <alignment horizontal="left" vertical="center"/>
    </xf>
    <xf numFmtId="0" fontId="30" fillId="0" borderId="0" xfId="0" applyFont="1" applyAlignment="1">
      <alignment vertical="center"/>
    </xf>
    <xf numFmtId="164" fontId="12" fillId="6" borderId="2" xfId="0" applyNumberFormat="1" applyFont="1" applyFill="1" applyBorder="1" applyAlignment="1">
      <alignment horizontal="right"/>
    </xf>
    <xf numFmtId="43" fontId="12" fillId="6" borderId="2" xfId="1" applyFont="1" applyFill="1" applyBorder="1" applyAlignment="1"/>
    <xf numFmtId="2" fontId="12" fillId="6" borderId="2" xfId="1" applyNumberFormat="1" applyFont="1" applyFill="1" applyBorder="1" applyAlignment="1"/>
    <xf numFmtId="4" fontId="12" fillId="6" borderId="2" xfId="1" applyNumberFormat="1" applyFont="1" applyFill="1" applyBorder="1" applyAlignment="1"/>
    <xf numFmtId="4" fontId="12" fillId="6" borderId="2" xfId="1" applyNumberFormat="1" applyFont="1" applyFill="1" applyBorder="1" applyAlignment="1">
      <alignment horizontal="right"/>
    </xf>
    <xf numFmtId="0" fontId="12" fillId="6" borderId="2" xfId="0" applyFont="1" applyFill="1" applyBorder="1"/>
    <xf numFmtId="43" fontId="8" fillId="0" borderId="3" xfId="1" applyFont="1" applyBorder="1" applyAlignment="1">
      <alignment vertical="center"/>
    </xf>
    <xf numFmtId="4" fontId="17" fillId="0" borderId="25" xfId="0" applyNumberFormat="1" applyFont="1" applyBorder="1" applyAlignment="1">
      <alignment vertical="center"/>
    </xf>
    <xf numFmtId="165" fontId="23" fillId="0" borderId="5" xfId="1" applyNumberFormat="1" applyFont="1" applyBorder="1"/>
    <xf numFmtId="165" fontId="12" fillId="6" borderId="2" xfId="1" applyNumberFormat="1" applyFont="1" applyFill="1" applyBorder="1"/>
    <xf numFmtId="4" fontId="7" fillId="0" borderId="5" xfId="1" applyNumberFormat="1" applyFont="1" applyBorder="1" applyAlignment="1"/>
    <xf numFmtId="0" fontId="31" fillId="4" borderId="25" xfId="0" applyFont="1" applyFill="1" applyBorder="1"/>
    <xf numFmtId="0" fontId="17" fillId="4" borderId="25" xfId="0" applyFont="1" applyFill="1" applyBorder="1" applyAlignment="1">
      <alignment horizontal="left" vertical="center" wrapText="1"/>
    </xf>
    <xf numFmtId="0" fontId="17" fillId="4" borderId="5" xfId="0" applyFont="1" applyFill="1" applyBorder="1" applyAlignment="1">
      <alignment vertical="center" wrapText="1"/>
    </xf>
    <xf numFmtId="37" fontId="17" fillId="0" borderId="2" xfId="1" applyNumberFormat="1" applyFont="1" applyFill="1" applyBorder="1" applyAlignment="1">
      <alignment horizontal="right" vertical="center"/>
    </xf>
    <xf numFmtId="2" fontId="8" fillId="4" borderId="2" xfId="1" applyNumberFormat="1" applyFont="1" applyFill="1" applyBorder="1" applyAlignment="1">
      <alignment vertical="center"/>
    </xf>
    <xf numFmtId="39" fontId="8" fillId="3" borderId="2" xfId="1" applyNumberFormat="1" applyFont="1" applyFill="1" applyBorder="1" applyAlignment="1">
      <alignment horizontal="right" vertical="center"/>
    </xf>
    <xf numFmtId="165" fontId="8" fillId="4" borderId="2" xfId="1" applyNumberFormat="1" applyFont="1" applyFill="1" applyBorder="1" applyAlignment="1">
      <alignment vertical="center"/>
    </xf>
    <xf numFmtId="2" fontId="17" fillId="4" borderId="3" xfId="0" applyNumberFormat="1" applyFont="1" applyFill="1" applyBorder="1" applyAlignment="1">
      <alignment vertical="center"/>
    </xf>
    <xf numFmtId="165" fontId="8" fillId="4" borderId="31" xfId="0" applyNumberFormat="1" applyFont="1" applyFill="1" applyBorder="1" applyAlignment="1">
      <alignment vertical="center"/>
    </xf>
    <xf numFmtId="43" fontId="8" fillId="4" borderId="2" xfId="0" applyNumberFormat="1" applyFont="1" applyFill="1" applyBorder="1" applyAlignment="1">
      <alignment vertical="center"/>
    </xf>
    <xf numFmtId="0" fontId="17" fillId="4" borderId="5" xfId="0" applyFont="1" applyFill="1" applyBorder="1" applyAlignment="1">
      <alignment vertical="top" wrapText="1"/>
    </xf>
    <xf numFmtId="0" fontId="12" fillId="4" borderId="25" xfId="0" applyFont="1" applyFill="1" applyBorder="1" applyAlignment="1">
      <alignment horizontal="left" vertical="center" wrapText="1"/>
    </xf>
    <xf numFmtId="43" fontId="12" fillId="8" borderId="25" xfId="1" applyFont="1" applyFill="1" applyBorder="1" applyAlignment="1">
      <alignment horizontal="center" vertical="center"/>
    </xf>
    <xf numFmtId="43" fontId="17" fillId="8" borderId="25" xfId="1" applyFont="1" applyFill="1" applyBorder="1" applyAlignment="1">
      <alignment horizontal="center" vertical="center"/>
    </xf>
    <xf numFmtId="43" fontId="17" fillId="0" borderId="25" xfId="1" applyFont="1" applyFill="1" applyBorder="1" applyAlignment="1">
      <alignment horizontal="center" vertical="center"/>
    </xf>
    <xf numFmtId="2" fontId="17" fillId="8" borderId="25" xfId="1" applyNumberFormat="1" applyFont="1" applyFill="1" applyBorder="1" applyAlignment="1">
      <alignment vertical="center"/>
    </xf>
    <xf numFmtId="43" fontId="17" fillId="3" borderId="25" xfId="1" applyFont="1" applyFill="1" applyBorder="1" applyAlignment="1">
      <alignment horizontal="center" vertical="center"/>
    </xf>
    <xf numFmtId="43" fontId="17" fillId="8" borderId="31" xfId="1" applyFont="1" applyFill="1" applyBorder="1" applyAlignment="1">
      <alignment horizontal="center" vertical="center"/>
    </xf>
    <xf numFmtId="165" fontId="8" fillId="4" borderId="2" xfId="0" applyNumberFormat="1" applyFont="1" applyFill="1" applyBorder="1" applyAlignment="1">
      <alignment vertical="center"/>
    </xf>
    <xf numFmtId="0" fontId="17" fillId="4" borderId="32" xfId="0" applyFont="1" applyFill="1" applyBorder="1" applyAlignment="1">
      <alignment vertical="top" wrapText="1"/>
    </xf>
    <xf numFmtId="43" fontId="12" fillId="4" borderId="25" xfId="1" applyFont="1" applyFill="1" applyBorder="1" applyAlignment="1">
      <alignment horizontal="left" vertical="center"/>
    </xf>
    <xf numFmtId="43" fontId="17" fillId="4" borderId="25" xfId="1" applyFont="1" applyFill="1" applyBorder="1" applyAlignment="1">
      <alignment horizontal="left" vertical="center"/>
    </xf>
    <xf numFmtId="43" fontId="17" fillId="0" borderId="25" xfId="1" applyFont="1" applyFill="1" applyBorder="1" applyAlignment="1">
      <alignment horizontal="right" vertical="center"/>
    </xf>
    <xf numFmtId="0" fontId="12" fillId="4" borderId="17" xfId="0" applyFont="1" applyFill="1" applyBorder="1" applyAlignment="1">
      <alignment horizontal="left" vertical="center"/>
    </xf>
    <xf numFmtId="0" fontId="17" fillId="4" borderId="17" xfId="0" applyFont="1" applyFill="1" applyBorder="1" applyAlignment="1">
      <alignment vertical="center" wrapText="1"/>
    </xf>
    <xf numFmtId="165" fontId="17" fillId="4" borderId="17" xfId="1" applyNumberFormat="1" applyFont="1" applyFill="1" applyBorder="1" applyAlignment="1">
      <alignment horizontal="right" vertical="center"/>
    </xf>
    <xf numFmtId="43" fontId="17" fillId="4" borderId="17" xfId="1" applyFont="1" applyFill="1" applyBorder="1" applyAlignment="1">
      <alignment horizontal="right" vertical="center"/>
    </xf>
    <xf numFmtId="165" fontId="17" fillId="3" borderId="17" xfId="1" applyNumberFormat="1" applyFont="1" applyFill="1" applyBorder="1" applyAlignment="1">
      <alignment horizontal="right" vertical="center"/>
    </xf>
    <xf numFmtId="2" fontId="8" fillId="4" borderId="17" xfId="1" applyNumberFormat="1" applyFont="1" applyFill="1" applyBorder="1" applyAlignment="1">
      <alignment vertical="center"/>
    </xf>
    <xf numFmtId="39" fontId="8" fillId="3" borderId="17" xfId="1" applyNumberFormat="1" applyFont="1" applyFill="1" applyBorder="1" applyAlignment="1">
      <alignment horizontal="right" vertical="center"/>
    </xf>
    <xf numFmtId="165" fontId="8" fillId="4" borderId="17" xfId="1" applyNumberFormat="1" applyFont="1" applyFill="1" applyBorder="1" applyAlignment="1">
      <alignment horizontal="right" vertical="center"/>
    </xf>
    <xf numFmtId="0" fontId="17" fillId="4" borderId="23" xfId="0" applyFont="1" applyFill="1" applyBorder="1" applyAlignment="1">
      <alignment vertical="center"/>
    </xf>
    <xf numFmtId="165" fontId="8" fillId="4" borderId="39" xfId="0" applyNumberFormat="1" applyFont="1" applyFill="1" applyBorder="1"/>
    <xf numFmtId="0" fontId="17" fillId="4" borderId="24" xfId="0" applyFont="1" applyFill="1" applyBorder="1" applyAlignment="1">
      <alignment vertical="top" wrapText="1"/>
    </xf>
    <xf numFmtId="0" fontId="12" fillId="4" borderId="26" xfId="0" applyFont="1" applyFill="1" applyBorder="1" applyAlignment="1">
      <alignment horizontal="left" vertical="center"/>
    </xf>
    <xf numFmtId="0" fontId="17" fillId="4" borderId="26" xfId="0" applyFont="1" applyFill="1" applyBorder="1" applyAlignment="1">
      <alignment horizontal="left" vertical="center" wrapText="1"/>
    </xf>
    <xf numFmtId="165" fontId="17" fillId="3" borderId="2" xfId="1" applyNumberFormat="1" applyFont="1" applyFill="1" applyBorder="1" applyAlignment="1">
      <alignment horizontal="right" vertical="center"/>
    </xf>
    <xf numFmtId="0" fontId="17" fillId="4" borderId="3" xfId="0" applyFont="1" applyFill="1" applyBorder="1" applyAlignment="1">
      <alignment vertical="center"/>
    </xf>
    <xf numFmtId="43" fontId="8" fillId="4" borderId="31" xfId="0" applyNumberFormat="1" applyFont="1" applyFill="1" applyBorder="1" applyAlignment="1">
      <alignment vertical="center"/>
    </xf>
    <xf numFmtId="171" fontId="17" fillId="0" borderId="2" xfId="1" applyNumberFormat="1" applyFont="1" applyFill="1" applyBorder="1" applyAlignment="1">
      <alignment horizontal="right" vertical="center"/>
    </xf>
    <xf numFmtId="0" fontId="17" fillId="4" borderId="17" xfId="0" applyFont="1" applyFill="1" applyBorder="1" applyAlignment="1">
      <alignment horizontal="left" vertical="center" wrapText="1"/>
    </xf>
    <xf numFmtId="0" fontId="17" fillId="0" borderId="2" xfId="0" applyFont="1" applyBorder="1" applyAlignment="1">
      <alignment vertical="center" wrapText="1"/>
    </xf>
    <xf numFmtId="165" fontId="17" fillId="0" borderId="2" xfId="1" applyNumberFormat="1" applyFont="1" applyFill="1" applyBorder="1" applyAlignment="1">
      <alignment horizontal="right" vertical="center"/>
    </xf>
    <xf numFmtId="2" fontId="8" fillId="0" borderId="2" xfId="1" applyNumberFormat="1" applyFont="1" applyFill="1" applyBorder="1" applyAlignment="1">
      <alignment vertical="center"/>
    </xf>
    <xf numFmtId="165" fontId="8" fillId="0" borderId="2" xfId="1" applyNumberFormat="1" applyFont="1" applyFill="1" applyBorder="1" applyAlignment="1">
      <alignment vertical="center"/>
    </xf>
    <xf numFmtId="43" fontId="17" fillId="0" borderId="3" xfId="0" applyNumberFormat="1" applyFont="1" applyBorder="1" applyAlignment="1">
      <alignment vertical="center"/>
    </xf>
    <xf numFmtId="165" fontId="8" fillId="0" borderId="31" xfId="0" applyNumberFormat="1" applyFont="1" applyBorder="1" applyAlignment="1">
      <alignment vertical="center"/>
    </xf>
    <xf numFmtId="43" fontId="12" fillId="6" borderId="23" xfId="1" applyFont="1" applyFill="1" applyBorder="1" applyAlignment="1"/>
    <xf numFmtId="2" fontId="7" fillId="6" borderId="2" xfId="0" applyNumberFormat="1" applyFont="1" applyFill="1" applyBorder="1"/>
    <xf numFmtId="0" fontId="12" fillId="6" borderId="5" xfId="0" applyFont="1" applyFill="1" applyBorder="1"/>
    <xf numFmtId="0" fontId="12" fillId="6" borderId="2" xfId="0" applyFont="1" applyFill="1" applyBorder="1" applyAlignment="1">
      <alignment vertical="center"/>
    </xf>
    <xf numFmtId="43" fontId="12" fillId="6" borderId="2" xfId="1" applyFont="1" applyFill="1" applyBorder="1" applyAlignment="1">
      <alignment vertical="center"/>
    </xf>
    <xf numFmtId="2" fontId="12" fillId="6" borderId="2" xfId="1" applyNumberFormat="1" applyFont="1" applyFill="1" applyBorder="1" applyAlignment="1">
      <alignment vertical="center"/>
    </xf>
    <xf numFmtId="4" fontId="12" fillId="6" borderId="2" xfId="1" applyNumberFormat="1" applyFont="1" applyFill="1" applyBorder="1" applyAlignment="1">
      <alignment vertical="center"/>
    </xf>
    <xf numFmtId="43" fontId="12" fillId="6" borderId="3" xfId="1" applyFont="1" applyFill="1" applyBorder="1" applyAlignment="1"/>
    <xf numFmtId="0" fontId="17" fillId="6" borderId="5" xfId="0" applyFont="1" applyFill="1" applyBorder="1"/>
    <xf numFmtId="2" fontId="12" fillId="8" borderId="2" xfId="0" applyNumberFormat="1" applyFont="1" applyFill="1" applyBorder="1" applyAlignment="1">
      <alignment horizontal="center" vertical="center"/>
    </xf>
    <xf numFmtId="2" fontId="17" fillId="8" borderId="2" xfId="0" applyNumberFormat="1" applyFont="1" applyFill="1" applyBorder="1" applyAlignment="1">
      <alignment horizontal="right" vertical="center"/>
    </xf>
    <xf numFmtId="2" fontId="17" fillId="3" borderId="2" xfId="0" applyNumberFormat="1" applyFont="1" applyFill="1" applyBorder="1" applyAlignment="1">
      <alignment horizontal="right" vertical="center"/>
    </xf>
    <xf numFmtId="2" fontId="17" fillId="8" borderId="3" xfId="0" applyNumberFormat="1" applyFont="1" applyFill="1" applyBorder="1" applyAlignment="1">
      <alignment horizontal="right" vertical="center"/>
    </xf>
    <xf numFmtId="43" fontId="17" fillId="4" borderId="2" xfId="1" applyFont="1" applyFill="1" applyBorder="1" applyAlignment="1">
      <alignment vertical="center"/>
    </xf>
    <xf numFmtId="4" fontId="17" fillId="4" borderId="2" xfId="1" applyNumberFormat="1" applyFont="1" applyFill="1" applyBorder="1" applyAlignment="1">
      <alignment vertical="center"/>
    </xf>
    <xf numFmtId="43" fontId="17" fillId="4" borderId="3" xfId="1" applyFont="1" applyFill="1" applyBorder="1"/>
    <xf numFmtId="4" fontId="17" fillId="8" borderId="2" xfId="0" applyNumberFormat="1" applyFont="1" applyFill="1" applyBorder="1" applyAlignment="1">
      <alignment horizontal="right" vertical="center"/>
    </xf>
    <xf numFmtId="2" fontId="17" fillId="4" borderId="2" xfId="1" applyNumberFormat="1" applyFont="1" applyFill="1" applyBorder="1" applyAlignment="1">
      <alignment vertical="center"/>
    </xf>
    <xf numFmtId="2" fontId="17" fillId="0" borderId="2" xfId="1" applyNumberFormat="1" applyFont="1" applyBorder="1" applyAlignment="1">
      <alignment vertical="center"/>
    </xf>
    <xf numFmtId="43" fontId="17" fillId="0" borderId="3" xfId="1" applyFont="1" applyBorder="1"/>
    <xf numFmtId="0" fontId="17" fillId="0" borderId="5" xfId="0" applyFont="1" applyBorder="1" applyAlignment="1">
      <alignment vertical="top" wrapText="1"/>
    </xf>
    <xf numFmtId="0" fontId="17" fillId="0" borderId="30" xfId="0" applyFont="1" applyBorder="1" applyAlignment="1">
      <alignment vertical="top" wrapText="1"/>
    </xf>
    <xf numFmtId="0" fontId="17" fillId="0" borderId="24" xfId="0" applyFont="1" applyBorder="1" applyAlignment="1">
      <alignment vertical="top" wrapText="1"/>
    </xf>
    <xf numFmtId="2" fontId="12" fillId="9" borderId="2" xfId="1" applyNumberFormat="1" applyFont="1" applyFill="1" applyBorder="1" applyAlignment="1">
      <alignment horizontal="right"/>
    </xf>
    <xf numFmtId="43" fontId="12" fillId="9" borderId="2" xfId="1" applyFont="1" applyFill="1" applyBorder="1" applyAlignment="1">
      <alignment horizontal="right"/>
    </xf>
    <xf numFmtId="4" fontId="12" fillId="9" borderId="2" xfId="1" applyNumberFormat="1" applyFont="1" applyFill="1" applyBorder="1" applyAlignment="1">
      <alignment horizontal="right"/>
    </xf>
    <xf numFmtId="4" fontId="12" fillId="9" borderId="2" xfId="1" applyNumberFormat="1" applyFont="1" applyFill="1" applyBorder="1" applyAlignment="1">
      <alignment horizontal="right" vertical="center"/>
    </xf>
    <xf numFmtId="0" fontId="17" fillId="9" borderId="2" xfId="0" applyFont="1" applyFill="1" applyBorder="1"/>
    <xf numFmtId="0" fontId="12" fillId="0" borderId="2" xfId="0" applyFont="1" applyBorder="1"/>
    <xf numFmtId="43" fontId="12" fillId="4" borderId="2" xfId="1" applyFont="1" applyFill="1" applyBorder="1" applyAlignment="1">
      <alignment horizontal="right"/>
    </xf>
    <xf numFmtId="2" fontId="12" fillId="0" borderId="2" xfId="1" applyNumberFormat="1" applyFont="1" applyFill="1" applyBorder="1" applyAlignment="1">
      <alignment horizontal="right"/>
    </xf>
    <xf numFmtId="43" fontId="12" fillId="0" borderId="2" xfId="1" applyFont="1" applyFill="1" applyBorder="1" applyAlignment="1">
      <alignment horizontal="right"/>
    </xf>
    <xf numFmtId="43" fontId="12" fillId="8" borderId="2" xfId="1" applyFont="1" applyFill="1" applyBorder="1" applyAlignment="1">
      <alignment horizontal="right"/>
    </xf>
    <xf numFmtId="4" fontId="12" fillId="0" borderId="2" xfId="1" applyNumberFormat="1" applyFont="1" applyFill="1" applyBorder="1" applyAlignment="1">
      <alignment horizontal="right"/>
    </xf>
    <xf numFmtId="43" fontId="12" fillId="4" borderId="2" xfId="1" applyFont="1" applyFill="1" applyBorder="1" applyAlignment="1">
      <alignment horizontal="right" vertical="center"/>
    </xf>
    <xf numFmtId="0" fontId="17" fillId="0" borderId="2" xfId="0" applyFont="1" applyBorder="1"/>
    <xf numFmtId="0" fontId="32" fillId="0" borderId="0" xfId="0" applyFont="1" applyAlignment="1">
      <alignment vertical="center"/>
    </xf>
    <xf numFmtId="0" fontId="21" fillId="0" borderId="9" xfId="4" applyFont="1" applyBorder="1" applyAlignment="1">
      <alignment vertical="center"/>
    </xf>
    <xf numFmtId="43" fontId="20" fillId="0" borderId="9" xfId="1" applyFont="1" applyFill="1" applyBorder="1" applyAlignment="1">
      <alignment horizontal="right" vertical="center"/>
    </xf>
    <xf numFmtId="2" fontId="20" fillId="4" borderId="9" xfId="4" applyNumberFormat="1" applyFont="1" applyFill="1" applyBorder="1" applyAlignment="1">
      <alignment horizontal="right" vertical="center"/>
    </xf>
    <xf numFmtId="43" fontId="21" fillId="0" borderId="10" xfId="1" applyFont="1" applyFill="1" applyBorder="1" applyAlignment="1">
      <alignment horizontal="right" vertical="center"/>
    </xf>
    <xf numFmtId="0" fontId="21" fillId="0" borderId="11" xfId="4" applyFont="1" applyBorder="1" applyAlignment="1">
      <alignment horizontal="left" vertical="center"/>
    </xf>
    <xf numFmtId="2" fontId="20" fillId="0" borderId="12" xfId="4" applyNumberFormat="1" applyFont="1" applyBorder="1" applyAlignment="1">
      <alignment horizontal="right" vertical="center"/>
    </xf>
    <xf numFmtId="43" fontId="20" fillId="4" borderId="12" xfId="1" applyFont="1" applyFill="1" applyBorder="1" applyAlignment="1"/>
    <xf numFmtId="43" fontId="8" fillId="0" borderId="12" xfId="1" applyFont="1" applyFill="1" applyBorder="1" applyAlignment="1">
      <alignment horizontal="right" vertical="center"/>
    </xf>
    <xf numFmtId="2" fontId="20" fillId="4" borderId="12" xfId="4" applyNumberFormat="1" applyFont="1" applyFill="1" applyBorder="1" applyAlignment="1">
      <alignment horizontal="right" vertical="center"/>
    </xf>
    <xf numFmtId="43" fontId="21" fillId="0" borderId="13" xfId="1" applyFont="1" applyFill="1" applyBorder="1" applyAlignment="1">
      <alignment horizontal="right" vertical="center"/>
    </xf>
    <xf numFmtId="43" fontId="7" fillId="4" borderId="6" xfId="1" applyFont="1" applyFill="1" applyBorder="1" applyAlignment="1">
      <alignment horizontal="right" vertical="center"/>
    </xf>
    <xf numFmtId="2" fontId="8" fillId="4" borderId="6" xfId="4" applyNumberFormat="1" applyFill="1" applyBorder="1" applyAlignment="1">
      <alignment horizontal="right" vertical="center"/>
    </xf>
    <xf numFmtId="43" fontId="7" fillId="0" borderId="6" xfId="1" applyFont="1" applyFill="1" applyBorder="1" applyAlignment="1">
      <alignment horizontal="right" vertical="center"/>
    </xf>
    <xf numFmtId="2" fontId="8" fillId="4" borderId="7" xfId="4" applyNumberFormat="1" applyFill="1" applyBorder="1" applyAlignment="1">
      <alignment horizontal="right" vertical="center"/>
    </xf>
    <xf numFmtId="43" fontId="7" fillId="0" borderId="8" xfId="1" applyFont="1" applyFill="1" applyBorder="1" applyAlignment="1">
      <alignment horizontal="right" vertical="center"/>
    </xf>
    <xf numFmtId="43" fontId="7" fillId="0" borderId="17" xfId="1" applyFont="1" applyFill="1" applyBorder="1" applyAlignment="1"/>
    <xf numFmtId="43" fontId="7" fillId="0" borderId="18" xfId="1" applyFont="1" applyFill="1" applyBorder="1" applyAlignment="1"/>
    <xf numFmtId="43" fontId="7" fillId="0" borderId="2" xfId="1" applyFont="1" applyFill="1" applyBorder="1" applyAlignment="1"/>
    <xf numFmtId="43" fontId="7" fillId="0" borderId="20" xfId="1" applyFont="1" applyFill="1" applyBorder="1" applyAlignment="1"/>
    <xf numFmtId="43" fontId="7" fillId="4" borderId="22" xfId="1" applyFont="1" applyFill="1" applyBorder="1" applyAlignment="1"/>
    <xf numFmtId="4" fontId="17" fillId="0" borderId="2" xfId="1" applyNumberFormat="1" applyFont="1" applyBorder="1" applyAlignment="1">
      <alignment vertical="center"/>
    </xf>
    <xf numFmtId="4" fontId="17" fillId="3" borderId="2" xfId="1" applyNumberFormat="1" applyFont="1" applyFill="1" applyBorder="1" applyAlignment="1">
      <alignment vertical="center"/>
    </xf>
    <xf numFmtId="4" fontId="17" fillId="0" borderId="0" xfId="0" applyNumberFormat="1" applyFont="1" applyAlignment="1">
      <alignment vertical="center"/>
    </xf>
    <xf numFmtId="4" fontId="17" fillId="0" borderId="2" xfId="1" applyNumberFormat="1" applyFont="1" applyFill="1" applyBorder="1" applyAlignment="1">
      <alignment vertical="center"/>
    </xf>
    <xf numFmtId="4" fontId="17" fillId="0" borderId="2" xfId="0" applyNumberFormat="1" applyFont="1" applyBorder="1" applyAlignment="1">
      <alignment vertical="center"/>
    </xf>
    <xf numFmtId="43" fontId="12" fillId="6" borderId="2" xfId="1" applyFont="1" applyFill="1" applyBorder="1" applyAlignment="1">
      <alignment horizontal="right"/>
    </xf>
    <xf numFmtId="0" fontId="12" fillId="0" borderId="2" xfId="0" applyFont="1" applyBorder="1" applyAlignment="1">
      <alignment horizontal="left" vertical="center"/>
    </xf>
    <xf numFmtId="4" fontId="17" fillId="3" borderId="2" xfId="1" applyNumberFormat="1" applyFont="1" applyFill="1" applyBorder="1" applyAlignment="1">
      <alignment horizontal="right" vertical="center"/>
    </xf>
    <xf numFmtId="165" fontId="23" fillId="0" borderId="2" xfId="1" applyNumberFormat="1" applyFont="1" applyBorder="1"/>
    <xf numFmtId="4" fontId="12" fillId="6" borderId="2" xfId="1" applyNumberFormat="1" applyFont="1" applyFill="1" applyBorder="1" applyAlignment="1">
      <alignment horizontal="center"/>
    </xf>
    <xf numFmtId="4" fontId="12" fillId="6" borderId="2" xfId="1" applyNumberFormat="1" applyFont="1" applyFill="1" applyBorder="1"/>
    <xf numFmtId="165" fontId="17" fillId="4" borderId="2" xfId="1" applyNumberFormat="1" applyFont="1" applyFill="1" applyBorder="1" applyAlignment="1">
      <alignment horizontal="right" vertical="center"/>
    </xf>
    <xf numFmtId="172" fontId="8" fillId="4" borderId="2" xfId="1" applyNumberFormat="1" applyFont="1" applyFill="1" applyBorder="1" applyAlignment="1">
      <alignment horizontal="right" vertical="center"/>
    </xf>
    <xf numFmtId="165" fontId="8" fillId="4" borderId="0" xfId="0" applyNumberFormat="1" applyFont="1" applyFill="1"/>
    <xf numFmtId="4" fontId="12" fillId="6" borderId="2" xfId="1" applyNumberFormat="1" applyFont="1" applyFill="1" applyBorder="1" applyAlignment="1">
      <alignment horizontal="right" vertical="center"/>
    </xf>
    <xf numFmtId="0" fontId="17" fillId="6" borderId="2" xfId="0" applyFont="1" applyFill="1" applyBorder="1"/>
    <xf numFmtId="4" fontId="17" fillId="4" borderId="2" xfId="1" applyNumberFormat="1" applyFont="1" applyFill="1" applyBorder="1" applyAlignment="1">
      <alignment horizontal="right" vertical="center"/>
    </xf>
    <xf numFmtId="43" fontId="17" fillId="4" borderId="2" xfId="1" applyFont="1" applyFill="1" applyBorder="1"/>
    <xf numFmtId="43" fontId="17" fillId="0" borderId="2" xfId="1" applyFont="1" applyBorder="1"/>
    <xf numFmtId="165" fontId="12" fillId="9" borderId="2" xfId="1" applyNumberFormat="1" applyFont="1" applyFill="1" applyBorder="1" applyAlignment="1">
      <alignment horizontal="right"/>
    </xf>
    <xf numFmtId="37" fontId="12" fillId="0" borderId="2" xfId="1" applyNumberFormat="1" applyFont="1" applyFill="1" applyBorder="1" applyAlignment="1">
      <alignment horizontal="right"/>
    </xf>
    <xf numFmtId="4" fontId="20" fillId="0" borderId="9" xfId="4" applyNumberFormat="1" applyFont="1" applyBorder="1" applyAlignment="1">
      <alignment vertical="center"/>
    </xf>
    <xf numFmtId="167" fontId="20" fillId="4" borderId="9" xfId="4" applyNumberFormat="1" applyFont="1" applyFill="1" applyBorder="1" applyAlignment="1">
      <alignment horizontal="center" vertical="center"/>
    </xf>
    <xf numFmtId="39" fontId="20" fillId="0" borderId="9" xfId="5" applyNumberFormat="1" applyFont="1" applyFill="1" applyBorder="1" applyAlignment="1">
      <alignment vertical="center"/>
    </xf>
    <xf numFmtId="4" fontId="21" fillId="0" borderId="10" xfId="5" applyNumberFormat="1" applyFont="1" applyFill="1" applyBorder="1" applyAlignment="1">
      <alignment vertical="center"/>
    </xf>
    <xf numFmtId="4" fontId="20" fillId="0" borderId="12" xfId="4" applyNumberFormat="1" applyFont="1" applyBorder="1" applyAlignment="1">
      <alignment vertical="center"/>
    </xf>
    <xf numFmtId="173" fontId="20" fillId="4" borderId="12" xfId="4" applyNumberFormat="1" applyFont="1" applyFill="1" applyBorder="1" applyAlignment="1">
      <alignment horizontal="center" vertical="center"/>
    </xf>
    <xf numFmtId="39" fontId="8" fillId="0" borderId="12" xfId="4" applyNumberFormat="1" applyBorder="1" applyAlignment="1">
      <alignment vertical="center"/>
    </xf>
    <xf numFmtId="4" fontId="21" fillId="0" borderId="13" xfId="4" applyNumberFormat="1" applyFont="1" applyBorder="1" applyAlignment="1">
      <alignment vertical="center"/>
    </xf>
    <xf numFmtId="167" fontId="8" fillId="4" borderId="6" xfId="4" applyNumberFormat="1" applyFill="1" applyBorder="1" applyAlignment="1">
      <alignment horizontal="center" vertical="center"/>
    </xf>
    <xf numFmtId="39" fontId="7" fillId="0" borderId="6" xfId="4" applyNumberFormat="1" applyFont="1" applyBorder="1" applyAlignment="1">
      <alignment vertical="center"/>
    </xf>
    <xf numFmtId="173" fontId="8" fillId="4" borderId="7" xfId="4" applyNumberFormat="1" applyFill="1" applyBorder="1" applyAlignment="1">
      <alignment horizontal="center" vertical="center"/>
    </xf>
    <xf numFmtId="39" fontId="7" fillId="0" borderId="8" xfId="4" applyNumberFormat="1" applyFont="1" applyBorder="1" applyAlignment="1">
      <alignment vertical="center"/>
    </xf>
    <xf numFmtId="39" fontId="7" fillId="0" borderId="17" xfId="5" applyNumberFormat="1" applyFont="1" applyFill="1" applyBorder="1" applyAlignment="1"/>
    <xf numFmtId="39" fontId="7" fillId="0" borderId="18" xfId="1" applyNumberFormat="1" applyFont="1" applyFill="1" applyBorder="1" applyAlignment="1"/>
    <xf numFmtId="39" fontId="7" fillId="0" borderId="2" xfId="5" applyNumberFormat="1" applyFont="1" applyFill="1" applyBorder="1" applyAlignment="1"/>
    <xf numFmtId="39" fontId="7" fillId="0" borderId="20" xfId="1" applyNumberFormat="1" applyFont="1" applyFill="1" applyBorder="1" applyAlignment="1"/>
    <xf numFmtId="39" fontId="7" fillId="0" borderId="12" xfId="5" applyNumberFormat="1" applyFont="1" applyFill="1" applyBorder="1" applyAlignment="1"/>
    <xf numFmtId="39" fontId="7" fillId="0" borderId="22" xfId="5" applyNumberFormat="1" applyFont="1" applyFill="1" applyBorder="1" applyAlignment="1"/>
    <xf numFmtId="0" fontId="7" fillId="0" borderId="2" xfId="6" applyFont="1" applyBorder="1" applyAlignment="1">
      <alignment horizontal="center" vertical="top" wrapText="1"/>
    </xf>
    <xf numFmtId="0" fontId="12" fillId="0" borderId="2" xfId="6" applyFont="1" applyBorder="1" applyAlignment="1">
      <alignment horizontal="center" vertical="top" wrapText="1"/>
    </xf>
    <xf numFmtId="0" fontId="12" fillId="9" borderId="2" xfId="6" applyFont="1" applyFill="1" applyBorder="1" applyAlignment="1">
      <alignment horizontal="center" vertical="top" wrapText="1"/>
    </xf>
    <xf numFmtId="0" fontId="7" fillId="0" borderId="2" xfId="6" applyFont="1" applyBorder="1" applyAlignment="1">
      <alignment vertical="top" wrapText="1"/>
    </xf>
    <xf numFmtId="0" fontId="8" fillId="0" borderId="0" xfId="6"/>
    <xf numFmtId="0" fontId="8" fillId="0" borderId="17" xfId="6" applyBorder="1" applyAlignment="1">
      <alignment horizontal="left"/>
    </xf>
    <xf numFmtId="0" fontId="8" fillId="0" borderId="17" xfId="6" applyBorder="1" applyAlignment="1">
      <alignment wrapText="1"/>
    </xf>
    <xf numFmtId="1" fontId="8" fillId="0" borderId="17" xfId="6" applyNumberFormat="1" applyBorder="1" applyAlignment="1">
      <alignment horizontal="right" wrapText="1"/>
    </xf>
    <xf numFmtId="4" fontId="8" fillId="0" borderId="17" xfId="6" applyNumberFormat="1" applyBorder="1" applyAlignment="1">
      <alignment horizontal="right" wrapText="1"/>
    </xf>
    <xf numFmtId="4" fontId="8" fillId="0" borderId="17" xfId="6" applyNumberFormat="1" applyBorder="1"/>
    <xf numFmtId="0" fontId="7" fillId="0" borderId="17" xfId="6" applyFont="1" applyBorder="1" applyAlignment="1">
      <alignment wrapText="1"/>
    </xf>
    <xf numFmtId="44" fontId="0" fillId="0" borderId="2" xfId="7" applyFont="1" applyBorder="1"/>
    <xf numFmtId="44" fontId="8" fillId="0" borderId="2" xfId="6" applyNumberFormat="1" applyBorder="1"/>
    <xf numFmtId="0" fontId="8" fillId="0" borderId="2" xfId="6" applyBorder="1" applyAlignment="1">
      <alignment horizontal="left" wrapText="1"/>
    </xf>
    <xf numFmtId="0" fontId="8" fillId="0" borderId="2" xfId="6" applyBorder="1" applyAlignment="1">
      <alignment wrapText="1"/>
    </xf>
    <xf numFmtId="1" fontId="8" fillId="0" borderId="2" xfId="6" applyNumberFormat="1" applyBorder="1" applyAlignment="1">
      <alignment horizontal="right" wrapText="1"/>
    </xf>
    <xf numFmtId="4" fontId="8" fillId="0" borderId="26" xfId="6" applyNumberFormat="1" applyBorder="1" applyAlignment="1">
      <alignment horizontal="right" wrapText="1"/>
    </xf>
    <xf numFmtId="4" fontId="8" fillId="0" borderId="2" xfId="6" applyNumberFormat="1" applyBorder="1" applyAlignment="1">
      <alignment horizontal="right" wrapText="1"/>
    </xf>
    <xf numFmtId="4" fontId="8" fillId="0" borderId="2" xfId="6" applyNumberFormat="1" applyBorder="1"/>
    <xf numFmtId="0" fontId="8" fillId="0" borderId="2" xfId="6" applyBorder="1" applyAlignment="1">
      <alignment horizontal="left"/>
    </xf>
    <xf numFmtId="0" fontId="8" fillId="0" borderId="26" xfId="6" applyBorder="1" applyAlignment="1">
      <alignment wrapText="1"/>
    </xf>
    <xf numFmtId="0" fontId="7" fillId="0" borderId="2" xfId="6" applyFont="1" applyBorder="1" applyAlignment="1">
      <alignment wrapText="1"/>
    </xf>
    <xf numFmtId="1" fontId="8" fillId="0" borderId="26" xfId="6" applyNumberFormat="1" applyBorder="1" applyAlignment="1">
      <alignment horizontal="right" wrapText="1"/>
    </xf>
    <xf numFmtId="44" fontId="8" fillId="0" borderId="2" xfId="7" applyFont="1" applyBorder="1"/>
    <xf numFmtId="0" fontId="8" fillId="0" borderId="40" xfId="6" applyBorder="1" applyAlignment="1">
      <alignment horizontal="left"/>
    </xf>
    <xf numFmtId="0" fontId="8" fillId="0" borderId="40" xfId="6" applyBorder="1" applyAlignment="1">
      <alignment wrapText="1"/>
    </xf>
    <xf numFmtId="1" fontId="8" fillId="0" borderId="40" xfId="6" applyNumberFormat="1" applyBorder="1"/>
    <xf numFmtId="2" fontId="8" fillId="0" borderId="40" xfId="6" applyNumberFormat="1" applyBorder="1"/>
    <xf numFmtId="4" fontId="8" fillId="0" borderId="40" xfId="6" applyNumberFormat="1" applyBorder="1" applyAlignment="1">
      <alignment horizontal="right" wrapText="1"/>
    </xf>
    <xf numFmtId="4" fontId="8" fillId="0" borderId="40" xfId="6" applyNumberFormat="1" applyBorder="1"/>
    <xf numFmtId="0" fontId="7" fillId="0" borderId="40" xfId="6" applyFont="1" applyBorder="1" applyAlignment="1">
      <alignment wrapText="1"/>
    </xf>
    <xf numFmtId="0" fontId="7" fillId="0" borderId="43" xfId="6" applyFont="1" applyBorder="1"/>
    <xf numFmtId="4" fontId="7" fillId="0" borderId="27" xfId="6" applyNumberFormat="1" applyFont="1" applyBorder="1"/>
    <xf numFmtId="0" fontId="14" fillId="0" borderId="44" xfId="6" applyFont="1" applyBorder="1" applyAlignment="1">
      <alignment wrapText="1"/>
    </xf>
    <xf numFmtId="0" fontId="8" fillId="0" borderId="26" xfId="6" applyBorder="1" applyAlignment="1">
      <alignment horizontal="center" vertical="center"/>
    </xf>
    <xf numFmtId="44" fontId="7" fillId="0" borderId="26" xfId="6" applyNumberFormat="1" applyFont="1" applyBorder="1"/>
    <xf numFmtId="0" fontId="8" fillId="0" borderId="23" xfId="6" applyBorder="1" applyAlignment="1">
      <alignment wrapText="1"/>
    </xf>
    <xf numFmtId="44" fontId="8" fillId="0" borderId="17" xfId="7" applyFont="1" applyBorder="1"/>
    <xf numFmtId="44" fontId="8" fillId="0" borderId="17" xfId="6" applyNumberFormat="1" applyBorder="1"/>
    <xf numFmtId="0" fontId="23" fillId="0" borderId="0" xfId="6" applyFont="1"/>
    <xf numFmtId="0" fontId="7" fillId="0" borderId="40" xfId="6" applyFont="1" applyBorder="1"/>
    <xf numFmtId="0" fontId="7" fillId="0" borderId="40" xfId="6" applyFont="1" applyBorder="1" applyAlignment="1">
      <alignment horizontal="right" wrapText="1"/>
    </xf>
    <xf numFmtId="4" fontId="7" fillId="0" borderId="40" xfId="6" applyNumberFormat="1" applyFont="1" applyBorder="1" applyAlignment="1">
      <alignment horizontal="right" wrapText="1"/>
    </xf>
    <xf numFmtId="0" fontId="8" fillId="0" borderId="40" xfId="6" applyBorder="1" applyAlignment="1">
      <alignment horizontal="right" wrapText="1"/>
    </xf>
    <xf numFmtId="4" fontId="7" fillId="0" borderId="40" xfId="6" applyNumberFormat="1" applyFont="1" applyBorder="1" applyAlignment="1">
      <alignment horizontal="right"/>
    </xf>
    <xf numFmtId="4" fontId="7" fillId="0" borderId="40" xfId="6" applyNumberFormat="1" applyFont="1" applyBorder="1"/>
    <xf numFmtId="0" fontId="8" fillId="0" borderId="48" xfId="6" applyBorder="1" applyAlignment="1">
      <alignment wrapText="1"/>
    </xf>
    <xf numFmtId="0" fontId="8" fillId="0" borderId="2" xfId="6" applyBorder="1" applyAlignment="1">
      <alignment horizontal="center" vertical="center"/>
    </xf>
    <xf numFmtId="44" fontId="7" fillId="0" borderId="2" xfId="6" applyNumberFormat="1" applyFont="1" applyBorder="1"/>
    <xf numFmtId="0" fontId="7" fillId="0" borderId="44" xfId="6" applyFont="1" applyBorder="1"/>
    <xf numFmtId="0" fontId="7" fillId="0" borderId="0" xfId="6" applyFont="1" applyAlignment="1">
      <alignment horizontal="right" wrapText="1"/>
    </xf>
    <xf numFmtId="4" fontId="7" fillId="0" borderId="49" xfId="6" applyNumberFormat="1" applyFont="1" applyBorder="1" applyAlignment="1">
      <alignment horizontal="right" wrapText="1"/>
    </xf>
    <xf numFmtId="0" fontId="8" fillId="0" borderId="49" xfId="6" applyBorder="1" applyAlignment="1">
      <alignment horizontal="right" wrapText="1"/>
    </xf>
    <xf numFmtId="4" fontId="7" fillId="0" borderId="49" xfId="6" applyNumberFormat="1" applyFont="1" applyBorder="1" applyAlignment="1">
      <alignment horizontal="right"/>
    </xf>
    <xf numFmtId="4" fontId="7" fillId="0" borderId="49" xfId="6" applyNumberFormat="1" applyFont="1" applyBorder="1"/>
    <xf numFmtId="0" fontId="8" fillId="0" borderId="41" xfId="6" applyBorder="1" applyAlignment="1">
      <alignment wrapText="1"/>
    </xf>
    <xf numFmtId="1" fontId="8" fillId="0" borderId="2" xfId="6" applyNumberFormat="1" applyBorder="1"/>
    <xf numFmtId="2" fontId="8" fillId="0" borderId="4" xfId="6" applyNumberFormat="1" applyBorder="1"/>
    <xf numFmtId="4" fontId="8" fillId="0" borderId="4" xfId="6" applyNumberFormat="1" applyBorder="1"/>
    <xf numFmtId="4" fontId="8" fillId="0" borderId="26" xfId="6" applyNumberFormat="1" applyBorder="1"/>
    <xf numFmtId="44" fontId="0" fillId="0" borderId="48" xfId="7" applyFont="1" applyBorder="1"/>
    <xf numFmtId="44" fontId="8" fillId="0" borderId="40" xfId="6" applyNumberFormat="1" applyBorder="1"/>
    <xf numFmtId="1" fontId="7" fillId="0" borderId="53" xfId="6" applyNumberFormat="1" applyFont="1" applyBorder="1"/>
    <xf numFmtId="4" fontId="7" fillId="0" borderId="53" xfId="6" applyNumberFormat="1" applyFont="1" applyBorder="1"/>
    <xf numFmtId="0" fontId="8" fillId="0" borderId="53" xfId="6" applyBorder="1" applyAlignment="1">
      <alignment horizontal="center" vertical="center"/>
    </xf>
    <xf numFmtId="44" fontId="7" fillId="0" borderId="53" xfId="6" applyNumberFormat="1" applyFont="1" applyBorder="1"/>
    <xf numFmtId="165" fontId="7" fillId="0" borderId="17" xfId="8" applyNumberFormat="1" applyFont="1" applyBorder="1"/>
    <xf numFmtId="4" fontId="24" fillId="16" borderId="17" xfId="6" applyNumberFormat="1" applyFont="1" applyFill="1" applyBorder="1"/>
    <xf numFmtId="4" fontId="7" fillId="0" borderId="17" xfId="6" applyNumberFormat="1" applyFont="1" applyBorder="1"/>
    <xf numFmtId="4" fontId="14" fillId="0" borderId="17" xfId="6" applyNumberFormat="1" applyFont="1" applyBorder="1"/>
    <xf numFmtId="0" fontId="14" fillId="0" borderId="17" xfId="6" applyFont="1" applyBorder="1"/>
    <xf numFmtId="0" fontId="14" fillId="0" borderId="17" xfId="6" applyFont="1" applyBorder="1" applyAlignment="1">
      <alignment wrapText="1"/>
    </xf>
    <xf numFmtId="0" fontId="8" fillId="0" borderId="17" xfId="6" applyBorder="1"/>
    <xf numFmtId="44" fontId="7" fillId="0" borderId="17" xfId="6" applyNumberFormat="1" applyFont="1" applyBorder="1"/>
    <xf numFmtId="4" fontId="7" fillId="0" borderId="2" xfId="5" applyNumberFormat="1" applyFont="1" applyFill="1" applyBorder="1" applyAlignment="1"/>
    <xf numFmtId="0" fontId="8" fillId="4" borderId="2" xfId="0" applyFont="1" applyFill="1" applyBorder="1" applyAlignment="1">
      <alignment horizontal="left"/>
    </xf>
    <xf numFmtId="165" fontId="8" fillId="0" borderId="2" xfId="1" applyNumberFormat="1" applyFont="1" applyBorder="1" applyAlignment="1">
      <alignment horizontal="right"/>
    </xf>
    <xf numFmtId="165" fontId="8" fillId="3" borderId="2" xfId="1" applyNumberFormat="1" applyFont="1" applyFill="1" applyBorder="1" applyAlignment="1">
      <alignment horizontal="right"/>
    </xf>
    <xf numFmtId="43" fontId="8" fillId="0" borderId="2" xfId="1" applyFont="1" applyBorder="1" applyAlignment="1">
      <alignment horizontal="right"/>
    </xf>
    <xf numFmtId="165" fontId="8" fillId="0" borderId="2" xfId="1" applyNumberFormat="1" applyFont="1" applyBorder="1"/>
    <xf numFmtId="165" fontId="8" fillId="0" borderId="0" xfId="0" applyNumberFormat="1" applyFont="1"/>
    <xf numFmtId="165" fontId="8" fillId="0" borderId="2" xfId="0" applyNumberFormat="1" applyFont="1" applyBorder="1"/>
    <xf numFmtId="0" fontId="7" fillId="4" borderId="2" xfId="0" applyFont="1" applyFill="1" applyBorder="1" applyAlignment="1">
      <alignment horizontal="left"/>
    </xf>
    <xf numFmtId="37" fontId="8" fillId="4" borderId="2" xfId="1" applyNumberFormat="1" applyFont="1" applyFill="1" applyBorder="1" applyAlignment="1">
      <alignment horizontal="right"/>
    </xf>
    <xf numFmtId="165" fontId="8" fillId="4" borderId="2" xfId="1" applyNumberFormat="1" applyFont="1" applyFill="1" applyBorder="1" applyAlignment="1">
      <alignment horizontal="right"/>
    </xf>
    <xf numFmtId="37" fontId="8" fillId="3" borderId="2" xfId="1" applyNumberFormat="1" applyFont="1" applyFill="1" applyBorder="1" applyAlignment="1">
      <alignment horizontal="right"/>
    </xf>
    <xf numFmtId="165" fontId="8" fillId="4" borderId="2" xfId="1" applyNumberFormat="1" applyFont="1" applyFill="1" applyBorder="1"/>
    <xf numFmtId="165" fontId="8" fillId="4" borderId="2" xfId="0" applyNumberFormat="1" applyFont="1" applyFill="1" applyBorder="1"/>
    <xf numFmtId="43" fontId="8" fillId="4" borderId="2" xfId="1" applyFont="1" applyFill="1" applyBorder="1"/>
    <xf numFmtId="1" fontId="8" fillId="4" borderId="2" xfId="1" applyNumberFormat="1" applyFont="1" applyFill="1" applyBorder="1" applyAlignment="1">
      <alignment horizontal="right"/>
    </xf>
    <xf numFmtId="174" fontId="8" fillId="4" borderId="2" xfId="1" applyNumberFormat="1" applyFont="1" applyFill="1" applyBorder="1" applyAlignment="1">
      <alignment horizontal="right"/>
    </xf>
    <xf numFmtId="43" fontId="8" fillId="4" borderId="2" xfId="1" applyFont="1" applyFill="1" applyBorder="1" applyAlignment="1">
      <alignment horizontal="right"/>
    </xf>
    <xf numFmtId="1" fontId="8" fillId="0" borderId="2" xfId="1" applyNumberFormat="1" applyFont="1" applyBorder="1" applyAlignment="1">
      <alignment horizontal="right"/>
    </xf>
    <xf numFmtId="164" fontId="7" fillId="0" borderId="2" xfId="0" applyNumberFormat="1" applyFont="1" applyBorder="1" applyAlignment="1">
      <alignment horizontal="right"/>
    </xf>
    <xf numFmtId="165" fontId="7" fillId="0" borderId="2" xfId="1" applyNumberFormat="1" applyFont="1" applyFill="1" applyBorder="1" applyAlignment="1">
      <alignment horizontal="right"/>
    </xf>
    <xf numFmtId="175" fontId="7" fillId="0" borderId="2" xfId="1" applyNumberFormat="1" applyFont="1" applyFill="1" applyBorder="1" applyAlignment="1">
      <alignment horizontal="right"/>
    </xf>
    <xf numFmtId="37" fontId="7" fillId="0" borderId="2" xfId="1" applyNumberFormat="1" applyFont="1" applyFill="1" applyBorder="1" applyAlignment="1">
      <alignment horizontal="right"/>
    </xf>
    <xf numFmtId="43" fontId="7" fillId="0" borderId="2" xfId="1" applyFont="1" applyFill="1" applyBorder="1" applyAlignment="1">
      <alignment horizontal="right"/>
    </xf>
    <xf numFmtId="176" fontId="8" fillId="0" borderId="2" xfId="1" applyNumberFormat="1" applyFont="1" applyBorder="1" applyAlignment="1">
      <alignment horizontal="right"/>
    </xf>
    <xf numFmtId="165" fontId="7" fillId="6" borderId="2" xfId="1" applyNumberFormat="1" applyFont="1" applyFill="1" applyBorder="1" applyAlignment="1">
      <alignment horizontal="right"/>
    </xf>
    <xf numFmtId="165" fontId="7" fillId="6" borderId="2" xfId="1" applyNumberFormat="1" applyFont="1" applyFill="1" applyBorder="1" applyAlignment="1">
      <alignment horizontal="center"/>
    </xf>
    <xf numFmtId="165" fontId="7" fillId="6" borderId="2" xfId="1" applyNumberFormat="1" applyFont="1" applyFill="1" applyBorder="1"/>
    <xf numFmtId="165" fontId="8" fillId="0" borderId="2" xfId="1" applyNumberFormat="1" applyFont="1" applyFill="1" applyBorder="1"/>
    <xf numFmtId="43" fontId="8" fillId="0" borderId="2" xfId="1" applyFont="1" applyBorder="1"/>
    <xf numFmtId="3" fontId="8" fillId="0" borderId="0" xfId="0" applyNumberFormat="1" applyFont="1"/>
    <xf numFmtId="37" fontId="8" fillId="0" borderId="0" xfId="0" applyNumberFormat="1" applyFont="1"/>
    <xf numFmtId="3" fontId="8" fillId="0" borderId="9" xfId="4" applyNumberFormat="1" applyBorder="1" applyAlignment="1">
      <alignment vertical="center"/>
    </xf>
    <xf numFmtId="167" fontId="8" fillId="0" borderId="9" xfId="4" applyNumberFormat="1" applyBorder="1" applyAlignment="1">
      <alignment horizontal="center" vertical="center"/>
    </xf>
    <xf numFmtId="165" fontId="8" fillId="0" borderId="9" xfId="5" applyNumberFormat="1" applyFont="1" applyFill="1" applyBorder="1" applyAlignment="1">
      <alignment vertical="center"/>
    </xf>
    <xf numFmtId="165" fontId="7" fillId="0" borderId="10" xfId="5" applyNumberFormat="1" applyFont="1" applyFill="1" applyBorder="1" applyAlignment="1">
      <alignment vertical="center"/>
    </xf>
    <xf numFmtId="167" fontId="8" fillId="0" borderId="0" xfId="0" applyNumberFormat="1" applyFont="1"/>
    <xf numFmtId="3" fontId="8" fillId="0" borderId="12" xfId="4" applyNumberFormat="1" applyBorder="1" applyAlignment="1">
      <alignment vertical="center"/>
    </xf>
    <xf numFmtId="173" fontId="8" fillId="0" borderId="12" xfId="4" applyNumberFormat="1" applyBorder="1" applyAlignment="1">
      <alignment horizontal="center" vertical="center"/>
    </xf>
    <xf numFmtId="165" fontId="8" fillId="0" borderId="12" xfId="4" applyNumberFormat="1" applyBorder="1" applyAlignment="1">
      <alignment vertical="center"/>
    </xf>
    <xf numFmtId="3" fontId="7" fillId="0" borderId="13" xfId="4" applyNumberFormat="1" applyFont="1" applyBorder="1" applyAlignment="1">
      <alignment vertical="center"/>
    </xf>
    <xf numFmtId="3" fontId="7" fillId="0" borderId="6" xfId="4" applyNumberFormat="1" applyFont="1" applyBorder="1" applyAlignment="1">
      <alignment vertical="center"/>
    </xf>
    <xf numFmtId="167" fontId="8" fillId="0" borderId="6" xfId="4" applyNumberFormat="1" applyBorder="1" applyAlignment="1">
      <alignment horizontal="center" vertical="center"/>
    </xf>
    <xf numFmtId="165" fontId="7" fillId="0" borderId="6" xfId="4" applyNumberFormat="1" applyFont="1" applyBorder="1" applyAlignment="1">
      <alignment vertical="center"/>
    </xf>
    <xf numFmtId="173" fontId="8" fillId="0" borderId="7" xfId="4" applyNumberFormat="1" applyBorder="1" applyAlignment="1">
      <alignment horizontal="center" vertical="center"/>
    </xf>
    <xf numFmtId="165" fontId="7" fillId="0" borderId="8" xfId="4" applyNumberFormat="1" applyFont="1" applyBorder="1" applyAlignment="1">
      <alignment vertical="center"/>
    </xf>
    <xf numFmtId="43" fontId="8" fillId="0" borderId="0" xfId="0" applyNumberFormat="1" applyFont="1"/>
    <xf numFmtId="165" fontId="7" fillId="0" borderId="17" xfId="5" applyNumberFormat="1" applyFont="1" applyFill="1" applyBorder="1" applyAlignment="1"/>
    <xf numFmtId="165" fontId="7" fillId="0" borderId="18" xfId="1" applyNumberFormat="1" applyFont="1" applyFill="1" applyBorder="1" applyAlignment="1"/>
    <xf numFmtId="165" fontId="7" fillId="0" borderId="2" xfId="5" applyNumberFormat="1" applyFont="1" applyFill="1" applyBorder="1" applyAlignment="1"/>
    <xf numFmtId="165" fontId="7" fillId="0" borderId="20" xfId="1" applyNumberFormat="1" applyFont="1" applyFill="1" applyBorder="1" applyAlignment="1"/>
    <xf numFmtId="165" fontId="7" fillId="0" borderId="12" xfId="5" applyNumberFormat="1" applyFont="1" applyFill="1" applyBorder="1" applyAlignment="1"/>
    <xf numFmtId="165" fontId="7" fillId="0" borderId="22" xfId="5" applyNumberFormat="1" applyFont="1" applyFill="1" applyBorder="1" applyAlignment="1"/>
    <xf numFmtId="0" fontId="12" fillId="0" borderId="2" xfId="0" applyFont="1" applyBorder="1" applyAlignment="1">
      <alignment horizontal="left"/>
    </xf>
    <xf numFmtId="0" fontId="17" fillId="0" borderId="2" xfId="0" applyFont="1" applyBorder="1" applyAlignment="1">
      <alignment horizontal="left"/>
    </xf>
    <xf numFmtId="0" fontId="17" fillId="0" borderId="2" xfId="0" applyFont="1" applyBorder="1" applyAlignment="1">
      <alignment horizontal="right"/>
    </xf>
    <xf numFmtId="165" fontId="17" fillId="0" borderId="2" xfId="1" applyNumberFormat="1" applyFont="1" applyBorder="1" applyAlignment="1">
      <alignment horizontal="right"/>
    </xf>
    <xf numFmtId="165" fontId="17" fillId="3" borderId="2" xfId="1" applyNumberFormat="1" applyFont="1" applyFill="1" applyBorder="1" applyAlignment="1">
      <alignment horizontal="right"/>
    </xf>
    <xf numFmtId="165" fontId="23" fillId="0" borderId="2" xfId="1" applyNumberFormat="1" applyFont="1" applyBorder="1" applyAlignment="1">
      <alignment horizontal="right"/>
    </xf>
    <xf numFmtId="0" fontId="17" fillId="0" borderId="2" xfId="0" applyFont="1" applyBorder="1" applyAlignment="1">
      <alignment wrapText="1"/>
    </xf>
    <xf numFmtId="165" fontId="17" fillId="0" borderId="2" xfId="1" applyNumberFormat="1" applyFont="1" applyBorder="1"/>
    <xf numFmtId="165" fontId="17" fillId="0" borderId="2" xfId="0" applyNumberFormat="1" applyFont="1" applyBorder="1"/>
    <xf numFmtId="0" fontId="17" fillId="0" borderId="2" xfId="0" applyFont="1" applyBorder="1" applyAlignment="1">
      <alignment horizontal="left" wrapText="1"/>
    </xf>
    <xf numFmtId="165" fontId="17" fillId="0" borderId="2" xfId="1" applyNumberFormat="1" applyFont="1" applyFill="1" applyBorder="1" applyAlignment="1">
      <alignment horizontal="right"/>
    </xf>
    <xf numFmtId="165" fontId="17" fillId="0" borderId="2" xfId="1" applyNumberFormat="1" applyFont="1" applyFill="1" applyBorder="1"/>
    <xf numFmtId="174" fontId="17" fillId="0" borderId="2" xfId="1" applyNumberFormat="1" applyFont="1" applyBorder="1" applyAlignment="1">
      <alignment horizontal="right"/>
    </xf>
    <xf numFmtId="0" fontId="17" fillId="0" borderId="2" xfId="0" applyFont="1" applyBorder="1" applyAlignment="1">
      <alignment horizontal="right" wrapText="1"/>
    </xf>
    <xf numFmtId="0" fontId="8" fillId="0" borderId="2" xfId="4" applyBorder="1" applyAlignment="1">
      <alignment horizontal="left" wrapText="1"/>
    </xf>
    <xf numFmtId="0" fontId="8" fillId="0" borderId="2" xfId="4" applyBorder="1" applyAlignment="1">
      <alignment horizontal="right"/>
    </xf>
    <xf numFmtId="165" fontId="12" fillId="6" borderId="2" xfId="1" applyNumberFormat="1" applyFont="1" applyFill="1" applyBorder="1" applyAlignment="1">
      <alignment horizontal="right"/>
    </xf>
    <xf numFmtId="175" fontId="12" fillId="6" borderId="2" xfId="1" applyNumberFormat="1" applyFont="1" applyFill="1" applyBorder="1" applyAlignment="1">
      <alignment horizontal="right"/>
    </xf>
    <xf numFmtId="165" fontId="12" fillId="6" borderId="2" xfId="1" applyNumberFormat="1" applyFont="1" applyFill="1" applyBorder="1" applyAlignment="1">
      <alignment horizontal="center"/>
    </xf>
    <xf numFmtId="0" fontId="12" fillId="17" borderId="2" xfId="0" applyFont="1" applyFill="1" applyBorder="1"/>
    <xf numFmtId="165" fontId="12" fillId="17" borderId="2" xfId="1" applyNumberFormat="1" applyFont="1" applyFill="1" applyBorder="1" applyAlignment="1">
      <alignment horizontal="right"/>
    </xf>
    <xf numFmtId="0" fontId="17" fillId="17" borderId="2" xfId="0" applyFont="1" applyFill="1" applyBorder="1"/>
    <xf numFmtId="3" fontId="20" fillId="0" borderId="9" xfId="4" applyNumberFormat="1" applyFont="1" applyBorder="1" applyAlignment="1">
      <alignment vertical="center"/>
    </xf>
    <xf numFmtId="167" fontId="20" fillId="0" borderId="9" xfId="4" applyNumberFormat="1" applyFont="1" applyBorder="1" applyAlignment="1">
      <alignment horizontal="center" vertical="center"/>
    </xf>
    <xf numFmtId="165" fontId="20" fillId="0" borderId="9" xfId="5" applyNumberFormat="1" applyFont="1" applyBorder="1" applyAlignment="1">
      <alignment vertical="center"/>
    </xf>
    <xf numFmtId="165" fontId="21" fillId="0" borderId="10" xfId="5" applyNumberFormat="1" applyFont="1" applyBorder="1" applyAlignment="1">
      <alignment vertical="center"/>
    </xf>
    <xf numFmtId="3" fontId="20" fillId="0" borderId="12" xfId="4" applyNumberFormat="1" applyFont="1" applyBorder="1" applyAlignment="1">
      <alignment vertical="center"/>
    </xf>
    <xf numFmtId="173" fontId="20" fillId="0" borderId="12" xfId="4" applyNumberFormat="1" applyFont="1" applyBorder="1" applyAlignment="1">
      <alignment horizontal="center" vertical="center"/>
    </xf>
    <xf numFmtId="3" fontId="21" fillId="0" borderId="13" xfId="4" applyNumberFormat="1" applyFont="1" applyBorder="1" applyAlignment="1">
      <alignment vertical="center"/>
    </xf>
    <xf numFmtId="165" fontId="7" fillId="0" borderId="17" xfId="5" applyNumberFormat="1" applyFont="1" applyBorder="1" applyAlignment="1"/>
    <xf numFmtId="165" fontId="7" fillId="0" borderId="18" xfId="1" applyNumberFormat="1" applyFont="1" applyBorder="1" applyAlignment="1"/>
    <xf numFmtId="165" fontId="7" fillId="0" borderId="2" xfId="5" applyNumberFormat="1" applyFont="1" applyBorder="1" applyAlignment="1"/>
    <xf numFmtId="165" fontId="7" fillId="0" borderId="20" xfId="1" applyNumberFormat="1" applyFont="1" applyBorder="1" applyAlignment="1"/>
    <xf numFmtId="165" fontId="7" fillId="0" borderId="12" xfId="5" applyNumberFormat="1" applyFont="1" applyBorder="1" applyAlignment="1"/>
    <xf numFmtId="165" fontId="7" fillId="0" borderId="22" xfId="5" applyNumberFormat="1" applyFont="1" applyBorder="1" applyAlignment="1"/>
    <xf numFmtId="0" fontId="7" fillId="0" borderId="26" xfId="4" applyFont="1" applyBorder="1" applyAlignment="1">
      <alignment horizontal="center" vertical="center" wrapText="1"/>
    </xf>
    <xf numFmtId="0" fontId="7" fillId="0" borderId="30" xfId="4" applyFont="1" applyBorder="1" applyAlignment="1">
      <alignment horizontal="center" vertical="center" wrapText="1"/>
    </xf>
    <xf numFmtId="0" fontId="7" fillId="0" borderId="0" xfId="4" applyFont="1" applyAlignment="1">
      <alignment horizontal="center" vertical="center" wrapText="1"/>
    </xf>
    <xf numFmtId="0" fontId="8" fillId="0" borderId="0" xfId="4" applyAlignment="1">
      <alignment horizontal="center" vertical="center" wrapText="1"/>
    </xf>
    <xf numFmtId="0" fontId="8" fillId="0" borderId="29" xfId="4" applyBorder="1" applyAlignment="1">
      <alignment horizontal="center" vertical="center" wrapText="1"/>
    </xf>
    <xf numFmtId="0" fontId="7" fillId="18" borderId="3" xfId="4" applyFont="1" applyFill="1" applyBorder="1" applyAlignment="1">
      <alignment horizontal="left"/>
    </xf>
    <xf numFmtId="0" fontId="7" fillId="18" borderId="4" xfId="4" applyFont="1" applyFill="1" applyBorder="1" applyAlignment="1">
      <alignment horizontal="left"/>
    </xf>
    <xf numFmtId="0" fontId="7" fillId="18" borderId="5" xfId="4" applyFont="1" applyFill="1" applyBorder="1" applyAlignment="1">
      <alignment horizontal="left"/>
    </xf>
    <xf numFmtId="0" fontId="8" fillId="0" borderId="0" xfId="4"/>
    <xf numFmtId="0" fontId="7" fillId="0" borderId="3" xfId="4" applyFont="1" applyBorder="1"/>
    <xf numFmtId="0" fontId="7" fillId="0" borderId="4" xfId="4" applyFont="1" applyBorder="1"/>
    <xf numFmtId="0" fontId="8" fillId="0" borderId="4" xfId="4" applyBorder="1"/>
    <xf numFmtId="0" fontId="8" fillId="0" borderId="5" xfId="4" applyBorder="1"/>
    <xf numFmtId="0" fontId="7" fillId="0" borderId="27" xfId="4" applyFont="1" applyBorder="1"/>
    <xf numFmtId="0" fontId="8" fillId="0" borderId="54" xfId="4" applyBorder="1"/>
    <xf numFmtId="0" fontId="8" fillId="0" borderId="27" xfId="4" applyBorder="1"/>
    <xf numFmtId="177" fontId="8" fillId="0" borderId="27" xfId="4" applyNumberFormat="1" applyBorder="1"/>
    <xf numFmtId="3" fontId="8" fillId="0" borderId="0" xfId="4" applyNumberFormat="1"/>
    <xf numFmtId="0" fontId="7" fillId="0" borderId="27" xfId="4" applyFont="1" applyBorder="1" applyAlignment="1">
      <alignment horizontal="left"/>
    </xf>
    <xf numFmtId="0" fontId="8" fillId="0" borderId="54" xfId="4" applyBorder="1" applyAlignment="1">
      <alignment wrapText="1"/>
    </xf>
    <xf numFmtId="1" fontId="8" fillId="0" borderId="0" xfId="4" applyNumberFormat="1"/>
    <xf numFmtId="0" fontId="8" fillId="0" borderId="1" xfId="4" applyBorder="1"/>
    <xf numFmtId="177" fontId="8" fillId="0" borderId="54" xfId="4" applyNumberFormat="1" applyBorder="1"/>
    <xf numFmtId="0" fontId="7" fillId="0" borderId="14" xfId="4" applyFont="1" applyBorder="1"/>
    <xf numFmtId="0" fontId="7" fillId="0" borderId="55" xfId="4" applyFont="1" applyBorder="1"/>
    <xf numFmtId="3" fontId="7" fillId="0" borderId="6" xfId="4" applyNumberFormat="1" applyFont="1" applyBorder="1"/>
    <xf numFmtId="0" fontId="7" fillId="0" borderId="6" xfId="4" applyFont="1" applyBorder="1"/>
    <xf numFmtId="3" fontId="7" fillId="0" borderId="55" xfId="4" applyNumberFormat="1" applyFont="1" applyBorder="1"/>
    <xf numFmtId="4" fontId="7" fillId="0" borderId="6" xfId="4" applyNumberFormat="1" applyFont="1" applyBorder="1"/>
    <xf numFmtId="3" fontId="7" fillId="0" borderId="47" xfId="5" applyNumberFormat="1" applyFont="1" applyBorder="1"/>
    <xf numFmtId="3" fontId="7" fillId="0" borderId="0" xfId="4" applyNumberFormat="1" applyFont="1"/>
    <xf numFmtId="0" fontId="7" fillId="19" borderId="44" xfId="4" applyFont="1" applyFill="1" applyBorder="1"/>
    <xf numFmtId="0" fontId="7" fillId="19" borderId="56" xfId="4" applyFont="1" applyFill="1" applyBorder="1"/>
    <xf numFmtId="0" fontId="7" fillId="19" borderId="57" xfId="4" applyFont="1" applyFill="1" applyBorder="1"/>
    <xf numFmtId="3" fontId="7" fillId="0" borderId="27" xfId="4" applyNumberFormat="1" applyFont="1" applyBorder="1"/>
    <xf numFmtId="178" fontId="7" fillId="0" borderId="27" xfId="4" applyNumberFormat="1" applyFont="1" applyBorder="1"/>
    <xf numFmtId="4" fontId="7" fillId="0" borderId="27" xfId="4" applyNumberFormat="1" applyFont="1" applyBorder="1"/>
    <xf numFmtId="3" fontId="8" fillId="0" borderId="27" xfId="4" applyNumberFormat="1" applyBorder="1"/>
    <xf numFmtId="4" fontId="8" fillId="0" borderId="27" xfId="4" applyNumberFormat="1" applyBorder="1"/>
    <xf numFmtId="0" fontId="7" fillId="0" borderId="17" xfId="4" applyFont="1" applyBorder="1"/>
    <xf numFmtId="3" fontId="7" fillId="0" borderId="17" xfId="4" applyNumberFormat="1" applyFont="1" applyBorder="1"/>
    <xf numFmtId="4" fontId="7" fillId="0" borderId="17" xfId="4" applyNumberFormat="1" applyFont="1" applyBorder="1"/>
    <xf numFmtId="0" fontId="7" fillId="20" borderId="3" xfId="4" applyFont="1" applyFill="1" applyBorder="1"/>
    <xf numFmtId="0" fontId="7" fillId="20" borderId="4" xfId="4" applyFont="1" applyFill="1" applyBorder="1"/>
    <xf numFmtId="0" fontId="7" fillId="20" borderId="5" xfId="4" applyFont="1" applyFill="1" applyBorder="1"/>
    <xf numFmtId="0" fontId="7" fillId="0" borderId="26" xfId="4" applyFont="1" applyBorder="1"/>
    <xf numFmtId="3" fontId="8" fillId="0" borderId="26" xfId="4" applyNumberFormat="1" applyBorder="1"/>
    <xf numFmtId="4" fontId="8" fillId="0" borderId="26" xfId="4" applyNumberFormat="1" applyBorder="1"/>
    <xf numFmtId="0" fontId="7" fillId="21" borderId="3" xfId="4" applyFont="1" applyFill="1" applyBorder="1" applyAlignment="1">
      <alignment horizontal="left"/>
    </xf>
    <xf numFmtId="0" fontId="7" fillId="21" borderId="4" xfId="4" applyFont="1" applyFill="1" applyBorder="1" applyAlignment="1">
      <alignment horizontal="left"/>
    </xf>
    <xf numFmtId="0" fontId="7" fillId="21" borderId="5" xfId="4" applyFont="1" applyFill="1" applyBorder="1" applyAlignment="1">
      <alignment horizontal="left"/>
    </xf>
    <xf numFmtId="0" fontId="7" fillId="0" borderId="5" xfId="4" applyFont="1" applyBorder="1"/>
    <xf numFmtId="3" fontId="8" fillId="0" borderId="54" xfId="4" applyNumberFormat="1" applyBorder="1"/>
    <xf numFmtId="0" fontId="7" fillId="22" borderId="2" xfId="4" applyFont="1" applyFill="1" applyBorder="1"/>
    <xf numFmtId="3" fontId="7" fillId="22" borderId="2" xfId="4" applyNumberFormat="1" applyFont="1" applyFill="1" applyBorder="1"/>
    <xf numFmtId="2" fontId="7" fillId="22" borderId="2" xfId="4" applyNumberFormat="1" applyFont="1" applyFill="1" applyBorder="1"/>
    <xf numFmtId="0" fontId="7" fillId="0" borderId="40" xfId="4" applyFont="1" applyBorder="1"/>
    <xf numFmtId="3" fontId="7" fillId="0" borderId="40" xfId="4" applyNumberFormat="1" applyFont="1" applyBorder="1"/>
    <xf numFmtId="2" fontId="7" fillId="0" borderId="40" xfId="4" applyNumberFormat="1" applyFont="1" applyBorder="1"/>
    <xf numFmtId="0" fontId="8" fillId="0" borderId="58" xfId="4" applyBorder="1"/>
    <xf numFmtId="178" fontId="8" fillId="0" borderId="0" xfId="4" applyNumberFormat="1"/>
    <xf numFmtId="0" fontId="8" fillId="0" borderId="44" xfId="4" applyBorder="1"/>
    <xf numFmtId="0" fontId="10" fillId="4" borderId="2" xfId="0" applyFont="1" applyFill="1" applyBorder="1"/>
    <xf numFmtId="0" fontId="10" fillId="4" borderId="2" xfId="0" applyFont="1" applyFill="1" applyBorder="1" applyAlignment="1">
      <alignment wrapText="1"/>
    </xf>
    <xf numFmtId="0" fontId="36" fillId="4" borderId="0" xfId="0" applyFont="1" applyFill="1"/>
    <xf numFmtId="0" fontId="10" fillId="4" borderId="2" xfId="0" applyFont="1" applyFill="1" applyBorder="1" applyAlignment="1">
      <alignment horizontal="left" vertical="center" wrapText="1"/>
    </xf>
    <xf numFmtId="0" fontId="10" fillId="4" borderId="2" xfId="0" applyFont="1" applyFill="1" applyBorder="1" applyAlignment="1">
      <alignment horizontal="left" vertical="center"/>
    </xf>
    <xf numFmtId="3" fontId="6" fillId="4" borderId="2" xfId="0" applyNumberFormat="1" applyFont="1" applyFill="1" applyBorder="1"/>
    <xf numFmtId="0" fontId="6" fillId="4" borderId="2" xfId="0" applyFont="1" applyFill="1" applyBorder="1"/>
    <xf numFmtId="3" fontId="0" fillId="4" borderId="2" xfId="0" applyNumberFormat="1" applyFill="1" applyBorder="1"/>
    <xf numFmtId="0" fontId="0" fillId="4" borderId="2" xfId="0" applyFill="1" applyBorder="1"/>
    <xf numFmtId="10" fontId="0" fillId="4" borderId="2" xfId="3" applyNumberFormat="1" applyFont="1" applyFill="1" applyBorder="1"/>
    <xf numFmtId="0" fontId="0" fillId="4" borderId="2" xfId="0" applyFill="1" applyBorder="1" applyAlignment="1">
      <alignment wrapText="1"/>
    </xf>
    <xf numFmtId="9" fontId="0" fillId="4" borderId="2" xfId="3" applyFont="1" applyFill="1" applyBorder="1"/>
    <xf numFmtId="165" fontId="0" fillId="4" borderId="2" xfId="1" applyNumberFormat="1" applyFont="1" applyFill="1" applyBorder="1"/>
    <xf numFmtId="165" fontId="0" fillId="4" borderId="2" xfId="0" applyNumberFormat="1" applyFill="1" applyBorder="1"/>
    <xf numFmtId="0" fontId="2" fillId="4" borderId="2" xfId="0" applyFont="1" applyFill="1" applyBorder="1" applyAlignment="1">
      <alignment wrapText="1"/>
    </xf>
    <xf numFmtId="0" fontId="2" fillId="4" borderId="2" xfId="0" applyFont="1" applyFill="1" applyBorder="1" applyAlignment="1">
      <alignment vertical="center"/>
    </xf>
    <xf numFmtId="0" fontId="36" fillId="4" borderId="0" xfId="0" applyFont="1" applyFill="1" applyAlignment="1">
      <alignment vertical="center" wrapText="1"/>
    </xf>
    <xf numFmtId="0" fontId="25" fillId="4" borderId="0" xfId="0" applyFont="1" applyFill="1" applyAlignment="1">
      <alignment vertical="top" wrapText="1"/>
    </xf>
    <xf numFmtId="0" fontId="10" fillId="4" borderId="26" xfId="0" applyFont="1" applyFill="1" applyBorder="1" applyAlignment="1">
      <alignment horizontal="left" vertical="center" wrapText="1"/>
    </xf>
    <xf numFmtId="165" fontId="6" fillId="4" borderId="2" xfId="1" applyNumberFormat="1" applyFont="1" applyFill="1" applyBorder="1"/>
    <xf numFmtId="0" fontId="37" fillId="4" borderId="0" xfId="0" applyFont="1" applyFill="1" applyAlignment="1">
      <alignment vertical="center"/>
    </xf>
    <xf numFmtId="0" fontId="37" fillId="0" borderId="0" xfId="0" applyFont="1" applyAlignment="1">
      <alignment vertical="center"/>
    </xf>
    <xf numFmtId="179" fontId="8" fillId="0" borderId="2" xfId="1" applyNumberFormat="1" applyFont="1" applyFill="1" applyBorder="1" applyAlignment="1">
      <alignment horizontal="right" vertical="center"/>
    </xf>
    <xf numFmtId="179" fontId="8" fillId="0" borderId="2" xfId="1" applyNumberFormat="1" applyFont="1" applyBorder="1" applyAlignment="1">
      <alignment horizontal="right" vertical="center"/>
    </xf>
    <xf numFmtId="180" fontId="8" fillId="0" borderId="2" xfId="1" applyNumberFormat="1" applyFont="1" applyBorder="1" applyAlignment="1">
      <alignment horizontal="right" vertical="center"/>
    </xf>
    <xf numFmtId="181" fontId="8" fillId="0" borderId="2" xfId="1" applyNumberFormat="1" applyFont="1" applyBorder="1" applyAlignment="1">
      <alignment horizontal="right" vertical="center"/>
    </xf>
    <xf numFmtId="4" fontId="8" fillId="4" borderId="2" xfId="0" applyNumberFormat="1" applyFont="1" applyFill="1" applyBorder="1" applyAlignment="1">
      <alignment vertical="center" wrapText="1"/>
    </xf>
    <xf numFmtId="2" fontId="7" fillId="13" borderId="2" xfId="1" applyNumberFormat="1" applyFont="1" applyFill="1" applyBorder="1" applyAlignment="1">
      <alignment horizontal="right" vertical="center"/>
    </xf>
    <xf numFmtId="0" fontId="6" fillId="4" borderId="0" xfId="0" applyFont="1" applyFill="1" applyAlignment="1">
      <alignment wrapText="1"/>
    </xf>
    <xf numFmtId="4" fontId="10" fillId="4" borderId="0" xfId="0" applyNumberFormat="1" applyFont="1" applyFill="1"/>
    <xf numFmtId="4" fontId="6" fillId="4" borderId="0" xfId="0" applyNumberFormat="1" applyFont="1" applyFill="1"/>
    <xf numFmtId="39" fontId="6" fillId="4" borderId="0" xfId="0" applyNumberFormat="1" applyFont="1" applyFill="1"/>
    <xf numFmtId="43" fontId="6" fillId="4" borderId="0" xfId="0" applyNumberFormat="1" applyFont="1" applyFill="1"/>
    <xf numFmtId="44" fontId="6" fillId="4" borderId="0" xfId="2" applyFont="1" applyFill="1"/>
    <xf numFmtId="44" fontId="6" fillId="4" borderId="0" xfId="0" applyNumberFormat="1" applyFont="1" applyFill="1"/>
    <xf numFmtId="0" fontId="8" fillId="4" borderId="2" xfId="0" applyFont="1" applyFill="1" applyBorder="1" applyAlignment="1">
      <alignment horizontal="right" vertical="center"/>
    </xf>
    <xf numFmtId="4" fontId="8" fillId="4" borderId="0" xfId="0" applyNumberFormat="1" applyFont="1" applyFill="1"/>
    <xf numFmtId="3" fontId="7" fillId="14" borderId="2" xfId="1" applyNumberFormat="1" applyFont="1" applyFill="1" applyBorder="1" applyAlignment="1">
      <alignment horizontal="right" vertical="center"/>
    </xf>
    <xf numFmtId="0" fontId="39" fillId="0" borderId="0" xfId="0" applyFont="1"/>
    <xf numFmtId="0" fontId="2" fillId="0" borderId="50" xfId="0" applyFont="1" applyBorder="1"/>
    <xf numFmtId="44" fontId="0" fillId="0" borderId="52" xfId="0" applyNumberFormat="1" applyBorder="1"/>
    <xf numFmtId="0" fontId="2" fillId="0" borderId="59" xfId="0" applyFont="1" applyBorder="1"/>
    <xf numFmtId="44" fontId="0" fillId="0" borderId="60" xfId="0" applyNumberFormat="1" applyBorder="1"/>
    <xf numFmtId="0" fontId="2" fillId="0" borderId="61" xfId="0" applyFont="1" applyBorder="1"/>
    <xf numFmtId="44" fontId="0" fillId="0" borderId="62" xfId="0" applyNumberFormat="1" applyBorder="1"/>
    <xf numFmtId="0" fontId="0" fillId="0" borderId="50" xfId="0" applyBorder="1"/>
    <xf numFmtId="44" fontId="0" fillId="0" borderId="52" xfId="2" applyFont="1" applyBorder="1"/>
    <xf numFmtId="0" fontId="0" fillId="0" borderId="59" xfId="0" applyBorder="1"/>
    <xf numFmtId="44" fontId="0" fillId="0" borderId="60" xfId="2" applyFont="1" applyBorder="1"/>
    <xf numFmtId="0" fontId="0" fillId="0" borderId="61" xfId="0" applyBorder="1"/>
    <xf numFmtId="44" fontId="0" fillId="0" borderId="62" xfId="2" applyFont="1" applyBorder="1"/>
    <xf numFmtId="0" fontId="2" fillId="0" borderId="50" xfId="0" applyFont="1" applyBorder="1" applyAlignment="1">
      <alignment wrapText="1"/>
    </xf>
    <xf numFmtId="0" fontId="2" fillId="0" borderId="51" xfId="0" applyFont="1" applyBorder="1" applyAlignment="1">
      <alignment wrapText="1"/>
    </xf>
    <xf numFmtId="0" fontId="2" fillId="0" borderId="52" xfId="0" applyFont="1" applyBorder="1" applyAlignment="1">
      <alignment wrapText="1"/>
    </xf>
    <xf numFmtId="44" fontId="0" fillId="0" borderId="0" xfId="2" applyFont="1" applyBorder="1"/>
    <xf numFmtId="4" fontId="0" fillId="0" borderId="63" xfId="0" applyNumberFormat="1" applyBorder="1"/>
    <xf numFmtId="44" fontId="0" fillId="0" borderId="63" xfId="2" applyFont="1" applyBorder="1"/>
    <xf numFmtId="0" fontId="2" fillId="0" borderId="51" xfId="0" applyFont="1" applyBorder="1"/>
    <xf numFmtId="0" fontId="2" fillId="0" borderId="52" xfId="0" applyFont="1" applyBorder="1"/>
    <xf numFmtId="0" fontId="0" fillId="0" borderId="63" xfId="0" applyBorder="1"/>
    <xf numFmtId="44" fontId="0" fillId="0" borderId="63" xfId="0" applyNumberFormat="1" applyBorder="1"/>
    <xf numFmtId="0" fontId="0" fillId="3" borderId="61" xfId="0" applyFill="1" applyBorder="1"/>
    <xf numFmtId="44" fontId="0" fillId="3" borderId="62" xfId="2" applyFont="1" applyFill="1" applyBorder="1"/>
    <xf numFmtId="44" fontId="0" fillId="3" borderId="62" xfId="0" applyNumberFormat="1" applyFill="1" applyBorder="1"/>
    <xf numFmtId="0" fontId="31" fillId="0" borderId="2" xfId="0" applyFont="1" applyBorder="1" applyAlignment="1">
      <alignment horizontal="center" vertical="center" wrapText="1"/>
    </xf>
    <xf numFmtId="0" fontId="7" fillId="4" borderId="6" xfId="4" applyFont="1" applyFill="1" applyBorder="1" applyAlignment="1">
      <alignment horizontal="center" vertical="center" wrapText="1"/>
    </xf>
    <xf numFmtId="0" fontId="7" fillId="4" borderId="15" xfId="4" applyFont="1" applyFill="1" applyBorder="1" applyAlignment="1">
      <alignment horizontal="center" vertical="center" wrapText="1"/>
    </xf>
    <xf numFmtId="0" fontId="7" fillId="4" borderId="7" xfId="4" applyFont="1" applyFill="1" applyBorder="1" applyAlignment="1">
      <alignment horizontal="center" vertical="center" wrapText="1"/>
    </xf>
    <xf numFmtId="0" fontId="7" fillId="4" borderId="8" xfId="4" applyFont="1" applyFill="1" applyBorder="1" applyAlignment="1">
      <alignment horizontal="center" vertical="center" wrapText="1"/>
    </xf>
    <xf numFmtId="3" fontId="9" fillId="14" borderId="2" xfId="1" applyNumberFormat="1" applyFont="1" applyFill="1" applyBorder="1" applyAlignment="1">
      <alignment horizontal="right" vertical="center"/>
    </xf>
    <xf numFmtId="3" fontId="8" fillId="4" borderId="0" xfId="0" applyNumberFormat="1" applyFont="1" applyFill="1"/>
    <xf numFmtId="180" fontId="8" fillId="4" borderId="0" xfId="0" applyNumberFormat="1" applyFont="1" applyFill="1"/>
    <xf numFmtId="181" fontId="8" fillId="0" borderId="2" xfId="1" applyNumberFormat="1" applyFont="1" applyFill="1" applyBorder="1" applyAlignment="1">
      <alignment horizontal="right" vertical="center"/>
    </xf>
    <xf numFmtId="0" fontId="7" fillId="12" borderId="2" xfId="0" applyFont="1" applyFill="1" applyBorder="1" applyAlignment="1">
      <alignment vertical="center"/>
    </xf>
    <xf numFmtId="4" fontId="7" fillId="12" borderId="2" xfId="1" applyNumberFormat="1" applyFont="1" applyFill="1" applyBorder="1" applyAlignment="1">
      <alignment horizontal="right" vertical="center"/>
    </xf>
    <xf numFmtId="2" fontId="12" fillId="12" borderId="2" xfId="1" applyNumberFormat="1" applyFont="1" applyFill="1" applyBorder="1" applyAlignment="1">
      <alignment horizontal="right" vertical="center"/>
    </xf>
    <xf numFmtId="2" fontId="7" fillId="12" borderId="2" xfId="1" applyNumberFormat="1" applyFont="1" applyFill="1" applyBorder="1" applyAlignment="1">
      <alignment horizontal="right" vertical="center"/>
    </xf>
    <xf numFmtId="0" fontId="7" fillId="12" borderId="2" xfId="0" applyFont="1" applyFill="1" applyBorder="1" applyAlignment="1">
      <alignment horizontal="right" vertical="center"/>
    </xf>
    <xf numFmtId="3" fontId="8" fillId="4" borderId="9" xfId="4" applyNumberFormat="1" applyFill="1" applyBorder="1" applyAlignment="1">
      <alignment vertical="center"/>
    </xf>
    <xf numFmtId="3" fontId="8" fillId="4" borderId="12" xfId="4" applyNumberFormat="1" applyFill="1" applyBorder="1" applyAlignment="1">
      <alignment vertical="center"/>
    </xf>
    <xf numFmtId="3" fontId="7" fillId="4" borderId="6" xfId="4" applyNumberFormat="1" applyFont="1" applyFill="1" applyBorder="1" applyAlignment="1">
      <alignment vertical="center"/>
    </xf>
    <xf numFmtId="3" fontId="7" fillId="4" borderId="10" xfId="5" applyNumberFormat="1" applyFont="1" applyFill="1" applyBorder="1" applyAlignment="1">
      <alignment vertical="center"/>
    </xf>
    <xf numFmtId="3" fontId="7" fillId="4" borderId="13" xfId="4" applyNumberFormat="1" applyFont="1" applyFill="1" applyBorder="1" applyAlignment="1">
      <alignment vertical="center"/>
    </xf>
    <xf numFmtId="3" fontId="7" fillId="4" borderId="8" xfId="4" applyNumberFormat="1" applyFont="1" applyFill="1" applyBorder="1" applyAlignment="1">
      <alignment vertical="center"/>
    </xf>
    <xf numFmtId="4" fontId="8" fillId="4" borderId="9" xfId="4" applyNumberFormat="1" applyFill="1" applyBorder="1" applyAlignment="1">
      <alignment horizontal="right" vertical="center"/>
    </xf>
    <xf numFmtId="3" fontId="8" fillId="4" borderId="9" xfId="5" applyNumberFormat="1" applyFont="1" applyFill="1" applyBorder="1" applyAlignment="1">
      <alignment horizontal="right" vertical="center"/>
    </xf>
    <xf numFmtId="4" fontId="8" fillId="4" borderId="12" xfId="4" applyNumberFormat="1" applyFill="1" applyBorder="1" applyAlignment="1">
      <alignment horizontal="right" vertical="center"/>
    </xf>
    <xf numFmtId="3" fontId="8" fillId="4" borderId="12" xfId="4" applyNumberFormat="1" applyFill="1" applyBorder="1" applyAlignment="1">
      <alignment horizontal="right" vertical="center"/>
    </xf>
    <xf numFmtId="4" fontId="7" fillId="4" borderId="6" xfId="4" applyNumberFormat="1" applyFont="1" applyFill="1" applyBorder="1" applyAlignment="1">
      <alignment horizontal="right" vertical="center"/>
    </xf>
    <xf numFmtId="3" fontId="7" fillId="4" borderId="6" xfId="4" applyNumberFormat="1" applyFont="1" applyFill="1" applyBorder="1" applyAlignment="1">
      <alignment horizontal="right" vertical="center"/>
    </xf>
    <xf numFmtId="4" fontId="7" fillId="4" borderId="7" xfId="4" applyNumberFormat="1" applyFont="1" applyFill="1" applyBorder="1" applyAlignment="1">
      <alignment horizontal="right" vertical="center"/>
    </xf>
    <xf numFmtId="3" fontId="7" fillId="4" borderId="17" xfId="5" applyNumberFormat="1" applyFont="1" applyFill="1" applyBorder="1" applyAlignment="1"/>
    <xf numFmtId="3" fontId="7" fillId="4" borderId="2" xfId="5" applyNumberFormat="1" applyFont="1" applyFill="1" applyBorder="1" applyAlignment="1"/>
    <xf numFmtId="3" fontId="7" fillId="4" borderId="12" xfId="5" applyNumberFormat="1" applyFont="1" applyFill="1" applyBorder="1" applyAlignment="1"/>
    <xf numFmtId="3" fontId="7" fillId="4" borderId="18" xfId="1" applyNumberFormat="1" applyFont="1" applyFill="1" applyBorder="1" applyAlignment="1"/>
    <xf numFmtId="3" fontId="7" fillId="4" borderId="20" xfId="1" applyNumberFormat="1" applyFont="1" applyFill="1" applyBorder="1" applyAlignment="1"/>
    <xf numFmtId="3" fontId="7" fillId="4" borderId="22" xfId="5" applyNumberFormat="1" applyFont="1" applyFill="1" applyBorder="1" applyAlignment="1"/>
    <xf numFmtId="0" fontId="8" fillId="4" borderId="26" xfId="0" applyFont="1" applyFill="1" applyBorder="1" applyAlignment="1">
      <alignment horizontal="left" vertical="center" wrapText="1"/>
    </xf>
    <xf numFmtId="0" fontId="7" fillId="0" borderId="2" xfId="0" applyFont="1" applyBorder="1"/>
    <xf numFmtId="0" fontId="12" fillId="9" borderId="2" xfId="0" applyFont="1" applyFill="1" applyBorder="1"/>
    <xf numFmtId="0" fontId="8" fillId="0" borderId="2" xfId="0" applyFont="1" applyBorder="1" applyAlignment="1">
      <alignment horizontal="left" vertical="center" wrapText="1"/>
    </xf>
    <xf numFmtId="0" fontId="8" fillId="4" borderId="2" xfId="0" applyFont="1" applyFill="1" applyBorder="1" applyAlignment="1">
      <alignment horizontal="left" vertical="center" wrapText="1"/>
    </xf>
    <xf numFmtId="2" fontId="18" fillId="0" borderId="2" xfId="1" applyNumberFormat="1" applyFont="1" applyFill="1" applyBorder="1" applyAlignment="1">
      <alignment vertical="center"/>
    </xf>
    <xf numFmtId="3" fontId="7" fillId="12" borderId="2" xfId="1" applyNumberFormat="1" applyFont="1" applyFill="1" applyBorder="1" applyAlignment="1">
      <alignment horizontal="right" vertical="center"/>
    </xf>
    <xf numFmtId="3" fontId="9" fillId="12" borderId="2" xfId="1" applyNumberFormat="1" applyFont="1" applyFill="1" applyBorder="1" applyAlignment="1">
      <alignment horizontal="right" vertical="center"/>
    </xf>
    <xf numFmtId="3" fontId="7" fillId="12" borderId="2" xfId="0" applyNumberFormat="1" applyFont="1" applyFill="1" applyBorder="1" applyAlignment="1">
      <alignment vertical="center"/>
    </xf>
    <xf numFmtId="3" fontId="9" fillId="12" borderId="2" xfId="1" applyNumberFormat="1" applyFont="1" applyFill="1" applyBorder="1" applyAlignment="1">
      <alignment vertical="center"/>
    </xf>
    <xf numFmtId="3" fontId="7" fillId="12" borderId="2" xfId="1" applyNumberFormat="1" applyFont="1" applyFill="1" applyBorder="1" applyAlignment="1">
      <alignment vertical="center"/>
    </xf>
    <xf numFmtId="1" fontId="7" fillId="14" borderId="2" xfId="1" applyNumberFormat="1" applyFont="1" applyFill="1" applyBorder="1" applyAlignment="1">
      <alignment horizontal="right" vertical="center"/>
    </xf>
    <xf numFmtId="182" fontId="0" fillId="0" borderId="0" xfId="3" applyNumberFormat="1" applyFont="1"/>
    <xf numFmtId="0" fontId="2" fillId="0" borderId="2" xfId="0" applyFont="1" applyBorder="1"/>
    <xf numFmtId="0" fontId="0" fillId="0" borderId="2" xfId="0" applyBorder="1"/>
    <xf numFmtId="3" fontId="0" fillId="0" borderId="2" xfId="0" applyNumberFormat="1" applyBorder="1"/>
    <xf numFmtId="0" fontId="39" fillId="0" borderId="2" xfId="0" applyFont="1" applyBorder="1"/>
    <xf numFmtId="0" fontId="36" fillId="0" borderId="2" xfId="0" applyFont="1" applyBorder="1"/>
    <xf numFmtId="0" fontId="0" fillId="0" borderId="26" xfId="0" applyBorder="1"/>
    <xf numFmtId="0" fontId="0" fillId="0" borderId="36" xfId="0" applyBorder="1"/>
    <xf numFmtId="0" fontId="0" fillId="0" borderId="21" xfId="0" applyBorder="1"/>
    <xf numFmtId="0" fontId="36" fillId="0" borderId="5" xfId="0" applyFont="1" applyBorder="1"/>
    <xf numFmtId="3" fontId="0" fillId="0" borderId="64" xfId="0" applyNumberFormat="1" applyBorder="1"/>
    <xf numFmtId="3" fontId="0" fillId="0" borderId="26" xfId="0" applyNumberFormat="1" applyBorder="1"/>
    <xf numFmtId="9" fontId="0" fillId="0" borderId="2" xfId="0" applyNumberFormat="1" applyBorder="1"/>
    <xf numFmtId="3" fontId="0" fillId="0" borderId="2" xfId="1" applyNumberFormat="1" applyFont="1" applyBorder="1"/>
    <xf numFmtId="3" fontId="0" fillId="0" borderId="52" xfId="0" applyNumberFormat="1" applyBorder="1"/>
    <xf numFmtId="3" fontId="0" fillId="0" borderId="60" xfId="0" applyNumberFormat="1" applyBorder="1"/>
    <xf numFmtId="3" fontId="7" fillId="4" borderId="0" xfId="4" applyNumberFormat="1" applyFont="1" applyFill="1"/>
    <xf numFmtId="183" fontId="0" fillId="3" borderId="62" xfId="2" applyNumberFormat="1" applyFont="1" applyFill="1" applyBorder="1"/>
    <xf numFmtId="183" fontId="0" fillId="0" borderId="0" xfId="0" applyNumberFormat="1"/>
    <xf numFmtId="4" fontId="6" fillId="0" borderId="0" xfId="0" applyNumberFormat="1" applyFont="1"/>
    <xf numFmtId="0" fontId="25" fillId="4" borderId="0" xfId="0" applyFont="1" applyFill="1" applyAlignment="1">
      <alignment vertical="center" wrapText="1"/>
    </xf>
    <xf numFmtId="0" fontId="10" fillId="4" borderId="2" xfId="0" applyFont="1" applyFill="1" applyBorder="1" applyAlignment="1">
      <alignment vertical="center"/>
    </xf>
    <xf numFmtId="10" fontId="6" fillId="4" borderId="2" xfId="3" applyNumberFormat="1" applyFont="1" applyFill="1" applyBorder="1"/>
    <xf numFmtId="0" fontId="6" fillId="4" borderId="2" xfId="0" applyFont="1" applyFill="1" applyBorder="1" applyAlignment="1">
      <alignment wrapText="1"/>
    </xf>
    <xf numFmtId="10" fontId="0" fillId="0" borderId="22" xfId="3" applyNumberFormat="1" applyFont="1" applyBorder="1"/>
    <xf numFmtId="10" fontId="0" fillId="0" borderId="62" xfId="3" applyNumberFormat="1" applyFont="1" applyBorder="1"/>
    <xf numFmtId="0" fontId="37" fillId="4" borderId="0" xfId="0" applyFont="1" applyFill="1"/>
    <xf numFmtId="0" fontId="26" fillId="4" borderId="0" xfId="0" applyFont="1" applyFill="1" applyAlignment="1">
      <alignment vertical="center"/>
    </xf>
    <xf numFmtId="3" fontId="0" fillId="4" borderId="0" xfId="0" applyNumberFormat="1" applyFill="1"/>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7" fillId="14" borderId="3"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8" fillId="0" borderId="2" xfId="0" applyFont="1" applyBorder="1" applyAlignment="1">
      <alignment horizontal="left" vertical="center" wrapText="1"/>
    </xf>
    <xf numFmtId="0" fontId="7"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1" borderId="2"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3" xfId="1" applyNumberFormat="1" applyFont="1" applyFill="1" applyBorder="1" applyAlignment="1">
      <alignment horizontal="center" vertical="center"/>
    </xf>
    <xf numFmtId="0" fontId="7" fillId="11" borderId="4" xfId="1" applyNumberFormat="1" applyFont="1" applyFill="1" applyBorder="1" applyAlignment="1">
      <alignment horizontal="center" vertical="center"/>
    </xf>
    <xf numFmtId="0" fontId="7" fillId="11" borderId="5" xfId="1" applyNumberFormat="1"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xf>
    <xf numFmtId="0" fontId="7" fillId="14" borderId="5" xfId="0" applyFont="1" applyFill="1" applyBorder="1" applyAlignment="1">
      <alignment horizontal="center" vertical="center"/>
    </xf>
    <xf numFmtId="0" fontId="7" fillId="10" borderId="3"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7" fillId="14" borderId="2" xfId="0" applyFont="1" applyFill="1" applyBorder="1" applyAlignment="1">
      <alignment horizontal="center" vertical="center" wrapText="1"/>
    </xf>
    <xf numFmtId="0" fontId="7" fillId="14" borderId="2" xfId="0" applyFont="1" applyFill="1" applyBorder="1" applyAlignment="1">
      <alignment horizontal="center" wrapText="1"/>
    </xf>
    <xf numFmtId="0" fontId="7" fillId="13" borderId="2" xfId="0" applyFont="1" applyFill="1" applyBorder="1" applyAlignment="1">
      <alignment horizontal="center" vertical="center" wrapText="1"/>
    </xf>
    <xf numFmtId="0" fontId="7" fillId="14" borderId="2" xfId="0" applyFont="1" applyFill="1" applyBorder="1" applyAlignment="1">
      <alignment horizontal="center" vertical="center"/>
    </xf>
    <xf numFmtId="0" fontId="8" fillId="4" borderId="26"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17" xfId="0" applyFont="1" applyBorder="1" applyAlignment="1">
      <alignment horizontal="left" vertical="center" wrapText="1"/>
    </xf>
    <xf numFmtId="0" fontId="7" fillId="13" borderId="3"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2" fillId="11" borderId="5" xfId="0" applyFont="1" applyFill="1" applyBorder="1" applyAlignment="1">
      <alignment horizontal="center" vertical="center"/>
    </xf>
    <xf numFmtId="0" fontId="12" fillId="14" borderId="3" xfId="0" applyFont="1" applyFill="1" applyBorder="1" applyAlignment="1">
      <alignment horizontal="center" vertical="center" wrapText="1"/>
    </xf>
    <xf numFmtId="0" fontId="12" fillId="14" borderId="5" xfId="0" applyFont="1" applyFill="1" applyBorder="1" applyAlignment="1">
      <alignment horizontal="center" vertical="center" wrapText="1"/>
    </xf>
    <xf numFmtId="0" fontId="12" fillId="11" borderId="28" xfId="0" applyFont="1" applyFill="1" applyBorder="1" applyAlignment="1">
      <alignment horizontal="center" vertical="center"/>
    </xf>
    <xf numFmtId="0" fontId="12" fillId="11" borderId="29" xfId="0" applyFont="1" applyFill="1" applyBorder="1" applyAlignment="1">
      <alignment horizontal="center" vertical="center"/>
    </xf>
    <xf numFmtId="0" fontId="12" fillId="11" borderId="30" xfId="0" applyFont="1" applyFill="1" applyBorder="1" applyAlignment="1">
      <alignment horizontal="center" vertical="center"/>
    </xf>
    <xf numFmtId="43" fontId="12" fillId="11" borderId="28" xfId="1" applyFont="1" applyFill="1" applyBorder="1" applyAlignment="1">
      <alignment horizontal="center" vertical="center"/>
    </xf>
    <xf numFmtId="43" fontId="12" fillId="11" borderId="29" xfId="1" applyFont="1" applyFill="1" applyBorder="1" applyAlignment="1">
      <alignment horizontal="center" vertical="center"/>
    </xf>
    <xf numFmtId="43" fontId="12" fillId="11" borderId="30" xfId="1" applyFont="1" applyFill="1" applyBorder="1" applyAlignment="1">
      <alignment horizontal="center" vertical="center"/>
    </xf>
    <xf numFmtId="0" fontId="14" fillId="10" borderId="2" xfId="0" applyFont="1" applyFill="1" applyBorder="1" applyAlignment="1">
      <alignment horizontal="center" wrapText="1"/>
    </xf>
    <xf numFmtId="0" fontId="12" fillId="10" borderId="2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24" xfId="0" applyFont="1" applyFill="1" applyBorder="1" applyAlignment="1">
      <alignment horizontal="center" vertical="center" wrapText="1"/>
    </xf>
    <xf numFmtId="0" fontId="12" fillId="11" borderId="2" xfId="0" applyFont="1" applyFill="1" applyBorder="1" applyAlignment="1">
      <alignment horizontal="center" vertical="center"/>
    </xf>
    <xf numFmtId="0" fontId="12" fillId="10" borderId="3"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0" fillId="0" borderId="3" xfId="0" applyBorder="1" applyAlignment="1">
      <alignment horizontal="center"/>
    </xf>
    <xf numFmtId="0" fontId="0" fillId="0" borderId="5" xfId="0" applyBorder="1" applyAlignment="1">
      <alignment horizont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9" borderId="3"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0"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5" xfId="0" applyFont="1" applyFill="1" applyBorder="1" applyAlignment="1">
      <alignment horizontal="center" vertical="center" wrapText="1"/>
    </xf>
    <xf numFmtId="43" fontId="12" fillId="5" borderId="28" xfId="1" applyFont="1" applyFill="1" applyBorder="1" applyAlignment="1">
      <alignment horizontal="center" vertical="center"/>
    </xf>
    <xf numFmtId="43" fontId="12" fillId="5" borderId="29" xfId="1" applyFont="1" applyFill="1" applyBorder="1" applyAlignment="1">
      <alignment horizontal="center" vertical="center"/>
    </xf>
    <xf numFmtId="43" fontId="12" fillId="5" borderId="30" xfId="1" applyFont="1" applyFill="1" applyBorder="1" applyAlignment="1">
      <alignment horizontal="center" vertical="center"/>
    </xf>
    <xf numFmtId="0" fontId="8" fillId="4" borderId="33"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14" fillId="0" borderId="0" xfId="0" applyFont="1" applyAlignment="1">
      <alignment horizontal="center" wrapText="1"/>
    </xf>
    <xf numFmtId="0" fontId="15"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2" fillId="5" borderId="2" xfId="0" applyFont="1" applyFill="1" applyBorder="1" applyAlignment="1">
      <alignment horizontal="center" vertical="center"/>
    </xf>
    <xf numFmtId="0" fontId="29" fillId="0" borderId="0" xfId="0" applyFont="1" applyAlignment="1">
      <alignment horizont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2" fillId="6" borderId="3" xfId="0" applyFont="1" applyFill="1" applyBorder="1" applyAlignment="1">
      <alignment horizontal="center" wrapText="1"/>
    </xf>
    <xf numFmtId="0" fontId="12" fillId="6" borderId="5" xfId="0" applyFont="1" applyFill="1" applyBorder="1" applyAlignment="1">
      <alignment horizontal="center" wrapText="1"/>
    </xf>
    <xf numFmtId="0" fontId="12" fillId="0" borderId="3" xfId="0" applyFont="1" applyBorder="1" applyAlignment="1">
      <alignment horizontal="center" wrapText="1"/>
    </xf>
    <xf numFmtId="0" fontId="12" fillId="0" borderId="5" xfId="0" applyFont="1" applyBorder="1" applyAlignment="1">
      <alignment horizontal="center" wrapText="1"/>
    </xf>
    <xf numFmtId="0" fontId="12" fillId="6" borderId="3" xfId="0" applyFont="1" applyFill="1" applyBorder="1" applyAlignment="1">
      <alignment horizontal="center" vertical="center"/>
    </xf>
    <xf numFmtId="0" fontId="12" fillId="6" borderId="5" xfId="0" applyFont="1" applyFill="1" applyBorder="1" applyAlignment="1">
      <alignment horizontal="center" vertical="center"/>
    </xf>
    <xf numFmtId="0" fontId="17" fillId="6" borderId="5" xfId="0" applyFont="1" applyFill="1" applyBorder="1" applyAlignment="1">
      <alignment horizontal="center" wrapText="1"/>
    </xf>
    <xf numFmtId="0" fontId="17" fillId="0" borderId="5" xfId="0" applyFont="1" applyBorder="1" applyAlignment="1">
      <alignment horizontal="center" wrapText="1"/>
    </xf>
    <xf numFmtId="43" fontId="12" fillId="5" borderId="3" xfId="1" applyFont="1" applyFill="1" applyBorder="1" applyAlignment="1">
      <alignment horizontal="center" vertical="center"/>
    </xf>
    <xf numFmtId="43" fontId="12" fillId="5" borderId="4" xfId="1" applyFont="1" applyFill="1" applyBorder="1" applyAlignment="1">
      <alignment horizontal="center" vertical="center"/>
    </xf>
    <xf numFmtId="43" fontId="12" fillId="5" borderId="5" xfId="1" applyFont="1" applyFill="1" applyBorder="1" applyAlignment="1">
      <alignment horizontal="center" vertical="center"/>
    </xf>
    <xf numFmtId="0" fontId="17" fillId="9" borderId="5" xfId="0" applyFont="1" applyFill="1" applyBorder="1" applyAlignment="1">
      <alignment horizontal="center" vertical="center" wrapText="1"/>
    </xf>
    <xf numFmtId="0" fontId="7" fillId="0" borderId="53" xfId="6" applyFont="1" applyBorder="1" applyAlignment="1">
      <alignment horizontal="left"/>
    </xf>
    <xf numFmtId="0" fontId="7" fillId="0" borderId="23" xfId="6" applyFont="1" applyBorder="1" applyAlignment="1">
      <alignment horizontal="left"/>
    </xf>
    <xf numFmtId="0" fontId="7" fillId="0" borderId="24" xfId="6" applyFont="1" applyBorder="1" applyAlignment="1">
      <alignment horizontal="left"/>
    </xf>
    <xf numFmtId="0" fontId="23" fillId="0" borderId="0" xfId="6" applyFont="1" applyAlignment="1">
      <alignment horizontal="left" wrapText="1"/>
    </xf>
    <xf numFmtId="0" fontId="12" fillId="12" borderId="3" xfId="6" applyFont="1" applyFill="1" applyBorder="1" applyAlignment="1">
      <alignment horizontal="center" vertical="center"/>
    </xf>
    <xf numFmtId="0" fontId="12" fillId="12" borderId="4" xfId="6" applyFont="1" applyFill="1" applyBorder="1" applyAlignment="1">
      <alignment horizontal="center" vertical="center"/>
    </xf>
    <xf numFmtId="0" fontId="12" fillId="12" borderId="5" xfId="6" applyFont="1" applyFill="1" applyBorder="1" applyAlignment="1">
      <alignment horizontal="center" vertical="center"/>
    </xf>
    <xf numFmtId="0" fontId="12" fillId="0" borderId="3" xfId="6" applyFont="1" applyBorder="1" applyAlignment="1">
      <alignment horizontal="center" vertical="center"/>
    </xf>
    <xf numFmtId="0" fontId="12" fillId="0" borderId="4" xfId="6" applyFont="1" applyBorder="1" applyAlignment="1">
      <alignment horizontal="center" vertical="center"/>
    </xf>
    <xf numFmtId="0" fontId="12" fillId="0" borderId="5" xfId="6" applyFont="1" applyBorder="1" applyAlignment="1">
      <alignment horizontal="center" vertical="center"/>
    </xf>
    <xf numFmtId="0" fontId="7" fillId="0" borderId="41" xfId="6" applyFont="1" applyBorder="1" applyAlignment="1">
      <alignment horizontal="left"/>
    </xf>
    <xf numFmtId="0" fontId="7" fillId="0" borderId="42" xfId="6" applyFont="1" applyBorder="1" applyAlignment="1">
      <alignment horizontal="left"/>
    </xf>
    <xf numFmtId="0" fontId="12" fillId="12" borderId="45" xfId="6" applyFont="1" applyFill="1" applyBorder="1" applyAlignment="1">
      <alignment horizontal="center" vertical="center"/>
    </xf>
    <xf numFmtId="0" fontId="12" fillId="12" borderId="46" xfId="6" applyFont="1" applyFill="1" applyBorder="1" applyAlignment="1">
      <alignment horizontal="center" vertical="center"/>
    </xf>
    <xf numFmtId="0" fontId="12" fillId="12" borderId="47" xfId="6" applyFont="1" applyFill="1" applyBorder="1" applyAlignment="1">
      <alignment horizontal="center" vertical="center"/>
    </xf>
    <xf numFmtId="0" fontId="12" fillId="12" borderId="50" xfId="6" applyFont="1" applyFill="1" applyBorder="1" applyAlignment="1">
      <alignment horizontal="center" vertical="center"/>
    </xf>
    <xf numFmtId="0" fontId="12" fillId="12" borderId="51" xfId="6" applyFont="1" applyFill="1" applyBorder="1" applyAlignment="1">
      <alignment horizontal="center" vertical="center"/>
    </xf>
    <xf numFmtId="0" fontId="12" fillId="12" borderId="52" xfId="6" applyFont="1" applyFill="1" applyBorder="1" applyAlignment="1">
      <alignment horizontal="center" vertical="center"/>
    </xf>
    <xf numFmtId="0" fontId="7" fillId="0" borderId="3" xfId="6" applyFont="1" applyBorder="1" applyAlignment="1">
      <alignment horizontal="center" vertical="center"/>
    </xf>
    <xf numFmtId="0" fontId="7" fillId="0" borderId="4" xfId="6" applyFont="1" applyBorder="1" applyAlignment="1">
      <alignment horizontal="center" vertical="center"/>
    </xf>
    <xf numFmtId="0" fontId="7" fillId="0" borderId="5" xfId="6" applyFont="1" applyBorder="1" applyAlignment="1">
      <alignment horizontal="center" vertical="center"/>
    </xf>
    <xf numFmtId="0" fontId="7" fillId="0" borderId="3" xfId="0" applyFont="1" applyBorder="1" applyAlignment="1">
      <alignment horizontal="left" wrapText="1"/>
    </xf>
    <xf numFmtId="0" fontId="8" fillId="0" borderId="5" xfId="0" applyFont="1" applyBorder="1" applyAlignment="1">
      <alignment horizontal="left" wrapText="1"/>
    </xf>
    <xf numFmtId="0" fontId="7" fillId="5" borderId="3" xfId="1" applyNumberFormat="1" applyFont="1" applyFill="1" applyBorder="1" applyAlignment="1">
      <alignment horizontal="center" vertical="center"/>
    </xf>
    <xf numFmtId="0" fontId="7" fillId="5" borderId="4" xfId="1" applyNumberFormat="1" applyFont="1" applyFill="1" applyBorder="1" applyAlignment="1">
      <alignment horizontal="center" vertical="center"/>
    </xf>
    <xf numFmtId="0" fontId="7" fillId="5" borderId="5" xfId="1" applyNumberFormat="1" applyFont="1" applyFill="1" applyBorder="1" applyAlignment="1">
      <alignment horizontal="center" vertical="center"/>
    </xf>
    <xf numFmtId="0" fontId="7" fillId="6" borderId="3" xfId="0" applyFont="1" applyFill="1" applyBorder="1" applyAlignment="1">
      <alignment wrapText="1"/>
    </xf>
    <xf numFmtId="0" fontId="7" fillId="6" borderId="5" xfId="0" applyFont="1" applyFill="1" applyBorder="1" applyAlignment="1">
      <alignment wrapText="1"/>
    </xf>
    <xf numFmtId="0" fontId="7" fillId="0" borderId="2" xfId="0" applyFont="1" applyBorder="1"/>
    <xf numFmtId="0" fontId="7"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6" borderId="3"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5" xfId="0" applyFont="1" applyFill="1" applyBorder="1" applyAlignment="1">
      <alignment wrapText="1"/>
    </xf>
    <xf numFmtId="0" fontId="5" fillId="2" borderId="1"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43" fontId="7" fillId="5" borderId="3" xfId="1" applyFont="1" applyFill="1" applyBorder="1" applyAlignment="1">
      <alignment horizontal="center" vertical="center"/>
    </xf>
    <xf numFmtId="43" fontId="7" fillId="5" borderId="4" xfId="1" applyFont="1" applyFill="1" applyBorder="1" applyAlignment="1">
      <alignment horizontal="center" vertical="center"/>
    </xf>
    <xf numFmtId="43" fontId="7" fillId="5" borderId="5" xfId="1" applyFont="1" applyFill="1" applyBorder="1" applyAlignment="1">
      <alignment horizontal="center" vertical="center"/>
    </xf>
    <xf numFmtId="0" fontId="12" fillId="6" borderId="3" xfId="0" applyFont="1" applyFill="1" applyBorder="1" applyAlignment="1">
      <alignment wrapText="1"/>
    </xf>
    <xf numFmtId="0" fontId="17" fillId="6" borderId="5" xfId="0" applyFont="1" applyFill="1" applyBorder="1" applyAlignment="1">
      <alignment wrapText="1"/>
    </xf>
    <xf numFmtId="0" fontId="12" fillId="2" borderId="1" xfId="0" applyFont="1" applyFill="1" applyBorder="1" applyAlignment="1">
      <alignment horizontal="center" vertical="center" wrapText="1"/>
    </xf>
    <xf numFmtId="0" fontId="12" fillId="6" borderId="3" xfId="0" applyFont="1" applyFill="1" applyBorder="1" applyAlignment="1">
      <alignment horizontal="left" wrapText="1"/>
    </xf>
    <xf numFmtId="0" fontId="17" fillId="6" borderId="5" xfId="0" applyFont="1" applyFill="1" applyBorder="1" applyAlignment="1">
      <alignment horizontal="left" wrapText="1"/>
    </xf>
    <xf numFmtId="0" fontId="12" fillId="17" borderId="3" xfId="0" applyFont="1" applyFill="1" applyBorder="1" applyAlignment="1">
      <alignment horizontal="left" wrapText="1"/>
    </xf>
    <xf numFmtId="0" fontId="17" fillId="17" borderId="5" xfId="0" applyFont="1" applyFill="1" applyBorder="1" applyAlignment="1">
      <alignment horizontal="left" wrapText="1"/>
    </xf>
    <xf numFmtId="0" fontId="12" fillId="9" borderId="2" xfId="0" applyFont="1" applyFill="1" applyBorder="1"/>
    <xf numFmtId="0" fontId="12" fillId="9" borderId="3" xfId="0" applyFont="1" applyFill="1" applyBorder="1" applyAlignment="1">
      <alignment horizontal="left" vertical="center" wrapText="1"/>
    </xf>
    <xf numFmtId="0" fontId="17" fillId="9" borderId="5" xfId="0" applyFont="1" applyFill="1" applyBorder="1" applyAlignment="1">
      <alignment horizontal="left" vertical="center" wrapText="1"/>
    </xf>
  </cellXfs>
  <cellStyles count="9">
    <cellStyle name="Comma" xfId="1" builtinId="3"/>
    <cellStyle name="Comma 2 2" xfId="5" xr:uid="{00F28F5A-BABF-4E1F-A0C5-B7CEB081055C}"/>
    <cellStyle name="Comma 4" xfId="8" xr:uid="{63F6D490-DE8C-448F-B050-A025661B3E56}"/>
    <cellStyle name="Currency" xfId="2" builtinId="4"/>
    <cellStyle name="Currency 2" xfId="7" xr:uid="{AAB74EC7-65D8-430B-8A73-9CF9FE3E04C5}"/>
    <cellStyle name="Normal" xfId="0" builtinId="0"/>
    <cellStyle name="Normal 2" xfId="4" xr:uid="{0CEA6F18-ACFB-4184-9C6C-D2E229DC719A}"/>
    <cellStyle name="Normal 3" xfId="6" xr:uid="{C6942D91-430F-43CB-B60C-C4F7DDC4B411}"/>
    <cellStyle name="Percent" xfId="3" builtinId="5"/>
  </cellStyles>
  <dxfs count="0"/>
  <tableStyles count="0" defaultTableStyle="TableStyleMedium2" defaultPivotStyle="PivotStyleMedium9"/>
  <colors>
    <mruColors>
      <color rgb="FFF3F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E26F1-D89F-4720-9B14-DBB5090FEBF9}">
  <sheetPr>
    <tabColor theme="7"/>
    <pageSetUpPr fitToPage="1"/>
  </sheetPr>
  <dimension ref="A1:AA93"/>
  <sheetViews>
    <sheetView zoomScaleNormal="100" workbookViewId="0">
      <pane ySplit="3" topLeftCell="A40" activePane="bottomLeft" state="frozen"/>
      <selection pane="bottomLeft" activeCell="B54" sqref="B54"/>
    </sheetView>
  </sheetViews>
  <sheetFormatPr defaultColWidth="9.140625" defaultRowHeight="14.25"/>
  <cols>
    <col min="1" max="1" width="12.140625" style="313" customWidth="1"/>
    <col min="2" max="2" width="18" style="314" customWidth="1"/>
    <col min="3" max="3" width="18" style="315" customWidth="1"/>
    <col min="4" max="4" width="41.7109375" style="310" customWidth="1"/>
    <col min="5" max="5" width="17.28515625" style="310" customWidth="1"/>
    <col min="6" max="6" width="15.28515625" style="310" customWidth="1"/>
    <col min="7" max="7" width="21.5703125" style="310" customWidth="1"/>
    <col min="8" max="8" width="17.28515625" style="310" customWidth="1"/>
    <col min="9" max="9" width="14" style="310" bestFit="1" customWidth="1"/>
    <col min="10" max="11" width="13.7109375" style="310" customWidth="1"/>
    <col min="12" max="14" width="15.42578125" style="310" customWidth="1"/>
    <col min="15" max="16" width="14.7109375" style="310" customWidth="1"/>
    <col min="17" max="17" width="12.7109375" style="310" customWidth="1"/>
    <col min="18" max="18" width="41.42578125" style="310" customWidth="1"/>
    <col min="19" max="19" width="3.28515625" style="313" customWidth="1"/>
    <col min="20" max="20" width="13.42578125" style="313" customWidth="1"/>
    <col min="21" max="21" width="11.5703125" style="313" customWidth="1"/>
    <col min="22" max="22" width="11.140625" style="313" customWidth="1"/>
    <col min="23" max="26" width="9.140625" style="313"/>
    <col min="27" max="27" width="12.28515625" style="313" customWidth="1"/>
    <col min="28" max="16384" width="9.140625" style="313"/>
  </cols>
  <sheetData>
    <row r="1" spans="1:27" s="302" customFormat="1" ht="34.5" customHeight="1">
      <c r="A1" s="1010" t="s">
        <v>0</v>
      </c>
      <c r="B1" s="1011"/>
      <c r="C1" s="1011"/>
      <c r="D1" s="1011"/>
      <c r="E1" s="1011"/>
      <c r="F1" s="1011"/>
      <c r="G1" s="1011"/>
      <c r="H1" s="1011"/>
      <c r="I1" s="1011"/>
      <c r="J1" s="1011"/>
      <c r="K1" s="1011"/>
      <c r="L1" s="1011"/>
      <c r="M1" s="1011"/>
      <c r="N1" s="1011"/>
      <c r="O1" s="1011"/>
      <c r="P1" s="1011"/>
      <c r="Q1" s="1011"/>
      <c r="R1" s="1011"/>
    </row>
    <row r="2" spans="1:27" s="303" customFormat="1" ht="15.75">
      <c r="A2" s="987" t="s">
        <v>1</v>
      </c>
      <c r="B2" s="987"/>
      <c r="C2" s="987"/>
      <c r="D2" s="987"/>
      <c r="E2" s="987"/>
      <c r="F2" s="987"/>
      <c r="G2" s="987"/>
      <c r="H2" s="987"/>
      <c r="I2" s="987"/>
      <c r="J2" s="987"/>
      <c r="K2" s="987"/>
      <c r="L2" s="987"/>
      <c r="M2" s="987"/>
      <c r="N2" s="987"/>
      <c r="O2" s="987"/>
      <c r="P2" s="987"/>
      <c r="Q2" s="987"/>
      <c r="R2" s="987"/>
    </row>
    <row r="3" spans="1:27" s="256" customFormat="1" ht="76.5">
      <c r="A3" s="5" t="s">
        <v>2</v>
      </c>
      <c r="B3" s="5" t="s">
        <v>3</v>
      </c>
      <c r="C3" s="5" t="s">
        <v>4</v>
      </c>
      <c r="D3" s="5" t="s">
        <v>5</v>
      </c>
      <c r="E3" s="6" t="s">
        <v>6</v>
      </c>
      <c r="F3" s="5" t="s">
        <v>7</v>
      </c>
      <c r="G3" s="5" t="s">
        <v>8</v>
      </c>
      <c r="H3" s="270" t="s">
        <v>9</v>
      </c>
      <c r="I3" s="5" t="s">
        <v>10</v>
      </c>
      <c r="J3" s="270" t="s">
        <v>11</v>
      </c>
      <c r="K3" s="904" t="s">
        <v>12</v>
      </c>
      <c r="L3" s="904" t="s">
        <v>13</v>
      </c>
      <c r="M3" s="5" t="s">
        <v>14</v>
      </c>
      <c r="N3" s="904" t="s">
        <v>15</v>
      </c>
      <c r="O3" s="5" t="s">
        <v>16</v>
      </c>
      <c r="P3" s="5" t="s">
        <v>17</v>
      </c>
      <c r="Q3" s="5" t="s">
        <v>18</v>
      </c>
      <c r="R3" s="5" t="s">
        <v>19</v>
      </c>
      <c r="T3" s="254"/>
      <c r="U3" s="255"/>
      <c r="V3" s="254"/>
    </row>
    <row r="4" spans="1:27" s="256" customFormat="1" ht="15.75" customHeight="1">
      <c r="A4" s="988" t="s">
        <v>20</v>
      </c>
      <c r="B4" s="988"/>
      <c r="C4" s="988"/>
      <c r="D4" s="988"/>
      <c r="E4" s="988"/>
      <c r="F4" s="988"/>
      <c r="G4" s="988"/>
      <c r="H4" s="988"/>
      <c r="I4" s="988"/>
      <c r="J4" s="988"/>
      <c r="K4" s="988"/>
      <c r="L4" s="988"/>
      <c r="M4" s="988"/>
      <c r="N4" s="988"/>
      <c r="O4" s="988"/>
      <c r="P4" s="988"/>
      <c r="Q4" s="988"/>
      <c r="R4" s="988"/>
    </row>
    <row r="5" spans="1:27" s="256" customFormat="1" ht="15.75" customHeight="1">
      <c r="A5" s="989" t="s">
        <v>21</v>
      </c>
      <c r="B5" s="989"/>
      <c r="C5" s="989"/>
      <c r="D5" s="989"/>
      <c r="E5" s="989"/>
      <c r="F5" s="989"/>
      <c r="G5" s="989"/>
      <c r="H5" s="989"/>
      <c r="I5" s="989"/>
      <c r="J5" s="989"/>
      <c r="K5" s="989"/>
      <c r="L5" s="989"/>
      <c r="M5" s="989"/>
      <c r="N5" s="989"/>
      <c r="O5" s="989"/>
      <c r="P5" s="989"/>
      <c r="Q5" s="989"/>
      <c r="R5" s="989"/>
    </row>
    <row r="6" spans="1:27" s="256" customFormat="1" ht="25.5">
      <c r="A6" s="120">
        <v>1</v>
      </c>
      <c r="B6" s="257" t="s">
        <v>22</v>
      </c>
      <c r="C6" s="264" t="s">
        <v>23</v>
      </c>
      <c r="D6" s="265" t="s">
        <v>24</v>
      </c>
      <c r="E6" s="266"/>
      <c r="F6" s="267">
        <f>((FMNP_LAs+SFMNP_LAs)*0.7)*0.5</f>
        <v>769.3</v>
      </c>
      <c r="G6" s="273">
        <v>1</v>
      </c>
      <c r="H6" s="271">
        <f>F6*G6</f>
        <v>769.3</v>
      </c>
      <c r="I6" s="273">
        <v>2</v>
      </c>
      <c r="J6" s="271">
        <f>H6*I6</f>
        <v>1538.6</v>
      </c>
      <c r="K6" s="258">
        <v>768.6</v>
      </c>
      <c r="L6" s="274">
        <v>677.59999999999991</v>
      </c>
      <c r="M6" s="258">
        <f>SUM(K6:L6)</f>
        <v>1446.1999999999998</v>
      </c>
      <c r="N6" s="274">
        <v>677.59999999999991</v>
      </c>
      <c r="O6" s="273">
        <f>J6-M6</f>
        <v>92.400000000000091</v>
      </c>
      <c r="P6" s="273">
        <v>0</v>
      </c>
      <c r="Q6" s="268">
        <f>SUM(O6:P6)</f>
        <v>92.400000000000091</v>
      </c>
      <c r="R6" s="269" t="s">
        <v>25</v>
      </c>
    </row>
    <row r="7" spans="1:27" s="256" customFormat="1" ht="12.75">
      <c r="A7" s="120">
        <v>2</v>
      </c>
      <c r="B7" s="259">
        <v>248.4</v>
      </c>
      <c r="C7" s="121">
        <v>249.4</v>
      </c>
      <c r="D7" s="127" t="s">
        <v>26</v>
      </c>
      <c r="E7" s="127" t="s">
        <v>27</v>
      </c>
      <c r="F7" s="115">
        <f>FMNP_SAs+SFMNP_SAs</f>
        <v>106</v>
      </c>
      <c r="G7" s="115">
        <v>1</v>
      </c>
      <c r="H7" s="272">
        <f t="shared" ref="H7:H29" si="0">F7*G7</f>
        <v>106</v>
      </c>
      <c r="I7" s="115">
        <v>40</v>
      </c>
      <c r="J7" s="272">
        <f t="shared" ref="J7:J29" si="1">H7*I7</f>
        <v>4240</v>
      </c>
      <c r="K7" s="134">
        <v>2040</v>
      </c>
      <c r="L7" s="134">
        <v>2200</v>
      </c>
      <c r="M7" s="134">
        <f t="shared" ref="M7:M29" si="2">SUM(K7:L7)</f>
        <v>4240</v>
      </c>
      <c r="N7" s="134">
        <v>2200</v>
      </c>
      <c r="O7" s="273">
        <v>0</v>
      </c>
      <c r="P7" s="262">
        <f>J7-M7</f>
        <v>0</v>
      </c>
      <c r="Q7" s="268">
        <f>SUM(O7:P7)</f>
        <v>0</v>
      </c>
      <c r="R7" s="16" t="s">
        <v>28</v>
      </c>
    </row>
    <row r="8" spans="1:27" s="256" customFormat="1" ht="12.75">
      <c r="A8" s="120">
        <v>3</v>
      </c>
      <c r="B8" s="259" t="s">
        <v>29</v>
      </c>
      <c r="C8" s="121" t="s">
        <v>30</v>
      </c>
      <c r="D8" s="940" t="s">
        <v>31</v>
      </c>
      <c r="E8" s="139"/>
      <c r="F8" s="116">
        <f>FMNP_SAs+SFMNP_SAs</f>
        <v>106</v>
      </c>
      <c r="G8" s="116">
        <f>(FMNP_participants+SFMNP_participants)/(FMNP_SAs+SFMNP_SAs)</f>
        <v>21382.764150943396</v>
      </c>
      <c r="H8" s="272">
        <f>F8*G8</f>
        <v>2266573</v>
      </c>
      <c r="I8" s="116">
        <v>0.25</v>
      </c>
      <c r="J8" s="272">
        <f>H8*I8</f>
        <v>566643.25</v>
      </c>
      <c r="K8" s="134">
        <v>332686.5</v>
      </c>
      <c r="L8" s="180">
        <v>181421.5</v>
      </c>
      <c r="M8" s="134">
        <f>SUM(K8:L8)</f>
        <v>514108</v>
      </c>
      <c r="N8" s="180">
        <v>181421.5</v>
      </c>
      <c r="O8" s="273">
        <f>J8-M8</f>
        <v>52535.25</v>
      </c>
      <c r="P8" s="262">
        <v>0</v>
      </c>
      <c r="Q8" s="268">
        <f>SUM(O8:P8)</f>
        <v>52535.25</v>
      </c>
      <c r="R8" s="16" t="s">
        <v>32</v>
      </c>
    </row>
    <row r="9" spans="1:27" s="256" customFormat="1" ht="25.5">
      <c r="A9" s="120">
        <v>4</v>
      </c>
      <c r="B9" s="259">
        <v>248.9</v>
      </c>
      <c r="C9" s="121">
        <v>249.9</v>
      </c>
      <c r="D9" s="940" t="s">
        <v>33</v>
      </c>
      <c r="E9" s="139"/>
      <c r="F9" s="115">
        <f>FMNP_SAs+SFMNP_SAs</f>
        <v>106</v>
      </c>
      <c r="G9" s="115">
        <v>1</v>
      </c>
      <c r="H9" s="272">
        <f>F9*G9</f>
        <v>106</v>
      </c>
      <c r="I9" s="115">
        <v>5</v>
      </c>
      <c r="J9" s="272">
        <f>H9*I9</f>
        <v>530</v>
      </c>
      <c r="K9" s="134">
        <v>0</v>
      </c>
      <c r="L9" s="178">
        <v>0</v>
      </c>
      <c r="M9" s="134">
        <f>SUM(K9:L9)</f>
        <v>0</v>
      </c>
      <c r="N9" s="115">
        <v>530</v>
      </c>
      <c r="O9" s="262">
        <v>0</v>
      </c>
      <c r="P9" s="262">
        <f>J9-M9</f>
        <v>530</v>
      </c>
      <c r="Q9" s="268">
        <f>SUM(O9:P9)</f>
        <v>530</v>
      </c>
      <c r="R9" s="16" t="s">
        <v>34</v>
      </c>
    </row>
    <row r="10" spans="1:27" s="256" customFormat="1" ht="51">
      <c r="A10" s="120">
        <v>5</v>
      </c>
      <c r="B10" s="259" t="s">
        <v>35</v>
      </c>
      <c r="C10" s="123" t="s">
        <v>36</v>
      </c>
      <c r="D10" s="940" t="s">
        <v>37</v>
      </c>
      <c r="E10" s="16"/>
      <c r="F10" s="115">
        <f>FMNP_SAs+SFMNP_SAs-Consolidated_SAs</f>
        <v>74</v>
      </c>
      <c r="G10" s="115">
        <f>(Consolidated_Outlets/3)/(FMNP_SAs+SFMNP_SAs-Consolidated_SAs)</f>
        <v>114.75675675675676</v>
      </c>
      <c r="H10" s="272">
        <f t="shared" si="0"/>
        <v>8492</v>
      </c>
      <c r="I10" s="115">
        <v>0.25</v>
      </c>
      <c r="J10" s="272">
        <f t="shared" si="1"/>
        <v>2123</v>
      </c>
      <c r="K10" s="134">
        <v>2449.63</v>
      </c>
      <c r="L10" s="178">
        <v>2444.375</v>
      </c>
      <c r="M10" s="134">
        <f t="shared" si="2"/>
        <v>4894.0050000000001</v>
      </c>
      <c r="N10" s="178">
        <v>2444.375</v>
      </c>
      <c r="O10" s="262">
        <f>'SFMNP 2026'!$L$10+'2025 WIC FMNP Only'!$J$9</f>
        <v>-344.75</v>
      </c>
      <c r="P10" s="262">
        <f>J10-M10-O10</f>
        <v>-2426.2550000000001</v>
      </c>
      <c r="Q10" s="268">
        <f>SUM(O10:P10)</f>
        <v>-2771.0050000000001</v>
      </c>
      <c r="R10" s="16" t="s">
        <v>38</v>
      </c>
    </row>
    <row r="11" spans="1:27" s="256" customFormat="1" ht="15.75" customHeight="1">
      <c r="A11" s="120" t="s">
        <v>39</v>
      </c>
      <c r="B11" s="259" t="s">
        <v>40</v>
      </c>
      <c r="C11" s="123" t="s">
        <v>28</v>
      </c>
      <c r="D11" s="940" t="s">
        <v>41</v>
      </c>
      <c r="E11" s="32"/>
      <c r="F11" s="126">
        <f>FMNP_SAs</f>
        <v>50</v>
      </c>
      <c r="G11" s="116">
        <v>1</v>
      </c>
      <c r="H11" s="272">
        <f t="shared" si="0"/>
        <v>50</v>
      </c>
      <c r="I11" s="126">
        <v>8</v>
      </c>
      <c r="J11" s="272">
        <f t="shared" si="1"/>
        <v>400</v>
      </c>
      <c r="K11" s="134">
        <v>408</v>
      </c>
      <c r="L11" s="361"/>
      <c r="M11" s="134">
        <f t="shared" si="2"/>
        <v>408</v>
      </c>
      <c r="N11" s="361"/>
      <c r="O11" s="158">
        <f>J11-K11</f>
        <v>-8</v>
      </c>
      <c r="P11" s="158">
        <v>0</v>
      </c>
      <c r="Q11" s="268">
        <f t="shared" ref="Q11:Q24" si="3">SUM(O11:P11)</f>
        <v>-8</v>
      </c>
      <c r="R11" s="16" t="s">
        <v>42</v>
      </c>
    </row>
    <row r="12" spans="1:27" s="256" customFormat="1" ht="15.75" customHeight="1">
      <c r="A12" s="120" t="s">
        <v>43</v>
      </c>
      <c r="B12" s="259" t="s">
        <v>40</v>
      </c>
      <c r="C12" s="123" t="s">
        <v>28</v>
      </c>
      <c r="D12" s="940" t="s">
        <v>44</v>
      </c>
      <c r="E12" s="866"/>
      <c r="F12" s="126">
        <f>FMNP_SAs</f>
        <v>50</v>
      </c>
      <c r="G12" s="116">
        <v>15</v>
      </c>
      <c r="H12" s="272">
        <f t="shared" si="0"/>
        <v>750</v>
      </c>
      <c r="I12" s="126">
        <v>2</v>
      </c>
      <c r="J12" s="272">
        <f t="shared" si="1"/>
        <v>1500</v>
      </c>
      <c r="K12" s="134">
        <v>1530</v>
      </c>
      <c r="L12" s="361"/>
      <c r="M12" s="134">
        <f t="shared" si="2"/>
        <v>1530</v>
      </c>
      <c r="N12" s="361"/>
      <c r="O12" s="158">
        <f>J12-K12</f>
        <v>-30</v>
      </c>
      <c r="P12" s="158">
        <v>0</v>
      </c>
      <c r="Q12" s="268">
        <f t="shared" si="3"/>
        <v>-30</v>
      </c>
      <c r="R12" s="16" t="s">
        <v>42</v>
      </c>
    </row>
    <row r="13" spans="1:27" s="256" customFormat="1" ht="15.75" customHeight="1">
      <c r="A13" s="120">
        <v>7</v>
      </c>
      <c r="B13" s="259" t="s">
        <v>45</v>
      </c>
      <c r="C13" s="261" t="s">
        <v>46</v>
      </c>
      <c r="D13" s="940" t="s">
        <v>47</v>
      </c>
      <c r="E13" s="16"/>
      <c r="F13" s="115">
        <f>5*2</f>
        <v>10</v>
      </c>
      <c r="G13" s="115">
        <v>1</v>
      </c>
      <c r="H13" s="272">
        <f>F13*G13</f>
        <v>10</v>
      </c>
      <c r="I13" s="862">
        <v>8.3500000000000005E-2</v>
      </c>
      <c r="J13" s="272">
        <f>H13*I13</f>
        <v>0.83500000000000008</v>
      </c>
      <c r="K13" s="134">
        <v>0.41750000000000004</v>
      </c>
      <c r="L13" s="178">
        <v>0.41750000000000004</v>
      </c>
      <c r="M13" s="134">
        <f>SUM(K13:L13)</f>
        <v>0.83500000000000008</v>
      </c>
      <c r="N13" s="178">
        <v>0.41750000000000004</v>
      </c>
      <c r="O13" s="262">
        <f>J13-M13</f>
        <v>0</v>
      </c>
      <c r="P13" s="262">
        <v>0</v>
      </c>
      <c r="Q13" s="268">
        <f>SUM(O13:P13)</f>
        <v>0</v>
      </c>
      <c r="R13" s="16" t="s">
        <v>28</v>
      </c>
      <c r="Z13" s="304"/>
    </row>
    <row r="14" spans="1:27" s="256" customFormat="1" ht="25.5">
      <c r="A14" s="120" t="s">
        <v>48</v>
      </c>
      <c r="B14" s="259" t="s">
        <v>49</v>
      </c>
      <c r="C14" s="261" t="s">
        <v>50</v>
      </c>
      <c r="D14" s="940" t="s">
        <v>51</v>
      </c>
      <c r="E14" s="16"/>
      <c r="F14" s="115">
        <f>FMNP_SAs+SFMNP_SAs-Consolidated_SAs</f>
        <v>74</v>
      </c>
      <c r="G14" s="115">
        <v>1</v>
      </c>
      <c r="H14" s="272">
        <f t="shared" si="0"/>
        <v>74</v>
      </c>
      <c r="I14" s="115">
        <v>8</v>
      </c>
      <c r="J14" s="272">
        <f t="shared" si="1"/>
        <v>592</v>
      </c>
      <c r="K14" s="134">
        <v>408</v>
      </c>
      <c r="L14" s="178">
        <v>440</v>
      </c>
      <c r="M14" s="134">
        <f t="shared" si="2"/>
        <v>848</v>
      </c>
      <c r="N14" s="178">
        <v>440</v>
      </c>
      <c r="O14" s="262">
        <v>0</v>
      </c>
      <c r="P14" s="262">
        <f>J14-M14</f>
        <v>-256</v>
      </c>
      <c r="Q14" s="268">
        <f t="shared" si="3"/>
        <v>-256</v>
      </c>
      <c r="R14" s="16" t="s">
        <v>52</v>
      </c>
    </row>
    <row r="15" spans="1:27" s="256" customFormat="1" ht="25.5">
      <c r="A15" s="120" t="s">
        <v>53</v>
      </c>
      <c r="B15" s="259" t="s">
        <v>49</v>
      </c>
      <c r="C15" s="261" t="s">
        <v>50</v>
      </c>
      <c r="D15" s="940" t="s">
        <v>54</v>
      </c>
      <c r="E15" s="16"/>
      <c r="F15" s="115">
        <f>FMNP_SAs+SFMNP_SAs-Consolidated_SAs</f>
        <v>74</v>
      </c>
      <c r="G15" s="115">
        <v>15</v>
      </c>
      <c r="H15" s="272">
        <f t="shared" si="0"/>
        <v>1110</v>
      </c>
      <c r="I15" s="115">
        <v>2</v>
      </c>
      <c r="J15" s="272">
        <f t="shared" si="1"/>
        <v>2220</v>
      </c>
      <c r="K15" s="134">
        <v>1530</v>
      </c>
      <c r="L15" s="178">
        <v>1650</v>
      </c>
      <c r="M15" s="134">
        <f t="shared" si="2"/>
        <v>3180</v>
      </c>
      <c r="N15" s="178">
        <v>1650</v>
      </c>
      <c r="O15" s="262">
        <v>0</v>
      </c>
      <c r="P15" s="262">
        <f>J15-M15</f>
        <v>-960</v>
      </c>
      <c r="Q15" s="268">
        <f t="shared" si="3"/>
        <v>-960</v>
      </c>
      <c r="R15" s="16" t="s">
        <v>52</v>
      </c>
      <c r="Z15" s="304"/>
    </row>
    <row r="16" spans="1:27" s="256" customFormat="1" ht="38.25">
      <c r="A16" s="120">
        <v>9</v>
      </c>
      <c r="B16" s="259" t="s">
        <v>55</v>
      </c>
      <c r="C16" s="123" t="s">
        <v>56</v>
      </c>
      <c r="D16" s="940" t="s">
        <v>57</v>
      </c>
      <c r="E16" s="128"/>
      <c r="F16" s="115">
        <f>FMNP_SAs+SFMNP_SAs-Consolidated_SAs</f>
        <v>74</v>
      </c>
      <c r="G16" s="115">
        <f>(Consolidated_Outlets/(FMNP_SAs+SFMNP_SAs-Consolidated_SAs))*0.1</f>
        <v>34.42702702702703</v>
      </c>
      <c r="H16" s="272">
        <f t="shared" si="0"/>
        <v>2547.6000000000004</v>
      </c>
      <c r="I16" s="115">
        <v>1.5</v>
      </c>
      <c r="J16" s="272">
        <f t="shared" si="1"/>
        <v>3821.4000000000005</v>
      </c>
      <c r="K16" s="134">
        <v>2939.55</v>
      </c>
      <c r="L16" s="134">
        <v>2933.25</v>
      </c>
      <c r="M16" s="134">
        <f t="shared" si="2"/>
        <v>5872.8</v>
      </c>
      <c r="N16" s="134">
        <v>2933.25</v>
      </c>
      <c r="O16" s="262">
        <f>'SFMNP 2026'!$N$14+'2025 WIC FMNP Only'!$L$15</f>
        <v>-413.69999999999982</v>
      </c>
      <c r="P16" s="115">
        <f>J16-M16-O16</f>
        <v>-1637.6999999999998</v>
      </c>
      <c r="Q16" s="268">
        <f t="shared" si="3"/>
        <v>-2051.3999999999996</v>
      </c>
      <c r="R16" s="16" t="s">
        <v>58</v>
      </c>
      <c r="Z16" s="304"/>
      <c r="AA16" s="305"/>
    </row>
    <row r="17" spans="1:27" s="256" customFormat="1" ht="25.5">
      <c r="A17" s="120">
        <v>10</v>
      </c>
      <c r="B17" s="259" t="s">
        <v>59</v>
      </c>
      <c r="C17" s="121" t="s">
        <v>60</v>
      </c>
      <c r="D17" s="940" t="s">
        <v>61</v>
      </c>
      <c r="E17" s="128"/>
      <c r="F17" s="115">
        <f>FMNP_SAs+SFMNP_SAs</f>
        <v>106</v>
      </c>
      <c r="G17" s="115">
        <f>((FMNP_LAs+SFMNP_LAs)/(FMNP_SAs+SFMNP_SAs))*0.5</f>
        <v>10.367924528301886</v>
      </c>
      <c r="H17" s="272">
        <f>F17*G17</f>
        <v>1099</v>
      </c>
      <c r="I17" s="115">
        <v>2</v>
      </c>
      <c r="J17" s="272">
        <f>H17*I17</f>
        <v>2198</v>
      </c>
      <c r="K17" s="134">
        <v>1098</v>
      </c>
      <c r="L17" s="134">
        <v>968.00000000000011</v>
      </c>
      <c r="M17" s="134">
        <f t="shared" si="2"/>
        <v>2066</v>
      </c>
      <c r="N17" s="134">
        <v>968.00000000000011</v>
      </c>
      <c r="O17" s="115">
        <f>J17-M17</f>
        <v>132</v>
      </c>
      <c r="P17" s="115">
        <v>0</v>
      </c>
      <c r="Q17" s="268">
        <f t="shared" si="3"/>
        <v>132</v>
      </c>
      <c r="R17" s="16" t="s">
        <v>62</v>
      </c>
      <c r="Z17" s="304"/>
      <c r="AA17" s="305"/>
    </row>
    <row r="18" spans="1:27" s="256" customFormat="1" ht="25.5">
      <c r="A18" s="120">
        <v>11</v>
      </c>
      <c r="B18" s="259" t="s">
        <v>63</v>
      </c>
      <c r="C18" s="121" t="s">
        <v>64</v>
      </c>
      <c r="D18" s="127" t="s">
        <v>65</v>
      </c>
      <c r="E18" s="128"/>
      <c r="F18" s="115">
        <f>FMNP_SAs+SFMNP_SAs-Consolidated_SAs</f>
        <v>74</v>
      </c>
      <c r="G18" s="115">
        <v>1</v>
      </c>
      <c r="H18" s="272">
        <f t="shared" si="0"/>
        <v>74</v>
      </c>
      <c r="I18" s="115">
        <v>5</v>
      </c>
      <c r="J18" s="272">
        <f t="shared" si="1"/>
        <v>370</v>
      </c>
      <c r="K18" s="134">
        <v>255</v>
      </c>
      <c r="L18" s="134">
        <v>275</v>
      </c>
      <c r="M18" s="134">
        <f t="shared" si="2"/>
        <v>530</v>
      </c>
      <c r="N18" s="134">
        <v>275</v>
      </c>
      <c r="O18" s="115">
        <v>0</v>
      </c>
      <c r="P18" s="115">
        <f>J18-M18</f>
        <v>-160</v>
      </c>
      <c r="Q18" s="268">
        <f t="shared" si="3"/>
        <v>-160</v>
      </c>
      <c r="R18" s="16" t="s">
        <v>52</v>
      </c>
      <c r="U18" s="306"/>
      <c r="V18" s="307"/>
    </row>
    <row r="19" spans="1:27" s="256" customFormat="1" ht="33" customHeight="1">
      <c r="A19" s="277">
        <v>12</v>
      </c>
      <c r="B19" s="259" t="s">
        <v>66</v>
      </c>
      <c r="C19" s="121" t="s">
        <v>67</v>
      </c>
      <c r="D19" s="276" t="s">
        <v>68</v>
      </c>
      <c r="E19" s="128"/>
      <c r="F19" s="115"/>
      <c r="G19" s="116"/>
      <c r="H19" s="272"/>
      <c r="I19" s="116"/>
      <c r="J19" s="272">
        <f>SUM(J20:J21)</f>
        <v>210</v>
      </c>
      <c r="K19" s="134">
        <f>SUM(K20:K21)</f>
        <v>115.5</v>
      </c>
      <c r="L19" s="132">
        <f>SUM(L20:L21)</f>
        <v>165</v>
      </c>
      <c r="M19" s="134">
        <f>SUM(K19:L19)</f>
        <v>280.5</v>
      </c>
      <c r="N19" s="132">
        <f>SUM(N20:N21)</f>
        <v>165</v>
      </c>
      <c r="O19" s="132">
        <f>SUM(O20:O21)</f>
        <v>-19.5</v>
      </c>
      <c r="P19" s="132">
        <f>SUM(P20:P21)</f>
        <v>-51</v>
      </c>
      <c r="Q19" s="268">
        <f t="shared" si="3"/>
        <v>-70.5</v>
      </c>
      <c r="R19" s="1012" t="s">
        <v>69</v>
      </c>
      <c r="T19" s="308"/>
      <c r="V19" s="307"/>
    </row>
    <row r="20" spans="1:27" s="256" customFormat="1" ht="33" customHeight="1">
      <c r="A20" s="120" t="s">
        <v>70</v>
      </c>
      <c r="B20" s="289" t="s">
        <v>66</v>
      </c>
      <c r="C20" s="135" t="s">
        <v>67</v>
      </c>
      <c r="D20" s="278" t="s">
        <v>71</v>
      </c>
      <c r="E20" s="128"/>
      <c r="F20" s="115">
        <f>FMNP_paper+SFMNP_paper</f>
        <v>34</v>
      </c>
      <c r="G20" s="116">
        <v>1</v>
      </c>
      <c r="H20" s="272">
        <f t="shared" si="0"/>
        <v>34</v>
      </c>
      <c r="I20" s="116">
        <v>3</v>
      </c>
      <c r="J20" s="272">
        <f t="shared" si="1"/>
        <v>102</v>
      </c>
      <c r="K20" s="134">
        <v>78</v>
      </c>
      <c r="L20" s="132">
        <v>165</v>
      </c>
      <c r="M20" s="134">
        <f>SUM(K20:L20)</f>
        <v>243</v>
      </c>
      <c r="N20" s="132">
        <v>165</v>
      </c>
      <c r="O20" s="116">
        <f>3+'2025 WIC FMNP Only'!J19</f>
        <v>-39</v>
      </c>
      <c r="P20" s="116">
        <f>J20-M20-O20</f>
        <v>-102</v>
      </c>
      <c r="Q20" s="268">
        <f t="shared" si="3"/>
        <v>-141</v>
      </c>
      <c r="R20" s="1013"/>
    </row>
    <row r="21" spans="1:27" s="256" customFormat="1" ht="33" customHeight="1">
      <c r="A21" s="120" t="s">
        <v>72</v>
      </c>
      <c r="B21" s="289" t="s">
        <v>66</v>
      </c>
      <c r="C21" s="135" t="s">
        <v>67</v>
      </c>
      <c r="D21" s="278" t="s">
        <v>73</v>
      </c>
      <c r="E21" s="128"/>
      <c r="F21" s="115">
        <f>FMNP_eSol+SFMNP_eSol</f>
        <v>72</v>
      </c>
      <c r="G21" s="116">
        <v>1</v>
      </c>
      <c r="H21" s="272">
        <f t="shared" si="0"/>
        <v>72</v>
      </c>
      <c r="I21" s="116">
        <v>1.5</v>
      </c>
      <c r="J21" s="272">
        <f t="shared" si="1"/>
        <v>108</v>
      </c>
      <c r="K21" s="134">
        <v>37.5</v>
      </c>
      <c r="L21" s="132">
        <v>0</v>
      </c>
      <c r="M21" s="134">
        <f>SUM(K21:L21)</f>
        <v>37.5</v>
      </c>
      <c r="N21" s="132">
        <v>0</v>
      </c>
      <c r="O21" s="116">
        <f>'2025 WIC FMNP Only'!J20</f>
        <v>19.5</v>
      </c>
      <c r="P21" s="116">
        <f>J21-M21-O21</f>
        <v>51</v>
      </c>
      <c r="Q21" s="268">
        <f t="shared" si="3"/>
        <v>70.5</v>
      </c>
      <c r="R21" s="1014"/>
    </row>
    <row r="22" spans="1:27" s="256" customFormat="1" ht="63.75">
      <c r="A22" s="120">
        <v>13</v>
      </c>
      <c r="B22" s="259" t="s">
        <v>74</v>
      </c>
      <c r="C22" s="121" t="s">
        <v>75</v>
      </c>
      <c r="D22" s="940" t="s">
        <v>76</v>
      </c>
      <c r="E22" s="128"/>
      <c r="F22" s="115">
        <f>FMNP_SAs+SFMNP_SAs</f>
        <v>106</v>
      </c>
      <c r="G22" s="115">
        <f>(FMNP_Outlet_Complaints+SFMNP_Outlet_Complaints+SFMNP_Participant_Complaints)/(SFMNP_SAs+FMNP_SAs)</f>
        <v>14.188679245283019</v>
      </c>
      <c r="H22" s="272">
        <f t="shared" si="0"/>
        <v>1504</v>
      </c>
      <c r="I22" s="116">
        <v>1</v>
      </c>
      <c r="J22" s="272">
        <f t="shared" si="1"/>
        <v>1504</v>
      </c>
      <c r="K22" s="134">
        <v>493</v>
      </c>
      <c r="L22" s="132">
        <v>500.00000000000006</v>
      </c>
      <c r="M22" s="134">
        <f>SUM(K22:L22)</f>
        <v>993</v>
      </c>
      <c r="N22" s="132">
        <v>500.00000000000006</v>
      </c>
      <c r="O22" s="116">
        <f>J22-M22-P22</f>
        <v>-39</v>
      </c>
      <c r="P22" s="116">
        <f>550</f>
        <v>550</v>
      </c>
      <c r="Q22" s="268">
        <f t="shared" si="3"/>
        <v>511</v>
      </c>
      <c r="R22" s="16" t="s">
        <v>77</v>
      </c>
    </row>
    <row r="23" spans="1:27" s="256" customFormat="1" ht="63.75">
      <c r="A23" s="120">
        <v>14</v>
      </c>
      <c r="B23" s="259" t="s">
        <v>78</v>
      </c>
      <c r="C23" s="121" t="s">
        <v>79</v>
      </c>
      <c r="D23" s="940" t="s">
        <v>80</v>
      </c>
      <c r="E23" s="128"/>
      <c r="F23" s="116">
        <f>FMNP_SAs+SFMNP_SAs</f>
        <v>106</v>
      </c>
      <c r="G23" s="115">
        <f>((FMNP_outlets+SFMNP_outlets+SFMNP_participants)*0.02)/(FMNP_SAs+SFMNP_SAs)</f>
        <v>165.05735849056606</v>
      </c>
      <c r="H23" s="272">
        <f t="shared" si="0"/>
        <v>17496.080000000002</v>
      </c>
      <c r="I23" s="863">
        <v>8.3500000000000005E-2</v>
      </c>
      <c r="J23" s="272">
        <f t="shared" si="1"/>
        <v>1460.9226800000001</v>
      </c>
      <c r="K23" s="134">
        <v>32.729999999999997</v>
      </c>
      <c r="L23" s="132">
        <v>32.656850000000006</v>
      </c>
      <c r="M23" s="134">
        <f t="shared" si="2"/>
        <v>65.38685000000001</v>
      </c>
      <c r="N23" s="132">
        <v>32.656850000000006</v>
      </c>
      <c r="O23" s="116">
        <f>J23-M23-P23</f>
        <v>-4.6088700000000244</v>
      </c>
      <c r="P23" s="116">
        <f>SFMNP_participants*0.02*I23</f>
        <v>1400.1447000000001</v>
      </c>
      <c r="Q23" s="268">
        <f t="shared" si="3"/>
        <v>1395.53583</v>
      </c>
      <c r="R23" s="16" t="s">
        <v>81</v>
      </c>
    </row>
    <row r="24" spans="1:27" s="256" customFormat="1" ht="25.5">
      <c r="A24" s="120">
        <v>15</v>
      </c>
      <c r="B24" s="259" t="s">
        <v>82</v>
      </c>
      <c r="C24" s="123">
        <v>249.11</v>
      </c>
      <c r="D24" s="940" t="s">
        <v>83</v>
      </c>
      <c r="E24" s="128"/>
      <c r="F24" s="115">
        <f>FMNP_SAs+SFMNP_SAs</f>
        <v>106</v>
      </c>
      <c r="G24" s="115">
        <v>1</v>
      </c>
      <c r="H24" s="272">
        <f t="shared" si="0"/>
        <v>106</v>
      </c>
      <c r="I24" s="116">
        <v>10</v>
      </c>
      <c r="J24" s="272">
        <f t="shared" si="1"/>
        <v>1060</v>
      </c>
      <c r="K24" s="134">
        <v>510</v>
      </c>
      <c r="L24" s="132">
        <v>550</v>
      </c>
      <c r="M24" s="134">
        <f t="shared" si="2"/>
        <v>1060</v>
      </c>
      <c r="N24" s="132">
        <v>550</v>
      </c>
      <c r="O24" s="116">
        <f>J24-M24</f>
        <v>0</v>
      </c>
      <c r="P24" s="116">
        <v>0</v>
      </c>
      <c r="Q24" s="268">
        <f t="shared" si="3"/>
        <v>0</v>
      </c>
      <c r="R24" s="16" t="s">
        <v>28</v>
      </c>
    </row>
    <row r="25" spans="1:27" s="256" customFormat="1" ht="25.5">
      <c r="A25" s="120">
        <v>16</v>
      </c>
      <c r="B25" s="259" t="s">
        <v>84</v>
      </c>
      <c r="C25" s="121" t="s">
        <v>85</v>
      </c>
      <c r="D25" s="940" t="s">
        <v>86</v>
      </c>
      <c r="E25" s="263"/>
      <c r="F25" s="115">
        <f>5*2</f>
        <v>10</v>
      </c>
      <c r="G25" s="116">
        <v>1</v>
      </c>
      <c r="H25" s="272">
        <f t="shared" si="0"/>
        <v>10</v>
      </c>
      <c r="I25" s="116">
        <v>40</v>
      </c>
      <c r="J25" s="272">
        <f t="shared" si="1"/>
        <v>400</v>
      </c>
      <c r="K25" s="134">
        <v>200</v>
      </c>
      <c r="L25" s="132">
        <v>200</v>
      </c>
      <c r="M25" s="134">
        <f t="shared" si="2"/>
        <v>400</v>
      </c>
      <c r="N25" s="132">
        <v>200</v>
      </c>
      <c r="O25" s="116">
        <f>J25-M25</f>
        <v>0</v>
      </c>
      <c r="P25" s="116">
        <v>0</v>
      </c>
      <c r="Q25" s="268">
        <f>SUM(O25:P25)</f>
        <v>0</v>
      </c>
      <c r="R25" s="16" t="s">
        <v>28</v>
      </c>
    </row>
    <row r="26" spans="1:27" s="256" customFormat="1" ht="25.5">
      <c r="A26" s="120">
        <v>17</v>
      </c>
      <c r="B26" s="259" t="s">
        <v>87</v>
      </c>
      <c r="C26" s="121" t="s">
        <v>88</v>
      </c>
      <c r="D26" s="940" t="s">
        <v>89</v>
      </c>
      <c r="E26" s="263"/>
      <c r="F26" s="115">
        <f>1*2</f>
        <v>2</v>
      </c>
      <c r="G26" s="116">
        <v>1</v>
      </c>
      <c r="H26" s="272">
        <f t="shared" si="0"/>
        <v>2</v>
      </c>
      <c r="I26" s="116">
        <v>24</v>
      </c>
      <c r="J26" s="272">
        <f t="shared" si="1"/>
        <v>48</v>
      </c>
      <c r="K26" s="134">
        <v>24</v>
      </c>
      <c r="L26" s="132">
        <v>24</v>
      </c>
      <c r="M26" s="132">
        <f t="shared" si="2"/>
        <v>48</v>
      </c>
      <c r="N26" s="132">
        <v>24</v>
      </c>
      <c r="O26" s="116">
        <f>J26-M26</f>
        <v>0</v>
      </c>
      <c r="P26" s="116">
        <v>0</v>
      </c>
      <c r="Q26" s="268">
        <f>SUM(O26:P26)</f>
        <v>0</v>
      </c>
      <c r="R26" s="16" t="s">
        <v>28</v>
      </c>
    </row>
    <row r="27" spans="1:27" s="256" customFormat="1" ht="25.5">
      <c r="A27" s="120">
        <v>18</v>
      </c>
      <c r="B27" s="259" t="s">
        <v>90</v>
      </c>
      <c r="C27" s="121" t="s">
        <v>91</v>
      </c>
      <c r="D27" s="127" t="s">
        <v>92</v>
      </c>
      <c r="E27" s="128"/>
      <c r="F27" s="115">
        <f>ROUND(106*0.15, 0)</f>
        <v>16</v>
      </c>
      <c r="G27" s="116">
        <v>1</v>
      </c>
      <c r="H27" s="272">
        <f t="shared" si="0"/>
        <v>16</v>
      </c>
      <c r="I27" s="116">
        <v>10</v>
      </c>
      <c r="J27" s="272">
        <f t="shared" si="1"/>
        <v>160</v>
      </c>
      <c r="K27" s="134">
        <v>70</v>
      </c>
      <c r="L27" s="132">
        <v>80</v>
      </c>
      <c r="M27" s="132">
        <f t="shared" si="2"/>
        <v>150</v>
      </c>
      <c r="N27" s="132">
        <v>80</v>
      </c>
      <c r="O27" s="116">
        <v>0</v>
      </c>
      <c r="P27" s="116">
        <f>J27-M27</f>
        <v>10</v>
      </c>
      <c r="Q27" s="268">
        <f>SUM(O27:P27)</f>
        <v>10</v>
      </c>
      <c r="R27" s="16" t="s">
        <v>93</v>
      </c>
    </row>
    <row r="28" spans="1:27" s="256" customFormat="1" ht="15.75" customHeight="1">
      <c r="A28" s="120">
        <v>19</v>
      </c>
      <c r="B28" s="259" t="s">
        <v>94</v>
      </c>
      <c r="C28" s="121" t="s">
        <v>95</v>
      </c>
      <c r="D28" s="139" t="s">
        <v>96</v>
      </c>
      <c r="E28" s="128"/>
      <c r="F28" s="115">
        <f>2*2</f>
        <v>4</v>
      </c>
      <c r="G28" s="116">
        <v>1</v>
      </c>
      <c r="H28" s="272">
        <f t="shared" si="0"/>
        <v>4</v>
      </c>
      <c r="I28" s="116">
        <v>10</v>
      </c>
      <c r="J28" s="272">
        <f t="shared" si="1"/>
        <v>40</v>
      </c>
      <c r="K28" s="134">
        <v>20</v>
      </c>
      <c r="L28" s="132">
        <v>20</v>
      </c>
      <c r="M28" s="132">
        <f t="shared" si="2"/>
        <v>40</v>
      </c>
      <c r="N28" s="132">
        <v>20</v>
      </c>
      <c r="O28" s="116">
        <f>J28-M28</f>
        <v>0</v>
      </c>
      <c r="P28" s="116">
        <v>0</v>
      </c>
      <c r="Q28" s="268">
        <f t="shared" ref="Q28:Q29" si="4">SUM(O28:P28)</f>
        <v>0</v>
      </c>
      <c r="R28" s="16" t="s">
        <v>28</v>
      </c>
    </row>
    <row r="29" spans="1:27" s="256" customFormat="1" ht="15.75" customHeight="1">
      <c r="A29" s="120">
        <v>20</v>
      </c>
      <c r="B29" s="259" t="s">
        <v>97</v>
      </c>
      <c r="C29" s="121" t="s">
        <v>98</v>
      </c>
      <c r="D29" s="127" t="s">
        <v>99</v>
      </c>
      <c r="E29" s="128"/>
      <c r="F29" s="115">
        <f>1*2</f>
        <v>2</v>
      </c>
      <c r="G29" s="126">
        <v>1</v>
      </c>
      <c r="H29" s="272">
        <f t="shared" si="0"/>
        <v>2</v>
      </c>
      <c r="I29" s="126">
        <v>15</v>
      </c>
      <c r="J29" s="272">
        <f t="shared" si="1"/>
        <v>30</v>
      </c>
      <c r="K29" s="134">
        <v>15</v>
      </c>
      <c r="L29" s="275">
        <v>15</v>
      </c>
      <c r="M29" s="132">
        <f t="shared" si="2"/>
        <v>30</v>
      </c>
      <c r="N29" s="275">
        <v>15</v>
      </c>
      <c r="O29" s="116">
        <f>J29-M29</f>
        <v>0</v>
      </c>
      <c r="P29" s="126">
        <v>0</v>
      </c>
      <c r="Q29" s="268">
        <f t="shared" si="4"/>
        <v>0</v>
      </c>
      <c r="R29" s="16" t="s">
        <v>28</v>
      </c>
    </row>
    <row r="30" spans="1:27" s="256" customFormat="1" ht="28.5" customHeight="1">
      <c r="A30" s="1015" t="s">
        <v>100</v>
      </c>
      <c r="B30" s="1016"/>
      <c r="C30" s="1016"/>
      <c r="D30" s="1017"/>
      <c r="E30" s="294"/>
      <c r="F30" s="295">
        <f>FMNP_SAs+SFMNP_SAs+((FMNP_LAs+SFMNP_LAs)*0.35)</f>
        <v>875.3</v>
      </c>
      <c r="G30" s="295">
        <f>H30/F30</f>
        <v>2628.8209528161774</v>
      </c>
      <c r="H30" s="295">
        <f>SUM(H6:H18, H20:H29)</f>
        <v>2301006.98</v>
      </c>
      <c r="I30" s="295">
        <f>J30/H30</f>
        <v>0.25688318758598461</v>
      </c>
      <c r="J30" s="295">
        <f t="shared" ref="J30:Q30" si="5">SUM(J6:J18, J20:J29)</f>
        <v>591090.00767999992</v>
      </c>
      <c r="K30" s="296">
        <f t="shared" si="5"/>
        <v>347593.92749999993</v>
      </c>
      <c r="L30" s="296">
        <f t="shared" si="5"/>
        <v>194596.79935000002</v>
      </c>
      <c r="M30" s="296">
        <f t="shared" si="5"/>
        <v>542190.72684999998</v>
      </c>
      <c r="N30" s="295">
        <f>SUM(N6:N29)</f>
        <v>195291.79935000002</v>
      </c>
      <c r="O30" s="295">
        <f t="shared" si="5"/>
        <v>51900.091130000001</v>
      </c>
      <c r="P30" s="295">
        <f t="shared" si="5"/>
        <v>-3000.8103000000001</v>
      </c>
      <c r="Q30" s="295">
        <f t="shared" si="5"/>
        <v>48899.280830000003</v>
      </c>
      <c r="R30" s="297"/>
    </row>
    <row r="31" spans="1:27" s="309" customFormat="1" ht="15.75" customHeight="1">
      <c r="A31" s="990" t="s">
        <v>101</v>
      </c>
      <c r="B31" s="991"/>
      <c r="C31" s="991"/>
      <c r="D31" s="991"/>
      <c r="E31" s="991"/>
      <c r="F31" s="991"/>
      <c r="G31" s="991"/>
      <c r="H31" s="991"/>
      <c r="I31" s="991"/>
      <c r="J31" s="991"/>
      <c r="K31" s="991"/>
      <c r="L31" s="991"/>
      <c r="M31" s="991"/>
      <c r="N31" s="991"/>
      <c r="O31" s="991"/>
      <c r="P31" s="991"/>
      <c r="Q31" s="991"/>
      <c r="R31" s="992"/>
    </row>
    <row r="32" spans="1:27" s="256" customFormat="1" ht="51">
      <c r="A32" s="120">
        <v>1</v>
      </c>
      <c r="B32" s="259" t="s">
        <v>29</v>
      </c>
      <c r="C32" s="280" t="s">
        <v>30</v>
      </c>
      <c r="D32" s="127" t="s">
        <v>102</v>
      </c>
      <c r="E32" s="139"/>
      <c r="F32" s="262">
        <f>FMNP_participants+SFMNP_participants</f>
        <v>2266573</v>
      </c>
      <c r="G32" s="279">
        <v>1</v>
      </c>
      <c r="H32" s="272">
        <f>F32*G32</f>
        <v>2266573</v>
      </c>
      <c r="I32" s="115">
        <v>0.25</v>
      </c>
      <c r="J32" s="272">
        <f>H32*I32</f>
        <v>566643.25</v>
      </c>
      <c r="K32" s="134">
        <v>66670.374599999996</v>
      </c>
      <c r="L32" s="180">
        <v>12118.956200000001</v>
      </c>
      <c r="M32" s="180">
        <f>SUM(K32:L32)</f>
        <v>78789.330799999996</v>
      </c>
      <c r="N32" s="180">
        <v>12118.956200000001</v>
      </c>
      <c r="O32" s="262">
        <f>((FMNP_participants-'WIC FMNP 2024'!D31)+(SFMNP_participants-'SFMNP 2022'!D27))*0.25</f>
        <v>52535.25</v>
      </c>
      <c r="P32" s="262">
        <f>J32-M32-O32</f>
        <v>435318.6692</v>
      </c>
      <c r="Q32" s="153">
        <f>SUM(O32:P32)</f>
        <v>487853.9192</v>
      </c>
      <c r="R32" s="32" t="s">
        <v>103</v>
      </c>
    </row>
    <row r="33" spans="1:20" s="256" customFormat="1" ht="25.5">
      <c r="A33" s="120">
        <v>2</v>
      </c>
      <c r="B33" s="259" t="s">
        <v>28</v>
      </c>
      <c r="C33" s="280" t="s">
        <v>75</v>
      </c>
      <c r="D33" s="127" t="s">
        <v>104</v>
      </c>
      <c r="E33" s="139"/>
      <c r="F33" s="262">
        <f>SFMNP_Participant_Complaints</f>
        <v>578</v>
      </c>
      <c r="G33" s="281">
        <v>1</v>
      </c>
      <c r="H33" s="272">
        <f>F33*G33</f>
        <v>578</v>
      </c>
      <c r="I33" s="116">
        <v>0.5</v>
      </c>
      <c r="J33" s="272">
        <f>I33*H33</f>
        <v>289</v>
      </c>
      <c r="K33" s="115"/>
      <c r="L33" s="180">
        <v>250</v>
      </c>
      <c r="M33" s="180">
        <f t="shared" ref="M33:M34" si="6">SUM(K33:L33)</f>
        <v>250</v>
      </c>
      <c r="N33" s="180">
        <v>250</v>
      </c>
      <c r="O33" s="262">
        <f>J33-M33</f>
        <v>39</v>
      </c>
      <c r="P33" s="262">
        <v>0</v>
      </c>
      <c r="Q33" s="153">
        <f t="shared" ref="Q33:Q34" si="7">SUM(O33:P33)</f>
        <v>39</v>
      </c>
      <c r="R33" s="32" t="s">
        <v>105</v>
      </c>
    </row>
    <row r="34" spans="1:20" s="256" customFormat="1" ht="15.75" customHeight="1">
      <c r="A34" s="120">
        <v>3</v>
      </c>
      <c r="B34" s="259" t="s">
        <v>28</v>
      </c>
      <c r="C34" s="121" t="s">
        <v>106</v>
      </c>
      <c r="D34" s="127" t="s">
        <v>107</v>
      </c>
      <c r="E34" s="139"/>
      <c r="F34" s="262">
        <f>SFMNP_participants*0.02*0.02</f>
        <v>335.36400000000003</v>
      </c>
      <c r="G34" s="281">
        <v>1</v>
      </c>
      <c r="H34" s="272">
        <f>F34*G34</f>
        <v>335.36400000000003</v>
      </c>
      <c r="I34" s="116">
        <v>2</v>
      </c>
      <c r="J34" s="272">
        <f>I34*H34</f>
        <v>670.72800000000007</v>
      </c>
      <c r="K34" s="115"/>
      <c r="L34" s="180">
        <v>580.54880000000003</v>
      </c>
      <c r="M34" s="180">
        <f t="shared" si="6"/>
        <v>580.54880000000003</v>
      </c>
      <c r="N34" s="180">
        <v>580.54880000000003</v>
      </c>
      <c r="O34" s="262">
        <f>J34-M34</f>
        <v>90.179200000000037</v>
      </c>
      <c r="P34" s="262">
        <v>0</v>
      </c>
      <c r="Q34" s="153">
        <f t="shared" si="7"/>
        <v>90.179200000000037</v>
      </c>
      <c r="R34" s="32" t="s">
        <v>108</v>
      </c>
    </row>
    <row r="35" spans="1:20" s="256" customFormat="1" ht="15.75" customHeight="1">
      <c r="A35" s="1005" t="s">
        <v>109</v>
      </c>
      <c r="B35" s="1005"/>
      <c r="C35" s="1005"/>
      <c r="D35" s="1005"/>
      <c r="E35" s="297"/>
      <c r="F35" s="298">
        <f>FMNP_participants+SFMNP_participants</f>
        <v>2266573</v>
      </c>
      <c r="G35" s="867">
        <f>H35/F35</f>
        <v>1.0004029713580811</v>
      </c>
      <c r="H35" s="295">
        <f>SUM(H32:H34)</f>
        <v>2267486.3640000001</v>
      </c>
      <c r="I35" s="867">
        <f>J35/H35</f>
        <v>0.25032255408967918</v>
      </c>
      <c r="J35" s="295">
        <f t="shared" ref="J35:Q35" si="8">SUM(J32:J34)</f>
        <v>567602.978</v>
      </c>
      <c r="K35" s="296">
        <f t="shared" si="8"/>
        <v>66670.374599999996</v>
      </c>
      <c r="L35" s="300">
        <f t="shared" si="8"/>
        <v>12949.505000000001</v>
      </c>
      <c r="M35" s="300">
        <f t="shared" si="8"/>
        <v>79619.8796</v>
      </c>
      <c r="N35" s="301">
        <f>SUM(N32:N34)</f>
        <v>12949.505000000001</v>
      </c>
      <c r="O35" s="301">
        <f t="shared" si="8"/>
        <v>52664.429199999999</v>
      </c>
      <c r="P35" s="301">
        <f t="shared" si="8"/>
        <v>435318.6692</v>
      </c>
      <c r="Q35" s="301">
        <f t="shared" si="8"/>
        <v>487983.09840000002</v>
      </c>
      <c r="R35" s="297"/>
    </row>
    <row r="36" spans="1:20" s="309" customFormat="1" ht="15.75" customHeight="1">
      <c r="A36" s="993" t="s">
        <v>110</v>
      </c>
      <c r="B36" s="994"/>
      <c r="C36" s="994"/>
      <c r="D36" s="994"/>
      <c r="E36" s="994"/>
      <c r="F36" s="994"/>
      <c r="G36" s="994"/>
      <c r="H36" s="994"/>
      <c r="I36" s="994"/>
      <c r="J36" s="994"/>
      <c r="K36" s="994"/>
      <c r="L36" s="994"/>
      <c r="M36" s="994"/>
      <c r="N36" s="994"/>
      <c r="O36" s="994"/>
      <c r="P36" s="994"/>
      <c r="Q36" s="994"/>
      <c r="R36" s="995"/>
    </row>
    <row r="37" spans="1:20" s="310" customFormat="1" ht="25.5">
      <c r="A37" s="120">
        <v>1</v>
      </c>
      <c r="B37" s="259" t="s">
        <v>22</v>
      </c>
      <c r="C37" s="280" t="s">
        <v>23</v>
      </c>
      <c r="D37" s="940" t="s">
        <v>111</v>
      </c>
      <c r="E37" s="16"/>
      <c r="F37" s="115">
        <f>((FMNP_LAs+SFMNP_LAs)*0.3)*0.5</f>
        <v>329.7</v>
      </c>
      <c r="G37" s="116">
        <v>1</v>
      </c>
      <c r="H37" s="272">
        <f>F37*G37</f>
        <v>329.7</v>
      </c>
      <c r="I37" s="116">
        <v>2</v>
      </c>
      <c r="J37" s="272">
        <f>H37*I37</f>
        <v>659.4</v>
      </c>
      <c r="K37" s="134">
        <v>329.4</v>
      </c>
      <c r="L37" s="178">
        <v>290.39999999999998</v>
      </c>
      <c r="M37" s="178">
        <f>SUM(K37:L37)</f>
        <v>619.79999999999995</v>
      </c>
      <c r="N37" s="178">
        <v>290.39999999999998</v>
      </c>
      <c r="O37" s="262">
        <f>J37-M37</f>
        <v>39.600000000000023</v>
      </c>
      <c r="P37" s="262">
        <v>0</v>
      </c>
      <c r="Q37" s="262">
        <f>SUM(O37:P37)</f>
        <v>39.600000000000023</v>
      </c>
      <c r="R37" s="16" t="s">
        <v>112</v>
      </c>
    </row>
    <row r="38" spans="1:20" s="310" customFormat="1" ht="51">
      <c r="A38" s="120">
        <v>2</v>
      </c>
      <c r="B38" s="259" t="s">
        <v>113</v>
      </c>
      <c r="C38" s="280" t="s">
        <v>114</v>
      </c>
      <c r="D38" s="940" t="s">
        <v>115</v>
      </c>
      <c r="E38" s="292">
        <f>SUM(F37,F44)</f>
        <v>19267.494999999999</v>
      </c>
      <c r="F38" s="115">
        <f>Consolidated_Outlets/3</f>
        <v>8492</v>
      </c>
      <c r="G38" s="116">
        <v>1</v>
      </c>
      <c r="H38" s="272">
        <f>F38*G38</f>
        <v>8492</v>
      </c>
      <c r="I38" s="862">
        <v>8.3500000000000005E-2</v>
      </c>
      <c r="J38" s="272">
        <f t="shared" ref="J38:J45" si="9">H38*I38</f>
        <v>709.08199999999999</v>
      </c>
      <c r="K38" s="134">
        <v>818.17475000000002</v>
      </c>
      <c r="L38" s="134">
        <v>816.4212500000001</v>
      </c>
      <c r="M38" s="178">
        <f t="shared" ref="M38:M45" si="10">SUM(K38:L38)</f>
        <v>1634.596</v>
      </c>
      <c r="N38" s="134">
        <v>816.4212500000001</v>
      </c>
      <c r="O38" s="262">
        <f>'SFMNP 2026'!$L$36+'2025 WIC FMNP Only'!$J$35</f>
        <v>-115.14649999999995</v>
      </c>
      <c r="P38" s="262">
        <f>J38-M38-O38</f>
        <v>-810.36750000000006</v>
      </c>
      <c r="Q38" s="262">
        <f t="shared" ref="Q38:Q45" si="11">SUM(O38:P38)</f>
        <v>-925.51400000000001</v>
      </c>
      <c r="R38" s="16" t="s">
        <v>38</v>
      </c>
      <c r="T38" s="876"/>
    </row>
    <row r="39" spans="1:20" s="310" customFormat="1" ht="25.5">
      <c r="A39" s="120">
        <v>3</v>
      </c>
      <c r="B39" s="259" t="s">
        <v>45</v>
      </c>
      <c r="C39" s="280" t="s">
        <v>46</v>
      </c>
      <c r="D39" s="940" t="s">
        <v>107</v>
      </c>
      <c r="E39" s="16"/>
      <c r="F39" s="115">
        <v>2</v>
      </c>
      <c r="G39" s="116">
        <v>1</v>
      </c>
      <c r="H39" s="272">
        <f t="shared" ref="H39:H45" si="12">F39*G39</f>
        <v>2</v>
      </c>
      <c r="I39" s="116">
        <v>2</v>
      </c>
      <c r="J39" s="272">
        <f t="shared" si="9"/>
        <v>4</v>
      </c>
      <c r="K39" s="134">
        <v>15.6776</v>
      </c>
      <c r="L39" s="134">
        <v>15.644000000000002</v>
      </c>
      <c r="M39" s="178">
        <f t="shared" si="10"/>
        <v>31.321600000000004</v>
      </c>
      <c r="N39" s="134">
        <v>15.644000000000002</v>
      </c>
      <c r="O39" s="262">
        <v>0</v>
      </c>
      <c r="P39" s="262">
        <f>J39-M39</f>
        <v>-27.321600000000004</v>
      </c>
      <c r="Q39" s="262">
        <f t="shared" si="11"/>
        <v>-27.321600000000004</v>
      </c>
      <c r="R39" s="16" t="s">
        <v>116</v>
      </c>
    </row>
    <row r="40" spans="1:20" s="310" customFormat="1" ht="38.25">
      <c r="A40" s="120">
        <v>4</v>
      </c>
      <c r="B40" s="259" t="s">
        <v>117</v>
      </c>
      <c r="C40" s="280" t="s">
        <v>118</v>
      </c>
      <c r="D40" s="940" t="s">
        <v>119</v>
      </c>
      <c r="E40" s="292"/>
      <c r="F40" s="115">
        <f>Consolidated_Outlets</f>
        <v>25476</v>
      </c>
      <c r="G40" s="116">
        <v>1</v>
      </c>
      <c r="H40" s="272">
        <f t="shared" si="12"/>
        <v>25476</v>
      </c>
      <c r="I40" s="116">
        <v>2</v>
      </c>
      <c r="J40" s="272">
        <f t="shared" si="9"/>
        <v>50952</v>
      </c>
      <c r="K40" s="134">
        <f>35274.6+'WIC FMNP 2024'!$H$35</f>
        <v>39194</v>
      </c>
      <c r="L40" s="134">
        <v>39110</v>
      </c>
      <c r="M40" s="178">
        <f>SUM(K40:L40)</f>
        <v>78304</v>
      </c>
      <c r="N40" s="134">
        <v>39110</v>
      </c>
      <c r="O40" s="116">
        <f>'SFMNP 2026'!$N$38+'2025 WIC FMNP Only'!$L$37</f>
        <v>-1596.5999999999985</v>
      </c>
      <c r="P40" s="116">
        <f>J40-M40-O40</f>
        <v>-25755.4</v>
      </c>
      <c r="Q40" s="262">
        <f t="shared" si="11"/>
        <v>-27352</v>
      </c>
      <c r="R40" s="16" t="s">
        <v>58</v>
      </c>
    </row>
    <row r="41" spans="1:20" s="311" customFormat="1" ht="15.75" customHeight="1">
      <c r="A41" s="277">
        <v>5</v>
      </c>
      <c r="B41" s="284" t="s">
        <v>120</v>
      </c>
      <c r="C41" s="285" t="s">
        <v>121</v>
      </c>
      <c r="D41" s="286" t="s">
        <v>122</v>
      </c>
      <c r="E41" s="287"/>
      <c r="F41" s="132"/>
      <c r="G41" s="116"/>
      <c r="H41" s="288"/>
      <c r="I41" s="116"/>
      <c r="J41" s="288">
        <f>SUM(J42:J44)</f>
        <v>527050.79749999999</v>
      </c>
      <c r="K41" s="134">
        <f>SUM(K42:K44)</f>
        <v>384639.15686274506</v>
      </c>
      <c r="L41" s="134">
        <f>SUM(L42:L44)</f>
        <v>703980</v>
      </c>
      <c r="M41" s="178">
        <f>SUM(K41:L41)</f>
        <v>1088619.1568627451</v>
      </c>
      <c r="N41" s="134">
        <f>SUM(N42:N44)</f>
        <v>703980</v>
      </c>
      <c r="O41" s="134">
        <f>SUM(O42:O44)</f>
        <v>-211421.7968627451</v>
      </c>
      <c r="P41" s="134">
        <f>SUM(P42:P44)</f>
        <v>-350146.56250000006</v>
      </c>
      <c r="Q41" s="293">
        <f t="shared" si="11"/>
        <v>-561568.35936274519</v>
      </c>
      <c r="R41" s="1007" t="s">
        <v>123</v>
      </c>
      <c r="T41" s="312"/>
    </row>
    <row r="42" spans="1:20" s="310" customFormat="1" ht="33.75" customHeight="1">
      <c r="A42" s="120" t="s">
        <v>124</v>
      </c>
      <c r="B42" s="289" t="s">
        <v>120</v>
      </c>
      <c r="C42" s="290" t="s">
        <v>121</v>
      </c>
      <c r="D42" s="291" t="s">
        <v>125</v>
      </c>
      <c r="E42" s="292"/>
      <c r="F42" s="115">
        <f>(FMNP_outlets*((FMNP_paper+F_mail)/FMNP_SAs))+(SFMNP_outlets*((SFMNP_paper+S_mail)/(SFMNP_SAs)))</f>
        <v>13350.965</v>
      </c>
      <c r="G42" s="153">
        <v>9</v>
      </c>
      <c r="H42" s="272">
        <f>F42*G42</f>
        <v>120158.685</v>
      </c>
      <c r="I42" s="153">
        <v>4</v>
      </c>
      <c r="J42" s="272">
        <f t="shared" si="9"/>
        <v>480634.74</v>
      </c>
      <c r="K42" s="134">
        <v>373495.76470588235</v>
      </c>
      <c r="L42" s="134">
        <v>703980</v>
      </c>
      <c r="M42" s="178">
        <f t="shared" si="10"/>
        <v>1077475.7647058824</v>
      </c>
      <c r="N42" s="134">
        <v>703980</v>
      </c>
      <c r="O42" s="115">
        <f>((SFMNP_outlets-19555)*9*4)+'2025 WIC FMNP Only'!$J$39</f>
        <v>-218377.52470588236</v>
      </c>
      <c r="P42" s="115">
        <f>J42-M42-O42</f>
        <v>-378463.50000000006</v>
      </c>
      <c r="Q42" s="262">
        <f t="shared" si="11"/>
        <v>-596841.02470588242</v>
      </c>
      <c r="R42" s="1008"/>
    </row>
    <row r="43" spans="1:20" s="310" customFormat="1" ht="33.75" customHeight="1">
      <c r="A43" s="120" t="s">
        <v>126</v>
      </c>
      <c r="B43" s="289" t="s">
        <v>120</v>
      </c>
      <c r="C43" s="290" t="s">
        <v>121</v>
      </c>
      <c r="D43" s="291" t="s">
        <v>127</v>
      </c>
      <c r="E43" s="39"/>
      <c r="F43" s="115">
        <f>(FMNP_outlets*(F_hybrid/FMNP_SAs))+(SFMNP_outlets*(S_hybrid/(SFMNP_SAs)))</f>
        <v>4105.24</v>
      </c>
      <c r="G43" s="153">
        <v>9</v>
      </c>
      <c r="H43" s="272">
        <f t="shared" ref="H43:H44" si="13">F43*G43</f>
        <v>36947.159999999996</v>
      </c>
      <c r="I43" s="153">
        <v>1</v>
      </c>
      <c r="J43" s="272">
        <f t="shared" si="9"/>
        <v>36947.159999999996</v>
      </c>
      <c r="K43" s="134">
        <v>6916.5882352941171</v>
      </c>
      <c r="L43" s="134">
        <v>0</v>
      </c>
      <c r="M43" s="178">
        <f t="shared" si="10"/>
        <v>6916.5882352941171</v>
      </c>
      <c r="N43" s="134">
        <v>0</v>
      </c>
      <c r="O43" s="262">
        <f>'2025 WIC FMNP Only'!$J$40</f>
        <v>5613.5717647058827</v>
      </c>
      <c r="P43" s="115">
        <f t="shared" ref="P43:P44" si="14">J43-M43-O43</f>
        <v>24416.999999999993</v>
      </c>
      <c r="Q43" s="262">
        <f t="shared" si="11"/>
        <v>30030.571764705877</v>
      </c>
      <c r="R43" s="1008"/>
    </row>
    <row r="44" spans="1:20" s="310" customFormat="1" ht="33.75" customHeight="1">
      <c r="A44" s="120" t="s">
        <v>128</v>
      </c>
      <c r="B44" s="289" t="s">
        <v>120</v>
      </c>
      <c r="C44" s="290" t="s">
        <v>121</v>
      </c>
      <c r="D44" s="291" t="s">
        <v>129</v>
      </c>
      <c r="E44" s="292"/>
      <c r="F44" s="115">
        <f>(FMNP_outlets*(F_auto/FMNP_SAs))+(SFMNP_outlets*(S_auto/(SFMNP_SAs)))</f>
        <v>18937.794999999998</v>
      </c>
      <c r="G44" s="153">
        <v>1</v>
      </c>
      <c r="H44" s="272">
        <f t="shared" si="13"/>
        <v>18937.794999999998</v>
      </c>
      <c r="I44" s="153">
        <v>0.5</v>
      </c>
      <c r="J44" s="272">
        <f t="shared" si="9"/>
        <v>9468.8974999999991</v>
      </c>
      <c r="K44" s="134">
        <v>4226.8039215686276</v>
      </c>
      <c r="L44" s="134">
        <v>0</v>
      </c>
      <c r="M44" s="178">
        <f t="shared" si="10"/>
        <v>4226.8039215686276</v>
      </c>
      <c r="N44" s="134">
        <v>0</v>
      </c>
      <c r="O44" s="262">
        <f>'2025 WIC FMNP Only'!$J$41</f>
        <v>1342.1560784313724</v>
      </c>
      <c r="P44" s="115">
        <f t="shared" si="14"/>
        <v>3899.9374999999991</v>
      </c>
      <c r="Q44" s="262">
        <f t="shared" si="11"/>
        <v>5242.0935784313715</v>
      </c>
      <c r="R44" s="1009"/>
    </row>
    <row r="45" spans="1:20" s="310" customFormat="1" ht="25.5">
      <c r="A45" s="120">
        <v>6</v>
      </c>
      <c r="B45" s="259" t="s">
        <v>74</v>
      </c>
      <c r="C45" s="280" t="s">
        <v>75</v>
      </c>
      <c r="D45" s="940" t="s">
        <v>130</v>
      </c>
      <c r="E45" s="16"/>
      <c r="F45" s="115">
        <f>FMNP_Outlet_Complaints+SFMNP_Outlet_Complaints</f>
        <v>926</v>
      </c>
      <c r="G45" s="116">
        <v>1</v>
      </c>
      <c r="H45" s="272">
        <f t="shared" si="12"/>
        <v>926</v>
      </c>
      <c r="I45" s="116">
        <v>0.5</v>
      </c>
      <c r="J45" s="272">
        <f t="shared" si="9"/>
        <v>463</v>
      </c>
      <c r="K45" s="134">
        <v>246.5</v>
      </c>
      <c r="L45" s="134">
        <v>250</v>
      </c>
      <c r="M45" s="178">
        <f t="shared" si="10"/>
        <v>496.5</v>
      </c>
      <c r="N45" s="134">
        <v>250</v>
      </c>
      <c r="O45" s="262">
        <f>J45-M45</f>
        <v>-33.5</v>
      </c>
      <c r="P45" s="262">
        <v>0</v>
      </c>
      <c r="Q45" s="262">
        <f t="shared" si="11"/>
        <v>-33.5</v>
      </c>
      <c r="R45" s="16" t="s">
        <v>131</v>
      </c>
    </row>
    <row r="46" spans="1:20" s="310" customFormat="1" ht="30.75" customHeight="1">
      <c r="A46" s="1005" t="s">
        <v>132</v>
      </c>
      <c r="B46" s="1005"/>
      <c r="C46" s="1005"/>
      <c r="D46" s="1005"/>
      <c r="E46" s="297"/>
      <c r="F46" s="295">
        <f>FMNP_outlets+SFMNP_outlets+((FMNP_LAs+SFMNP_LAs)*0.15)</f>
        <v>36723.699999999997</v>
      </c>
      <c r="G46" s="299">
        <f>H46/F46</f>
        <v>5.7529426501142327</v>
      </c>
      <c r="H46" s="295">
        <f>SUM(H37:H40, H42:H45)</f>
        <v>211269.34000000003</v>
      </c>
      <c r="I46" s="299">
        <f>J46/H46</f>
        <v>2.7445453254125747</v>
      </c>
      <c r="J46" s="295">
        <f t="shared" ref="J46:Q46" si="15">SUM(J37:J40, J42:J45)</f>
        <v>579838.27949999995</v>
      </c>
      <c r="K46" s="296">
        <f t="shared" si="15"/>
        <v>425242.90921274509</v>
      </c>
      <c r="L46" s="296">
        <f t="shared" si="15"/>
        <v>744462.46525000001</v>
      </c>
      <c r="M46" s="296">
        <f t="shared" si="15"/>
        <v>1169705.3744627454</v>
      </c>
      <c r="N46" s="295">
        <f>L46</f>
        <v>744462.46525000001</v>
      </c>
      <c r="O46" s="295">
        <f t="shared" si="15"/>
        <v>-213127.44336274511</v>
      </c>
      <c r="P46" s="295">
        <f t="shared" si="15"/>
        <v>-376739.65160000004</v>
      </c>
      <c r="Q46" s="295">
        <f t="shared" si="15"/>
        <v>-589867.09496274509</v>
      </c>
      <c r="R46" s="297"/>
    </row>
    <row r="47" spans="1:20" s="310" customFormat="1" ht="15.75" customHeight="1">
      <c r="A47" s="1006" t="s">
        <v>133</v>
      </c>
      <c r="B47" s="1006"/>
      <c r="C47" s="1006"/>
      <c r="D47" s="1006"/>
      <c r="E47" s="356"/>
      <c r="F47" s="877">
        <f>FMNP_SAs+SFMNP_SAs+((FMNP_LAs+SFMNP_LAs)/2)+FMNP_outlets+SFMNP_outlets+FMNP_participants+SFMNP_participants</f>
        <v>2304172</v>
      </c>
      <c r="G47" s="357">
        <f>H47/F47</f>
        <v>2.0743949166989273</v>
      </c>
      <c r="H47" s="357">
        <f>H46+H35+H30</f>
        <v>4779762.6840000004</v>
      </c>
      <c r="I47" s="357">
        <f>J47/H47</f>
        <v>0.36372752793766105</v>
      </c>
      <c r="J47" s="357">
        <f>J30+J35+J46</f>
        <v>1738531.2651799999</v>
      </c>
      <c r="K47" s="358">
        <f>K30+K35+K46</f>
        <v>839507.211312745</v>
      </c>
      <c r="L47" s="358">
        <f t="shared" ref="L47:Q47" si="16">L46+L35+L30</f>
        <v>952008.7696</v>
      </c>
      <c r="M47" s="358">
        <f t="shared" si="16"/>
        <v>1791515.9809127455</v>
      </c>
      <c r="N47" s="357">
        <f>N46+N30+N35</f>
        <v>952703.7696</v>
      </c>
      <c r="O47" s="357">
        <f t="shared" si="16"/>
        <v>-108562.92303274509</v>
      </c>
      <c r="P47" s="357">
        <f t="shared" si="16"/>
        <v>55578.207299999965</v>
      </c>
      <c r="Q47" s="357">
        <f t="shared" si="16"/>
        <v>-52984.71573274507</v>
      </c>
      <c r="R47" s="359"/>
    </row>
    <row r="48" spans="1:20" s="310" customFormat="1" ht="15.75" customHeight="1">
      <c r="A48" s="988" t="s">
        <v>134</v>
      </c>
      <c r="B48" s="988"/>
      <c r="C48" s="988"/>
      <c r="D48" s="988"/>
      <c r="E48" s="988"/>
      <c r="F48" s="988"/>
      <c r="G48" s="988"/>
      <c r="H48" s="988"/>
      <c r="I48" s="988"/>
      <c r="J48" s="988"/>
      <c r="K48" s="988"/>
      <c r="L48" s="988"/>
      <c r="M48" s="988"/>
      <c r="N48" s="988"/>
      <c r="O48" s="988"/>
      <c r="P48" s="988"/>
      <c r="Q48" s="988"/>
      <c r="R48" s="988"/>
    </row>
    <row r="49" spans="1:18" s="310" customFormat="1" ht="15.75" customHeight="1">
      <c r="A49" s="989" t="s">
        <v>21</v>
      </c>
      <c r="B49" s="989"/>
      <c r="C49" s="989"/>
      <c r="D49" s="989"/>
      <c r="E49" s="989"/>
      <c r="F49" s="989"/>
      <c r="G49" s="989"/>
      <c r="H49" s="989"/>
      <c r="I49" s="989"/>
      <c r="J49" s="989"/>
      <c r="K49" s="989"/>
      <c r="L49" s="989"/>
      <c r="M49" s="989"/>
      <c r="N49" s="989"/>
      <c r="O49" s="989"/>
      <c r="P49" s="989"/>
      <c r="Q49" s="989"/>
      <c r="R49" s="989"/>
    </row>
    <row r="50" spans="1:18" s="256" customFormat="1" ht="25.5">
      <c r="A50" s="120">
        <v>1</v>
      </c>
      <c r="B50" s="121" t="s">
        <v>135</v>
      </c>
      <c r="C50" s="121" t="s">
        <v>136</v>
      </c>
      <c r="D50" s="139" t="s">
        <v>137</v>
      </c>
      <c r="E50" s="127" t="s">
        <v>27</v>
      </c>
      <c r="F50" s="281">
        <f>FMNP_SAs+SFMNP_SAs-Consolidated_SAs</f>
        <v>74</v>
      </c>
      <c r="G50" s="279">
        <v>1</v>
      </c>
      <c r="H50" s="282">
        <f>F50*G50</f>
        <v>74</v>
      </c>
      <c r="I50" s="864">
        <v>0.16700000000000001</v>
      </c>
      <c r="J50" s="272">
        <f>H50*I50</f>
        <v>12.358000000000001</v>
      </c>
      <c r="K50" s="134">
        <v>8.5170000000000012</v>
      </c>
      <c r="L50" s="134">
        <v>9.1850000000000005</v>
      </c>
      <c r="M50" s="134">
        <f>SUM(K50:L50)</f>
        <v>17.702000000000002</v>
      </c>
      <c r="N50" s="134">
        <v>9.1850000000000005</v>
      </c>
      <c r="O50" s="115">
        <v>0</v>
      </c>
      <c r="P50" s="115">
        <f>J50-M50</f>
        <v>-5.3440000000000012</v>
      </c>
      <c r="Q50" s="115">
        <f t="shared" ref="Q50:Q57" si="17">SUM(O50:P50)</f>
        <v>-5.3440000000000012</v>
      </c>
      <c r="R50" s="16" t="s">
        <v>52</v>
      </c>
    </row>
    <row r="51" spans="1:18" s="256" customFormat="1" ht="51">
      <c r="A51" s="120">
        <v>2</v>
      </c>
      <c r="B51" s="121">
        <v>248.9</v>
      </c>
      <c r="C51" s="121">
        <v>249.9</v>
      </c>
      <c r="D51" s="139" t="s">
        <v>138</v>
      </c>
      <c r="E51" s="139"/>
      <c r="F51" s="281">
        <f t="shared" ref="F51:F60" si="18">FMNP_SAs+SFMNP_SAs</f>
        <v>106</v>
      </c>
      <c r="G51" s="115">
        <f>(FMNP_participants+SFMNP_participants)/(FMNP_SAs+SFMNP_SAs)</f>
        <v>21382.764150943396</v>
      </c>
      <c r="H51" s="272">
        <f t="shared" ref="H51:H60" si="19">F51*G51</f>
        <v>2266573</v>
      </c>
      <c r="I51" s="865">
        <v>1.67E-2</v>
      </c>
      <c r="J51" s="272">
        <f t="shared" ref="J51:J60" si="20">H51*I51</f>
        <v>37851.769099999998</v>
      </c>
      <c r="K51" s="134">
        <v>332686.5</v>
      </c>
      <c r="L51" s="134">
        <v>181421.5</v>
      </c>
      <c r="M51" s="134">
        <f t="shared" ref="M51:M60" si="21">SUM(K51:L51)</f>
        <v>514108</v>
      </c>
      <c r="N51" s="134">
        <v>181421.5</v>
      </c>
      <c r="O51" s="115">
        <f>183788*0.0167</f>
        <v>3069.2595999999999</v>
      </c>
      <c r="P51" s="115">
        <f>J51-M51-O51</f>
        <v>-479325.49050000001</v>
      </c>
      <c r="Q51" s="115">
        <f t="shared" si="17"/>
        <v>-476256.23090000002</v>
      </c>
      <c r="R51" s="16" t="s">
        <v>139</v>
      </c>
    </row>
    <row r="52" spans="1:18" s="256" customFormat="1" ht="25.5">
      <c r="A52" s="120">
        <v>3</v>
      </c>
      <c r="B52" s="121" t="s">
        <v>40</v>
      </c>
      <c r="C52" s="121" t="s">
        <v>140</v>
      </c>
      <c r="D52" s="16" t="s">
        <v>141</v>
      </c>
      <c r="E52" s="139"/>
      <c r="F52" s="281">
        <f>FMNP_SAs+SFMNP_SAs-Consolidated_SAs</f>
        <v>74</v>
      </c>
      <c r="G52" s="279">
        <v>1</v>
      </c>
      <c r="H52" s="272">
        <f t="shared" si="19"/>
        <v>74</v>
      </c>
      <c r="I52" s="279">
        <v>2</v>
      </c>
      <c r="J52" s="272">
        <f t="shared" si="20"/>
        <v>148</v>
      </c>
      <c r="K52" s="134">
        <v>102</v>
      </c>
      <c r="L52" s="134">
        <v>110</v>
      </c>
      <c r="M52" s="134">
        <f t="shared" si="21"/>
        <v>212</v>
      </c>
      <c r="N52" s="134">
        <v>110</v>
      </c>
      <c r="O52" s="115">
        <v>0</v>
      </c>
      <c r="P52" s="115">
        <f>J52-M52</f>
        <v>-64</v>
      </c>
      <c r="Q52" s="115">
        <f t="shared" si="17"/>
        <v>-64</v>
      </c>
      <c r="R52" s="16" t="s">
        <v>52</v>
      </c>
    </row>
    <row r="53" spans="1:18" s="256" customFormat="1" ht="25.5">
      <c r="A53" s="120">
        <v>4</v>
      </c>
      <c r="B53" s="121" t="s">
        <v>113</v>
      </c>
      <c r="C53" s="121" t="s">
        <v>142</v>
      </c>
      <c r="D53" s="940" t="s">
        <v>115</v>
      </c>
      <c r="E53" s="139"/>
      <c r="F53" s="281">
        <f>FMNP_SAs+SFMNP_SAs-Consolidated_SAs</f>
        <v>74</v>
      </c>
      <c r="G53" s="281">
        <v>1</v>
      </c>
      <c r="H53" s="272">
        <f t="shared" si="19"/>
        <v>74</v>
      </c>
      <c r="I53" s="279">
        <v>2</v>
      </c>
      <c r="J53" s="272">
        <f t="shared" si="20"/>
        <v>148</v>
      </c>
      <c r="K53" s="134">
        <v>102</v>
      </c>
      <c r="L53" s="134">
        <v>110</v>
      </c>
      <c r="M53" s="134">
        <f t="shared" si="21"/>
        <v>212</v>
      </c>
      <c r="N53" s="134">
        <v>110</v>
      </c>
      <c r="O53" s="115">
        <v>0</v>
      </c>
      <c r="P53" s="115">
        <f>J53-M53</f>
        <v>-64</v>
      </c>
      <c r="Q53" s="115">
        <f t="shared" si="17"/>
        <v>-64</v>
      </c>
      <c r="R53" s="16" t="s">
        <v>52</v>
      </c>
    </row>
    <row r="54" spans="1:18" s="256" customFormat="1" ht="25.5">
      <c r="A54" s="120">
        <v>5</v>
      </c>
      <c r="B54" s="121" t="s">
        <v>45</v>
      </c>
      <c r="C54" s="121" t="s">
        <v>46</v>
      </c>
      <c r="D54" s="16" t="s">
        <v>143</v>
      </c>
      <c r="E54" s="139"/>
      <c r="F54" s="281">
        <f>FMNP_SAs+SFMNP_SAs-Consolidated_SAs</f>
        <v>74</v>
      </c>
      <c r="G54" s="279">
        <v>1</v>
      </c>
      <c r="H54" s="272">
        <f t="shared" si="19"/>
        <v>74</v>
      </c>
      <c r="I54" s="864">
        <v>0.16700000000000001</v>
      </c>
      <c r="J54" s="272">
        <f t="shared" si="20"/>
        <v>12.358000000000001</v>
      </c>
      <c r="K54" s="134">
        <v>8.5170000000000012</v>
      </c>
      <c r="L54" s="134">
        <v>9.1850000000000005</v>
      </c>
      <c r="M54" s="134">
        <f t="shared" si="21"/>
        <v>17.702000000000002</v>
      </c>
      <c r="N54" s="134">
        <v>9.1850000000000005</v>
      </c>
      <c r="O54" s="115">
        <v>0</v>
      </c>
      <c r="P54" s="115">
        <f>J54-M54</f>
        <v>-5.3440000000000012</v>
      </c>
      <c r="Q54" s="115">
        <f t="shared" si="17"/>
        <v>-5.3440000000000012</v>
      </c>
      <c r="R54" s="16" t="s">
        <v>52</v>
      </c>
    </row>
    <row r="55" spans="1:18" s="256" customFormat="1" ht="38.25">
      <c r="A55" s="120">
        <v>6</v>
      </c>
      <c r="B55" s="121" t="s">
        <v>144</v>
      </c>
      <c r="C55" s="121" t="s">
        <v>145</v>
      </c>
      <c r="D55" s="940" t="s">
        <v>57</v>
      </c>
      <c r="E55" s="139"/>
      <c r="F55" s="281">
        <f>FMNP_SAs+SFMNP_SAs-Consolidated_SAs</f>
        <v>74</v>
      </c>
      <c r="G55" s="281">
        <f>(Consolidated_Outlets/(FMNP_SAs+SFMNP_SAs-Consolidated_SAs))*0.1</f>
        <v>34.42702702702703</v>
      </c>
      <c r="H55" s="272">
        <f t="shared" si="19"/>
        <v>2547.6000000000004</v>
      </c>
      <c r="I55" s="279">
        <v>0.5</v>
      </c>
      <c r="J55" s="272">
        <f t="shared" si="20"/>
        <v>1273.8000000000002</v>
      </c>
      <c r="K55" s="134">
        <v>979.85000000000014</v>
      </c>
      <c r="L55" s="134">
        <v>977.75</v>
      </c>
      <c r="M55" s="134">
        <f t="shared" si="21"/>
        <v>1957.6000000000001</v>
      </c>
      <c r="N55" s="134">
        <v>977.75</v>
      </c>
      <c r="O55" s="115">
        <f>'SFMNP 2026'!$N$53+'2025 WIC FMNP Only'!$L$52</f>
        <v>-137.89999999999998</v>
      </c>
      <c r="P55" s="115">
        <f>J55-M55-O55</f>
        <v>-545.9</v>
      </c>
      <c r="Q55" s="115">
        <f t="shared" si="17"/>
        <v>-683.8</v>
      </c>
      <c r="R55" s="16" t="s">
        <v>146</v>
      </c>
    </row>
    <row r="56" spans="1:18" s="256" customFormat="1" ht="25.5">
      <c r="A56" s="120">
        <v>7</v>
      </c>
      <c r="B56" s="121" t="s">
        <v>147</v>
      </c>
      <c r="C56" s="123" t="s">
        <v>148</v>
      </c>
      <c r="D56" s="16" t="s">
        <v>61</v>
      </c>
      <c r="E56" s="139"/>
      <c r="F56" s="281">
        <f>FMNP_SAs+SFMNP_SAs</f>
        <v>106</v>
      </c>
      <c r="G56" s="281">
        <f>((FMNP_LAs+SFMNP_LAs)/(FMNP_SAs+SFMNP_SAs))*0.5</f>
        <v>10.367924528301886</v>
      </c>
      <c r="H56" s="272">
        <f t="shared" si="19"/>
        <v>1099</v>
      </c>
      <c r="I56" s="279">
        <v>0.5</v>
      </c>
      <c r="J56" s="272">
        <f>H56*I56</f>
        <v>549.5</v>
      </c>
      <c r="K56" s="134">
        <v>274.5</v>
      </c>
      <c r="L56" s="134">
        <v>242.00000000000003</v>
      </c>
      <c r="M56" s="134">
        <f t="shared" si="21"/>
        <v>516.5</v>
      </c>
      <c r="N56" s="134">
        <v>242.00000000000003</v>
      </c>
      <c r="O56" s="115">
        <f>J56-M56</f>
        <v>33</v>
      </c>
      <c r="P56" s="115">
        <v>0</v>
      </c>
      <c r="Q56" s="115">
        <f t="shared" si="17"/>
        <v>33</v>
      </c>
      <c r="R56" s="16" t="s">
        <v>112</v>
      </c>
    </row>
    <row r="57" spans="1:18" s="256" customFormat="1" ht="25.5">
      <c r="A57" s="120">
        <v>8</v>
      </c>
      <c r="B57" s="121" t="s">
        <v>149</v>
      </c>
      <c r="C57" s="121" t="s">
        <v>150</v>
      </c>
      <c r="D57" s="16" t="s">
        <v>151</v>
      </c>
      <c r="E57" s="16" t="s">
        <v>152</v>
      </c>
      <c r="F57" s="279">
        <f t="shared" si="18"/>
        <v>106</v>
      </c>
      <c r="G57" s="279">
        <v>1</v>
      </c>
      <c r="H57" s="272">
        <f t="shared" si="19"/>
        <v>106</v>
      </c>
      <c r="I57" s="279">
        <v>2</v>
      </c>
      <c r="J57" s="272">
        <f t="shared" si="20"/>
        <v>212</v>
      </c>
      <c r="K57" s="134">
        <v>102</v>
      </c>
      <c r="L57" s="134">
        <v>110</v>
      </c>
      <c r="M57" s="134">
        <f t="shared" si="21"/>
        <v>212</v>
      </c>
      <c r="N57" s="134">
        <v>110</v>
      </c>
      <c r="O57" s="115">
        <f>J57-M57</f>
        <v>0</v>
      </c>
      <c r="P57" s="115">
        <v>0</v>
      </c>
      <c r="Q57" s="115">
        <f t="shared" si="17"/>
        <v>0</v>
      </c>
      <c r="R57" s="16" t="s">
        <v>28</v>
      </c>
    </row>
    <row r="58" spans="1:18" s="256" customFormat="1" ht="15.75" customHeight="1">
      <c r="A58" s="120">
        <v>9</v>
      </c>
      <c r="B58" s="121" t="s">
        <v>153</v>
      </c>
      <c r="C58" s="121" t="s">
        <v>154</v>
      </c>
      <c r="D58" s="16" t="s">
        <v>155</v>
      </c>
      <c r="E58" s="139"/>
      <c r="F58" s="279">
        <f t="shared" si="18"/>
        <v>106</v>
      </c>
      <c r="G58" s="279">
        <v>1</v>
      </c>
      <c r="H58" s="272">
        <f t="shared" si="19"/>
        <v>106</v>
      </c>
      <c r="I58" s="279">
        <v>1</v>
      </c>
      <c r="J58" s="272">
        <f t="shared" si="20"/>
        <v>106</v>
      </c>
      <c r="K58" s="134">
        <v>51</v>
      </c>
      <c r="L58" s="134">
        <v>55</v>
      </c>
      <c r="M58" s="134">
        <f t="shared" si="21"/>
        <v>106</v>
      </c>
      <c r="N58" s="134">
        <v>55</v>
      </c>
      <c r="O58" s="115">
        <f t="shared" ref="O58:O60" si="22">J58-M58</f>
        <v>0</v>
      </c>
      <c r="P58" s="115">
        <v>0</v>
      </c>
      <c r="Q58" s="115">
        <f t="shared" ref="Q58:Q60" si="23">SUM(O58:P58)</f>
        <v>0</v>
      </c>
      <c r="R58" s="16" t="s">
        <v>28</v>
      </c>
    </row>
    <row r="59" spans="1:18" s="256" customFormat="1" ht="15.75" customHeight="1">
      <c r="A59" s="120">
        <v>10</v>
      </c>
      <c r="B59" s="121" t="s">
        <v>87</v>
      </c>
      <c r="C59" s="121" t="s">
        <v>88</v>
      </c>
      <c r="D59" s="16" t="s">
        <v>156</v>
      </c>
      <c r="E59" s="139"/>
      <c r="F59" s="279">
        <f t="shared" si="18"/>
        <v>106</v>
      </c>
      <c r="G59" s="279">
        <v>1</v>
      </c>
      <c r="H59" s="272">
        <f t="shared" si="19"/>
        <v>106</v>
      </c>
      <c r="I59" s="279">
        <v>2</v>
      </c>
      <c r="J59" s="272">
        <f t="shared" si="20"/>
        <v>212</v>
      </c>
      <c r="K59" s="134">
        <v>102</v>
      </c>
      <c r="L59" s="134">
        <v>110</v>
      </c>
      <c r="M59" s="134">
        <f t="shared" si="21"/>
        <v>212</v>
      </c>
      <c r="N59" s="134">
        <v>110</v>
      </c>
      <c r="O59" s="115">
        <f t="shared" si="22"/>
        <v>0</v>
      </c>
      <c r="P59" s="115">
        <v>0</v>
      </c>
      <c r="Q59" s="115">
        <f t="shared" si="23"/>
        <v>0</v>
      </c>
      <c r="R59" s="16" t="s">
        <v>28</v>
      </c>
    </row>
    <row r="60" spans="1:18" s="256" customFormat="1" ht="15.75" customHeight="1">
      <c r="A60" s="120">
        <v>11</v>
      </c>
      <c r="B60" s="121" t="s">
        <v>157</v>
      </c>
      <c r="C60" s="121" t="s">
        <v>158</v>
      </c>
      <c r="D60" s="16" t="s">
        <v>159</v>
      </c>
      <c r="E60" s="260"/>
      <c r="F60" s="279">
        <f t="shared" si="18"/>
        <v>106</v>
      </c>
      <c r="G60" s="279">
        <v>1</v>
      </c>
      <c r="H60" s="272">
        <f t="shared" si="19"/>
        <v>106</v>
      </c>
      <c r="I60" s="279">
        <v>40</v>
      </c>
      <c r="J60" s="272">
        <f t="shared" si="20"/>
        <v>4240</v>
      </c>
      <c r="K60" s="134">
        <v>2040</v>
      </c>
      <c r="L60" s="134">
        <v>2200</v>
      </c>
      <c r="M60" s="134">
        <f t="shared" si="21"/>
        <v>4240</v>
      </c>
      <c r="N60" s="134">
        <v>2200</v>
      </c>
      <c r="O60" s="115">
        <f t="shared" si="22"/>
        <v>0</v>
      </c>
      <c r="P60" s="115">
        <v>0</v>
      </c>
      <c r="Q60" s="115">
        <f t="shared" si="23"/>
        <v>0</v>
      </c>
      <c r="R60" s="16" t="s">
        <v>28</v>
      </c>
    </row>
    <row r="61" spans="1:18" s="310" customFormat="1" ht="15.75" customHeight="1">
      <c r="A61" s="1003" t="s">
        <v>160</v>
      </c>
      <c r="B61" s="1003"/>
      <c r="C61" s="1003"/>
      <c r="D61" s="1003"/>
      <c r="E61" s="351"/>
      <c r="F61" s="352">
        <f>FMNP_SAs+SFMNP_SAs</f>
        <v>106</v>
      </c>
      <c r="G61" s="352">
        <f>H61/F61</f>
        <v>21423.958490566038</v>
      </c>
      <c r="H61" s="352">
        <f>SUM(H50:H60)</f>
        <v>2270939.6</v>
      </c>
      <c r="I61" s="353">
        <f>J61/H61</f>
        <v>1.9712450784688418E-2</v>
      </c>
      <c r="J61" s="352">
        <f>SUM(J50:J60)</f>
        <v>44765.785100000001</v>
      </c>
      <c r="K61" s="354">
        <f>SUM(K50:K60)</f>
        <v>336456.88399999996</v>
      </c>
      <c r="L61" s="354">
        <f>SUM(L50:L60)</f>
        <v>185354.62</v>
      </c>
      <c r="M61" s="354">
        <f>SUM(M50:M60)</f>
        <v>521811.50399999996</v>
      </c>
      <c r="N61" s="352">
        <f>SUM(N50:N60)</f>
        <v>185354.62</v>
      </c>
      <c r="O61" s="352">
        <f t="shared" ref="O61:P61" si="24">SUM(O50:O60)</f>
        <v>2964.3595999999998</v>
      </c>
      <c r="P61" s="352">
        <f t="shared" si="24"/>
        <v>-480010.0785</v>
      </c>
      <c r="Q61" s="352">
        <f>SUM(Q50:Q60)</f>
        <v>-477045.71889999998</v>
      </c>
      <c r="R61" s="355"/>
    </row>
    <row r="62" spans="1:18" s="310" customFormat="1" ht="15.75" customHeight="1">
      <c r="A62" s="1004" t="s">
        <v>161</v>
      </c>
      <c r="B62" s="1004"/>
      <c r="C62" s="1004"/>
      <c r="D62" s="1004"/>
      <c r="E62" s="351"/>
      <c r="F62" s="352">
        <f>F47</f>
        <v>2304172</v>
      </c>
      <c r="G62" s="353">
        <f>H62/F62</f>
        <v>3.0599722086719221</v>
      </c>
      <c r="H62" s="352">
        <f>H61+H47</f>
        <v>7050702.284</v>
      </c>
      <c r="I62" s="353">
        <f>J62/H62</f>
        <v>0.25292474117461966</v>
      </c>
      <c r="J62" s="352">
        <f>J61+J47</f>
        <v>1783297.0502799999</v>
      </c>
      <c r="K62" s="354">
        <f>K61+K47</f>
        <v>1175964.0953127448</v>
      </c>
      <c r="L62" s="354">
        <f t="shared" ref="L62:Q62" si="25">SUM(L47,L61)</f>
        <v>1137363.3895999999</v>
      </c>
      <c r="M62" s="354">
        <f t="shared" si="25"/>
        <v>2313327.4849127457</v>
      </c>
      <c r="N62" s="352">
        <f>N61+N47</f>
        <v>1138058.3895999999</v>
      </c>
      <c r="O62" s="352">
        <f t="shared" si="25"/>
        <v>-105598.5634327451</v>
      </c>
      <c r="P62" s="352">
        <f t="shared" si="25"/>
        <v>-424431.87120000005</v>
      </c>
      <c r="Q62" s="352">
        <f t="shared" si="25"/>
        <v>-530030.43463274511</v>
      </c>
      <c r="R62" s="355"/>
    </row>
    <row r="63" spans="1:18">
      <c r="A63" s="861" t="s">
        <v>162</v>
      </c>
      <c r="F63" s="876"/>
    </row>
    <row r="64" spans="1:18">
      <c r="H64" s="876"/>
      <c r="I64" s="876"/>
      <c r="J64" s="876"/>
    </row>
    <row r="65" spans="4:19" ht="38.25">
      <c r="D65" s="316" t="s">
        <v>163</v>
      </c>
      <c r="E65" s="317" t="s">
        <v>164</v>
      </c>
      <c r="F65" s="317" t="s">
        <v>165</v>
      </c>
      <c r="G65" s="317" t="s">
        <v>166</v>
      </c>
      <c r="H65" s="318" t="s">
        <v>167</v>
      </c>
      <c r="I65" s="319" t="s">
        <v>168</v>
      </c>
      <c r="K65" s="876"/>
    </row>
    <row r="66" spans="4:19" ht="15.75" customHeight="1">
      <c r="D66" s="320" t="s">
        <v>169</v>
      </c>
      <c r="E66" s="321">
        <f>+F47</f>
        <v>2304172</v>
      </c>
      <c r="F66" s="322">
        <f>+G66/E66</f>
        <v>2.0743949166989273</v>
      </c>
      <c r="G66" s="323">
        <f>+H47</f>
        <v>4779762.6840000004</v>
      </c>
      <c r="H66" s="322">
        <f>+I66/G66</f>
        <v>0.36372752793766105</v>
      </c>
      <c r="I66" s="324">
        <f>+J47</f>
        <v>1738531.2651799999</v>
      </c>
      <c r="L66" s="325"/>
      <c r="M66" s="325"/>
      <c r="N66" s="325"/>
    </row>
    <row r="67" spans="4:19" ht="15.75" customHeight="1">
      <c r="D67" s="326" t="s">
        <v>170</v>
      </c>
      <c r="E67" s="327">
        <f>+F61</f>
        <v>106</v>
      </c>
      <c r="F67" s="328">
        <f>+G67/E67</f>
        <v>21423.958490566038</v>
      </c>
      <c r="G67" s="327">
        <f>+H61</f>
        <v>2270939.6</v>
      </c>
      <c r="H67" s="328">
        <f>+I67/G67</f>
        <v>1.9712450784688418E-2</v>
      </c>
      <c r="I67" s="329">
        <f>+J61</f>
        <v>44765.785100000001</v>
      </c>
    </row>
    <row r="68" spans="4:19" ht="15.75" customHeight="1">
      <c r="D68" s="330" t="s">
        <v>171</v>
      </c>
      <c r="E68" s="331">
        <f>E66</f>
        <v>2304172</v>
      </c>
      <c r="F68" s="332">
        <f>+G68/E68</f>
        <v>3.0599722086719221</v>
      </c>
      <c r="G68" s="331">
        <f>SUM(G66:G67)</f>
        <v>7050702.284</v>
      </c>
      <c r="H68" s="333">
        <f>+I68/G68</f>
        <v>0.25292474117461966</v>
      </c>
      <c r="I68" s="334">
        <f>SUM(I66:I67)</f>
        <v>1783297.0502799999</v>
      </c>
    </row>
    <row r="69" spans="4:19" ht="15.75" customHeight="1">
      <c r="D69" s="335"/>
      <c r="E69" s="336"/>
      <c r="F69" s="337"/>
      <c r="G69" s="336"/>
      <c r="H69" s="337"/>
      <c r="I69" s="336"/>
    </row>
    <row r="70" spans="4:19" ht="15.75" customHeight="1">
      <c r="D70" s="338"/>
      <c r="E70" s="317" t="s">
        <v>172</v>
      </c>
      <c r="F70" s="339" t="s">
        <v>173</v>
      </c>
    </row>
    <row r="71" spans="4:19" ht="15.75" customHeight="1">
      <c r="D71" s="340" t="s">
        <v>174</v>
      </c>
      <c r="E71" s="341">
        <f>SUM('SFMNP 2026'!E71,'2025 WIC FMNP Only'!C68)</f>
        <v>6550670.5124549018</v>
      </c>
      <c r="F71" s="342">
        <f>SUM('SFMNP 2026'!F71,'2025 WIC FMNP Only'!D68)</f>
        <v>2313327.4769027447</v>
      </c>
      <c r="G71" s="343"/>
      <c r="H71" s="344"/>
      <c r="I71" s="343"/>
    </row>
    <row r="72" spans="4:19" ht="15.75" customHeight="1">
      <c r="D72" s="345" t="s">
        <v>175</v>
      </c>
      <c r="E72" s="346">
        <f>+G68</f>
        <v>7050702.284</v>
      </c>
      <c r="F72" s="347">
        <f>+I68</f>
        <v>1783297.0502799999</v>
      </c>
      <c r="G72" s="343"/>
      <c r="H72" s="344"/>
      <c r="I72" s="343"/>
    </row>
    <row r="73" spans="4:19" ht="15.75" customHeight="1">
      <c r="D73" s="348" t="s">
        <v>176</v>
      </c>
      <c r="E73" s="349">
        <f>+E72-E71</f>
        <v>500031.77154509816</v>
      </c>
      <c r="F73" s="350">
        <f>+F72-F71</f>
        <v>-530030.42662274488</v>
      </c>
      <c r="G73" s="343"/>
      <c r="H73" s="344"/>
      <c r="I73" s="343"/>
    </row>
    <row r="74" spans="4:19" ht="15.75" customHeight="1"/>
    <row r="79" spans="4:19">
      <c r="S79" s="310"/>
    </row>
    <row r="80" spans="4:19">
      <c r="S80" s="310"/>
    </row>
    <row r="81" spans="19:19">
      <c r="S81" s="310"/>
    </row>
    <row r="82" spans="19:19">
      <c r="S82" s="310"/>
    </row>
    <row r="83" spans="19:19">
      <c r="S83" s="310"/>
    </row>
    <row r="84" spans="19:19">
      <c r="S84" s="310"/>
    </row>
    <row r="85" spans="19:19">
      <c r="S85" s="310"/>
    </row>
    <row r="86" spans="19:19">
      <c r="S86" s="310"/>
    </row>
    <row r="87" spans="19:19">
      <c r="S87" s="310"/>
    </row>
    <row r="88" spans="19:19">
      <c r="S88" s="310"/>
    </row>
    <row r="89" spans="19:19">
      <c r="S89" s="310"/>
    </row>
    <row r="90" spans="19:19">
      <c r="S90" s="310"/>
    </row>
    <row r="91" spans="19:19">
      <c r="S91" s="310"/>
    </row>
    <row r="92" spans="19:19">
      <c r="S92" s="310"/>
    </row>
    <row r="93" spans="19:19">
      <c r="S93" s="310"/>
    </row>
  </sheetData>
  <mergeCells count="16">
    <mergeCell ref="A1:R1"/>
    <mergeCell ref="R19:R21"/>
    <mergeCell ref="A30:D30"/>
    <mergeCell ref="A48:R48"/>
    <mergeCell ref="A49:R49"/>
    <mergeCell ref="A61:D61"/>
    <mergeCell ref="A62:D62"/>
    <mergeCell ref="A2:R2"/>
    <mergeCell ref="A4:R4"/>
    <mergeCell ref="A5:R5"/>
    <mergeCell ref="A31:R31"/>
    <mergeCell ref="A36:R36"/>
    <mergeCell ref="A35:D35"/>
    <mergeCell ref="A46:D46"/>
    <mergeCell ref="A47:D47"/>
    <mergeCell ref="R41:R44"/>
  </mergeCells>
  <pageMargins left="0.7" right="0.7" top="0.75" bottom="0.75" header="0.3" footer="0.3"/>
  <pageSetup scale="5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ACB95-5E75-432D-A1EA-360494A78D99}">
  <sheetPr>
    <tabColor theme="8" tint="0.79998168889431442"/>
    <pageSetUpPr fitToPage="1"/>
  </sheetPr>
  <dimension ref="A1:CT70"/>
  <sheetViews>
    <sheetView zoomScale="90" zoomScaleNormal="90" workbookViewId="0">
      <pane ySplit="3" topLeftCell="A4" activePane="bottomLeft" state="frozen"/>
      <selection pane="bottomLeft" activeCell="G58" sqref="G58:G59"/>
    </sheetView>
  </sheetViews>
  <sheetFormatPr defaultColWidth="9.140625" defaultRowHeight="15"/>
  <cols>
    <col min="1" max="1" width="17.42578125" style="208" customWidth="1"/>
    <col min="2" max="2" width="41.85546875" style="206" customWidth="1"/>
    <col min="3" max="3" width="13.85546875" style="206" customWidth="1"/>
    <col min="4" max="4" width="15.140625" style="206" customWidth="1"/>
    <col min="5" max="5" width="21.5703125" style="206" customWidth="1"/>
    <col min="6" max="6" width="17.140625" style="206" customWidth="1"/>
    <col min="7" max="7" width="14" style="206" bestFit="1" customWidth="1"/>
    <col min="8" max="8" width="13.85546875" style="206" customWidth="1"/>
    <col min="9" max="9" width="15.42578125" style="206" customWidth="1"/>
    <col min="10" max="10" width="16.85546875" style="206" customWidth="1"/>
    <col min="11" max="12" width="12.85546875" style="206" customWidth="1"/>
    <col min="13" max="13" width="21.140625" style="206" customWidth="1"/>
    <col min="14" max="14" width="3.140625" customWidth="1"/>
  </cols>
  <sheetData>
    <row r="1" spans="1:13" ht="30.6" customHeight="1">
      <c r="A1" s="1064" t="s">
        <v>342</v>
      </c>
      <c r="B1" s="1064"/>
      <c r="C1" s="1064"/>
      <c r="D1" s="1064"/>
      <c r="E1" s="1064"/>
      <c r="F1" s="1064"/>
      <c r="G1" s="1064"/>
      <c r="H1" s="1064"/>
      <c r="I1" s="1064"/>
      <c r="J1" s="1064"/>
      <c r="K1" s="1064"/>
      <c r="L1" s="1064"/>
      <c r="M1" s="1064"/>
    </row>
    <row r="2" spans="1:13" s="108" customFormat="1" ht="18">
      <c r="A2" s="1059" t="s">
        <v>1</v>
      </c>
      <c r="B2" s="1059"/>
      <c r="C2" s="1059"/>
      <c r="D2" s="1059"/>
      <c r="E2" s="1059"/>
      <c r="F2" s="1059"/>
      <c r="G2" s="1059"/>
      <c r="H2" s="1059"/>
      <c r="I2" s="1059"/>
      <c r="J2" s="1059"/>
      <c r="K2" s="1059"/>
      <c r="L2" s="1059"/>
      <c r="M2" s="1059"/>
    </row>
    <row r="3" spans="1:13" s="108" customFormat="1" ht="120.6" customHeight="1">
      <c r="A3" s="432" t="s">
        <v>178</v>
      </c>
      <c r="B3" s="432" t="s">
        <v>5</v>
      </c>
      <c r="C3" s="6" t="s">
        <v>6</v>
      </c>
      <c r="D3" s="432" t="s">
        <v>7</v>
      </c>
      <c r="E3" s="432" t="s">
        <v>8</v>
      </c>
      <c r="F3" s="433" t="s">
        <v>9</v>
      </c>
      <c r="G3" s="432" t="s">
        <v>10</v>
      </c>
      <c r="H3" s="433" t="s">
        <v>11</v>
      </c>
      <c r="I3" s="432" t="s">
        <v>179</v>
      </c>
      <c r="J3" s="432" t="s">
        <v>180</v>
      </c>
      <c r="K3" s="432" t="s">
        <v>181</v>
      </c>
      <c r="L3" s="432" t="s">
        <v>182</v>
      </c>
      <c r="M3" s="432" t="s">
        <v>343</v>
      </c>
    </row>
    <row r="4" spans="1:13" s="108" customFormat="1">
      <c r="A4" s="1039" t="s">
        <v>20</v>
      </c>
      <c r="B4" s="1065"/>
      <c r="C4" s="1065"/>
      <c r="D4" s="1065"/>
      <c r="E4" s="1065"/>
      <c r="F4" s="1065"/>
      <c r="G4" s="1065"/>
      <c r="H4" s="1065"/>
      <c r="I4" s="1065"/>
      <c r="J4" s="1065"/>
      <c r="K4" s="1065"/>
      <c r="L4" s="1065"/>
      <c r="M4" s="1066"/>
    </row>
    <row r="5" spans="1:13" s="108" customFormat="1">
      <c r="A5" s="1063" t="s">
        <v>344</v>
      </c>
      <c r="B5" s="1063"/>
      <c r="C5" s="1063"/>
      <c r="D5" s="1063"/>
      <c r="E5" s="1063"/>
      <c r="F5" s="1063"/>
      <c r="G5" s="1063"/>
      <c r="H5" s="1063"/>
      <c r="I5" s="1063"/>
      <c r="J5" s="1063"/>
      <c r="K5" s="1063"/>
      <c r="L5" s="1063"/>
      <c r="M5" s="1063"/>
    </row>
    <row r="6" spans="1:13" ht="63.95" customHeight="1">
      <c r="A6" s="112" t="s">
        <v>22</v>
      </c>
      <c r="B6" s="113" t="s">
        <v>345</v>
      </c>
      <c r="C6" s="114"/>
      <c r="D6" s="434">
        <f>994*0.7</f>
        <v>695.8</v>
      </c>
      <c r="E6" s="435">
        <v>0.5</v>
      </c>
      <c r="F6" s="436">
        <f>D6*E6</f>
        <v>347.9</v>
      </c>
      <c r="G6" s="435">
        <v>2</v>
      </c>
      <c r="H6" s="436">
        <f>F6*G6</f>
        <v>695.8</v>
      </c>
      <c r="I6" s="279">
        <v>980</v>
      </c>
      <c r="J6" s="435">
        <v>-284</v>
      </c>
      <c r="K6" s="437"/>
      <c r="L6" s="435">
        <f>J6+K6</f>
        <v>-284</v>
      </c>
      <c r="M6" s="438" t="s">
        <v>372</v>
      </c>
    </row>
    <row r="7" spans="1:13" ht="47.45" customHeight="1">
      <c r="A7" s="118">
        <v>248.4</v>
      </c>
      <c r="B7" s="119" t="s">
        <v>26</v>
      </c>
      <c r="C7" s="439" t="s">
        <v>373</v>
      </c>
      <c r="D7" s="435">
        <v>49</v>
      </c>
      <c r="E7" s="435">
        <v>1</v>
      </c>
      <c r="F7" s="436">
        <f t="shared" ref="F7:F25" si="0">D7*E7</f>
        <v>49</v>
      </c>
      <c r="G7" s="435">
        <v>40</v>
      </c>
      <c r="H7" s="440">
        <f t="shared" ref="H7:H25" si="1">F7*G7</f>
        <v>1960</v>
      </c>
      <c r="I7" s="441">
        <v>1960</v>
      </c>
      <c r="J7" s="435">
        <f t="shared" ref="J7:J25" si="2">H7-I7</f>
        <v>0</v>
      </c>
      <c r="K7" s="437"/>
      <c r="L7" s="435">
        <f t="shared" ref="L7:L25" si="3">J7+K7</f>
        <v>0</v>
      </c>
      <c r="M7" s="442" t="s">
        <v>28</v>
      </c>
    </row>
    <row r="8" spans="1:13" ht="44.1" customHeight="1">
      <c r="A8" s="112" t="s">
        <v>29</v>
      </c>
      <c r="B8" s="113" t="s">
        <v>349</v>
      </c>
      <c r="C8" s="114"/>
      <c r="D8" s="435">
        <v>49</v>
      </c>
      <c r="E8" s="441">
        <f>1560475/49</f>
        <v>31846.428571428572</v>
      </c>
      <c r="F8" s="440">
        <f t="shared" si="0"/>
        <v>1560475</v>
      </c>
      <c r="G8" s="435">
        <v>0.25</v>
      </c>
      <c r="H8" s="440">
        <f t="shared" si="1"/>
        <v>390118.75</v>
      </c>
      <c r="I8" s="441">
        <v>411647.25</v>
      </c>
      <c r="J8" s="443">
        <v>-21528</v>
      </c>
      <c r="K8" s="444"/>
      <c r="L8" s="445">
        <f t="shared" si="3"/>
        <v>-21528</v>
      </c>
      <c r="M8" s="438" t="s">
        <v>374</v>
      </c>
    </row>
    <row r="9" spans="1:13" ht="51">
      <c r="A9" s="118" t="s">
        <v>375</v>
      </c>
      <c r="B9" s="446" t="s">
        <v>351</v>
      </c>
      <c r="C9" s="447"/>
      <c r="D9" s="448">
        <v>49</v>
      </c>
      <c r="E9" s="448">
        <f>(9942/49)</f>
        <v>202.89795918367346</v>
      </c>
      <c r="F9" s="440">
        <f t="shared" si="0"/>
        <v>9942</v>
      </c>
      <c r="G9" s="448">
        <v>1</v>
      </c>
      <c r="H9" s="440">
        <f t="shared" si="1"/>
        <v>9942</v>
      </c>
      <c r="I9" s="449">
        <v>12560</v>
      </c>
      <c r="J9" s="450">
        <f>H9-I9</f>
        <v>-2618</v>
      </c>
      <c r="K9" s="451"/>
      <c r="L9" s="445">
        <f t="shared" si="3"/>
        <v>-2618</v>
      </c>
      <c r="M9" s="442" t="s">
        <v>376</v>
      </c>
    </row>
    <row r="10" spans="1:13" ht="38.25">
      <c r="A10" s="112" t="s">
        <v>190</v>
      </c>
      <c r="B10" s="452" t="s">
        <v>41</v>
      </c>
      <c r="C10" s="447"/>
      <c r="D10" s="448">
        <v>49</v>
      </c>
      <c r="E10" s="448">
        <v>1</v>
      </c>
      <c r="F10" s="448">
        <f t="shared" si="0"/>
        <v>49</v>
      </c>
      <c r="G10" s="448">
        <v>8</v>
      </c>
      <c r="H10" s="436">
        <f t="shared" si="1"/>
        <v>392</v>
      </c>
      <c r="I10" s="448">
        <v>0</v>
      </c>
      <c r="J10" s="453"/>
      <c r="K10" s="451">
        <f>H10-I10</f>
        <v>392</v>
      </c>
      <c r="L10" s="435">
        <f t="shared" si="3"/>
        <v>392</v>
      </c>
      <c r="M10" s="438" t="s">
        <v>377</v>
      </c>
    </row>
    <row r="11" spans="1:13" ht="38.25">
      <c r="A11" s="112" t="s">
        <v>190</v>
      </c>
      <c r="B11" s="452" t="s">
        <v>44</v>
      </c>
      <c r="C11" s="447"/>
      <c r="D11" s="448">
        <v>49</v>
      </c>
      <c r="E11" s="448">
        <v>15</v>
      </c>
      <c r="F11" s="448">
        <f t="shared" si="0"/>
        <v>735</v>
      </c>
      <c r="G11" s="448">
        <v>2</v>
      </c>
      <c r="H11" s="440">
        <f t="shared" si="1"/>
        <v>1470</v>
      </c>
      <c r="I11" s="448">
        <v>0</v>
      </c>
      <c r="J11" s="453"/>
      <c r="K11" s="451">
        <f>H11-I11</f>
        <v>1470</v>
      </c>
      <c r="L11" s="441">
        <f t="shared" si="3"/>
        <v>1470</v>
      </c>
      <c r="M11" s="438" t="s">
        <v>377</v>
      </c>
    </row>
    <row r="12" spans="1:13" ht="38.25">
      <c r="A12" s="112" t="s">
        <v>45</v>
      </c>
      <c r="B12" s="452" t="s">
        <v>47</v>
      </c>
      <c r="C12" s="447"/>
      <c r="D12" s="448">
        <v>5</v>
      </c>
      <c r="E12" s="448">
        <v>1</v>
      </c>
      <c r="F12" s="448">
        <f t="shared" si="0"/>
        <v>5</v>
      </c>
      <c r="G12" s="448">
        <v>8.3500000000000005E-2</v>
      </c>
      <c r="H12" s="436">
        <f t="shared" si="1"/>
        <v>0.41750000000000004</v>
      </c>
      <c r="I12" s="448">
        <v>0</v>
      </c>
      <c r="J12" s="453"/>
      <c r="K12" s="451">
        <f>H12-I12</f>
        <v>0.41750000000000004</v>
      </c>
      <c r="L12" s="435">
        <f t="shared" si="3"/>
        <v>0.41750000000000004</v>
      </c>
      <c r="M12" s="454" t="s">
        <v>377</v>
      </c>
    </row>
    <row r="13" spans="1:13" ht="38.25">
      <c r="A13" s="112" t="s">
        <v>49</v>
      </c>
      <c r="B13" s="452" t="s">
        <v>353</v>
      </c>
      <c r="C13" s="447"/>
      <c r="D13" s="448">
        <v>49</v>
      </c>
      <c r="E13" s="448">
        <v>1</v>
      </c>
      <c r="F13" s="448">
        <f t="shared" si="0"/>
        <v>49</v>
      </c>
      <c r="G13" s="448">
        <v>8</v>
      </c>
      <c r="H13" s="436">
        <f t="shared" si="1"/>
        <v>392</v>
      </c>
      <c r="I13" s="448">
        <v>0</v>
      </c>
      <c r="J13" s="453"/>
      <c r="K13" s="451">
        <f>H13-I13</f>
        <v>392</v>
      </c>
      <c r="L13" s="435">
        <f t="shared" si="3"/>
        <v>392</v>
      </c>
      <c r="M13" s="438" t="s">
        <v>377</v>
      </c>
    </row>
    <row r="14" spans="1:13" ht="38.25">
      <c r="A14" s="112" t="s">
        <v>49</v>
      </c>
      <c r="B14" s="452" t="s">
        <v>192</v>
      </c>
      <c r="C14" s="447"/>
      <c r="D14" s="448">
        <v>49</v>
      </c>
      <c r="E14" s="448">
        <v>15</v>
      </c>
      <c r="F14" s="448">
        <f t="shared" si="0"/>
        <v>735</v>
      </c>
      <c r="G14" s="448">
        <v>2</v>
      </c>
      <c r="H14" s="455">
        <f t="shared" si="1"/>
        <v>1470</v>
      </c>
      <c r="I14" s="448">
        <v>0</v>
      </c>
      <c r="J14" s="453"/>
      <c r="K14" s="451">
        <f>H14-I14</f>
        <v>1470</v>
      </c>
      <c r="L14" s="441">
        <f t="shared" si="3"/>
        <v>1470</v>
      </c>
      <c r="M14" s="438" t="s">
        <v>377</v>
      </c>
    </row>
    <row r="15" spans="1:13" ht="51">
      <c r="A15" s="112" t="s">
        <v>55</v>
      </c>
      <c r="B15" s="113" t="s">
        <v>57</v>
      </c>
      <c r="C15" s="439"/>
      <c r="D15" s="434">
        <v>49</v>
      </c>
      <c r="E15" s="434">
        <f>((19884)/49)*0.1</f>
        <v>40.579591836734693</v>
      </c>
      <c r="F15" s="440">
        <f t="shared" si="0"/>
        <v>1988.3999999999999</v>
      </c>
      <c r="G15" s="434">
        <v>1.5</v>
      </c>
      <c r="H15" s="440">
        <f t="shared" si="1"/>
        <v>2982.6</v>
      </c>
      <c r="I15" s="456">
        <v>3768</v>
      </c>
      <c r="J15" s="434">
        <v>-785</v>
      </c>
      <c r="K15" s="457"/>
      <c r="L15" s="435">
        <f t="shared" si="3"/>
        <v>-785</v>
      </c>
      <c r="M15" s="438" t="s">
        <v>376</v>
      </c>
    </row>
    <row r="16" spans="1:13" ht="38.25">
      <c r="A16" s="112" t="s">
        <v>147</v>
      </c>
      <c r="B16" s="113" t="s">
        <v>61</v>
      </c>
      <c r="C16" s="439"/>
      <c r="D16" s="434">
        <v>49</v>
      </c>
      <c r="E16" s="434">
        <f>(994/49)*0.5</f>
        <v>10.142857142857142</v>
      </c>
      <c r="F16" s="448">
        <f>D16*E16</f>
        <v>497</v>
      </c>
      <c r="G16" s="434">
        <v>2</v>
      </c>
      <c r="H16" s="436">
        <f t="shared" si="1"/>
        <v>994</v>
      </c>
      <c r="I16" s="434">
        <v>0</v>
      </c>
      <c r="J16" s="434"/>
      <c r="K16" s="457">
        <f>H16-I16</f>
        <v>994</v>
      </c>
      <c r="L16" s="435">
        <f t="shared" si="3"/>
        <v>994</v>
      </c>
      <c r="M16" s="438" t="s">
        <v>377</v>
      </c>
    </row>
    <row r="17" spans="1:13" ht="48.75" customHeight="1">
      <c r="A17" s="118" t="s">
        <v>63</v>
      </c>
      <c r="B17" s="119" t="s">
        <v>195</v>
      </c>
      <c r="C17" s="458"/>
      <c r="D17" s="435">
        <v>49</v>
      </c>
      <c r="E17" s="435">
        <v>1</v>
      </c>
      <c r="F17" s="436">
        <f t="shared" si="0"/>
        <v>49</v>
      </c>
      <c r="G17" s="435">
        <v>5</v>
      </c>
      <c r="H17" s="436">
        <f t="shared" si="1"/>
        <v>245</v>
      </c>
      <c r="I17" s="435">
        <v>245</v>
      </c>
      <c r="J17" s="435">
        <f t="shared" si="2"/>
        <v>0</v>
      </c>
      <c r="K17" s="437"/>
      <c r="L17" s="435">
        <f t="shared" si="3"/>
        <v>0</v>
      </c>
      <c r="M17" s="442" t="s">
        <v>28</v>
      </c>
    </row>
    <row r="18" spans="1:13">
      <c r="A18" s="118" t="s">
        <v>66</v>
      </c>
      <c r="B18" s="113" t="s">
        <v>378</v>
      </c>
      <c r="C18" s="458"/>
      <c r="D18" s="435">
        <v>49</v>
      </c>
      <c r="E18" s="435">
        <v>1</v>
      </c>
      <c r="F18" s="436">
        <f t="shared" si="0"/>
        <v>49</v>
      </c>
      <c r="G18" s="435">
        <v>3</v>
      </c>
      <c r="H18" s="436">
        <f t="shared" si="1"/>
        <v>147</v>
      </c>
      <c r="I18" s="435">
        <v>147</v>
      </c>
      <c r="J18" s="435">
        <f t="shared" si="2"/>
        <v>0</v>
      </c>
      <c r="K18" s="437"/>
      <c r="L18" s="435">
        <f t="shared" si="3"/>
        <v>0</v>
      </c>
      <c r="M18" s="438" t="s">
        <v>28</v>
      </c>
    </row>
    <row r="19" spans="1:13" ht="38.25">
      <c r="A19" s="112" t="s">
        <v>74</v>
      </c>
      <c r="B19" s="113" t="s">
        <v>355</v>
      </c>
      <c r="C19" s="458"/>
      <c r="D19" s="435">
        <v>49</v>
      </c>
      <c r="E19" s="435">
        <f>500/49</f>
        <v>10.204081632653061</v>
      </c>
      <c r="F19" s="448">
        <f>D19*E19</f>
        <v>500</v>
      </c>
      <c r="G19" s="435">
        <v>1</v>
      </c>
      <c r="H19" s="436">
        <f>F19*G19</f>
        <v>500</v>
      </c>
      <c r="I19" s="435">
        <v>0</v>
      </c>
      <c r="J19" s="435"/>
      <c r="K19" s="437">
        <f>H19-I19</f>
        <v>500</v>
      </c>
      <c r="L19" s="435">
        <f t="shared" si="3"/>
        <v>500</v>
      </c>
      <c r="M19" s="438" t="s">
        <v>377</v>
      </c>
    </row>
    <row r="20" spans="1:13" ht="38.25">
      <c r="A20" s="112" t="s">
        <v>78</v>
      </c>
      <c r="B20" s="113" t="s">
        <v>356</v>
      </c>
      <c r="C20" s="458"/>
      <c r="D20" s="435">
        <v>49</v>
      </c>
      <c r="E20" s="435">
        <f>(19884*0.02)/49</f>
        <v>8.1159183673469393</v>
      </c>
      <c r="F20" s="448">
        <f>D20*E20</f>
        <v>397.68</v>
      </c>
      <c r="G20" s="435">
        <v>8.3500000000000005E-2</v>
      </c>
      <c r="H20" s="436">
        <f>F20*G20</f>
        <v>33.20628</v>
      </c>
      <c r="I20" s="435">
        <v>0</v>
      </c>
      <c r="J20" s="435"/>
      <c r="K20" s="437">
        <f>H20-I20</f>
        <v>33.20628</v>
      </c>
      <c r="L20" s="435">
        <f t="shared" si="3"/>
        <v>33.20628</v>
      </c>
      <c r="M20" s="454" t="s">
        <v>377</v>
      </c>
    </row>
    <row r="21" spans="1:13">
      <c r="A21" s="118" t="s">
        <v>82</v>
      </c>
      <c r="B21" s="459" t="s">
        <v>200</v>
      </c>
      <c r="C21" s="460"/>
      <c r="D21" s="435">
        <v>49</v>
      </c>
      <c r="E21" s="435">
        <v>1</v>
      </c>
      <c r="F21" s="436">
        <f t="shared" si="0"/>
        <v>49</v>
      </c>
      <c r="G21" s="435">
        <v>10</v>
      </c>
      <c r="H21" s="436">
        <f t="shared" si="1"/>
        <v>490</v>
      </c>
      <c r="I21" s="435">
        <v>490</v>
      </c>
      <c r="J21" s="435">
        <f t="shared" si="2"/>
        <v>0</v>
      </c>
      <c r="K21" s="437"/>
      <c r="L21" s="435">
        <f t="shared" si="3"/>
        <v>0</v>
      </c>
      <c r="M21" s="442" t="s">
        <v>28</v>
      </c>
    </row>
    <row r="22" spans="1:13" ht="38.25">
      <c r="A22" s="118" t="s">
        <v>87</v>
      </c>
      <c r="B22" s="461" t="s">
        <v>359</v>
      </c>
      <c r="C22" s="119"/>
      <c r="D22" s="435">
        <v>1</v>
      </c>
      <c r="E22" s="435">
        <v>1</v>
      </c>
      <c r="F22" s="448">
        <f>D22*E22</f>
        <v>1</v>
      </c>
      <c r="G22" s="435">
        <v>24</v>
      </c>
      <c r="H22" s="436">
        <f t="shared" si="1"/>
        <v>24</v>
      </c>
      <c r="I22" s="435">
        <v>0</v>
      </c>
      <c r="J22" s="435"/>
      <c r="K22" s="437">
        <f>H22-I22</f>
        <v>24</v>
      </c>
      <c r="L22" s="435">
        <f>J22+K22</f>
        <v>24</v>
      </c>
      <c r="M22" s="442" t="s">
        <v>377</v>
      </c>
    </row>
    <row r="23" spans="1:13">
      <c r="A23" s="118" t="s">
        <v>90</v>
      </c>
      <c r="B23" s="119" t="s">
        <v>201</v>
      </c>
      <c r="C23" s="119"/>
      <c r="D23" s="435">
        <v>7</v>
      </c>
      <c r="E23" s="435">
        <v>1</v>
      </c>
      <c r="F23" s="436">
        <f t="shared" si="0"/>
        <v>7</v>
      </c>
      <c r="G23" s="435">
        <v>10</v>
      </c>
      <c r="H23" s="436">
        <f t="shared" si="1"/>
        <v>70</v>
      </c>
      <c r="I23" s="435">
        <v>70</v>
      </c>
      <c r="J23" s="435">
        <f t="shared" si="2"/>
        <v>0</v>
      </c>
      <c r="K23" s="437"/>
      <c r="L23" s="435">
        <f t="shared" si="3"/>
        <v>0</v>
      </c>
      <c r="M23" s="442" t="s">
        <v>28</v>
      </c>
    </row>
    <row r="24" spans="1:13" ht="38.25">
      <c r="A24" s="118" t="s">
        <v>94</v>
      </c>
      <c r="B24" s="461" t="s">
        <v>96</v>
      </c>
      <c r="C24" s="119"/>
      <c r="D24" s="435">
        <v>2</v>
      </c>
      <c r="E24" s="435">
        <v>1</v>
      </c>
      <c r="F24" s="448">
        <f t="shared" si="0"/>
        <v>2</v>
      </c>
      <c r="G24" s="435">
        <v>10</v>
      </c>
      <c r="H24" s="436">
        <f t="shared" si="1"/>
        <v>20</v>
      </c>
      <c r="I24" s="435">
        <v>0</v>
      </c>
      <c r="J24" s="435"/>
      <c r="K24" s="437">
        <f>H24-I24</f>
        <v>20</v>
      </c>
      <c r="L24" s="435">
        <f t="shared" si="3"/>
        <v>20</v>
      </c>
      <c r="M24" s="442" t="s">
        <v>377</v>
      </c>
    </row>
    <row r="25" spans="1:13" s="141" customFormat="1" ht="42.75" customHeight="1">
      <c r="A25" s="118" t="s">
        <v>97</v>
      </c>
      <c r="B25" s="119" t="s">
        <v>99</v>
      </c>
      <c r="C25" s="458"/>
      <c r="D25" s="435">
        <v>1</v>
      </c>
      <c r="E25" s="435">
        <v>1</v>
      </c>
      <c r="F25" s="436">
        <f t="shared" si="0"/>
        <v>1</v>
      </c>
      <c r="G25" s="435">
        <v>15</v>
      </c>
      <c r="H25" s="436">
        <f t="shared" si="1"/>
        <v>15</v>
      </c>
      <c r="I25" s="435">
        <v>15</v>
      </c>
      <c r="J25" s="435">
        <f t="shared" si="2"/>
        <v>0</v>
      </c>
      <c r="K25" s="437"/>
      <c r="L25" s="435">
        <f t="shared" si="3"/>
        <v>0</v>
      </c>
      <c r="M25" s="442" t="s">
        <v>28</v>
      </c>
    </row>
    <row r="26" spans="1:13" ht="40.5" customHeight="1">
      <c r="A26" s="1067" t="s">
        <v>100</v>
      </c>
      <c r="B26" s="1068"/>
      <c r="C26" s="462"/>
      <c r="D26" s="463">
        <f>49+D6</f>
        <v>744.8</v>
      </c>
      <c r="E26" s="463">
        <f>+F26/D26</f>
        <v>2115.9075993555316</v>
      </c>
      <c r="F26" s="463">
        <f>SUM(F6:F25)</f>
        <v>1575927.9799999997</v>
      </c>
      <c r="G26" s="464">
        <f>+H26/F26</f>
        <v>0.26140901044221576</v>
      </c>
      <c r="H26" s="463">
        <f>SUM(H6:H25)</f>
        <v>411961.77377999993</v>
      </c>
      <c r="I26" s="463">
        <f>SUM(I6:I25)</f>
        <v>431882.25</v>
      </c>
      <c r="J26" s="465">
        <f>SUM(J6:J25)</f>
        <v>-25215</v>
      </c>
      <c r="K26" s="463">
        <f>SUM(K6:K25)</f>
        <v>5295.6237799999999</v>
      </c>
      <c r="L26" s="466">
        <f>SUM(L6:L25)</f>
        <v>-19919.376220000002</v>
      </c>
      <c r="M26" s="467"/>
    </row>
    <row r="27" spans="1:13">
      <c r="A27" s="1047" t="s">
        <v>360</v>
      </c>
      <c r="B27" s="1048"/>
      <c r="C27" s="1048"/>
      <c r="D27" s="1048"/>
      <c r="E27" s="1048"/>
      <c r="F27" s="1048"/>
      <c r="G27" s="1048"/>
      <c r="H27" s="1048"/>
      <c r="I27" s="1048"/>
      <c r="J27" s="1048"/>
      <c r="K27" s="1048"/>
      <c r="L27" s="1048"/>
      <c r="M27" s="1049"/>
    </row>
    <row r="28" spans="1:13" ht="76.5">
      <c r="A28" s="196" t="s">
        <v>29</v>
      </c>
      <c r="B28" s="113" t="s">
        <v>349</v>
      </c>
      <c r="C28" s="201"/>
      <c r="D28" s="441">
        <v>1560475</v>
      </c>
      <c r="E28" s="435">
        <v>1</v>
      </c>
      <c r="F28" s="440">
        <f>D28*E28</f>
        <v>1560475</v>
      </c>
      <c r="G28" s="435">
        <v>5.0099999999999999E-2</v>
      </c>
      <c r="H28" s="440">
        <f>F28*G28</f>
        <v>78179.797500000001</v>
      </c>
      <c r="I28" s="468">
        <v>82329.45</v>
      </c>
      <c r="J28" s="469">
        <f>H28-I28</f>
        <v>-4149.6524999999965</v>
      </c>
      <c r="K28" s="470"/>
      <c r="L28" s="148">
        <f>J28+K28</f>
        <v>-4149.6524999999965</v>
      </c>
      <c r="M28" s="438" t="s">
        <v>379</v>
      </c>
    </row>
    <row r="29" spans="1:13" ht="37.5" customHeight="1">
      <c r="A29" s="1067" t="s">
        <v>109</v>
      </c>
      <c r="B29" s="1068"/>
      <c r="C29" s="467"/>
      <c r="D29" s="463">
        <f>D28</f>
        <v>1560475</v>
      </c>
      <c r="E29" s="464">
        <f>+F29/D29</f>
        <v>1</v>
      </c>
      <c r="F29" s="463">
        <f>F28</f>
        <v>1560475</v>
      </c>
      <c r="G29" s="464">
        <f>+H29/F29</f>
        <v>5.0099999999999999E-2</v>
      </c>
      <c r="H29" s="463">
        <f>H28</f>
        <v>78179.797500000001</v>
      </c>
      <c r="I29" s="463">
        <f>I28</f>
        <v>82329.45</v>
      </c>
      <c r="J29" s="465">
        <f>J28</f>
        <v>-4149.6524999999965</v>
      </c>
      <c r="K29" s="471">
        <f>K28</f>
        <v>0</v>
      </c>
      <c r="L29" s="472">
        <f>J29+K29</f>
        <v>-4149.6524999999965</v>
      </c>
      <c r="M29" s="467"/>
    </row>
    <row r="30" spans="1:13">
      <c r="A30" s="1052" t="s">
        <v>361</v>
      </c>
      <c r="B30" s="1053"/>
      <c r="C30" s="1053"/>
      <c r="D30" s="1053"/>
      <c r="E30" s="1053"/>
      <c r="F30" s="1053"/>
      <c r="G30" s="1053"/>
      <c r="H30" s="1053"/>
      <c r="I30" s="1053"/>
      <c r="J30" s="1053"/>
      <c r="K30" s="1053"/>
      <c r="L30" s="1053"/>
      <c r="M30" s="1054"/>
    </row>
    <row r="31" spans="1:13" ht="98.1" customHeight="1">
      <c r="A31" s="473" t="s">
        <v>22</v>
      </c>
      <c r="B31" s="474" t="s">
        <v>362</v>
      </c>
      <c r="C31" s="475"/>
      <c r="D31" s="434">
        <f>994*0.3</f>
        <v>298.2</v>
      </c>
      <c r="E31" s="456">
        <v>0.5</v>
      </c>
      <c r="F31" s="476">
        <f t="shared" ref="F31:F37" si="4">D31*E31</f>
        <v>149.1</v>
      </c>
      <c r="G31" s="477">
        <v>2</v>
      </c>
      <c r="H31" s="478">
        <f t="shared" ref="H31:H37" si="5">F31*G31</f>
        <v>298.2</v>
      </c>
      <c r="I31" s="479">
        <v>0</v>
      </c>
      <c r="J31" s="480">
        <f>H31-I31</f>
        <v>298.2</v>
      </c>
      <c r="K31" s="481"/>
      <c r="L31" s="482">
        <f>J31+K31</f>
        <v>298.2</v>
      </c>
      <c r="M31" s="483" t="s">
        <v>380</v>
      </c>
    </row>
    <row r="32" spans="1:13" ht="38.25">
      <c r="A32" s="484" t="s">
        <v>190</v>
      </c>
      <c r="B32" s="474" t="s">
        <v>44</v>
      </c>
      <c r="C32" s="485"/>
      <c r="D32" s="486">
        <f>19884*0.1</f>
        <v>1988.4</v>
      </c>
      <c r="E32" s="486">
        <v>1</v>
      </c>
      <c r="F32" s="487">
        <f t="shared" si="4"/>
        <v>1988.4</v>
      </c>
      <c r="G32" s="488">
        <v>2</v>
      </c>
      <c r="H32" s="489">
        <f t="shared" si="5"/>
        <v>3976.8</v>
      </c>
      <c r="I32" s="486">
        <v>0</v>
      </c>
      <c r="J32" s="486"/>
      <c r="K32" s="490">
        <f>H32-I32</f>
        <v>3976.8</v>
      </c>
      <c r="L32" s="491">
        <f t="shared" ref="L32:L37" si="6">J32+K32</f>
        <v>3976.8</v>
      </c>
      <c r="M32" s="492" t="s">
        <v>377</v>
      </c>
    </row>
    <row r="33" spans="1:98" s="141" customFormat="1" ht="38.25">
      <c r="A33" s="493" t="s">
        <v>381</v>
      </c>
      <c r="B33" s="494" t="s">
        <v>364</v>
      </c>
      <c r="C33" s="485"/>
      <c r="D33" s="486">
        <v>500</v>
      </c>
      <c r="E33" s="486">
        <v>1</v>
      </c>
      <c r="F33" s="495">
        <f t="shared" si="4"/>
        <v>500</v>
      </c>
      <c r="G33" s="488">
        <v>0.5</v>
      </c>
      <c r="H33" s="489">
        <f t="shared" si="5"/>
        <v>250</v>
      </c>
      <c r="I33" s="486"/>
      <c r="J33" s="486"/>
      <c r="K33" s="490">
        <f>H33-I33</f>
        <v>250</v>
      </c>
      <c r="L33" s="491">
        <f t="shared" si="6"/>
        <v>250</v>
      </c>
      <c r="M33" s="492" t="s">
        <v>377</v>
      </c>
    </row>
    <row r="34" spans="1:98" s="141" customFormat="1" ht="51">
      <c r="A34" s="496" t="s">
        <v>382</v>
      </c>
      <c r="B34" s="200" t="s">
        <v>115</v>
      </c>
      <c r="C34" s="497"/>
      <c r="D34" s="498">
        <v>9942</v>
      </c>
      <c r="E34" s="499">
        <v>1</v>
      </c>
      <c r="F34" s="500">
        <f t="shared" si="4"/>
        <v>9942</v>
      </c>
      <c r="G34" s="501">
        <v>8.3500000000000005E-2</v>
      </c>
      <c r="H34" s="502">
        <f t="shared" si="5"/>
        <v>830.15700000000004</v>
      </c>
      <c r="I34" s="503">
        <v>1048.76</v>
      </c>
      <c r="J34" s="504">
        <f>H34-I34</f>
        <v>-218.60299999999995</v>
      </c>
      <c r="K34" s="505"/>
      <c r="L34" s="158">
        <f t="shared" si="6"/>
        <v>-218.60299999999995</v>
      </c>
      <c r="M34" s="506" t="s">
        <v>376</v>
      </c>
    </row>
    <row r="35" spans="1:98" s="141" customFormat="1" ht="38.25">
      <c r="A35" s="507" t="s">
        <v>45</v>
      </c>
      <c r="B35" s="508" t="s">
        <v>107</v>
      </c>
      <c r="C35" s="202"/>
      <c r="D35" s="434">
        <f>397.68*0.02</f>
        <v>7.9536000000000007</v>
      </c>
      <c r="E35" s="456">
        <v>1</v>
      </c>
      <c r="F35" s="509">
        <f t="shared" si="4"/>
        <v>7.9536000000000007</v>
      </c>
      <c r="G35" s="477">
        <v>2</v>
      </c>
      <c r="H35" s="478">
        <f t="shared" si="5"/>
        <v>15.907200000000001</v>
      </c>
      <c r="I35" s="479">
        <v>0</v>
      </c>
      <c r="J35" s="510"/>
      <c r="K35" s="511">
        <f>H35-I35</f>
        <v>15.907200000000001</v>
      </c>
      <c r="L35" s="482">
        <f t="shared" si="6"/>
        <v>15.907200000000001</v>
      </c>
      <c r="M35" s="492" t="s">
        <v>377</v>
      </c>
    </row>
    <row r="36" spans="1:98" s="174" customFormat="1" ht="38.25">
      <c r="A36" s="112" t="s">
        <v>49</v>
      </c>
      <c r="B36" s="452" t="s">
        <v>192</v>
      </c>
      <c r="C36" s="475"/>
      <c r="D36" s="456">
        <f>19884*0.9</f>
        <v>17895.600000000002</v>
      </c>
      <c r="E36" s="456">
        <v>1</v>
      </c>
      <c r="F36" s="512">
        <f t="shared" si="4"/>
        <v>17895.600000000002</v>
      </c>
      <c r="G36" s="477">
        <v>2</v>
      </c>
      <c r="H36" s="478">
        <f t="shared" si="5"/>
        <v>35791.200000000004</v>
      </c>
      <c r="I36" s="479">
        <v>0</v>
      </c>
      <c r="J36" s="510"/>
      <c r="K36" s="511">
        <v>35791</v>
      </c>
      <c r="L36" s="482">
        <f t="shared" si="6"/>
        <v>35791</v>
      </c>
      <c r="M36" s="483" t="s">
        <v>377</v>
      </c>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row>
    <row r="37" spans="1:98" ht="41.1" customHeight="1">
      <c r="A37" s="496" t="s">
        <v>120</v>
      </c>
      <c r="B37" s="513" t="s">
        <v>122</v>
      </c>
      <c r="C37" s="514"/>
      <c r="D37" s="515">
        <v>19884</v>
      </c>
      <c r="E37" s="449">
        <v>9</v>
      </c>
      <c r="F37" s="515">
        <f t="shared" si="4"/>
        <v>178956</v>
      </c>
      <c r="G37" s="516">
        <v>4</v>
      </c>
      <c r="H37" s="478">
        <f t="shared" si="5"/>
        <v>715824</v>
      </c>
      <c r="I37" s="517">
        <v>0</v>
      </c>
      <c r="J37" s="518"/>
      <c r="K37" s="519">
        <f>H37-I37</f>
        <v>715824</v>
      </c>
      <c r="L37" s="491">
        <f t="shared" si="6"/>
        <v>715824</v>
      </c>
      <c r="M37" s="483" t="s">
        <v>377</v>
      </c>
    </row>
    <row r="38" spans="1:98" ht="30.75" customHeight="1">
      <c r="A38" s="1067" t="s">
        <v>365</v>
      </c>
      <c r="B38" s="1068"/>
      <c r="C38" s="467"/>
      <c r="D38" s="463">
        <f>19884+D31</f>
        <v>20182.2</v>
      </c>
      <c r="E38" s="464">
        <f>+F38/D38</f>
        <v>10.37741443450169</v>
      </c>
      <c r="F38" s="463">
        <f>SUM(F31:F37)</f>
        <v>209439.05360000001</v>
      </c>
      <c r="G38" s="464">
        <f>+H38/F38</f>
        <v>3.6143510543441453</v>
      </c>
      <c r="H38" s="463">
        <f>SUM(H31:H37)</f>
        <v>756986.26419999998</v>
      </c>
      <c r="I38" s="463">
        <f>SUM(I31:I37)</f>
        <v>1048.76</v>
      </c>
      <c r="J38" s="465">
        <f>SUM(J31:J37)</f>
        <v>79.597000000000037</v>
      </c>
      <c r="K38" s="520">
        <f>SUM(K31:K37)</f>
        <v>755857.70719999995</v>
      </c>
      <c r="L38" s="521">
        <f>SUM(L31:L37)</f>
        <v>755937.30420000001</v>
      </c>
      <c r="M38" s="522"/>
    </row>
    <row r="39" spans="1:98">
      <c r="A39" s="1071" t="s">
        <v>133</v>
      </c>
      <c r="B39" s="1072"/>
      <c r="C39" s="523"/>
      <c r="D39" s="524">
        <f>SUM(D26+D29+D38)</f>
        <v>1581402</v>
      </c>
      <c r="E39" s="525">
        <f>F39/D39</f>
        <v>2.1157441520878306</v>
      </c>
      <c r="F39" s="524">
        <f>SUM(F26+F29+F38)</f>
        <v>3345842.0335999997</v>
      </c>
      <c r="G39" s="525">
        <f>+H39/F39</f>
        <v>0.37273960424788416</v>
      </c>
      <c r="H39" s="524">
        <f>SUM(H26+H29+H38)</f>
        <v>1247127.8354799999</v>
      </c>
      <c r="I39" s="524">
        <f>SUM(I26+I29+I38)</f>
        <v>515260.46</v>
      </c>
      <c r="J39" s="526">
        <f>SUM(J26+J29+J38)</f>
        <v>-29285.055499999995</v>
      </c>
      <c r="K39" s="527">
        <f>SUM(K38+K29+K26)</f>
        <v>761153.33097999997</v>
      </c>
      <c r="L39" s="521">
        <f>L38+L29+L26</f>
        <v>731868.27548000007</v>
      </c>
      <c r="M39" s="528"/>
    </row>
    <row r="40" spans="1:98" ht="14.45" customHeight="1">
      <c r="A40" s="1039" t="s">
        <v>134</v>
      </c>
      <c r="B40" s="1040"/>
      <c r="C40" s="1040"/>
      <c r="D40" s="1040"/>
      <c r="E40" s="1040"/>
      <c r="F40" s="1040"/>
      <c r="G40" s="1040"/>
      <c r="H40" s="1040"/>
      <c r="I40" s="1040"/>
      <c r="J40" s="1040"/>
      <c r="K40" s="1040"/>
      <c r="L40" s="1040"/>
      <c r="M40" s="1041"/>
    </row>
    <row r="41" spans="1:98">
      <c r="A41" s="1042" t="s">
        <v>366</v>
      </c>
      <c r="B41" s="1043"/>
      <c r="C41" s="1043"/>
      <c r="D41" s="1043"/>
      <c r="E41" s="1043"/>
      <c r="F41" s="1043"/>
      <c r="G41" s="1043"/>
      <c r="H41" s="1043"/>
      <c r="I41" s="1043"/>
      <c r="J41" s="1043"/>
      <c r="K41" s="1043"/>
      <c r="L41" s="1043"/>
      <c r="M41" s="1044"/>
    </row>
    <row r="42" spans="1:98" ht="38.25">
      <c r="A42" s="196" t="s">
        <v>135</v>
      </c>
      <c r="B42" s="197" t="s">
        <v>137</v>
      </c>
      <c r="C42" s="529"/>
      <c r="D42" s="530">
        <v>49</v>
      </c>
      <c r="E42" s="530">
        <v>1</v>
      </c>
      <c r="F42" s="453">
        <f>D42*E42</f>
        <v>49</v>
      </c>
      <c r="G42" s="530">
        <v>0.16700000000000001</v>
      </c>
      <c r="H42" s="531">
        <f>F42*G42</f>
        <v>8.1829999999999998</v>
      </c>
      <c r="I42" s="530">
        <v>0</v>
      </c>
      <c r="J42" s="529"/>
      <c r="K42" s="532">
        <v>8</v>
      </c>
      <c r="L42" s="530">
        <f>J42+K42</f>
        <v>8</v>
      </c>
      <c r="M42" s="483" t="s">
        <v>377</v>
      </c>
    </row>
    <row r="43" spans="1:98" ht="25.5">
      <c r="A43" s="112">
        <v>248.9</v>
      </c>
      <c r="B43" s="200" t="s">
        <v>367</v>
      </c>
      <c r="C43" s="200"/>
      <c r="D43" s="434">
        <v>49</v>
      </c>
      <c r="E43" s="456">
        <f>1560475/49</f>
        <v>31846.428571428572</v>
      </c>
      <c r="F43" s="531">
        <f t="shared" ref="F43:F52" si="7">D43*E43</f>
        <v>1560475</v>
      </c>
      <c r="G43" s="434">
        <v>0.25</v>
      </c>
      <c r="H43" s="531">
        <f t="shared" ref="H43:H52" si="8">F43*G43</f>
        <v>390118.75</v>
      </c>
      <c r="I43" s="533">
        <v>411647.25</v>
      </c>
      <c r="J43" s="534">
        <f>+H43-I43</f>
        <v>-21528.5</v>
      </c>
      <c r="K43" s="535"/>
      <c r="L43" s="536">
        <f t="shared" ref="L43:L53" si="9">J43+K43</f>
        <v>-21528.5</v>
      </c>
      <c r="M43" s="483" t="s">
        <v>383</v>
      </c>
    </row>
    <row r="44" spans="1:98" ht="38.25">
      <c r="A44" s="112" t="s">
        <v>190</v>
      </c>
      <c r="B44" s="200" t="s">
        <v>368</v>
      </c>
      <c r="C44" s="200"/>
      <c r="D44" s="434">
        <v>49</v>
      </c>
      <c r="E44" s="434">
        <v>1</v>
      </c>
      <c r="F44" s="453">
        <f t="shared" si="7"/>
        <v>49</v>
      </c>
      <c r="G44" s="434">
        <v>2</v>
      </c>
      <c r="H44" s="531">
        <f t="shared" si="8"/>
        <v>98</v>
      </c>
      <c r="I44" s="537">
        <v>0</v>
      </c>
      <c r="J44" s="537"/>
      <c r="K44" s="535">
        <f>H44-I44</f>
        <v>98</v>
      </c>
      <c r="L44" s="530">
        <f t="shared" si="9"/>
        <v>98</v>
      </c>
      <c r="M44" s="483" t="s">
        <v>377</v>
      </c>
    </row>
    <row r="45" spans="1:98">
      <c r="A45" s="112" t="s">
        <v>382</v>
      </c>
      <c r="B45" s="200" t="s">
        <v>115</v>
      </c>
      <c r="C45" s="201"/>
      <c r="D45" s="435">
        <v>49</v>
      </c>
      <c r="E45" s="435">
        <v>1</v>
      </c>
      <c r="F45" s="531">
        <f t="shared" si="7"/>
        <v>49</v>
      </c>
      <c r="G45" s="435">
        <v>2</v>
      </c>
      <c r="H45" s="531">
        <f t="shared" si="8"/>
        <v>98</v>
      </c>
      <c r="I45" s="538">
        <v>98</v>
      </c>
      <c r="J45" s="538">
        <f t="shared" ref="J45:J52" si="10">+H45-I45</f>
        <v>0</v>
      </c>
      <c r="K45" s="539"/>
      <c r="L45" s="530">
        <f t="shared" si="9"/>
        <v>0</v>
      </c>
      <c r="M45" s="540" t="s">
        <v>28</v>
      </c>
    </row>
    <row r="46" spans="1:98" ht="38.25">
      <c r="A46" s="112" t="s">
        <v>45</v>
      </c>
      <c r="B46" s="202" t="s">
        <v>143</v>
      </c>
      <c r="C46" s="201"/>
      <c r="D46" s="435">
        <v>49</v>
      </c>
      <c r="E46" s="435">
        <v>1</v>
      </c>
      <c r="F46" s="453">
        <f t="shared" si="7"/>
        <v>49</v>
      </c>
      <c r="G46" s="435">
        <v>0.16700000000000001</v>
      </c>
      <c r="H46" s="531">
        <f t="shared" si="8"/>
        <v>8.1829999999999998</v>
      </c>
      <c r="I46" s="538">
        <v>0</v>
      </c>
      <c r="J46" s="538"/>
      <c r="K46" s="539">
        <v>8</v>
      </c>
      <c r="L46" s="530">
        <f t="shared" si="9"/>
        <v>8</v>
      </c>
      <c r="M46" s="492" t="s">
        <v>377</v>
      </c>
    </row>
    <row r="47" spans="1:98" ht="25.5">
      <c r="A47" s="112" t="s">
        <v>211</v>
      </c>
      <c r="B47" s="200" t="s">
        <v>369</v>
      </c>
      <c r="C47" s="201"/>
      <c r="D47" s="435">
        <v>49</v>
      </c>
      <c r="E47" s="435">
        <f>(19884/49)*0.1</f>
        <v>40.579591836734693</v>
      </c>
      <c r="F47" s="453">
        <f t="shared" si="7"/>
        <v>1988.3999999999999</v>
      </c>
      <c r="G47" s="435">
        <v>0.5</v>
      </c>
      <c r="H47" s="531">
        <f t="shared" si="8"/>
        <v>994.19999999999993</v>
      </c>
      <c r="I47" s="538">
        <v>98</v>
      </c>
      <c r="J47" s="538">
        <f>+H47-I47</f>
        <v>896.19999999999993</v>
      </c>
      <c r="K47" s="539"/>
      <c r="L47" s="530">
        <f t="shared" si="9"/>
        <v>896.19999999999993</v>
      </c>
      <c r="M47" s="540" t="s">
        <v>384</v>
      </c>
    </row>
    <row r="48" spans="1:98" ht="38.25">
      <c r="A48" s="112" t="s">
        <v>147</v>
      </c>
      <c r="B48" s="113" t="s">
        <v>61</v>
      </c>
      <c r="C48" s="201"/>
      <c r="D48" s="435">
        <v>49</v>
      </c>
      <c r="E48" s="435">
        <f>(994/49)*0.5</f>
        <v>10.142857142857142</v>
      </c>
      <c r="F48" s="453">
        <f t="shared" si="7"/>
        <v>497</v>
      </c>
      <c r="G48" s="435">
        <v>0.5</v>
      </c>
      <c r="H48" s="531">
        <f t="shared" si="8"/>
        <v>248.5</v>
      </c>
      <c r="I48" s="538">
        <v>0</v>
      </c>
      <c r="J48" s="538"/>
      <c r="K48" s="539">
        <v>248</v>
      </c>
      <c r="L48" s="530">
        <v>248.5</v>
      </c>
      <c r="M48" s="492" t="s">
        <v>377</v>
      </c>
    </row>
    <row r="49" spans="1:13" ht="29.45" customHeight="1">
      <c r="A49" s="118" t="s">
        <v>149</v>
      </c>
      <c r="B49" s="201" t="s">
        <v>151</v>
      </c>
      <c r="C49" s="114" t="s">
        <v>212</v>
      </c>
      <c r="D49" s="435">
        <v>49</v>
      </c>
      <c r="E49" s="435">
        <v>1</v>
      </c>
      <c r="F49" s="531">
        <f t="shared" si="7"/>
        <v>49</v>
      </c>
      <c r="G49" s="435">
        <v>2</v>
      </c>
      <c r="H49" s="531">
        <f t="shared" si="8"/>
        <v>98</v>
      </c>
      <c r="I49" s="538">
        <v>98</v>
      </c>
      <c r="J49" s="538">
        <f t="shared" si="10"/>
        <v>0</v>
      </c>
      <c r="K49" s="539"/>
      <c r="L49" s="530">
        <f t="shared" si="9"/>
        <v>0</v>
      </c>
      <c r="M49" s="541" t="s">
        <v>28</v>
      </c>
    </row>
    <row r="50" spans="1:13">
      <c r="A50" s="118" t="s">
        <v>153</v>
      </c>
      <c r="B50" s="201" t="s">
        <v>155</v>
      </c>
      <c r="C50" s="201"/>
      <c r="D50" s="435">
        <v>49</v>
      </c>
      <c r="E50" s="435">
        <v>1</v>
      </c>
      <c r="F50" s="531">
        <f t="shared" si="7"/>
        <v>49</v>
      </c>
      <c r="G50" s="435">
        <v>1</v>
      </c>
      <c r="H50" s="531">
        <f t="shared" si="8"/>
        <v>49</v>
      </c>
      <c r="I50" s="538">
        <v>49</v>
      </c>
      <c r="J50" s="538">
        <f t="shared" si="10"/>
        <v>0</v>
      </c>
      <c r="K50" s="539"/>
      <c r="L50" s="530">
        <f t="shared" si="9"/>
        <v>0</v>
      </c>
      <c r="M50" s="542" t="s">
        <v>28</v>
      </c>
    </row>
    <row r="51" spans="1:13" ht="38.25">
      <c r="A51" s="118" t="s">
        <v>87</v>
      </c>
      <c r="B51" s="201" t="s">
        <v>156</v>
      </c>
      <c r="C51" s="201"/>
      <c r="D51" s="435">
        <v>49</v>
      </c>
      <c r="E51" s="435">
        <v>1</v>
      </c>
      <c r="F51" s="453">
        <f t="shared" si="7"/>
        <v>49</v>
      </c>
      <c r="G51" s="435">
        <v>2</v>
      </c>
      <c r="H51" s="531">
        <f t="shared" si="8"/>
        <v>98</v>
      </c>
      <c r="I51" s="538">
        <v>0</v>
      </c>
      <c r="J51" s="538">
        <v>0</v>
      </c>
      <c r="K51" s="539">
        <f>H51-I51</f>
        <v>98</v>
      </c>
      <c r="L51" s="530">
        <f t="shared" si="9"/>
        <v>98</v>
      </c>
      <c r="M51" s="492" t="s">
        <v>377</v>
      </c>
    </row>
    <row r="52" spans="1:13" ht="14.45" customHeight="1">
      <c r="A52" s="118" t="s">
        <v>157</v>
      </c>
      <c r="B52" s="201" t="s">
        <v>370</v>
      </c>
      <c r="C52" s="201"/>
      <c r="D52" s="435">
        <v>49</v>
      </c>
      <c r="E52" s="435">
        <v>1</v>
      </c>
      <c r="F52" s="531">
        <f t="shared" si="7"/>
        <v>49</v>
      </c>
      <c r="G52" s="435">
        <v>40</v>
      </c>
      <c r="H52" s="531">
        <f t="shared" si="8"/>
        <v>1960</v>
      </c>
      <c r="I52" s="538">
        <v>1960</v>
      </c>
      <c r="J52" s="538">
        <f t="shared" si="10"/>
        <v>0</v>
      </c>
      <c r="K52" s="539"/>
      <c r="L52" s="530">
        <f t="shared" si="9"/>
        <v>0</v>
      </c>
      <c r="M52" s="540" t="s">
        <v>28</v>
      </c>
    </row>
    <row r="53" spans="1:13" ht="14.45" customHeight="1">
      <c r="A53" s="1045" t="s">
        <v>160</v>
      </c>
      <c r="B53" s="1046"/>
      <c r="C53" s="939"/>
      <c r="D53" s="543">
        <f>49</f>
        <v>49</v>
      </c>
      <c r="E53" s="544">
        <f>+F53/D53</f>
        <v>31905.151020408161</v>
      </c>
      <c r="F53" s="544">
        <f>SUM(F42:F52)</f>
        <v>1563352.4</v>
      </c>
      <c r="G53" s="543">
        <f>+H53/F53</f>
        <v>0.25188103206928908</v>
      </c>
      <c r="H53" s="544">
        <f>SUM(H42:H52)</f>
        <v>393778.81600000005</v>
      </c>
      <c r="I53" s="544">
        <f>SUM(I42:I52)</f>
        <v>413950.25</v>
      </c>
      <c r="J53" s="545">
        <f>SUM(J42:J52)</f>
        <v>-20632.3</v>
      </c>
      <c r="K53" s="543">
        <f>SUM(K42:K52)</f>
        <v>460</v>
      </c>
      <c r="L53" s="546">
        <f t="shared" si="9"/>
        <v>-20172.3</v>
      </c>
      <c r="M53" s="547"/>
    </row>
    <row r="54" spans="1:13">
      <c r="A54" s="1069" t="s">
        <v>371</v>
      </c>
      <c r="B54" s="1070"/>
      <c r="C54" s="548"/>
      <c r="D54" s="549">
        <f>D39</f>
        <v>1581402</v>
      </c>
      <c r="E54" s="550">
        <f>F54/D54</f>
        <v>3.1043304824453233</v>
      </c>
      <c r="F54" s="551">
        <f>SUM(F39+F53)</f>
        <v>4909194.4335999992</v>
      </c>
      <c r="G54" s="550">
        <f>H54/F54</f>
        <v>0.33425171352944238</v>
      </c>
      <c r="H54" s="551">
        <f>SUM(H39+H53)</f>
        <v>1640906.65148</v>
      </c>
      <c r="I54" s="552">
        <f>SUM(I39+I53)</f>
        <v>929210.71</v>
      </c>
      <c r="J54" s="553">
        <f>SUM(J53+J39)</f>
        <v>-49917.355499999991</v>
      </c>
      <c r="K54" s="551">
        <f>SUM(K39+K53)</f>
        <v>761613.33097999997</v>
      </c>
      <c r="L54" s="554">
        <f>J54+K54</f>
        <v>711695.97548000002</v>
      </c>
      <c r="M54" s="555"/>
    </row>
    <row r="55" spans="1:13">
      <c r="A55" s="556" t="s">
        <v>385</v>
      </c>
      <c r="D55" s="207"/>
    </row>
    <row r="56" spans="1:13" ht="15.75" thickBot="1">
      <c r="D56" s="209"/>
      <c r="E56" s="210"/>
      <c r="F56" s="209"/>
      <c r="G56" s="210"/>
      <c r="H56" s="209"/>
      <c r="I56" s="209"/>
      <c r="J56" s="209"/>
      <c r="K56" s="209"/>
      <c r="L56" s="209"/>
    </row>
    <row r="57" spans="1:13" ht="39" thickBot="1">
      <c r="B57" s="212" t="s">
        <v>163</v>
      </c>
      <c r="C57" s="212" t="s">
        <v>164</v>
      </c>
      <c r="D57" s="212" t="s">
        <v>165</v>
      </c>
      <c r="E57" s="212" t="s">
        <v>215</v>
      </c>
      <c r="F57" s="213" t="s">
        <v>167</v>
      </c>
      <c r="G57" s="214" t="s">
        <v>168</v>
      </c>
      <c r="I57" s="215"/>
      <c r="J57" s="216"/>
    </row>
    <row r="58" spans="1:13">
      <c r="B58" s="557" t="s">
        <v>169</v>
      </c>
      <c r="C58" s="558">
        <f>+D39</f>
        <v>1581402</v>
      </c>
      <c r="D58" s="559">
        <f>+E58/C58</f>
        <v>2.1157441520878306</v>
      </c>
      <c r="E58" s="558">
        <f>+F39</f>
        <v>3345842.0335999997</v>
      </c>
      <c r="F58" s="559">
        <f>+G58/E58</f>
        <v>0.37273960424788416</v>
      </c>
      <c r="G58" s="560">
        <f>+H39</f>
        <v>1247127.8354799999</v>
      </c>
    </row>
    <row r="59" spans="1:13" ht="15.75" thickBot="1">
      <c r="B59" s="561" t="s">
        <v>170</v>
      </c>
      <c r="C59" s="562">
        <f>+D53</f>
        <v>49</v>
      </c>
      <c r="D59" s="563">
        <f>+E59/C59</f>
        <v>31905.151020408161</v>
      </c>
      <c r="E59" s="564">
        <f>+F53</f>
        <v>1563352.4</v>
      </c>
      <c r="F59" s="565">
        <f>+G59/E59</f>
        <v>0.25188103206928908</v>
      </c>
      <c r="G59" s="566">
        <f>+H53</f>
        <v>393778.81600000005</v>
      </c>
    </row>
    <row r="60" spans="1:13" ht="15.75" thickBot="1">
      <c r="B60" s="86" t="s">
        <v>171</v>
      </c>
      <c r="C60" s="567">
        <f>D54</f>
        <v>1581402</v>
      </c>
      <c r="D60" s="568">
        <f>+E60/C60</f>
        <v>3.1043304824453233</v>
      </c>
      <c r="E60" s="569">
        <f>SUM(E58:E59)</f>
        <v>4909194.4335999992</v>
      </c>
      <c r="F60" s="570">
        <f>+G60/E60</f>
        <v>0.33425171352944238</v>
      </c>
      <c r="G60" s="571">
        <f>SUM(G58:G59)</f>
        <v>1640906.65148</v>
      </c>
      <c r="J60" s="209"/>
    </row>
    <row r="61" spans="1:13" ht="15.75" thickBot="1">
      <c r="B61" s="92"/>
      <c r="C61" s="233"/>
      <c r="D61" s="234"/>
      <c r="E61" s="235"/>
      <c r="F61" s="236"/>
      <c r="G61" s="235"/>
      <c r="J61" s="237"/>
    </row>
    <row r="62" spans="1:13" ht="15.75" thickBot="1">
      <c r="B62" s="238"/>
      <c r="C62" s="212" t="s">
        <v>172</v>
      </c>
      <c r="D62" s="239" t="s">
        <v>173</v>
      </c>
    </row>
    <row r="63" spans="1:13">
      <c r="B63" s="97" t="s">
        <v>174</v>
      </c>
      <c r="C63" s="572">
        <v>4968339</v>
      </c>
      <c r="D63" s="573">
        <f>I54</f>
        <v>929210.71</v>
      </c>
      <c r="E63" s="241"/>
      <c r="F63" s="242"/>
      <c r="G63" s="243"/>
    </row>
    <row r="64" spans="1:13">
      <c r="B64" s="103" t="s">
        <v>175</v>
      </c>
      <c r="C64" s="574">
        <f>+E60</f>
        <v>4909194.4335999992</v>
      </c>
      <c r="D64" s="575">
        <f>+G60</f>
        <v>1640906.65148</v>
      </c>
      <c r="E64" s="241"/>
      <c r="F64" s="242"/>
      <c r="G64" s="246"/>
    </row>
    <row r="65" spans="1:14" ht="15.75" thickBot="1">
      <c r="B65" s="104" t="s">
        <v>176</v>
      </c>
      <c r="C65" s="105">
        <f>+C64-C63</f>
        <v>-59144.566400000826</v>
      </c>
      <c r="D65" s="576">
        <v>711695.98</v>
      </c>
      <c r="E65" s="241"/>
      <c r="F65" s="242"/>
      <c r="G65" s="241"/>
    </row>
    <row r="66" spans="1:14">
      <c r="I66" s="207"/>
    </row>
    <row r="67" spans="1:14">
      <c r="N67" s="247"/>
    </row>
    <row r="68" spans="1:14">
      <c r="I68" s="248"/>
      <c r="J68" s="248"/>
      <c r="N68" s="247"/>
    </row>
    <row r="69" spans="1:14">
      <c r="A69"/>
      <c r="N69" s="247"/>
    </row>
    <row r="70" spans="1:14">
      <c r="N70" s="247"/>
    </row>
  </sheetData>
  <mergeCells count="14">
    <mergeCell ref="A53:B53"/>
    <mergeCell ref="A54:B54"/>
    <mergeCell ref="A29:B29"/>
    <mergeCell ref="A30:M30"/>
    <mergeCell ref="A38:B38"/>
    <mergeCell ref="A39:B39"/>
    <mergeCell ref="A40:M40"/>
    <mergeCell ref="A41:M41"/>
    <mergeCell ref="A27:M27"/>
    <mergeCell ref="A1:M1"/>
    <mergeCell ref="A2:M2"/>
    <mergeCell ref="A4:M4"/>
    <mergeCell ref="A5:M5"/>
    <mergeCell ref="A26:B26"/>
  </mergeCells>
  <pageMargins left="0.7" right="0.7" top="0.75" bottom="0.75" header="0.3" footer="0.3"/>
  <pageSetup scale="5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9CFC7-8024-4C6D-8EAE-D02AB871A404}">
  <sheetPr>
    <tabColor theme="8" tint="0.79998168889431442"/>
    <pageSetUpPr fitToPage="1"/>
  </sheetPr>
  <dimension ref="A1:M65"/>
  <sheetViews>
    <sheetView zoomScale="70" zoomScaleNormal="70" workbookViewId="0">
      <pane ySplit="2" topLeftCell="A3" activePane="bottomLeft" state="frozen"/>
      <selection pane="bottomLeft" activeCell="F7" sqref="F7"/>
    </sheetView>
  </sheetViews>
  <sheetFormatPr defaultColWidth="9.140625" defaultRowHeight="15"/>
  <cols>
    <col min="1" max="1" width="17.42578125" style="208" customWidth="1"/>
    <col min="2" max="2" width="41.7109375" style="206" customWidth="1"/>
    <col min="3" max="3" width="13.7109375" style="206" customWidth="1"/>
    <col min="4" max="4" width="15.28515625" style="206" customWidth="1"/>
    <col min="5" max="5" width="21.5703125" style="206" customWidth="1"/>
    <col min="6" max="6" width="17.28515625" style="206" customWidth="1"/>
    <col min="7" max="7" width="14" style="206" bestFit="1" customWidth="1"/>
    <col min="8" max="8" width="13.7109375" style="206" customWidth="1"/>
    <col min="9" max="9" width="15.42578125" style="206" customWidth="1"/>
    <col min="10" max="10" width="16.85546875" style="206" customWidth="1"/>
    <col min="11" max="11" width="12.7109375" style="206" customWidth="1"/>
    <col min="12" max="12" width="21.140625" style="206" customWidth="1"/>
    <col min="13" max="13" width="3.28515625" customWidth="1"/>
  </cols>
  <sheetData>
    <row r="1" spans="1:12" s="108" customFormat="1" ht="18">
      <c r="A1" s="1059" t="s">
        <v>1</v>
      </c>
      <c r="B1" s="1059"/>
      <c r="C1" s="1059"/>
      <c r="D1" s="1059"/>
      <c r="E1" s="1059"/>
      <c r="F1" s="1059"/>
      <c r="G1" s="1059"/>
      <c r="H1" s="1059"/>
      <c r="I1" s="1059"/>
      <c r="J1" s="1059"/>
      <c r="K1" s="1059"/>
      <c r="L1" s="1059"/>
    </row>
    <row r="2" spans="1:12" s="108" customFormat="1" ht="120.6" customHeight="1">
      <c r="A2" s="432" t="s">
        <v>178</v>
      </c>
      <c r="B2" s="432" t="s">
        <v>5</v>
      </c>
      <c r="C2" s="6" t="s">
        <v>6</v>
      </c>
      <c r="D2" s="432" t="s">
        <v>7</v>
      </c>
      <c r="E2" s="432" t="s">
        <v>8</v>
      </c>
      <c r="F2" s="433" t="s">
        <v>9</v>
      </c>
      <c r="G2" s="432" t="s">
        <v>10</v>
      </c>
      <c r="H2" s="433" t="s">
        <v>11</v>
      </c>
      <c r="I2" s="432" t="s">
        <v>179</v>
      </c>
      <c r="J2" s="432" t="s">
        <v>180</v>
      </c>
      <c r="K2" s="432" t="s">
        <v>181</v>
      </c>
      <c r="L2" s="432" t="s">
        <v>343</v>
      </c>
    </row>
    <row r="3" spans="1:12" s="108" customFormat="1">
      <c r="A3" s="1039" t="s">
        <v>20</v>
      </c>
      <c r="B3" s="1065"/>
      <c r="C3" s="1065"/>
      <c r="D3" s="1065"/>
      <c r="E3" s="1065"/>
      <c r="F3" s="1065"/>
      <c r="G3" s="1065"/>
      <c r="H3" s="1065"/>
      <c r="I3" s="1065"/>
      <c r="J3" s="1065"/>
      <c r="K3" s="1065"/>
      <c r="L3" s="1066"/>
    </row>
    <row r="4" spans="1:12" s="108" customFormat="1">
      <c r="A4" s="1063" t="s">
        <v>344</v>
      </c>
      <c r="B4" s="1063"/>
      <c r="C4" s="1063"/>
      <c r="D4" s="1063"/>
      <c r="E4" s="1063"/>
      <c r="F4" s="1063"/>
      <c r="G4" s="1063"/>
      <c r="H4" s="1063"/>
      <c r="I4" s="1063"/>
      <c r="J4" s="1063"/>
      <c r="K4" s="1063"/>
      <c r="L4" s="1063"/>
    </row>
    <row r="5" spans="1:12" ht="224.25" customHeight="1">
      <c r="A5" s="118" t="s">
        <v>386</v>
      </c>
      <c r="B5" s="113" t="s">
        <v>345</v>
      </c>
      <c r="C5" s="114"/>
      <c r="D5" s="534">
        <f>(49*20)</f>
        <v>980</v>
      </c>
      <c r="E5" s="577">
        <v>0.5</v>
      </c>
      <c r="F5" s="578">
        <f>D5*E5</f>
        <v>490</v>
      </c>
      <c r="G5" s="577">
        <v>2</v>
      </c>
      <c r="H5" s="578">
        <f>F5*G5</f>
        <v>980</v>
      </c>
      <c r="I5" s="156">
        <v>0</v>
      </c>
      <c r="J5" s="577">
        <f>H5-I5</f>
        <v>980</v>
      </c>
      <c r="K5" s="437"/>
      <c r="L5" s="438" t="s">
        <v>387</v>
      </c>
    </row>
    <row r="6" spans="1:12" ht="68.25" customHeight="1">
      <c r="A6" s="118">
        <v>248.4</v>
      </c>
      <c r="B6" s="119" t="s">
        <v>26</v>
      </c>
      <c r="C6" s="439"/>
      <c r="D6" s="577">
        <v>49</v>
      </c>
      <c r="E6" s="577">
        <v>1</v>
      </c>
      <c r="F6" s="578">
        <f t="shared" ref="F6:F14" si="0">D6*E6</f>
        <v>49</v>
      </c>
      <c r="G6" s="577">
        <v>40</v>
      </c>
      <c r="H6" s="578">
        <f t="shared" ref="H6:H14" si="1">F6*G6</f>
        <v>1960</v>
      </c>
      <c r="I6" s="577">
        <v>1880</v>
      </c>
      <c r="J6" s="577">
        <f t="shared" ref="J6:J14" si="2">H6-I6</f>
        <v>80</v>
      </c>
      <c r="K6" s="437"/>
      <c r="L6" s="442" t="s">
        <v>388</v>
      </c>
    </row>
    <row r="7" spans="1:12" ht="155.25" customHeight="1">
      <c r="A7" s="118" t="s">
        <v>389</v>
      </c>
      <c r="B7" s="113" t="s">
        <v>349</v>
      </c>
      <c r="C7" s="114"/>
      <c r="D7" s="577">
        <v>49</v>
      </c>
      <c r="E7" s="577">
        <f>1646589/49</f>
        <v>33603.857142857145</v>
      </c>
      <c r="F7" s="578">
        <f>D7*E7</f>
        <v>1646589</v>
      </c>
      <c r="G7" s="577">
        <v>0.25</v>
      </c>
      <c r="H7" s="578">
        <f>F7*G7</f>
        <v>411647.25</v>
      </c>
      <c r="I7" s="577">
        <v>0</v>
      </c>
      <c r="J7" s="579">
        <f>H7-I7</f>
        <v>411647.25</v>
      </c>
      <c r="K7" s="444"/>
      <c r="L7" s="438" t="s">
        <v>390</v>
      </c>
    </row>
    <row r="8" spans="1:12" ht="51">
      <c r="A8" s="118" t="s">
        <v>391</v>
      </c>
      <c r="B8" s="446" t="s">
        <v>351</v>
      </c>
      <c r="C8" s="447"/>
      <c r="D8" s="580">
        <v>49</v>
      </c>
      <c r="E8" s="580">
        <f>(12560/49)</f>
        <v>256.32653061224488</v>
      </c>
      <c r="F8" s="578">
        <f>D8*E8</f>
        <v>12560</v>
      </c>
      <c r="G8" s="580">
        <v>1</v>
      </c>
      <c r="H8" s="578">
        <f>F8*G8</f>
        <v>12560</v>
      </c>
      <c r="I8" s="580">
        <v>7851.69</v>
      </c>
      <c r="J8" s="581">
        <f>H8-I8</f>
        <v>4708.3100000000004</v>
      </c>
      <c r="K8" s="451"/>
      <c r="L8" s="442" t="s">
        <v>392</v>
      </c>
    </row>
    <row r="9" spans="1:12" ht="63.75">
      <c r="A9" s="112" t="s">
        <v>393</v>
      </c>
      <c r="B9" s="113" t="s">
        <v>57</v>
      </c>
      <c r="C9" s="439"/>
      <c r="D9" s="534">
        <v>49</v>
      </c>
      <c r="E9" s="534">
        <f>((25120)/49)*0.1</f>
        <v>51.265306122448976</v>
      </c>
      <c r="F9" s="578">
        <f t="shared" si="0"/>
        <v>2512</v>
      </c>
      <c r="G9" s="534">
        <v>1.5</v>
      </c>
      <c r="H9" s="578">
        <f t="shared" si="1"/>
        <v>3768</v>
      </c>
      <c r="I9" s="534">
        <v>4758.6000000000004</v>
      </c>
      <c r="J9" s="534">
        <f t="shared" si="2"/>
        <v>-990.60000000000036</v>
      </c>
      <c r="K9" s="457"/>
      <c r="L9" s="438" t="s">
        <v>394</v>
      </c>
    </row>
    <row r="10" spans="1:12" ht="48.75" customHeight="1">
      <c r="A10" s="118" t="s">
        <v>63</v>
      </c>
      <c r="B10" s="119" t="s">
        <v>195</v>
      </c>
      <c r="C10" s="458"/>
      <c r="D10" s="577">
        <v>49</v>
      </c>
      <c r="E10" s="577">
        <v>1</v>
      </c>
      <c r="F10" s="578">
        <f t="shared" si="0"/>
        <v>49</v>
      </c>
      <c r="G10" s="577">
        <v>5</v>
      </c>
      <c r="H10" s="578">
        <f t="shared" si="1"/>
        <v>245</v>
      </c>
      <c r="I10" s="577">
        <v>235</v>
      </c>
      <c r="J10" s="577">
        <f t="shared" si="2"/>
        <v>10</v>
      </c>
      <c r="K10" s="437"/>
      <c r="L10" s="442" t="s">
        <v>388</v>
      </c>
    </row>
    <row r="11" spans="1:12" ht="127.5">
      <c r="A11" s="118" t="s">
        <v>66</v>
      </c>
      <c r="B11" s="113" t="s">
        <v>378</v>
      </c>
      <c r="C11" s="458"/>
      <c r="D11" s="577">
        <v>49</v>
      </c>
      <c r="E11" s="577">
        <v>1</v>
      </c>
      <c r="F11" s="578">
        <f t="shared" si="0"/>
        <v>49</v>
      </c>
      <c r="G11" s="577">
        <v>3</v>
      </c>
      <c r="H11" s="578">
        <f t="shared" si="1"/>
        <v>147</v>
      </c>
      <c r="I11" s="577">
        <v>0</v>
      </c>
      <c r="J11" s="577">
        <f t="shared" si="2"/>
        <v>147</v>
      </c>
      <c r="K11" s="437"/>
      <c r="L11" s="438" t="s">
        <v>395</v>
      </c>
    </row>
    <row r="12" spans="1:12" ht="25.5">
      <c r="A12" s="118">
        <v>248.11</v>
      </c>
      <c r="B12" s="119" t="s">
        <v>396</v>
      </c>
      <c r="C12" s="119"/>
      <c r="D12" s="577">
        <v>49</v>
      </c>
      <c r="E12" s="577">
        <v>1</v>
      </c>
      <c r="F12" s="578">
        <f t="shared" si="0"/>
        <v>49</v>
      </c>
      <c r="G12" s="577">
        <v>10</v>
      </c>
      <c r="H12" s="578">
        <f t="shared" si="1"/>
        <v>490</v>
      </c>
      <c r="I12" s="577">
        <v>470</v>
      </c>
      <c r="J12" s="577">
        <f t="shared" si="2"/>
        <v>20</v>
      </c>
      <c r="K12" s="437"/>
      <c r="L12" s="442" t="s">
        <v>388</v>
      </c>
    </row>
    <row r="13" spans="1:12" ht="89.25">
      <c r="A13" s="118" t="s">
        <v>90</v>
      </c>
      <c r="B13" s="119" t="s">
        <v>201</v>
      </c>
      <c r="C13" s="119"/>
      <c r="D13" s="577">
        <v>7</v>
      </c>
      <c r="E13" s="577">
        <v>1</v>
      </c>
      <c r="F13" s="578">
        <f t="shared" si="0"/>
        <v>7</v>
      </c>
      <c r="G13" s="577">
        <v>10</v>
      </c>
      <c r="H13" s="578">
        <f t="shared" si="1"/>
        <v>70</v>
      </c>
      <c r="I13" s="577">
        <v>90</v>
      </c>
      <c r="J13" s="577">
        <f t="shared" si="2"/>
        <v>-20</v>
      </c>
      <c r="K13" s="437"/>
      <c r="L13" s="442" t="s">
        <v>397</v>
      </c>
    </row>
    <row r="14" spans="1:12" ht="76.5">
      <c r="A14" s="118" t="s">
        <v>97</v>
      </c>
      <c r="B14" s="119" t="s">
        <v>99</v>
      </c>
      <c r="C14" s="458"/>
      <c r="D14" s="577">
        <v>1</v>
      </c>
      <c r="E14" s="577">
        <v>1</v>
      </c>
      <c r="F14" s="578">
        <f t="shared" si="0"/>
        <v>1</v>
      </c>
      <c r="G14" s="577">
        <v>15</v>
      </c>
      <c r="H14" s="578">
        <f t="shared" si="1"/>
        <v>15</v>
      </c>
      <c r="I14" s="577">
        <v>195</v>
      </c>
      <c r="J14" s="577">
        <f t="shared" si="2"/>
        <v>-180</v>
      </c>
      <c r="K14" s="437"/>
      <c r="L14" s="442" t="s">
        <v>398</v>
      </c>
    </row>
    <row r="15" spans="1:12" s="141" customFormat="1" ht="42.75" customHeight="1">
      <c r="A15" s="1067" t="s">
        <v>399</v>
      </c>
      <c r="B15" s="1073"/>
      <c r="C15" s="462"/>
      <c r="D15" s="526">
        <f>49+980</f>
        <v>1029</v>
      </c>
      <c r="E15" s="526">
        <f>+F15/D15</f>
        <v>1615.5053449951408</v>
      </c>
      <c r="F15" s="526">
        <f>SUM(F5:F14)</f>
        <v>1662355</v>
      </c>
      <c r="G15" s="526">
        <f>+H15/F15</f>
        <v>0.25980145636762303</v>
      </c>
      <c r="H15" s="526">
        <f>SUM(H5:H14)</f>
        <v>431882.25</v>
      </c>
      <c r="I15" s="526">
        <f>SUM(I5:I14)</f>
        <v>15480.289999999999</v>
      </c>
      <c r="J15" s="526">
        <f>SUM(J5:J14)</f>
        <v>416401.96</v>
      </c>
      <c r="K15" s="582">
        <f>SUM(K5:K14)</f>
        <v>0</v>
      </c>
      <c r="L15" s="467"/>
    </row>
    <row r="16" spans="1:12" ht="40.5" customHeight="1">
      <c r="A16" s="1042" t="s">
        <v>360</v>
      </c>
      <c r="B16" s="1043"/>
      <c r="C16" s="1043"/>
      <c r="D16" s="1043"/>
      <c r="E16" s="1043"/>
      <c r="F16" s="1043"/>
      <c r="G16" s="1043"/>
      <c r="H16" s="1043"/>
      <c r="I16" s="1043"/>
      <c r="J16" s="1043"/>
      <c r="K16" s="1043"/>
      <c r="L16" s="1044"/>
    </row>
    <row r="17" spans="1:12" ht="140.25">
      <c r="A17" s="583" t="s">
        <v>400</v>
      </c>
      <c r="B17" s="113" t="s">
        <v>349</v>
      </c>
      <c r="C17" s="201"/>
      <c r="D17" s="445">
        <v>1646589</v>
      </c>
      <c r="E17" s="445">
        <v>1</v>
      </c>
      <c r="F17" s="584">
        <f>D17*E17</f>
        <v>1646589</v>
      </c>
      <c r="G17" s="445">
        <v>0.05</v>
      </c>
      <c r="H17" s="584">
        <f>F17*G17</f>
        <v>82329.450000000012</v>
      </c>
      <c r="I17" s="156">
        <v>0</v>
      </c>
      <c r="J17" s="579">
        <f>H17-I17</f>
        <v>82329.450000000012</v>
      </c>
      <c r="K17" s="585"/>
      <c r="L17" s="438" t="s">
        <v>401</v>
      </c>
    </row>
    <row r="18" spans="1:12" s="141" customFormat="1">
      <c r="A18" s="1067" t="s">
        <v>109</v>
      </c>
      <c r="B18" s="1073"/>
      <c r="C18" s="467"/>
      <c r="D18" s="466">
        <f>D17</f>
        <v>1646589</v>
      </c>
      <c r="E18" s="586">
        <f>+F18/D18</f>
        <v>1</v>
      </c>
      <c r="F18" s="466">
        <f>F17</f>
        <v>1646589</v>
      </c>
      <c r="G18" s="586">
        <f>+H18/F18</f>
        <v>5.000000000000001E-2</v>
      </c>
      <c r="H18" s="466">
        <f>H17</f>
        <v>82329.450000000012</v>
      </c>
      <c r="I18" s="587">
        <f>I17</f>
        <v>0</v>
      </c>
      <c r="J18" s="587">
        <f>+J17</f>
        <v>82329.450000000012</v>
      </c>
      <c r="K18" s="471">
        <f>+K17</f>
        <v>0</v>
      </c>
      <c r="L18" s="467"/>
    </row>
    <row r="19" spans="1:12" ht="37.5" customHeight="1">
      <c r="A19" s="1075" t="s">
        <v>402</v>
      </c>
      <c r="B19" s="1076"/>
      <c r="C19" s="1076"/>
      <c r="D19" s="1076"/>
      <c r="E19" s="1076"/>
      <c r="F19" s="1076"/>
      <c r="G19" s="1076"/>
      <c r="H19" s="1076"/>
      <c r="I19" s="1076"/>
      <c r="J19" s="1076"/>
      <c r="K19" s="1076"/>
      <c r="L19" s="1077"/>
    </row>
    <row r="20" spans="1:12" ht="127.5">
      <c r="A20" s="196" t="s">
        <v>403</v>
      </c>
      <c r="B20" s="452" t="s">
        <v>319</v>
      </c>
      <c r="C20" s="202"/>
      <c r="D20" s="588">
        <v>12560</v>
      </c>
      <c r="E20" s="456">
        <v>1</v>
      </c>
      <c r="F20" s="509">
        <f>D20*E20</f>
        <v>12560</v>
      </c>
      <c r="G20" s="589">
        <v>8.3500000000000005E-2</v>
      </c>
      <c r="H20" s="478">
        <f>F20*G20</f>
        <v>1048.76</v>
      </c>
      <c r="I20" s="479"/>
      <c r="J20" s="200">
        <f>H20-I20</f>
        <v>1048.76</v>
      </c>
      <c r="K20" s="590"/>
      <c r="L20" s="438" t="s">
        <v>404</v>
      </c>
    </row>
    <row r="21" spans="1:12" s="141" customFormat="1">
      <c r="A21" s="1067" t="s">
        <v>365</v>
      </c>
      <c r="B21" s="1073"/>
      <c r="C21" s="467"/>
      <c r="D21" s="591">
        <f>D20</f>
        <v>12560</v>
      </c>
      <c r="E21" s="591">
        <f>+F21/D21</f>
        <v>1</v>
      </c>
      <c r="F21" s="591">
        <f>F20</f>
        <v>12560</v>
      </c>
      <c r="G21" s="591">
        <f>+H21/F21</f>
        <v>8.3500000000000005E-2</v>
      </c>
      <c r="H21" s="591">
        <f>H20</f>
        <v>1048.76</v>
      </c>
      <c r="I21" s="591">
        <f>I20</f>
        <v>0</v>
      </c>
      <c r="J21" s="591">
        <f>+J20</f>
        <v>1048.76</v>
      </c>
      <c r="K21" s="471">
        <f>+K20</f>
        <v>0</v>
      </c>
      <c r="L21" s="467"/>
    </row>
    <row r="22" spans="1:12" ht="67.5" customHeight="1">
      <c r="A22" s="1071" t="s">
        <v>133</v>
      </c>
      <c r="B22" s="1072"/>
      <c r="C22" s="523"/>
      <c r="D22" s="591">
        <f>SUM(D15+D18+D21)</f>
        <v>1660178</v>
      </c>
      <c r="E22" s="591">
        <f>E21+E18+E15</f>
        <v>1617.5053449951408</v>
      </c>
      <c r="F22" s="591">
        <f t="shared" ref="F22" si="3">SUM(F15+F18+F21)</f>
        <v>3321504</v>
      </c>
      <c r="G22" s="591">
        <f>+H22/F22</f>
        <v>0.15512865858358141</v>
      </c>
      <c r="H22" s="591">
        <f>SUM(H15+H18+H21)</f>
        <v>515260.46</v>
      </c>
      <c r="I22" s="591">
        <f>SUM(I15+I18+I21)</f>
        <v>15480.289999999999</v>
      </c>
      <c r="J22" s="591">
        <f>SUM(J15+J18+J21)</f>
        <v>499780.17000000004</v>
      </c>
      <c r="K22" s="582">
        <f>SUM(K15+K18+K21)</f>
        <v>0</v>
      </c>
      <c r="L22" s="592"/>
    </row>
    <row r="23" spans="1:12" ht="35.25" customHeight="1">
      <c r="A23" s="1039" t="s">
        <v>134</v>
      </c>
      <c r="B23" s="1065"/>
      <c r="C23" s="1065"/>
      <c r="D23" s="1065"/>
      <c r="E23" s="1065"/>
      <c r="F23" s="1065"/>
      <c r="G23" s="1065"/>
      <c r="H23" s="1065"/>
      <c r="I23" s="1065"/>
      <c r="J23" s="1065"/>
      <c r="K23" s="1065"/>
      <c r="L23" s="1066"/>
    </row>
    <row r="24" spans="1:12" ht="30.75" customHeight="1">
      <c r="A24" s="1063" t="s">
        <v>366</v>
      </c>
      <c r="B24" s="1063"/>
      <c r="C24" s="1063"/>
      <c r="D24" s="1063"/>
      <c r="E24" s="1063"/>
      <c r="F24" s="1063"/>
      <c r="G24" s="1063"/>
      <c r="H24" s="1063"/>
      <c r="I24" s="1063"/>
      <c r="J24" s="1063"/>
      <c r="K24" s="1063"/>
      <c r="L24" s="1063"/>
    </row>
    <row r="25" spans="1:12" ht="165.75">
      <c r="A25" s="196">
        <v>248.9</v>
      </c>
      <c r="B25" s="200" t="s">
        <v>367</v>
      </c>
      <c r="C25" s="200"/>
      <c r="D25" s="593">
        <v>49</v>
      </c>
      <c r="E25" s="593">
        <f>1646589/49</f>
        <v>33603.857142857145</v>
      </c>
      <c r="F25" s="584">
        <f>D25*E25</f>
        <v>1646589</v>
      </c>
      <c r="G25" s="593">
        <v>0.25</v>
      </c>
      <c r="H25" s="584">
        <f>F25*G25</f>
        <v>411647.25</v>
      </c>
      <c r="I25" s="534">
        <v>47</v>
      </c>
      <c r="J25" s="534">
        <f>+H25-I25</f>
        <v>411600.25</v>
      </c>
      <c r="K25" s="594"/>
      <c r="L25" s="438" t="s">
        <v>405</v>
      </c>
    </row>
    <row r="26" spans="1:12" ht="25.5">
      <c r="A26" s="583" t="s">
        <v>403</v>
      </c>
      <c r="B26" s="201" t="s">
        <v>115</v>
      </c>
      <c r="C26" s="201"/>
      <c r="D26" s="445">
        <v>49</v>
      </c>
      <c r="E26" s="445">
        <v>1</v>
      </c>
      <c r="F26" s="584">
        <v>49</v>
      </c>
      <c r="G26" s="445">
        <v>2</v>
      </c>
      <c r="H26" s="584">
        <f>F26*G26</f>
        <v>98</v>
      </c>
      <c r="I26" s="577">
        <v>94</v>
      </c>
      <c r="J26" s="577">
        <f t="shared" ref="J26:J30" si="4">+H26-I26</f>
        <v>4</v>
      </c>
      <c r="K26" s="595"/>
      <c r="L26" s="442" t="s">
        <v>388</v>
      </c>
    </row>
    <row r="27" spans="1:12" ht="25.5">
      <c r="A27" s="583" t="s">
        <v>393</v>
      </c>
      <c r="B27" s="201" t="s">
        <v>369</v>
      </c>
      <c r="C27" s="201"/>
      <c r="D27" s="445">
        <v>49</v>
      </c>
      <c r="E27" s="445">
        <v>1</v>
      </c>
      <c r="F27" s="584">
        <v>49</v>
      </c>
      <c r="G27" s="445">
        <f t="shared" ref="G27:G29" si="5">+H27/F27</f>
        <v>2</v>
      </c>
      <c r="H27" s="584">
        <v>98</v>
      </c>
      <c r="I27" s="577">
        <v>94</v>
      </c>
      <c r="J27" s="577">
        <f t="shared" si="4"/>
        <v>4</v>
      </c>
      <c r="K27" s="595"/>
      <c r="L27" s="442" t="s">
        <v>388</v>
      </c>
    </row>
    <row r="28" spans="1:12" ht="25.5">
      <c r="A28" s="583" t="s">
        <v>406</v>
      </c>
      <c r="B28" s="201" t="s">
        <v>151</v>
      </c>
      <c r="C28" s="201"/>
      <c r="D28" s="445">
        <v>49</v>
      </c>
      <c r="E28" s="445">
        <v>1</v>
      </c>
      <c r="F28" s="584">
        <v>49</v>
      </c>
      <c r="G28" s="445">
        <f t="shared" si="5"/>
        <v>2</v>
      </c>
      <c r="H28" s="584">
        <v>98</v>
      </c>
      <c r="I28" s="577">
        <v>94</v>
      </c>
      <c r="J28" s="577">
        <f t="shared" si="4"/>
        <v>4</v>
      </c>
      <c r="K28" s="595"/>
      <c r="L28" s="442" t="s">
        <v>388</v>
      </c>
    </row>
    <row r="29" spans="1:12" ht="165.75">
      <c r="A29" s="583" t="s">
        <v>153</v>
      </c>
      <c r="B29" s="201" t="s">
        <v>155</v>
      </c>
      <c r="C29" s="201"/>
      <c r="D29" s="445">
        <v>49</v>
      </c>
      <c r="E29" s="445">
        <v>1</v>
      </c>
      <c r="F29" s="584">
        <v>49</v>
      </c>
      <c r="G29" s="445">
        <f t="shared" si="5"/>
        <v>1</v>
      </c>
      <c r="H29" s="584">
        <v>49</v>
      </c>
      <c r="I29" s="577">
        <v>0</v>
      </c>
      <c r="J29" s="577">
        <f t="shared" si="4"/>
        <v>49</v>
      </c>
      <c r="K29" s="595"/>
      <c r="L29" s="442" t="s">
        <v>407</v>
      </c>
    </row>
    <row r="30" spans="1:12" ht="165.75">
      <c r="A30" s="583" t="s">
        <v>157</v>
      </c>
      <c r="B30" s="201" t="s">
        <v>370</v>
      </c>
      <c r="C30" s="201"/>
      <c r="D30" s="445">
        <v>49</v>
      </c>
      <c r="E30" s="445">
        <v>1</v>
      </c>
      <c r="F30" s="584">
        <v>49</v>
      </c>
      <c r="G30" s="445">
        <v>40</v>
      </c>
      <c r="H30" s="584">
        <f>F30*G30</f>
        <v>1960</v>
      </c>
      <c r="I30" s="577">
        <v>0</v>
      </c>
      <c r="J30" s="577">
        <f t="shared" si="4"/>
        <v>1960</v>
      </c>
      <c r="K30" s="595"/>
      <c r="L30" s="442" t="s">
        <v>408</v>
      </c>
    </row>
    <row r="31" spans="1:12">
      <c r="A31" s="1045" t="s">
        <v>160</v>
      </c>
      <c r="B31" s="1078"/>
      <c r="C31" s="939"/>
      <c r="D31" s="545">
        <v>49</v>
      </c>
      <c r="E31" s="545">
        <f>+F31/D31</f>
        <v>33608.857142857145</v>
      </c>
      <c r="F31" s="545">
        <f t="shared" ref="F31:K31" si="6">SUM(F25:F30)</f>
        <v>1646834</v>
      </c>
      <c r="G31" s="545">
        <f>+H31/F31</f>
        <v>0.25136124831039436</v>
      </c>
      <c r="H31" s="545">
        <f t="shared" si="6"/>
        <v>413950.25</v>
      </c>
      <c r="I31" s="545">
        <f t="shared" si="6"/>
        <v>329</v>
      </c>
      <c r="J31" s="545">
        <f t="shared" si="6"/>
        <v>413621.25</v>
      </c>
      <c r="K31" s="596">
        <f t="shared" si="6"/>
        <v>0</v>
      </c>
      <c r="L31" s="547"/>
    </row>
    <row r="32" spans="1:12" ht="29.45" customHeight="1">
      <c r="A32" s="1069" t="s">
        <v>371</v>
      </c>
      <c r="B32" s="1074"/>
      <c r="C32" s="548"/>
      <c r="D32" s="553">
        <f>SUM(D22+D31)</f>
        <v>1660227</v>
      </c>
      <c r="E32" s="553">
        <f>E22+E31</f>
        <v>35226.362487852282</v>
      </c>
      <c r="F32" s="553">
        <f t="shared" ref="F32:K32" si="7">SUM(F22+F31)</f>
        <v>4968338</v>
      </c>
      <c r="G32" s="553">
        <f>G22+G31</f>
        <v>0.40648990689397579</v>
      </c>
      <c r="H32" s="553">
        <f t="shared" si="7"/>
        <v>929210.71</v>
      </c>
      <c r="I32" s="553">
        <f t="shared" si="7"/>
        <v>15809.289999999999</v>
      </c>
      <c r="J32" s="553">
        <f>SUM(J31+J22)</f>
        <v>913401.42</v>
      </c>
      <c r="K32" s="597">
        <f t="shared" si="7"/>
        <v>0</v>
      </c>
      <c r="L32" s="555"/>
    </row>
    <row r="33" spans="2:11">
      <c r="D33" s="207"/>
    </row>
    <row r="34" spans="2:11" ht="15.75" thickBot="1">
      <c r="D34" s="209"/>
      <c r="E34" s="210"/>
      <c r="F34" s="209"/>
      <c r="G34" s="210"/>
      <c r="H34" s="209"/>
      <c r="I34" s="209"/>
      <c r="J34" s="209"/>
      <c r="K34" s="209"/>
    </row>
    <row r="35" spans="2:11" ht="39" thickBot="1">
      <c r="B35" s="212" t="s">
        <v>163</v>
      </c>
      <c r="C35" s="212" t="s">
        <v>164</v>
      </c>
      <c r="D35" s="212" t="s">
        <v>165</v>
      </c>
      <c r="E35" s="212" t="s">
        <v>215</v>
      </c>
      <c r="F35" s="213" t="s">
        <v>167</v>
      </c>
      <c r="G35" s="214" t="s">
        <v>168</v>
      </c>
      <c r="I35" s="215"/>
      <c r="J35" s="216"/>
    </row>
    <row r="36" spans="2:11">
      <c r="B36" s="557" t="s">
        <v>169</v>
      </c>
      <c r="C36" s="598">
        <f>+D22</f>
        <v>1660178</v>
      </c>
      <c r="D36" s="599">
        <f>+E36/C36</f>
        <v>2.0006914921171104</v>
      </c>
      <c r="E36" s="600">
        <f>+F22</f>
        <v>3321504</v>
      </c>
      <c r="F36" s="599">
        <f>+G36/E36</f>
        <v>0.15512865858358141</v>
      </c>
      <c r="G36" s="601">
        <f>+H22</f>
        <v>515260.46</v>
      </c>
    </row>
    <row r="37" spans="2:11" ht="15.75" thickBot="1">
      <c r="B37" s="561" t="s">
        <v>170</v>
      </c>
      <c r="C37" s="602">
        <f>+D31</f>
        <v>49</v>
      </c>
      <c r="D37" s="603">
        <f>+E37/C37</f>
        <v>33608.857142857145</v>
      </c>
      <c r="E37" s="604">
        <f>+F31</f>
        <v>1646834</v>
      </c>
      <c r="F37" s="603">
        <f>+G37/E37</f>
        <v>0.25136124831039436</v>
      </c>
      <c r="G37" s="605">
        <f>+H31</f>
        <v>413950.25</v>
      </c>
    </row>
    <row r="38" spans="2:11" ht="15.75" thickBot="1">
      <c r="B38" s="86" t="s">
        <v>171</v>
      </c>
      <c r="C38" s="89">
        <f>C36</f>
        <v>1660178</v>
      </c>
      <c r="D38" s="606">
        <f>+E38/C38</f>
        <v>2.9926537997732772</v>
      </c>
      <c r="E38" s="607">
        <f>SUM(E36:E37)</f>
        <v>4968338</v>
      </c>
      <c r="F38" s="608">
        <f>+G38/E38</f>
        <v>0.18702646840855031</v>
      </c>
      <c r="G38" s="609">
        <f>SUM(G36:G37)</f>
        <v>929210.71</v>
      </c>
      <c r="J38" s="209"/>
    </row>
    <row r="39" spans="2:11" ht="15.75" thickBot="1">
      <c r="B39" s="92"/>
      <c r="C39" s="233"/>
      <c r="D39" s="234"/>
      <c r="E39" s="235"/>
      <c r="F39" s="236"/>
      <c r="G39" s="235"/>
      <c r="J39" s="237"/>
    </row>
    <row r="40" spans="2:11" ht="15.75" thickBot="1">
      <c r="B40" s="238"/>
      <c r="C40" s="212" t="s">
        <v>172</v>
      </c>
      <c r="D40" s="239" t="s">
        <v>173</v>
      </c>
    </row>
    <row r="41" spans="2:11">
      <c r="B41" s="97" t="s">
        <v>174</v>
      </c>
      <c r="C41" s="610">
        <v>18434</v>
      </c>
      <c r="D41" s="611">
        <v>23661</v>
      </c>
      <c r="E41" s="241"/>
      <c r="F41" s="242"/>
      <c r="G41" s="243"/>
    </row>
    <row r="42" spans="2:11">
      <c r="B42" s="103" t="s">
        <v>175</v>
      </c>
      <c r="C42" s="612">
        <f>+E38</f>
        <v>4968338</v>
      </c>
      <c r="D42" s="613">
        <f>+G38</f>
        <v>929210.71</v>
      </c>
      <c r="E42" s="241"/>
      <c r="F42" s="242"/>
      <c r="G42" s="246"/>
    </row>
    <row r="43" spans="2:11" ht="15.75" thickBot="1">
      <c r="B43" s="104" t="s">
        <v>176</v>
      </c>
      <c r="C43" s="614">
        <f>+C42-C41</f>
        <v>4949904</v>
      </c>
      <c r="D43" s="615">
        <f>+D42-D41</f>
        <v>905549.71</v>
      </c>
      <c r="E43" s="241"/>
      <c r="F43" s="242"/>
      <c r="G43" s="241"/>
    </row>
    <row r="51" spans="13:13">
      <c r="M51" s="247"/>
    </row>
    <row r="52" spans="13:13">
      <c r="M52" s="247"/>
    </row>
    <row r="53" spans="13:13">
      <c r="M53" s="247"/>
    </row>
    <row r="54" spans="13:13">
      <c r="M54" s="247"/>
    </row>
    <row r="55" spans="13:13">
      <c r="M55" s="247"/>
    </row>
    <row r="56" spans="13:13">
      <c r="M56" s="247"/>
    </row>
    <row r="57" spans="13:13">
      <c r="M57" s="247"/>
    </row>
    <row r="58" spans="13:13">
      <c r="M58" s="247"/>
    </row>
    <row r="59" spans="13:13">
      <c r="M59" s="247"/>
    </row>
    <row r="60" spans="13:13">
      <c r="M60" s="247"/>
    </row>
    <row r="61" spans="13:13">
      <c r="M61" s="247"/>
    </row>
    <row r="62" spans="13:13">
      <c r="M62" s="247"/>
    </row>
    <row r="63" spans="13:13">
      <c r="M63" s="247"/>
    </row>
    <row r="64" spans="13:13">
      <c r="M64" s="247"/>
    </row>
    <row r="65" spans="13:13">
      <c r="M65" s="247"/>
    </row>
  </sheetData>
  <mergeCells count="13">
    <mergeCell ref="A32:B32"/>
    <mergeCell ref="A19:L19"/>
    <mergeCell ref="A21:B21"/>
    <mergeCell ref="A22:B22"/>
    <mergeCell ref="A23:L23"/>
    <mergeCell ref="A24:L24"/>
    <mergeCell ref="A31:B31"/>
    <mergeCell ref="A18:B18"/>
    <mergeCell ref="A1:L1"/>
    <mergeCell ref="A3:L3"/>
    <mergeCell ref="A4:L4"/>
    <mergeCell ref="A15:B15"/>
    <mergeCell ref="A16:L16"/>
  </mergeCells>
  <pageMargins left="0.7" right="0.7" top="0.75" bottom="0.75" header="0.3" footer="0.3"/>
  <pageSetup scale="5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B9204-FE77-4298-8222-D57B77AB7A28}">
  <sheetPr>
    <tabColor theme="8" tint="0.79998168889431442"/>
  </sheetPr>
  <dimension ref="A1:O27"/>
  <sheetViews>
    <sheetView topLeftCell="A12" zoomScale="85" zoomScaleNormal="85" workbookViewId="0">
      <selection activeCell="O15" sqref="O15"/>
    </sheetView>
  </sheetViews>
  <sheetFormatPr defaultRowHeight="12.75"/>
  <cols>
    <col min="1" max="1" width="12.42578125" style="620" customWidth="1"/>
    <col min="2" max="2" width="23.85546875" style="620" customWidth="1"/>
    <col min="3" max="3" width="14.42578125" style="620" customWidth="1"/>
    <col min="4" max="4" width="12.28515625" style="620" customWidth="1"/>
    <col min="5" max="5" width="12.140625" style="620" customWidth="1"/>
    <col min="6" max="6" width="10.85546875" style="620" customWidth="1"/>
    <col min="7" max="7" width="13.140625" style="620" customWidth="1"/>
    <col min="8" max="8" width="11.140625" style="620" customWidth="1"/>
    <col min="9" max="9" width="13.28515625" style="620" customWidth="1"/>
    <col min="10" max="10" width="12.5703125" style="620" customWidth="1"/>
    <col min="11" max="11" width="13.42578125" style="620" customWidth="1"/>
    <col min="12" max="12" width="10.42578125" style="620" customWidth="1"/>
    <col min="13" max="13" width="10.85546875" style="620" customWidth="1"/>
    <col min="14" max="14" width="13.28515625" style="620" customWidth="1"/>
    <col min="15" max="256" width="9.140625" style="620"/>
    <col min="257" max="257" width="12.42578125" style="620" customWidth="1"/>
    <col min="258" max="258" width="23.85546875" style="620" customWidth="1"/>
    <col min="259" max="259" width="14.42578125" style="620" customWidth="1"/>
    <col min="260" max="260" width="12.28515625" style="620" customWidth="1"/>
    <col min="261" max="261" width="12.140625" style="620" customWidth="1"/>
    <col min="262" max="262" width="10.85546875" style="620" customWidth="1"/>
    <col min="263" max="263" width="13.140625" style="620" customWidth="1"/>
    <col min="264" max="264" width="11.140625" style="620" customWidth="1"/>
    <col min="265" max="265" width="13.28515625" style="620" customWidth="1"/>
    <col min="266" max="266" width="12.5703125" style="620" customWidth="1"/>
    <col min="267" max="267" width="13.42578125" style="620" customWidth="1"/>
    <col min="268" max="268" width="10.42578125" style="620" customWidth="1"/>
    <col min="269" max="269" width="10.85546875" style="620" customWidth="1"/>
    <col min="270" max="270" width="13.28515625" style="620" customWidth="1"/>
    <col min="271" max="512" width="9.140625" style="620"/>
    <col min="513" max="513" width="12.42578125" style="620" customWidth="1"/>
    <col min="514" max="514" width="23.85546875" style="620" customWidth="1"/>
    <col min="515" max="515" width="14.42578125" style="620" customWidth="1"/>
    <col min="516" max="516" width="12.28515625" style="620" customWidth="1"/>
    <col min="517" max="517" width="12.140625" style="620" customWidth="1"/>
    <col min="518" max="518" width="10.85546875" style="620" customWidth="1"/>
    <col min="519" max="519" width="13.140625" style="620" customWidth="1"/>
    <col min="520" max="520" width="11.140625" style="620" customWidth="1"/>
    <col min="521" max="521" width="13.28515625" style="620" customWidth="1"/>
    <col min="522" max="522" width="12.5703125" style="620" customWidth="1"/>
    <col min="523" max="523" width="13.42578125" style="620" customWidth="1"/>
    <col min="524" max="524" width="10.42578125" style="620" customWidth="1"/>
    <col min="525" max="525" width="10.85546875" style="620" customWidth="1"/>
    <col min="526" max="526" width="13.28515625" style="620" customWidth="1"/>
    <col min="527" max="768" width="9.140625" style="620"/>
    <col min="769" max="769" width="12.42578125" style="620" customWidth="1"/>
    <col min="770" max="770" width="23.85546875" style="620" customWidth="1"/>
    <col min="771" max="771" width="14.42578125" style="620" customWidth="1"/>
    <col min="772" max="772" width="12.28515625" style="620" customWidth="1"/>
    <col min="773" max="773" width="12.140625" style="620" customWidth="1"/>
    <col min="774" max="774" width="10.85546875" style="620" customWidth="1"/>
    <col min="775" max="775" width="13.140625" style="620" customWidth="1"/>
    <col min="776" max="776" width="11.140625" style="620" customWidth="1"/>
    <col min="777" max="777" width="13.28515625" style="620" customWidth="1"/>
    <col min="778" max="778" width="12.5703125" style="620" customWidth="1"/>
    <col min="779" max="779" width="13.42578125" style="620" customWidth="1"/>
    <col min="780" max="780" width="10.42578125" style="620" customWidth="1"/>
    <col min="781" max="781" width="10.85546875" style="620" customWidth="1"/>
    <col min="782" max="782" width="13.28515625" style="620" customWidth="1"/>
    <col min="783" max="1024" width="9.140625" style="620"/>
    <col min="1025" max="1025" width="12.42578125" style="620" customWidth="1"/>
    <col min="1026" max="1026" width="23.85546875" style="620" customWidth="1"/>
    <col min="1027" max="1027" width="14.42578125" style="620" customWidth="1"/>
    <col min="1028" max="1028" width="12.28515625" style="620" customWidth="1"/>
    <col min="1029" max="1029" width="12.140625" style="620" customWidth="1"/>
    <col min="1030" max="1030" width="10.85546875" style="620" customWidth="1"/>
    <col min="1031" max="1031" width="13.140625" style="620" customWidth="1"/>
    <col min="1032" max="1032" width="11.140625" style="620" customWidth="1"/>
    <col min="1033" max="1033" width="13.28515625" style="620" customWidth="1"/>
    <col min="1034" max="1034" width="12.5703125" style="620" customWidth="1"/>
    <col min="1035" max="1035" width="13.42578125" style="620" customWidth="1"/>
    <col min="1036" max="1036" width="10.42578125" style="620" customWidth="1"/>
    <col min="1037" max="1037" width="10.85546875" style="620" customWidth="1"/>
    <col min="1038" max="1038" width="13.28515625" style="620" customWidth="1"/>
    <col min="1039" max="1280" width="9.140625" style="620"/>
    <col min="1281" max="1281" width="12.42578125" style="620" customWidth="1"/>
    <col min="1282" max="1282" width="23.85546875" style="620" customWidth="1"/>
    <col min="1283" max="1283" width="14.42578125" style="620" customWidth="1"/>
    <col min="1284" max="1284" width="12.28515625" style="620" customWidth="1"/>
    <col min="1285" max="1285" width="12.140625" style="620" customWidth="1"/>
    <col min="1286" max="1286" width="10.85546875" style="620" customWidth="1"/>
    <col min="1287" max="1287" width="13.140625" style="620" customWidth="1"/>
    <col min="1288" max="1288" width="11.140625" style="620" customWidth="1"/>
    <col min="1289" max="1289" width="13.28515625" style="620" customWidth="1"/>
    <col min="1290" max="1290" width="12.5703125" style="620" customWidth="1"/>
    <col min="1291" max="1291" width="13.42578125" style="620" customWidth="1"/>
    <col min="1292" max="1292" width="10.42578125" style="620" customWidth="1"/>
    <col min="1293" max="1293" width="10.85546875" style="620" customWidth="1"/>
    <col min="1294" max="1294" width="13.28515625" style="620" customWidth="1"/>
    <col min="1295" max="1536" width="9.140625" style="620"/>
    <col min="1537" max="1537" width="12.42578125" style="620" customWidth="1"/>
    <col min="1538" max="1538" width="23.85546875" style="620" customWidth="1"/>
    <col min="1539" max="1539" width="14.42578125" style="620" customWidth="1"/>
    <col min="1540" max="1540" width="12.28515625" style="620" customWidth="1"/>
    <col min="1541" max="1541" width="12.140625" style="620" customWidth="1"/>
    <col min="1542" max="1542" width="10.85546875" style="620" customWidth="1"/>
    <col min="1543" max="1543" width="13.140625" style="620" customWidth="1"/>
    <col min="1544" max="1544" width="11.140625" style="620" customWidth="1"/>
    <col min="1545" max="1545" width="13.28515625" style="620" customWidth="1"/>
    <col min="1546" max="1546" width="12.5703125" style="620" customWidth="1"/>
    <col min="1547" max="1547" width="13.42578125" style="620" customWidth="1"/>
    <col min="1548" max="1548" width="10.42578125" style="620" customWidth="1"/>
    <col min="1549" max="1549" width="10.85546875" style="620" customWidth="1"/>
    <col min="1550" max="1550" width="13.28515625" style="620" customWidth="1"/>
    <col min="1551" max="1792" width="9.140625" style="620"/>
    <col min="1793" max="1793" width="12.42578125" style="620" customWidth="1"/>
    <col min="1794" max="1794" width="23.85546875" style="620" customWidth="1"/>
    <col min="1795" max="1795" width="14.42578125" style="620" customWidth="1"/>
    <col min="1796" max="1796" width="12.28515625" style="620" customWidth="1"/>
    <col min="1797" max="1797" width="12.140625" style="620" customWidth="1"/>
    <col min="1798" max="1798" width="10.85546875" style="620" customWidth="1"/>
    <col min="1799" max="1799" width="13.140625" style="620" customWidth="1"/>
    <col min="1800" max="1800" width="11.140625" style="620" customWidth="1"/>
    <col min="1801" max="1801" width="13.28515625" style="620" customWidth="1"/>
    <col min="1802" max="1802" width="12.5703125" style="620" customWidth="1"/>
    <col min="1803" max="1803" width="13.42578125" style="620" customWidth="1"/>
    <col min="1804" max="1804" width="10.42578125" style="620" customWidth="1"/>
    <col min="1805" max="1805" width="10.85546875" style="620" customWidth="1"/>
    <col min="1806" max="1806" width="13.28515625" style="620" customWidth="1"/>
    <col min="1807" max="2048" width="9.140625" style="620"/>
    <col min="2049" max="2049" width="12.42578125" style="620" customWidth="1"/>
    <col min="2050" max="2050" width="23.85546875" style="620" customWidth="1"/>
    <col min="2051" max="2051" width="14.42578125" style="620" customWidth="1"/>
    <col min="2052" max="2052" width="12.28515625" style="620" customWidth="1"/>
    <col min="2053" max="2053" width="12.140625" style="620" customWidth="1"/>
    <col min="2054" max="2054" width="10.85546875" style="620" customWidth="1"/>
    <col min="2055" max="2055" width="13.140625" style="620" customWidth="1"/>
    <col min="2056" max="2056" width="11.140625" style="620" customWidth="1"/>
    <col min="2057" max="2057" width="13.28515625" style="620" customWidth="1"/>
    <col min="2058" max="2058" width="12.5703125" style="620" customWidth="1"/>
    <col min="2059" max="2059" width="13.42578125" style="620" customWidth="1"/>
    <col min="2060" max="2060" width="10.42578125" style="620" customWidth="1"/>
    <col min="2061" max="2061" width="10.85546875" style="620" customWidth="1"/>
    <col min="2062" max="2062" width="13.28515625" style="620" customWidth="1"/>
    <col min="2063" max="2304" width="9.140625" style="620"/>
    <col min="2305" max="2305" width="12.42578125" style="620" customWidth="1"/>
    <col min="2306" max="2306" width="23.85546875" style="620" customWidth="1"/>
    <col min="2307" max="2307" width="14.42578125" style="620" customWidth="1"/>
    <col min="2308" max="2308" width="12.28515625" style="620" customWidth="1"/>
    <col min="2309" max="2309" width="12.140625" style="620" customWidth="1"/>
    <col min="2310" max="2310" width="10.85546875" style="620" customWidth="1"/>
    <col min="2311" max="2311" width="13.140625" style="620" customWidth="1"/>
    <col min="2312" max="2312" width="11.140625" style="620" customWidth="1"/>
    <col min="2313" max="2313" width="13.28515625" style="620" customWidth="1"/>
    <col min="2314" max="2314" width="12.5703125" style="620" customWidth="1"/>
    <col min="2315" max="2315" width="13.42578125" style="620" customWidth="1"/>
    <col min="2316" max="2316" width="10.42578125" style="620" customWidth="1"/>
    <col min="2317" max="2317" width="10.85546875" style="620" customWidth="1"/>
    <col min="2318" max="2318" width="13.28515625" style="620" customWidth="1"/>
    <col min="2319" max="2560" width="9.140625" style="620"/>
    <col min="2561" max="2561" width="12.42578125" style="620" customWidth="1"/>
    <col min="2562" max="2562" width="23.85546875" style="620" customWidth="1"/>
    <col min="2563" max="2563" width="14.42578125" style="620" customWidth="1"/>
    <col min="2564" max="2564" width="12.28515625" style="620" customWidth="1"/>
    <col min="2565" max="2565" width="12.140625" style="620" customWidth="1"/>
    <col min="2566" max="2566" width="10.85546875" style="620" customWidth="1"/>
    <col min="2567" max="2567" width="13.140625" style="620" customWidth="1"/>
    <col min="2568" max="2568" width="11.140625" style="620" customWidth="1"/>
    <col min="2569" max="2569" width="13.28515625" style="620" customWidth="1"/>
    <col min="2570" max="2570" width="12.5703125" style="620" customWidth="1"/>
    <col min="2571" max="2571" width="13.42578125" style="620" customWidth="1"/>
    <col min="2572" max="2572" width="10.42578125" style="620" customWidth="1"/>
    <col min="2573" max="2573" width="10.85546875" style="620" customWidth="1"/>
    <col min="2574" max="2574" width="13.28515625" style="620" customWidth="1"/>
    <col min="2575" max="2816" width="9.140625" style="620"/>
    <col min="2817" max="2817" width="12.42578125" style="620" customWidth="1"/>
    <col min="2818" max="2818" width="23.85546875" style="620" customWidth="1"/>
    <col min="2819" max="2819" width="14.42578125" style="620" customWidth="1"/>
    <col min="2820" max="2820" width="12.28515625" style="620" customWidth="1"/>
    <col min="2821" max="2821" width="12.140625" style="620" customWidth="1"/>
    <col min="2822" max="2822" width="10.85546875" style="620" customWidth="1"/>
    <col min="2823" max="2823" width="13.140625" style="620" customWidth="1"/>
    <col min="2824" max="2824" width="11.140625" style="620" customWidth="1"/>
    <col min="2825" max="2825" width="13.28515625" style="620" customWidth="1"/>
    <col min="2826" max="2826" width="12.5703125" style="620" customWidth="1"/>
    <col min="2827" max="2827" width="13.42578125" style="620" customWidth="1"/>
    <col min="2828" max="2828" width="10.42578125" style="620" customWidth="1"/>
    <col min="2829" max="2829" width="10.85546875" style="620" customWidth="1"/>
    <col min="2830" max="2830" width="13.28515625" style="620" customWidth="1"/>
    <col min="2831" max="3072" width="9.140625" style="620"/>
    <col min="3073" max="3073" width="12.42578125" style="620" customWidth="1"/>
    <col min="3074" max="3074" width="23.85546875" style="620" customWidth="1"/>
    <col min="3075" max="3075" width="14.42578125" style="620" customWidth="1"/>
    <col min="3076" max="3076" width="12.28515625" style="620" customWidth="1"/>
    <col min="3077" max="3077" width="12.140625" style="620" customWidth="1"/>
    <col min="3078" max="3078" width="10.85546875" style="620" customWidth="1"/>
    <col min="3079" max="3079" width="13.140625" style="620" customWidth="1"/>
    <col min="3080" max="3080" width="11.140625" style="620" customWidth="1"/>
    <col min="3081" max="3081" width="13.28515625" style="620" customWidth="1"/>
    <col min="3082" max="3082" width="12.5703125" style="620" customWidth="1"/>
    <col min="3083" max="3083" width="13.42578125" style="620" customWidth="1"/>
    <col min="3084" max="3084" width="10.42578125" style="620" customWidth="1"/>
    <col min="3085" max="3085" width="10.85546875" style="620" customWidth="1"/>
    <col min="3086" max="3086" width="13.28515625" style="620" customWidth="1"/>
    <col min="3087" max="3328" width="9.140625" style="620"/>
    <col min="3329" max="3329" width="12.42578125" style="620" customWidth="1"/>
    <col min="3330" max="3330" width="23.85546875" style="620" customWidth="1"/>
    <col min="3331" max="3331" width="14.42578125" style="620" customWidth="1"/>
    <col min="3332" max="3332" width="12.28515625" style="620" customWidth="1"/>
    <col min="3333" max="3333" width="12.140625" style="620" customWidth="1"/>
    <col min="3334" max="3334" width="10.85546875" style="620" customWidth="1"/>
    <col min="3335" max="3335" width="13.140625" style="620" customWidth="1"/>
    <col min="3336" max="3336" width="11.140625" style="620" customWidth="1"/>
    <col min="3337" max="3337" width="13.28515625" style="620" customWidth="1"/>
    <col min="3338" max="3338" width="12.5703125" style="620" customWidth="1"/>
    <col min="3339" max="3339" width="13.42578125" style="620" customWidth="1"/>
    <col min="3340" max="3340" width="10.42578125" style="620" customWidth="1"/>
    <col min="3341" max="3341" width="10.85546875" style="620" customWidth="1"/>
    <col min="3342" max="3342" width="13.28515625" style="620" customWidth="1"/>
    <col min="3343" max="3584" width="9.140625" style="620"/>
    <col min="3585" max="3585" width="12.42578125" style="620" customWidth="1"/>
    <col min="3586" max="3586" width="23.85546875" style="620" customWidth="1"/>
    <col min="3587" max="3587" width="14.42578125" style="620" customWidth="1"/>
    <col min="3588" max="3588" width="12.28515625" style="620" customWidth="1"/>
    <col min="3589" max="3589" width="12.140625" style="620" customWidth="1"/>
    <col min="3590" max="3590" width="10.85546875" style="620" customWidth="1"/>
    <col min="3591" max="3591" width="13.140625" style="620" customWidth="1"/>
    <col min="3592" max="3592" width="11.140625" style="620" customWidth="1"/>
    <col min="3593" max="3593" width="13.28515625" style="620" customWidth="1"/>
    <col min="3594" max="3594" width="12.5703125" style="620" customWidth="1"/>
    <col min="3595" max="3595" width="13.42578125" style="620" customWidth="1"/>
    <col min="3596" max="3596" width="10.42578125" style="620" customWidth="1"/>
    <col min="3597" max="3597" width="10.85546875" style="620" customWidth="1"/>
    <col min="3598" max="3598" width="13.28515625" style="620" customWidth="1"/>
    <col min="3599" max="3840" width="9.140625" style="620"/>
    <col min="3841" max="3841" width="12.42578125" style="620" customWidth="1"/>
    <col min="3842" max="3842" width="23.85546875" style="620" customWidth="1"/>
    <col min="3843" max="3843" width="14.42578125" style="620" customWidth="1"/>
    <col min="3844" max="3844" width="12.28515625" style="620" customWidth="1"/>
    <col min="3845" max="3845" width="12.140625" style="620" customWidth="1"/>
    <col min="3846" max="3846" width="10.85546875" style="620" customWidth="1"/>
    <col min="3847" max="3847" width="13.140625" style="620" customWidth="1"/>
    <col min="3848" max="3848" width="11.140625" style="620" customWidth="1"/>
    <col min="3849" max="3849" width="13.28515625" style="620" customWidth="1"/>
    <col min="3850" max="3850" width="12.5703125" style="620" customWidth="1"/>
    <col min="3851" max="3851" width="13.42578125" style="620" customWidth="1"/>
    <col min="3852" max="3852" width="10.42578125" style="620" customWidth="1"/>
    <col min="3853" max="3853" width="10.85546875" style="620" customWidth="1"/>
    <col min="3854" max="3854" width="13.28515625" style="620" customWidth="1"/>
    <col min="3855" max="4096" width="9.140625" style="620"/>
    <col min="4097" max="4097" width="12.42578125" style="620" customWidth="1"/>
    <col min="4098" max="4098" width="23.85546875" style="620" customWidth="1"/>
    <col min="4099" max="4099" width="14.42578125" style="620" customWidth="1"/>
    <col min="4100" max="4100" width="12.28515625" style="620" customWidth="1"/>
    <col min="4101" max="4101" width="12.140625" style="620" customWidth="1"/>
    <col min="4102" max="4102" width="10.85546875" style="620" customWidth="1"/>
    <col min="4103" max="4103" width="13.140625" style="620" customWidth="1"/>
    <col min="4104" max="4104" width="11.140625" style="620" customWidth="1"/>
    <col min="4105" max="4105" width="13.28515625" style="620" customWidth="1"/>
    <col min="4106" max="4106" width="12.5703125" style="620" customWidth="1"/>
    <col min="4107" max="4107" width="13.42578125" style="620" customWidth="1"/>
    <col min="4108" max="4108" width="10.42578125" style="620" customWidth="1"/>
    <col min="4109" max="4109" width="10.85546875" style="620" customWidth="1"/>
    <col min="4110" max="4110" width="13.28515625" style="620" customWidth="1"/>
    <col min="4111" max="4352" width="9.140625" style="620"/>
    <col min="4353" max="4353" width="12.42578125" style="620" customWidth="1"/>
    <col min="4354" max="4354" width="23.85546875" style="620" customWidth="1"/>
    <col min="4355" max="4355" width="14.42578125" style="620" customWidth="1"/>
    <col min="4356" max="4356" width="12.28515625" style="620" customWidth="1"/>
    <col min="4357" max="4357" width="12.140625" style="620" customWidth="1"/>
    <col min="4358" max="4358" width="10.85546875" style="620" customWidth="1"/>
    <col min="4359" max="4359" width="13.140625" style="620" customWidth="1"/>
    <col min="4360" max="4360" width="11.140625" style="620" customWidth="1"/>
    <col min="4361" max="4361" width="13.28515625" style="620" customWidth="1"/>
    <col min="4362" max="4362" width="12.5703125" style="620" customWidth="1"/>
    <col min="4363" max="4363" width="13.42578125" style="620" customWidth="1"/>
    <col min="4364" max="4364" width="10.42578125" style="620" customWidth="1"/>
    <col min="4365" max="4365" width="10.85546875" style="620" customWidth="1"/>
    <col min="4366" max="4366" width="13.28515625" style="620" customWidth="1"/>
    <col min="4367" max="4608" width="9.140625" style="620"/>
    <col min="4609" max="4609" width="12.42578125" style="620" customWidth="1"/>
    <col min="4610" max="4610" width="23.85546875" style="620" customWidth="1"/>
    <col min="4611" max="4611" width="14.42578125" style="620" customWidth="1"/>
    <col min="4612" max="4612" width="12.28515625" style="620" customWidth="1"/>
    <col min="4613" max="4613" width="12.140625" style="620" customWidth="1"/>
    <col min="4614" max="4614" width="10.85546875" style="620" customWidth="1"/>
    <col min="4615" max="4615" width="13.140625" style="620" customWidth="1"/>
    <col min="4616" max="4616" width="11.140625" style="620" customWidth="1"/>
    <col min="4617" max="4617" width="13.28515625" style="620" customWidth="1"/>
    <col min="4618" max="4618" width="12.5703125" style="620" customWidth="1"/>
    <col min="4619" max="4619" width="13.42578125" style="620" customWidth="1"/>
    <col min="4620" max="4620" width="10.42578125" style="620" customWidth="1"/>
    <col min="4621" max="4621" width="10.85546875" style="620" customWidth="1"/>
    <col min="4622" max="4622" width="13.28515625" style="620" customWidth="1"/>
    <col min="4623" max="4864" width="9.140625" style="620"/>
    <col min="4865" max="4865" width="12.42578125" style="620" customWidth="1"/>
    <col min="4866" max="4866" width="23.85546875" style="620" customWidth="1"/>
    <col min="4867" max="4867" width="14.42578125" style="620" customWidth="1"/>
    <col min="4868" max="4868" width="12.28515625" style="620" customWidth="1"/>
    <col min="4869" max="4869" width="12.140625" style="620" customWidth="1"/>
    <col min="4870" max="4870" width="10.85546875" style="620" customWidth="1"/>
    <col min="4871" max="4871" width="13.140625" style="620" customWidth="1"/>
    <col min="4872" max="4872" width="11.140625" style="620" customWidth="1"/>
    <col min="4873" max="4873" width="13.28515625" style="620" customWidth="1"/>
    <col min="4874" max="4874" width="12.5703125" style="620" customWidth="1"/>
    <col min="4875" max="4875" width="13.42578125" style="620" customWidth="1"/>
    <col min="4876" max="4876" width="10.42578125" style="620" customWidth="1"/>
    <col min="4877" max="4877" width="10.85546875" style="620" customWidth="1"/>
    <col min="4878" max="4878" width="13.28515625" style="620" customWidth="1"/>
    <col min="4879" max="5120" width="9.140625" style="620"/>
    <col min="5121" max="5121" width="12.42578125" style="620" customWidth="1"/>
    <col min="5122" max="5122" width="23.85546875" style="620" customWidth="1"/>
    <col min="5123" max="5123" width="14.42578125" style="620" customWidth="1"/>
    <col min="5124" max="5124" width="12.28515625" style="620" customWidth="1"/>
    <col min="5125" max="5125" width="12.140625" style="620" customWidth="1"/>
    <col min="5126" max="5126" width="10.85546875" style="620" customWidth="1"/>
    <col min="5127" max="5127" width="13.140625" style="620" customWidth="1"/>
    <col min="5128" max="5128" width="11.140625" style="620" customWidth="1"/>
    <col min="5129" max="5129" width="13.28515625" style="620" customWidth="1"/>
    <col min="5130" max="5130" width="12.5703125" style="620" customWidth="1"/>
    <col min="5131" max="5131" width="13.42578125" style="620" customWidth="1"/>
    <col min="5132" max="5132" width="10.42578125" style="620" customWidth="1"/>
    <col min="5133" max="5133" width="10.85546875" style="620" customWidth="1"/>
    <col min="5134" max="5134" width="13.28515625" style="620" customWidth="1"/>
    <col min="5135" max="5376" width="9.140625" style="620"/>
    <col min="5377" max="5377" width="12.42578125" style="620" customWidth="1"/>
    <col min="5378" max="5378" width="23.85546875" style="620" customWidth="1"/>
    <col min="5379" max="5379" width="14.42578125" style="620" customWidth="1"/>
    <col min="5380" max="5380" width="12.28515625" style="620" customWidth="1"/>
    <col min="5381" max="5381" width="12.140625" style="620" customWidth="1"/>
    <col min="5382" max="5382" width="10.85546875" style="620" customWidth="1"/>
    <col min="5383" max="5383" width="13.140625" style="620" customWidth="1"/>
    <col min="5384" max="5384" width="11.140625" style="620" customWidth="1"/>
    <col min="5385" max="5385" width="13.28515625" style="620" customWidth="1"/>
    <col min="5386" max="5386" width="12.5703125" style="620" customWidth="1"/>
    <col min="5387" max="5387" width="13.42578125" style="620" customWidth="1"/>
    <col min="5388" max="5388" width="10.42578125" style="620" customWidth="1"/>
    <col min="5389" max="5389" width="10.85546875" style="620" customWidth="1"/>
    <col min="5390" max="5390" width="13.28515625" style="620" customWidth="1"/>
    <col min="5391" max="5632" width="9.140625" style="620"/>
    <col min="5633" max="5633" width="12.42578125" style="620" customWidth="1"/>
    <col min="5634" max="5634" width="23.85546875" style="620" customWidth="1"/>
    <col min="5635" max="5635" width="14.42578125" style="620" customWidth="1"/>
    <col min="5636" max="5636" width="12.28515625" style="620" customWidth="1"/>
    <col min="5637" max="5637" width="12.140625" style="620" customWidth="1"/>
    <col min="5638" max="5638" width="10.85546875" style="620" customWidth="1"/>
    <col min="5639" max="5639" width="13.140625" style="620" customWidth="1"/>
    <col min="5640" max="5640" width="11.140625" style="620" customWidth="1"/>
    <col min="5641" max="5641" width="13.28515625" style="620" customWidth="1"/>
    <col min="5642" max="5642" width="12.5703125" style="620" customWidth="1"/>
    <col min="5643" max="5643" width="13.42578125" style="620" customWidth="1"/>
    <col min="5644" max="5644" width="10.42578125" style="620" customWidth="1"/>
    <col min="5645" max="5645" width="10.85546875" style="620" customWidth="1"/>
    <col min="5646" max="5646" width="13.28515625" style="620" customWidth="1"/>
    <col min="5647" max="5888" width="9.140625" style="620"/>
    <col min="5889" max="5889" width="12.42578125" style="620" customWidth="1"/>
    <col min="5890" max="5890" width="23.85546875" style="620" customWidth="1"/>
    <col min="5891" max="5891" width="14.42578125" style="620" customWidth="1"/>
    <col min="5892" max="5892" width="12.28515625" style="620" customWidth="1"/>
    <col min="5893" max="5893" width="12.140625" style="620" customWidth="1"/>
    <col min="5894" max="5894" width="10.85546875" style="620" customWidth="1"/>
    <col min="5895" max="5895" width="13.140625" style="620" customWidth="1"/>
    <col min="5896" max="5896" width="11.140625" style="620" customWidth="1"/>
    <col min="5897" max="5897" width="13.28515625" style="620" customWidth="1"/>
    <col min="5898" max="5898" width="12.5703125" style="620" customWidth="1"/>
    <col min="5899" max="5899" width="13.42578125" style="620" customWidth="1"/>
    <col min="5900" max="5900" width="10.42578125" style="620" customWidth="1"/>
    <col min="5901" max="5901" width="10.85546875" style="620" customWidth="1"/>
    <col min="5902" max="5902" width="13.28515625" style="620" customWidth="1"/>
    <col min="5903" max="6144" width="9.140625" style="620"/>
    <col min="6145" max="6145" width="12.42578125" style="620" customWidth="1"/>
    <col min="6146" max="6146" width="23.85546875" style="620" customWidth="1"/>
    <col min="6147" max="6147" width="14.42578125" style="620" customWidth="1"/>
    <col min="6148" max="6148" width="12.28515625" style="620" customWidth="1"/>
    <col min="6149" max="6149" width="12.140625" style="620" customWidth="1"/>
    <col min="6150" max="6150" width="10.85546875" style="620" customWidth="1"/>
    <col min="6151" max="6151" width="13.140625" style="620" customWidth="1"/>
    <col min="6152" max="6152" width="11.140625" style="620" customWidth="1"/>
    <col min="6153" max="6153" width="13.28515625" style="620" customWidth="1"/>
    <col min="6154" max="6154" width="12.5703125" style="620" customWidth="1"/>
    <col min="6155" max="6155" width="13.42578125" style="620" customWidth="1"/>
    <col min="6156" max="6156" width="10.42578125" style="620" customWidth="1"/>
    <col min="6157" max="6157" width="10.85546875" style="620" customWidth="1"/>
    <col min="6158" max="6158" width="13.28515625" style="620" customWidth="1"/>
    <col min="6159" max="6400" width="9.140625" style="620"/>
    <col min="6401" max="6401" width="12.42578125" style="620" customWidth="1"/>
    <col min="6402" max="6402" width="23.85546875" style="620" customWidth="1"/>
    <col min="6403" max="6403" width="14.42578125" style="620" customWidth="1"/>
    <col min="6404" max="6404" width="12.28515625" style="620" customWidth="1"/>
    <col min="6405" max="6405" width="12.140625" style="620" customWidth="1"/>
    <col min="6406" max="6406" width="10.85546875" style="620" customWidth="1"/>
    <col min="6407" max="6407" width="13.140625" style="620" customWidth="1"/>
    <col min="6408" max="6408" width="11.140625" style="620" customWidth="1"/>
    <col min="6409" max="6409" width="13.28515625" style="620" customWidth="1"/>
    <col min="6410" max="6410" width="12.5703125" style="620" customWidth="1"/>
    <col min="6411" max="6411" width="13.42578125" style="620" customWidth="1"/>
    <col min="6412" max="6412" width="10.42578125" style="620" customWidth="1"/>
    <col min="6413" max="6413" width="10.85546875" style="620" customWidth="1"/>
    <col min="6414" max="6414" width="13.28515625" style="620" customWidth="1"/>
    <col min="6415" max="6656" width="9.140625" style="620"/>
    <col min="6657" max="6657" width="12.42578125" style="620" customWidth="1"/>
    <col min="6658" max="6658" width="23.85546875" style="620" customWidth="1"/>
    <col min="6659" max="6659" width="14.42578125" style="620" customWidth="1"/>
    <col min="6660" max="6660" width="12.28515625" style="620" customWidth="1"/>
    <col min="6661" max="6661" width="12.140625" style="620" customWidth="1"/>
    <col min="6662" max="6662" width="10.85546875" style="620" customWidth="1"/>
    <col min="6663" max="6663" width="13.140625" style="620" customWidth="1"/>
    <col min="6664" max="6664" width="11.140625" style="620" customWidth="1"/>
    <col min="6665" max="6665" width="13.28515625" style="620" customWidth="1"/>
    <col min="6666" max="6666" width="12.5703125" style="620" customWidth="1"/>
    <col min="6667" max="6667" width="13.42578125" style="620" customWidth="1"/>
    <col min="6668" max="6668" width="10.42578125" style="620" customWidth="1"/>
    <col min="6669" max="6669" width="10.85546875" style="620" customWidth="1"/>
    <col min="6670" max="6670" width="13.28515625" style="620" customWidth="1"/>
    <col min="6671" max="6912" width="9.140625" style="620"/>
    <col min="6913" max="6913" width="12.42578125" style="620" customWidth="1"/>
    <col min="6914" max="6914" width="23.85546875" style="620" customWidth="1"/>
    <col min="6915" max="6915" width="14.42578125" style="620" customWidth="1"/>
    <col min="6916" max="6916" width="12.28515625" style="620" customWidth="1"/>
    <col min="6917" max="6917" width="12.140625" style="620" customWidth="1"/>
    <col min="6918" max="6918" width="10.85546875" style="620" customWidth="1"/>
    <col min="6919" max="6919" width="13.140625" style="620" customWidth="1"/>
    <col min="6920" max="6920" width="11.140625" style="620" customWidth="1"/>
    <col min="6921" max="6921" width="13.28515625" style="620" customWidth="1"/>
    <col min="6922" max="6922" width="12.5703125" style="620" customWidth="1"/>
    <col min="6923" max="6923" width="13.42578125" style="620" customWidth="1"/>
    <col min="6924" max="6924" width="10.42578125" style="620" customWidth="1"/>
    <col min="6925" max="6925" width="10.85546875" style="620" customWidth="1"/>
    <col min="6926" max="6926" width="13.28515625" style="620" customWidth="1"/>
    <col min="6927" max="7168" width="9.140625" style="620"/>
    <col min="7169" max="7169" width="12.42578125" style="620" customWidth="1"/>
    <col min="7170" max="7170" width="23.85546875" style="620" customWidth="1"/>
    <col min="7171" max="7171" width="14.42578125" style="620" customWidth="1"/>
    <col min="7172" max="7172" width="12.28515625" style="620" customWidth="1"/>
    <col min="7173" max="7173" width="12.140625" style="620" customWidth="1"/>
    <col min="7174" max="7174" width="10.85546875" style="620" customWidth="1"/>
    <col min="7175" max="7175" width="13.140625" style="620" customWidth="1"/>
    <col min="7176" max="7176" width="11.140625" style="620" customWidth="1"/>
    <col min="7177" max="7177" width="13.28515625" style="620" customWidth="1"/>
    <col min="7178" max="7178" width="12.5703125" style="620" customWidth="1"/>
    <col min="7179" max="7179" width="13.42578125" style="620" customWidth="1"/>
    <col min="7180" max="7180" width="10.42578125" style="620" customWidth="1"/>
    <col min="7181" max="7181" width="10.85546875" style="620" customWidth="1"/>
    <col min="7182" max="7182" width="13.28515625" style="620" customWidth="1"/>
    <col min="7183" max="7424" width="9.140625" style="620"/>
    <col min="7425" max="7425" width="12.42578125" style="620" customWidth="1"/>
    <col min="7426" max="7426" width="23.85546875" style="620" customWidth="1"/>
    <col min="7427" max="7427" width="14.42578125" style="620" customWidth="1"/>
    <col min="7428" max="7428" width="12.28515625" style="620" customWidth="1"/>
    <col min="7429" max="7429" width="12.140625" style="620" customWidth="1"/>
    <col min="7430" max="7430" width="10.85546875" style="620" customWidth="1"/>
    <col min="7431" max="7431" width="13.140625" style="620" customWidth="1"/>
    <col min="7432" max="7432" width="11.140625" style="620" customWidth="1"/>
    <col min="7433" max="7433" width="13.28515625" style="620" customWidth="1"/>
    <col min="7434" max="7434" width="12.5703125" style="620" customWidth="1"/>
    <col min="7435" max="7435" width="13.42578125" style="620" customWidth="1"/>
    <col min="7436" max="7436" width="10.42578125" style="620" customWidth="1"/>
    <col min="7437" max="7437" width="10.85546875" style="620" customWidth="1"/>
    <col min="7438" max="7438" width="13.28515625" style="620" customWidth="1"/>
    <col min="7439" max="7680" width="9.140625" style="620"/>
    <col min="7681" max="7681" width="12.42578125" style="620" customWidth="1"/>
    <col min="7682" max="7682" width="23.85546875" style="620" customWidth="1"/>
    <col min="7683" max="7683" width="14.42578125" style="620" customWidth="1"/>
    <col min="7684" max="7684" width="12.28515625" style="620" customWidth="1"/>
    <col min="7685" max="7685" width="12.140625" style="620" customWidth="1"/>
    <col min="7686" max="7686" width="10.85546875" style="620" customWidth="1"/>
    <col min="7687" max="7687" width="13.140625" style="620" customWidth="1"/>
    <col min="7688" max="7688" width="11.140625" style="620" customWidth="1"/>
    <col min="7689" max="7689" width="13.28515625" style="620" customWidth="1"/>
    <col min="7690" max="7690" width="12.5703125" style="620" customWidth="1"/>
    <col min="7691" max="7691" width="13.42578125" style="620" customWidth="1"/>
    <col min="7692" max="7692" width="10.42578125" style="620" customWidth="1"/>
    <col min="7693" max="7693" width="10.85546875" style="620" customWidth="1"/>
    <col min="7694" max="7694" width="13.28515625" style="620" customWidth="1"/>
    <col min="7695" max="7936" width="9.140625" style="620"/>
    <col min="7937" max="7937" width="12.42578125" style="620" customWidth="1"/>
    <col min="7938" max="7938" width="23.85546875" style="620" customWidth="1"/>
    <col min="7939" max="7939" width="14.42578125" style="620" customWidth="1"/>
    <col min="7940" max="7940" width="12.28515625" style="620" customWidth="1"/>
    <col min="7941" max="7941" width="12.140625" style="620" customWidth="1"/>
    <col min="7942" max="7942" width="10.85546875" style="620" customWidth="1"/>
    <col min="7943" max="7943" width="13.140625" style="620" customWidth="1"/>
    <col min="7944" max="7944" width="11.140625" style="620" customWidth="1"/>
    <col min="7945" max="7945" width="13.28515625" style="620" customWidth="1"/>
    <col min="7946" max="7946" width="12.5703125" style="620" customWidth="1"/>
    <col min="7947" max="7947" width="13.42578125" style="620" customWidth="1"/>
    <col min="7948" max="7948" width="10.42578125" style="620" customWidth="1"/>
    <col min="7949" max="7949" width="10.85546875" style="620" customWidth="1"/>
    <col min="7950" max="7950" width="13.28515625" style="620" customWidth="1"/>
    <col min="7951" max="8192" width="9.140625" style="620"/>
    <col min="8193" max="8193" width="12.42578125" style="620" customWidth="1"/>
    <col min="8194" max="8194" width="23.85546875" style="620" customWidth="1"/>
    <col min="8195" max="8195" width="14.42578125" style="620" customWidth="1"/>
    <col min="8196" max="8196" width="12.28515625" style="620" customWidth="1"/>
    <col min="8197" max="8197" width="12.140625" style="620" customWidth="1"/>
    <col min="8198" max="8198" width="10.85546875" style="620" customWidth="1"/>
    <col min="8199" max="8199" width="13.140625" style="620" customWidth="1"/>
    <col min="8200" max="8200" width="11.140625" style="620" customWidth="1"/>
    <col min="8201" max="8201" width="13.28515625" style="620" customWidth="1"/>
    <col min="8202" max="8202" width="12.5703125" style="620" customWidth="1"/>
    <col min="8203" max="8203" width="13.42578125" style="620" customWidth="1"/>
    <col min="8204" max="8204" width="10.42578125" style="620" customWidth="1"/>
    <col min="8205" max="8205" width="10.85546875" style="620" customWidth="1"/>
    <col min="8206" max="8206" width="13.28515625" style="620" customWidth="1"/>
    <col min="8207" max="8448" width="9.140625" style="620"/>
    <col min="8449" max="8449" width="12.42578125" style="620" customWidth="1"/>
    <col min="8450" max="8450" width="23.85546875" style="620" customWidth="1"/>
    <col min="8451" max="8451" width="14.42578125" style="620" customWidth="1"/>
    <col min="8452" max="8452" width="12.28515625" style="620" customWidth="1"/>
    <col min="8453" max="8453" width="12.140625" style="620" customWidth="1"/>
    <col min="8454" max="8454" width="10.85546875" style="620" customWidth="1"/>
    <col min="8455" max="8455" width="13.140625" style="620" customWidth="1"/>
    <col min="8456" max="8456" width="11.140625" style="620" customWidth="1"/>
    <col min="8457" max="8457" width="13.28515625" style="620" customWidth="1"/>
    <col min="8458" max="8458" width="12.5703125" style="620" customWidth="1"/>
    <col min="8459" max="8459" width="13.42578125" style="620" customWidth="1"/>
    <col min="8460" max="8460" width="10.42578125" style="620" customWidth="1"/>
    <col min="8461" max="8461" width="10.85546875" style="620" customWidth="1"/>
    <col min="8462" max="8462" width="13.28515625" style="620" customWidth="1"/>
    <col min="8463" max="8704" width="9.140625" style="620"/>
    <col min="8705" max="8705" width="12.42578125" style="620" customWidth="1"/>
    <col min="8706" max="8706" width="23.85546875" style="620" customWidth="1"/>
    <col min="8707" max="8707" width="14.42578125" style="620" customWidth="1"/>
    <col min="8708" max="8708" width="12.28515625" style="620" customWidth="1"/>
    <col min="8709" max="8709" width="12.140625" style="620" customWidth="1"/>
    <col min="8710" max="8710" width="10.85546875" style="620" customWidth="1"/>
    <col min="8711" max="8711" width="13.140625" style="620" customWidth="1"/>
    <col min="8712" max="8712" width="11.140625" style="620" customWidth="1"/>
    <col min="8713" max="8713" width="13.28515625" style="620" customWidth="1"/>
    <col min="8714" max="8714" width="12.5703125" style="620" customWidth="1"/>
    <col min="8715" max="8715" width="13.42578125" style="620" customWidth="1"/>
    <col min="8716" max="8716" width="10.42578125" style="620" customWidth="1"/>
    <col min="8717" max="8717" width="10.85546875" style="620" customWidth="1"/>
    <col min="8718" max="8718" width="13.28515625" style="620" customWidth="1"/>
    <col min="8719" max="8960" width="9.140625" style="620"/>
    <col min="8961" max="8961" width="12.42578125" style="620" customWidth="1"/>
    <col min="8962" max="8962" width="23.85546875" style="620" customWidth="1"/>
    <col min="8963" max="8963" width="14.42578125" style="620" customWidth="1"/>
    <col min="8964" max="8964" width="12.28515625" style="620" customWidth="1"/>
    <col min="8965" max="8965" width="12.140625" style="620" customWidth="1"/>
    <col min="8966" max="8966" width="10.85546875" style="620" customWidth="1"/>
    <col min="8967" max="8967" width="13.140625" style="620" customWidth="1"/>
    <col min="8968" max="8968" width="11.140625" style="620" customWidth="1"/>
    <col min="8969" max="8969" width="13.28515625" style="620" customWidth="1"/>
    <col min="8970" max="8970" width="12.5703125" style="620" customWidth="1"/>
    <col min="8971" max="8971" width="13.42578125" style="620" customWidth="1"/>
    <col min="8972" max="8972" width="10.42578125" style="620" customWidth="1"/>
    <col min="8973" max="8973" width="10.85546875" style="620" customWidth="1"/>
    <col min="8974" max="8974" width="13.28515625" style="620" customWidth="1"/>
    <col min="8975" max="9216" width="9.140625" style="620"/>
    <col min="9217" max="9217" width="12.42578125" style="620" customWidth="1"/>
    <col min="9218" max="9218" width="23.85546875" style="620" customWidth="1"/>
    <col min="9219" max="9219" width="14.42578125" style="620" customWidth="1"/>
    <col min="9220" max="9220" width="12.28515625" style="620" customWidth="1"/>
    <col min="9221" max="9221" width="12.140625" style="620" customWidth="1"/>
    <col min="9222" max="9222" width="10.85546875" style="620" customWidth="1"/>
    <col min="9223" max="9223" width="13.140625" style="620" customWidth="1"/>
    <col min="9224" max="9224" width="11.140625" style="620" customWidth="1"/>
    <col min="9225" max="9225" width="13.28515625" style="620" customWidth="1"/>
    <col min="9226" max="9226" width="12.5703125" style="620" customWidth="1"/>
    <col min="9227" max="9227" width="13.42578125" style="620" customWidth="1"/>
    <col min="9228" max="9228" width="10.42578125" style="620" customWidth="1"/>
    <col min="9229" max="9229" width="10.85546875" style="620" customWidth="1"/>
    <col min="9230" max="9230" width="13.28515625" style="620" customWidth="1"/>
    <col min="9231" max="9472" width="9.140625" style="620"/>
    <col min="9473" max="9473" width="12.42578125" style="620" customWidth="1"/>
    <col min="9474" max="9474" width="23.85546875" style="620" customWidth="1"/>
    <col min="9475" max="9475" width="14.42578125" style="620" customWidth="1"/>
    <col min="9476" max="9476" width="12.28515625" style="620" customWidth="1"/>
    <col min="9477" max="9477" width="12.140625" style="620" customWidth="1"/>
    <col min="9478" max="9478" width="10.85546875" style="620" customWidth="1"/>
    <col min="9479" max="9479" width="13.140625" style="620" customWidth="1"/>
    <col min="9480" max="9480" width="11.140625" style="620" customWidth="1"/>
    <col min="9481" max="9481" width="13.28515625" style="620" customWidth="1"/>
    <col min="9482" max="9482" width="12.5703125" style="620" customWidth="1"/>
    <col min="9483" max="9483" width="13.42578125" style="620" customWidth="1"/>
    <col min="9484" max="9484" width="10.42578125" style="620" customWidth="1"/>
    <col min="9485" max="9485" width="10.85546875" style="620" customWidth="1"/>
    <col min="9486" max="9486" width="13.28515625" style="620" customWidth="1"/>
    <col min="9487" max="9728" width="9.140625" style="620"/>
    <col min="9729" max="9729" width="12.42578125" style="620" customWidth="1"/>
    <col min="9730" max="9730" width="23.85546875" style="620" customWidth="1"/>
    <col min="9731" max="9731" width="14.42578125" style="620" customWidth="1"/>
    <col min="9732" max="9732" width="12.28515625" style="620" customWidth="1"/>
    <col min="9733" max="9733" width="12.140625" style="620" customWidth="1"/>
    <col min="9734" max="9734" width="10.85546875" style="620" customWidth="1"/>
    <col min="9735" max="9735" width="13.140625" style="620" customWidth="1"/>
    <col min="9736" max="9736" width="11.140625" style="620" customWidth="1"/>
    <col min="9737" max="9737" width="13.28515625" style="620" customWidth="1"/>
    <col min="9738" max="9738" width="12.5703125" style="620" customWidth="1"/>
    <col min="9739" max="9739" width="13.42578125" style="620" customWidth="1"/>
    <col min="9740" max="9740" width="10.42578125" style="620" customWidth="1"/>
    <col min="9741" max="9741" width="10.85546875" style="620" customWidth="1"/>
    <col min="9742" max="9742" width="13.28515625" style="620" customWidth="1"/>
    <col min="9743" max="9984" width="9.140625" style="620"/>
    <col min="9985" max="9985" width="12.42578125" style="620" customWidth="1"/>
    <col min="9986" max="9986" width="23.85546875" style="620" customWidth="1"/>
    <col min="9987" max="9987" width="14.42578125" style="620" customWidth="1"/>
    <col min="9988" max="9988" width="12.28515625" style="620" customWidth="1"/>
    <col min="9989" max="9989" width="12.140625" style="620" customWidth="1"/>
    <col min="9990" max="9990" width="10.85546875" style="620" customWidth="1"/>
    <col min="9991" max="9991" width="13.140625" style="620" customWidth="1"/>
    <col min="9992" max="9992" width="11.140625" style="620" customWidth="1"/>
    <col min="9993" max="9993" width="13.28515625" style="620" customWidth="1"/>
    <col min="9994" max="9994" width="12.5703125" style="620" customWidth="1"/>
    <col min="9995" max="9995" width="13.42578125" style="620" customWidth="1"/>
    <col min="9996" max="9996" width="10.42578125" style="620" customWidth="1"/>
    <col min="9997" max="9997" width="10.85546875" style="620" customWidth="1"/>
    <col min="9998" max="9998" width="13.28515625" style="620" customWidth="1"/>
    <col min="9999" max="10240" width="9.140625" style="620"/>
    <col min="10241" max="10241" width="12.42578125" style="620" customWidth="1"/>
    <col min="10242" max="10242" width="23.85546875" style="620" customWidth="1"/>
    <col min="10243" max="10243" width="14.42578125" style="620" customWidth="1"/>
    <col min="10244" max="10244" width="12.28515625" style="620" customWidth="1"/>
    <col min="10245" max="10245" width="12.140625" style="620" customWidth="1"/>
    <col min="10246" max="10246" width="10.85546875" style="620" customWidth="1"/>
    <col min="10247" max="10247" width="13.140625" style="620" customWidth="1"/>
    <col min="10248" max="10248" width="11.140625" style="620" customWidth="1"/>
    <col min="10249" max="10249" width="13.28515625" style="620" customWidth="1"/>
    <col min="10250" max="10250" width="12.5703125" style="620" customWidth="1"/>
    <col min="10251" max="10251" width="13.42578125" style="620" customWidth="1"/>
    <col min="10252" max="10252" width="10.42578125" style="620" customWidth="1"/>
    <col min="10253" max="10253" width="10.85546875" style="620" customWidth="1"/>
    <col min="10254" max="10254" width="13.28515625" style="620" customWidth="1"/>
    <col min="10255" max="10496" width="9.140625" style="620"/>
    <col min="10497" max="10497" width="12.42578125" style="620" customWidth="1"/>
    <col min="10498" max="10498" width="23.85546875" style="620" customWidth="1"/>
    <col min="10499" max="10499" width="14.42578125" style="620" customWidth="1"/>
    <col min="10500" max="10500" width="12.28515625" style="620" customWidth="1"/>
    <col min="10501" max="10501" width="12.140625" style="620" customWidth="1"/>
    <col min="10502" max="10502" width="10.85546875" style="620" customWidth="1"/>
    <col min="10503" max="10503" width="13.140625" style="620" customWidth="1"/>
    <col min="10504" max="10504" width="11.140625" style="620" customWidth="1"/>
    <col min="10505" max="10505" width="13.28515625" style="620" customWidth="1"/>
    <col min="10506" max="10506" width="12.5703125" style="620" customWidth="1"/>
    <col min="10507" max="10507" width="13.42578125" style="620" customWidth="1"/>
    <col min="10508" max="10508" width="10.42578125" style="620" customWidth="1"/>
    <col min="10509" max="10509" width="10.85546875" style="620" customWidth="1"/>
    <col min="10510" max="10510" width="13.28515625" style="620" customWidth="1"/>
    <col min="10511" max="10752" width="9.140625" style="620"/>
    <col min="10753" max="10753" width="12.42578125" style="620" customWidth="1"/>
    <col min="10754" max="10754" width="23.85546875" style="620" customWidth="1"/>
    <col min="10755" max="10755" width="14.42578125" style="620" customWidth="1"/>
    <col min="10756" max="10756" width="12.28515625" style="620" customWidth="1"/>
    <col min="10757" max="10757" width="12.140625" style="620" customWidth="1"/>
    <col min="10758" max="10758" width="10.85546875" style="620" customWidth="1"/>
    <col min="10759" max="10759" width="13.140625" style="620" customWidth="1"/>
    <col min="10760" max="10760" width="11.140625" style="620" customWidth="1"/>
    <col min="10761" max="10761" width="13.28515625" style="620" customWidth="1"/>
    <col min="10762" max="10762" width="12.5703125" style="620" customWidth="1"/>
    <col min="10763" max="10763" width="13.42578125" style="620" customWidth="1"/>
    <col min="10764" max="10764" width="10.42578125" style="620" customWidth="1"/>
    <col min="10765" max="10765" width="10.85546875" style="620" customWidth="1"/>
    <col min="10766" max="10766" width="13.28515625" style="620" customWidth="1"/>
    <col min="10767" max="11008" width="9.140625" style="620"/>
    <col min="11009" max="11009" width="12.42578125" style="620" customWidth="1"/>
    <col min="11010" max="11010" width="23.85546875" style="620" customWidth="1"/>
    <col min="11011" max="11011" width="14.42578125" style="620" customWidth="1"/>
    <col min="11012" max="11012" width="12.28515625" style="620" customWidth="1"/>
    <col min="11013" max="11013" width="12.140625" style="620" customWidth="1"/>
    <col min="11014" max="11014" width="10.85546875" style="620" customWidth="1"/>
    <col min="11015" max="11015" width="13.140625" style="620" customWidth="1"/>
    <col min="11016" max="11016" width="11.140625" style="620" customWidth="1"/>
    <col min="11017" max="11017" width="13.28515625" style="620" customWidth="1"/>
    <col min="11018" max="11018" width="12.5703125" style="620" customWidth="1"/>
    <col min="11019" max="11019" width="13.42578125" style="620" customWidth="1"/>
    <col min="11020" max="11020" width="10.42578125" style="620" customWidth="1"/>
    <col min="11021" max="11021" width="10.85546875" style="620" customWidth="1"/>
    <col min="11022" max="11022" width="13.28515625" style="620" customWidth="1"/>
    <col min="11023" max="11264" width="9.140625" style="620"/>
    <col min="11265" max="11265" width="12.42578125" style="620" customWidth="1"/>
    <col min="11266" max="11266" width="23.85546875" style="620" customWidth="1"/>
    <col min="11267" max="11267" width="14.42578125" style="620" customWidth="1"/>
    <col min="11268" max="11268" width="12.28515625" style="620" customWidth="1"/>
    <col min="11269" max="11269" width="12.140625" style="620" customWidth="1"/>
    <col min="11270" max="11270" width="10.85546875" style="620" customWidth="1"/>
    <col min="11271" max="11271" width="13.140625" style="620" customWidth="1"/>
    <col min="11272" max="11272" width="11.140625" style="620" customWidth="1"/>
    <col min="11273" max="11273" width="13.28515625" style="620" customWidth="1"/>
    <col min="11274" max="11274" width="12.5703125" style="620" customWidth="1"/>
    <col min="11275" max="11275" width="13.42578125" style="620" customWidth="1"/>
    <col min="11276" max="11276" width="10.42578125" style="620" customWidth="1"/>
    <col min="11277" max="11277" width="10.85546875" style="620" customWidth="1"/>
    <col min="11278" max="11278" width="13.28515625" style="620" customWidth="1"/>
    <col min="11279" max="11520" width="9.140625" style="620"/>
    <col min="11521" max="11521" width="12.42578125" style="620" customWidth="1"/>
    <col min="11522" max="11522" width="23.85546875" style="620" customWidth="1"/>
    <col min="11523" max="11523" width="14.42578125" style="620" customWidth="1"/>
    <col min="11524" max="11524" width="12.28515625" style="620" customWidth="1"/>
    <col min="11525" max="11525" width="12.140625" style="620" customWidth="1"/>
    <col min="11526" max="11526" width="10.85546875" style="620" customWidth="1"/>
    <col min="11527" max="11527" width="13.140625" style="620" customWidth="1"/>
    <col min="11528" max="11528" width="11.140625" style="620" customWidth="1"/>
    <col min="11529" max="11529" width="13.28515625" style="620" customWidth="1"/>
    <col min="11530" max="11530" width="12.5703125" style="620" customWidth="1"/>
    <col min="11531" max="11531" width="13.42578125" style="620" customWidth="1"/>
    <col min="11532" max="11532" width="10.42578125" style="620" customWidth="1"/>
    <col min="11533" max="11533" width="10.85546875" style="620" customWidth="1"/>
    <col min="11534" max="11534" width="13.28515625" style="620" customWidth="1"/>
    <col min="11535" max="11776" width="9.140625" style="620"/>
    <col min="11777" max="11777" width="12.42578125" style="620" customWidth="1"/>
    <col min="11778" max="11778" width="23.85546875" style="620" customWidth="1"/>
    <col min="11779" max="11779" width="14.42578125" style="620" customWidth="1"/>
    <col min="11780" max="11780" width="12.28515625" style="620" customWidth="1"/>
    <col min="11781" max="11781" width="12.140625" style="620" customWidth="1"/>
    <col min="11782" max="11782" width="10.85546875" style="620" customWidth="1"/>
    <col min="11783" max="11783" width="13.140625" style="620" customWidth="1"/>
    <col min="11784" max="11784" width="11.140625" style="620" customWidth="1"/>
    <col min="11785" max="11785" width="13.28515625" style="620" customWidth="1"/>
    <col min="11786" max="11786" width="12.5703125" style="620" customWidth="1"/>
    <col min="11787" max="11787" width="13.42578125" style="620" customWidth="1"/>
    <col min="11788" max="11788" width="10.42578125" style="620" customWidth="1"/>
    <col min="11789" max="11789" width="10.85546875" style="620" customWidth="1"/>
    <col min="11790" max="11790" width="13.28515625" style="620" customWidth="1"/>
    <col min="11791" max="12032" width="9.140625" style="620"/>
    <col min="12033" max="12033" width="12.42578125" style="620" customWidth="1"/>
    <col min="12034" max="12034" width="23.85546875" style="620" customWidth="1"/>
    <col min="12035" max="12035" width="14.42578125" style="620" customWidth="1"/>
    <col min="12036" max="12036" width="12.28515625" style="620" customWidth="1"/>
    <col min="12037" max="12037" width="12.140625" style="620" customWidth="1"/>
    <col min="12038" max="12038" width="10.85546875" style="620" customWidth="1"/>
    <col min="12039" max="12039" width="13.140625" style="620" customWidth="1"/>
    <col min="12040" max="12040" width="11.140625" style="620" customWidth="1"/>
    <col min="12041" max="12041" width="13.28515625" style="620" customWidth="1"/>
    <col min="12042" max="12042" width="12.5703125" style="620" customWidth="1"/>
    <col min="12043" max="12043" width="13.42578125" style="620" customWidth="1"/>
    <col min="12044" max="12044" width="10.42578125" style="620" customWidth="1"/>
    <col min="12045" max="12045" width="10.85546875" style="620" customWidth="1"/>
    <col min="12046" max="12046" width="13.28515625" style="620" customWidth="1"/>
    <col min="12047" max="12288" width="9.140625" style="620"/>
    <col min="12289" max="12289" width="12.42578125" style="620" customWidth="1"/>
    <col min="12290" max="12290" width="23.85546875" style="620" customWidth="1"/>
    <col min="12291" max="12291" width="14.42578125" style="620" customWidth="1"/>
    <col min="12292" max="12292" width="12.28515625" style="620" customWidth="1"/>
    <col min="12293" max="12293" width="12.140625" style="620" customWidth="1"/>
    <col min="12294" max="12294" width="10.85546875" style="620" customWidth="1"/>
    <col min="12295" max="12295" width="13.140625" style="620" customWidth="1"/>
    <col min="12296" max="12296" width="11.140625" style="620" customWidth="1"/>
    <col min="12297" max="12297" width="13.28515625" style="620" customWidth="1"/>
    <col min="12298" max="12298" width="12.5703125" style="620" customWidth="1"/>
    <col min="12299" max="12299" width="13.42578125" style="620" customWidth="1"/>
    <col min="12300" max="12300" width="10.42578125" style="620" customWidth="1"/>
    <col min="12301" max="12301" width="10.85546875" style="620" customWidth="1"/>
    <col min="12302" max="12302" width="13.28515625" style="620" customWidth="1"/>
    <col min="12303" max="12544" width="9.140625" style="620"/>
    <col min="12545" max="12545" width="12.42578125" style="620" customWidth="1"/>
    <col min="12546" max="12546" width="23.85546875" style="620" customWidth="1"/>
    <col min="12547" max="12547" width="14.42578125" style="620" customWidth="1"/>
    <col min="12548" max="12548" width="12.28515625" style="620" customWidth="1"/>
    <col min="12549" max="12549" width="12.140625" style="620" customWidth="1"/>
    <col min="12550" max="12550" width="10.85546875" style="620" customWidth="1"/>
    <col min="12551" max="12551" width="13.140625" style="620" customWidth="1"/>
    <col min="12552" max="12552" width="11.140625" style="620" customWidth="1"/>
    <col min="12553" max="12553" width="13.28515625" style="620" customWidth="1"/>
    <col min="12554" max="12554" width="12.5703125" style="620" customWidth="1"/>
    <col min="12555" max="12555" width="13.42578125" style="620" customWidth="1"/>
    <col min="12556" max="12556" width="10.42578125" style="620" customWidth="1"/>
    <col min="12557" max="12557" width="10.85546875" style="620" customWidth="1"/>
    <col min="12558" max="12558" width="13.28515625" style="620" customWidth="1"/>
    <col min="12559" max="12800" width="9.140625" style="620"/>
    <col min="12801" max="12801" width="12.42578125" style="620" customWidth="1"/>
    <col min="12802" max="12802" width="23.85546875" style="620" customWidth="1"/>
    <col min="12803" max="12803" width="14.42578125" style="620" customWidth="1"/>
    <col min="12804" max="12804" width="12.28515625" style="620" customWidth="1"/>
    <col min="12805" max="12805" width="12.140625" style="620" customWidth="1"/>
    <col min="12806" max="12806" width="10.85546875" style="620" customWidth="1"/>
    <col min="12807" max="12807" width="13.140625" style="620" customWidth="1"/>
    <col min="12808" max="12808" width="11.140625" style="620" customWidth="1"/>
    <col min="12809" max="12809" width="13.28515625" style="620" customWidth="1"/>
    <col min="12810" max="12810" width="12.5703125" style="620" customWidth="1"/>
    <col min="12811" max="12811" width="13.42578125" style="620" customWidth="1"/>
    <col min="12812" max="12812" width="10.42578125" style="620" customWidth="1"/>
    <col min="12813" max="12813" width="10.85546875" style="620" customWidth="1"/>
    <col min="12814" max="12814" width="13.28515625" style="620" customWidth="1"/>
    <col min="12815" max="13056" width="9.140625" style="620"/>
    <col min="13057" max="13057" width="12.42578125" style="620" customWidth="1"/>
    <col min="13058" max="13058" width="23.85546875" style="620" customWidth="1"/>
    <col min="13059" max="13059" width="14.42578125" style="620" customWidth="1"/>
    <col min="13060" max="13060" width="12.28515625" style="620" customWidth="1"/>
    <col min="13061" max="13061" width="12.140625" style="620" customWidth="1"/>
    <col min="13062" max="13062" width="10.85546875" style="620" customWidth="1"/>
    <col min="13063" max="13063" width="13.140625" style="620" customWidth="1"/>
    <col min="13064" max="13064" width="11.140625" style="620" customWidth="1"/>
    <col min="13065" max="13065" width="13.28515625" style="620" customWidth="1"/>
    <col min="13066" max="13066" width="12.5703125" style="620" customWidth="1"/>
    <col min="13067" max="13067" width="13.42578125" style="620" customWidth="1"/>
    <col min="13068" max="13068" width="10.42578125" style="620" customWidth="1"/>
    <col min="13069" max="13069" width="10.85546875" style="620" customWidth="1"/>
    <col min="13070" max="13070" width="13.28515625" style="620" customWidth="1"/>
    <col min="13071" max="13312" width="9.140625" style="620"/>
    <col min="13313" max="13313" width="12.42578125" style="620" customWidth="1"/>
    <col min="13314" max="13314" width="23.85546875" style="620" customWidth="1"/>
    <col min="13315" max="13315" width="14.42578125" style="620" customWidth="1"/>
    <col min="13316" max="13316" width="12.28515625" style="620" customWidth="1"/>
    <col min="13317" max="13317" width="12.140625" style="620" customWidth="1"/>
    <col min="13318" max="13318" width="10.85546875" style="620" customWidth="1"/>
    <col min="13319" max="13319" width="13.140625" style="620" customWidth="1"/>
    <col min="13320" max="13320" width="11.140625" style="620" customWidth="1"/>
    <col min="13321" max="13321" width="13.28515625" style="620" customWidth="1"/>
    <col min="13322" max="13322" width="12.5703125" style="620" customWidth="1"/>
    <col min="13323" max="13323" width="13.42578125" style="620" customWidth="1"/>
    <col min="13324" max="13324" width="10.42578125" style="620" customWidth="1"/>
    <col min="13325" max="13325" width="10.85546875" style="620" customWidth="1"/>
    <col min="13326" max="13326" width="13.28515625" style="620" customWidth="1"/>
    <col min="13327" max="13568" width="9.140625" style="620"/>
    <col min="13569" max="13569" width="12.42578125" style="620" customWidth="1"/>
    <col min="13570" max="13570" width="23.85546875" style="620" customWidth="1"/>
    <col min="13571" max="13571" width="14.42578125" style="620" customWidth="1"/>
    <col min="13572" max="13572" width="12.28515625" style="620" customWidth="1"/>
    <col min="13573" max="13573" width="12.140625" style="620" customWidth="1"/>
    <col min="13574" max="13574" width="10.85546875" style="620" customWidth="1"/>
    <col min="13575" max="13575" width="13.140625" style="620" customWidth="1"/>
    <col min="13576" max="13576" width="11.140625" style="620" customWidth="1"/>
    <col min="13577" max="13577" width="13.28515625" style="620" customWidth="1"/>
    <col min="13578" max="13578" width="12.5703125" style="620" customWidth="1"/>
    <col min="13579" max="13579" width="13.42578125" style="620" customWidth="1"/>
    <col min="13580" max="13580" width="10.42578125" style="620" customWidth="1"/>
    <col min="13581" max="13581" width="10.85546875" style="620" customWidth="1"/>
    <col min="13582" max="13582" width="13.28515625" style="620" customWidth="1"/>
    <col min="13583" max="13824" width="9.140625" style="620"/>
    <col min="13825" max="13825" width="12.42578125" style="620" customWidth="1"/>
    <col min="13826" max="13826" width="23.85546875" style="620" customWidth="1"/>
    <col min="13827" max="13827" width="14.42578125" style="620" customWidth="1"/>
    <col min="13828" max="13828" width="12.28515625" style="620" customWidth="1"/>
    <col min="13829" max="13829" width="12.140625" style="620" customWidth="1"/>
    <col min="13830" max="13830" width="10.85546875" style="620" customWidth="1"/>
    <col min="13831" max="13831" width="13.140625" style="620" customWidth="1"/>
    <col min="13832" max="13832" width="11.140625" style="620" customWidth="1"/>
    <col min="13833" max="13833" width="13.28515625" style="620" customWidth="1"/>
    <col min="13834" max="13834" width="12.5703125" style="620" customWidth="1"/>
    <col min="13835" max="13835" width="13.42578125" style="620" customWidth="1"/>
    <col min="13836" max="13836" width="10.42578125" style="620" customWidth="1"/>
    <col min="13837" max="13837" width="10.85546875" style="620" customWidth="1"/>
    <col min="13838" max="13838" width="13.28515625" style="620" customWidth="1"/>
    <col min="13839" max="14080" width="9.140625" style="620"/>
    <col min="14081" max="14081" width="12.42578125" style="620" customWidth="1"/>
    <col min="14082" max="14082" width="23.85546875" style="620" customWidth="1"/>
    <col min="14083" max="14083" width="14.42578125" style="620" customWidth="1"/>
    <col min="14084" max="14084" width="12.28515625" style="620" customWidth="1"/>
    <col min="14085" max="14085" width="12.140625" style="620" customWidth="1"/>
    <col min="14086" max="14086" width="10.85546875" style="620" customWidth="1"/>
    <col min="14087" max="14087" width="13.140625" style="620" customWidth="1"/>
    <col min="14088" max="14088" width="11.140625" style="620" customWidth="1"/>
    <col min="14089" max="14089" width="13.28515625" style="620" customWidth="1"/>
    <col min="14090" max="14090" width="12.5703125" style="620" customWidth="1"/>
    <col min="14091" max="14091" width="13.42578125" style="620" customWidth="1"/>
    <col min="14092" max="14092" width="10.42578125" style="620" customWidth="1"/>
    <col min="14093" max="14093" width="10.85546875" style="620" customWidth="1"/>
    <col min="14094" max="14094" width="13.28515625" style="620" customWidth="1"/>
    <col min="14095" max="14336" width="9.140625" style="620"/>
    <col min="14337" max="14337" width="12.42578125" style="620" customWidth="1"/>
    <col min="14338" max="14338" width="23.85546875" style="620" customWidth="1"/>
    <col min="14339" max="14339" width="14.42578125" style="620" customWidth="1"/>
    <col min="14340" max="14340" width="12.28515625" style="620" customWidth="1"/>
    <col min="14341" max="14341" width="12.140625" style="620" customWidth="1"/>
    <col min="14342" max="14342" width="10.85546875" style="620" customWidth="1"/>
    <col min="14343" max="14343" width="13.140625" style="620" customWidth="1"/>
    <col min="14344" max="14344" width="11.140625" style="620" customWidth="1"/>
    <col min="14345" max="14345" width="13.28515625" style="620" customWidth="1"/>
    <col min="14346" max="14346" width="12.5703125" style="620" customWidth="1"/>
    <col min="14347" max="14347" width="13.42578125" style="620" customWidth="1"/>
    <col min="14348" max="14348" width="10.42578125" style="620" customWidth="1"/>
    <col min="14349" max="14349" width="10.85546875" style="620" customWidth="1"/>
    <col min="14350" max="14350" width="13.28515625" style="620" customWidth="1"/>
    <col min="14351" max="14592" width="9.140625" style="620"/>
    <col min="14593" max="14593" width="12.42578125" style="620" customWidth="1"/>
    <col min="14594" max="14594" width="23.85546875" style="620" customWidth="1"/>
    <col min="14595" max="14595" width="14.42578125" style="620" customWidth="1"/>
    <col min="14596" max="14596" width="12.28515625" style="620" customWidth="1"/>
    <col min="14597" max="14597" width="12.140625" style="620" customWidth="1"/>
    <col min="14598" max="14598" width="10.85546875" style="620" customWidth="1"/>
    <col min="14599" max="14599" width="13.140625" style="620" customWidth="1"/>
    <col min="14600" max="14600" width="11.140625" style="620" customWidth="1"/>
    <col min="14601" max="14601" width="13.28515625" style="620" customWidth="1"/>
    <col min="14602" max="14602" width="12.5703125" style="620" customWidth="1"/>
    <col min="14603" max="14603" width="13.42578125" style="620" customWidth="1"/>
    <col min="14604" max="14604" width="10.42578125" style="620" customWidth="1"/>
    <col min="14605" max="14605" width="10.85546875" style="620" customWidth="1"/>
    <col min="14606" max="14606" width="13.28515625" style="620" customWidth="1"/>
    <col min="14607" max="14848" width="9.140625" style="620"/>
    <col min="14849" max="14849" width="12.42578125" style="620" customWidth="1"/>
    <col min="14850" max="14850" width="23.85546875" style="620" customWidth="1"/>
    <col min="14851" max="14851" width="14.42578125" style="620" customWidth="1"/>
    <col min="14852" max="14852" width="12.28515625" style="620" customWidth="1"/>
    <col min="14853" max="14853" width="12.140625" style="620" customWidth="1"/>
    <col min="14854" max="14854" width="10.85546875" style="620" customWidth="1"/>
    <col min="14855" max="14855" width="13.140625" style="620" customWidth="1"/>
    <col min="14856" max="14856" width="11.140625" style="620" customWidth="1"/>
    <col min="14857" max="14857" width="13.28515625" style="620" customWidth="1"/>
    <col min="14858" max="14858" width="12.5703125" style="620" customWidth="1"/>
    <col min="14859" max="14859" width="13.42578125" style="620" customWidth="1"/>
    <col min="14860" max="14860" width="10.42578125" style="620" customWidth="1"/>
    <col min="14861" max="14861" width="10.85546875" style="620" customWidth="1"/>
    <col min="14862" max="14862" width="13.28515625" style="620" customWidth="1"/>
    <col min="14863" max="15104" width="9.140625" style="620"/>
    <col min="15105" max="15105" width="12.42578125" style="620" customWidth="1"/>
    <col min="15106" max="15106" width="23.85546875" style="620" customWidth="1"/>
    <col min="15107" max="15107" width="14.42578125" style="620" customWidth="1"/>
    <col min="15108" max="15108" width="12.28515625" style="620" customWidth="1"/>
    <col min="15109" max="15109" width="12.140625" style="620" customWidth="1"/>
    <col min="15110" max="15110" width="10.85546875" style="620" customWidth="1"/>
    <col min="15111" max="15111" width="13.140625" style="620" customWidth="1"/>
    <col min="15112" max="15112" width="11.140625" style="620" customWidth="1"/>
    <col min="15113" max="15113" width="13.28515625" style="620" customWidth="1"/>
    <col min="15114" max="15114" width="12.5703125" style="620" customWidth="1"/>
    <col min="15115" max="15115" width="13.42578125" style="620" customWidth="1"/>
    <col min="15116" max="15116" width="10.42578125" style="620" customWidth="1"/>
    <col min="15117" max="15117" width="10.85546875" style="620" customWidth="1"/>
    <col min="15118" max="15118" width="13.28515625" style="620" customWidth="1"/>
    <col min="15119" max="15360" width="9.140625" style="620"/>
    <col min="15361" max="15361" width="12.42578125" style="620" customWidth="1"/>
    <col min="15362" max="15362" width="23.85546875" style="620" customWidth="1"/>
    <col min="15363" max="15363" width="14.42578125" style="620" customWidth="1"/>
    <col min="15364" max="15364" width="12.28515625" style="620" customWidth="1"/>
    <col min="15365" max="15365" width="12.140625" style="620" customWidth="1"/>
    <col min="15366" max="15366" width="10.85546875" style="620" customWidth="1"/>
    <col min="15367" max="15367" width="13.140625" style="620" customWidth="1"/>
    <col min="15368" max="15368" width="11.140625" style="620" customWidth="1"/>
    <col min="15369" max="15369" width="13.28515625" style="620" customWidth="1"/>
    <col min="15370" max="15370" width="12.5703125" style="620" customWidth="1"/>
    <col min="15371" max="15371" width="13.42578125" style="620" customWidth="1"/>
    <col min="15372" max="15372" width="10.42578125" style="620" customWidth="1"/>
    <col min="15373" max="15373" width="10.85546875" style="620" customWidth="1"/>
    <col min="15374" max="15374" width="13.28515625" style="620" customWidth="1"/>
    <col min="15375" max="15616" width="9.140625" style="620"/>
    <col min="15617" max="15617" width="12.42578125" style="620" customWidth="1"/>
    <col min="15618" max="15618" width="23.85546875" style="620" customWidth="1"/>
    <col min="15619" max="15619" width="14.42578125" style="620" customWidth="1"/>
    <col min="15620" max="15620" width="12.28515625" style="620" customWidth="1"/>
    <col min="15621" max="15621" width="12.140625" style="620" customWidth="1"/>
    <col min="15622" max="15622" width="10.85546875" style="620" customWidth="1"/>
    <col min="15623" max="15623" width="13.140625" style="620" customWidth="1"/>
    <col min="15624" max="15624" width="11.140625" style="620" customWidth="1"/>
    <col min="15625" max="15625" width="13.28515625" style="620" customWidth="1"/>
    <col min="15626" max="15626" width="12.5703125" style="620" customWidth="1"/>
    <col min="15627" max="15627" width="13.42578125" style="620" customWidth="1"/>
    <col min="15628" max="15628" width="10.42578125" style="620" customWidth="1"/>
    <col min="15629" max="15629" width="10.85546875" style="620" customWidth="1"/>
    <col min="15630" max="15630" width="13.28515625" style="620" customWidth="1"/>
    <col min="15631" max="15872" width="9.140625" style="620"/>
    <col min="15873" max="15873" width="12.42578125" style="620" customWidth="1"/>
    <col min="15874" max="15874" width="23.85546875" style="620" customWidth="1"/>
    <col min="15875" max="15875" width="14.42578125" style="620" customWidth="1"/>
    <col min="15876" max="15876" width="12.28515625" style="620" customWidth="1"/>
    <col min="15877" max="15877" width="12.140625" style="620" customWidth="1"/>
    <col min="15878" max="15878" width="10.85546875" style="620" customWidth="1"/>
    <col min="15879" max="15879" width="13.140625" style="620" customWidth="1"/>
    <col min="15880" max="15880" width="11.140625" style="620" customWidth="1"/>
    <col min="15881" max="15881" width="13.28515625" style="620" customWidth="1"/>
    <col min="15882" max="15882" width="12.5703125" style="620" customWidth="1"/>
    <col min="15883" max="15883" width="13.42578125" style="620" customWidth="1"/>
    <col min="15884" max="15884" width="10.42578125" style="620" customWidth="1"/>
    <col min="15885" max="15885" width="10.85546875" style="620" customWidth="1"/>
    <col min="15886" max="15886" width="13.28515625" style="620" customWidth="1"/>
    <col min="15887" max="16128" width="9.140625" style="620"/>
    <col min="16129" max="16129" width="12.42578125" style="620" customWidth="1"/>
    <col min="16130" max="16130" width="23.85546875" style="620" customWidth="1"/>
    <col min="16131" max="16131" width="14.42578125" style="620" customWidth="1"/>
    <col min="16132" max="16132" width="12.28515625" style="620" customWidth="1"/>
    <col min="16133" max="16133" width="12.140625" style="620" customWidth="1"/>
    <col min="16134" max="16134" width="10.85546875" style="620" customWidth="1"/>
    <col min="16135" max="16135" width="13.140625" style="620" customWidth="1"/>
    <col min="16136" max="16136" width="11.140625" style="620" customWidth="1"/>
    <col min="16137" max="16137" width="13.28515625" style="620" customWidth="1"/>
    <col min="16138" max="16138" width="12.5703125" style="620" customWidth="1"/>
    <col min="16139" max="16139" width="13.42578125" style="620" customWidth="1"/>
    <col min="16140" max="16140" width="10.42578125" style="620" customWidth="1"/>
    <col min="16141" max="16141" width="10.85546875" style="620" customWidth="1"/>
    <col min="16142" max="16142" width="13.28515625" style="620" customWidth="1"/>
    <col min="16143" max="16384" width="9.140625" style="620"/>
  </cols>
  <sheetData>
    <row r="1" spans="1:15" ht="76.5" customHeight="1">
      <c r="A1" s="616" t="s">
        <v>409</v>
      </c>
      <c r="B1" s="616" t="s">
        <v>410</v>
      </c>
      <c r="C1" s="616" t="s">
        <v>411</v>
      </c>
      <c r="D1" s="616" t="s">
        <v>412</v>
      </c>
      <c r="E1" s="616" t="s">
        <v>413</v>
      </c>
      <c r="F1" s="616" t="s">
        <v>414</v>
      </c>
      <c r="G1" s="616" t="s">
        <v>415</v>
      </c>
      <c r="H1" s="616" t="s">
        <v>416</v>
      </c>
      <c r="I1" s="617" t="s">
        <v>417</v>
      </c>
      <c r="J1" s="618" t="s">
        <v>181</v>
      </c>
      <c r="K1" s="618" t="s">
        <v>418</v>
      </c>
      <c r="L1" s="617" t="s">
        <v>419</v>
      </c>
      <c r="M1" s="619" t="s">
        <v>420</v>
      </c>
      <c r="N1" s="619" t="s">
        <v>421</v>
      </c>
    </row>
    <row r="2" spans="1:15">
      <c r="A2" s="1083" t="s">
        <v>422</v>
      </c>
      <c r="B2" s="1084"/>
      <c r="C2" s="1084"/>
      <c r="D2" s="1084"/>
      <c r="E2" s="1084"/>
      <c r="F2" s="1084"/>
      <c r="G2" s="1084"/>
      <c r="H2" s="1084"/>
      <c r="I2" s="1084"/>
      <c r="J2" s="1084"/>
      <c r="K2" s="1084"/>
      <c r="L2" s="1084"/>
      <c r="M2" s="1084"/>
      <c r="N2" s="1085"/>
    </row>
    <row r="3" spans="1:15">
      <c r="A3" s="1086" t="s">
        <v>423</v>
      </c>
      <c r="B3" s="1087"/>
      <c r="C3" s="1087"/>
      <c r="D3" s="1087"/>
      <c r="E3" s="1087"/>
      <c r="F3" s="1087"/>
      <c r="G3" s="1087"/>
      <c r="H3" s="1087"/>
      <c r="I3" s="1087"/>
      <c r="J3" s="1087"/>
      <c r="K3" s="1087"/>
      <c r="L3" s="1087"/>
      <c r="M3" s="1087"/>
      <c r="N3" s="1088"/>
    </row>
    <row r="4" spans="1:15" ht="29.25" customHeight="1">
      <c r="A4" s="621">
        <v>248.4</v>
      </c>
      <c r="B4" s="622" t="s">
        <v>26</v>
      </c>
      <c r="C4" s="623">
        <v>47</v>
      </c>
      <c r="D4" s="624">
        <v>1</v>
      </c>
      <c r="E4" s="624">
        <f t="shared" ref="E4:E11" si="0">SUM(C4*D4)</f>
        <v>47</v>
      </c>
      <c r="F4" s="624">
        <v>40</v>
      </c>
      <c r="G4" s="625">
        <f t="shared" ref="G4:G11" si="1">SUM(E4*F4)</f>
        <v>1880</v>
      </c>
      <c r="H4" s="625">
        <v>1800</v>
      </c>
      <c r="I4" s="625">
        <f>SUM(G4-H4)</f>
        <v>80</v>
      </c>
      <c r="J4" s="625"/>
      <c r="K4" s="625"/>
      <c r="L4" s="626" t="s">
        <v>424</v>
      </c>
      <c r="M4" s="627">
        <v>29.44</v>
      </c>
      <c r="N4" s="628">
        <f>SUM(G4*M4)</f>
        <v>55347.200000000004</v>
      </c>
    </row>
    <row r="5" spans="1:15" ht="26.25">
      <c r="A5" s="629" t="s">
        <v>425</v>
      </c>
      <c r="B5" s="630" t="s">
        <v>426</v>
      </c>
      <c r="C5" s="631">
        <v>47</v>
      </c>
      <c r="D5" s="632">
        <f>SUM(E5/C5)</f>
        <v>167.05723404255318</v>
      </c>
      <c r="E5" s="633">
        <f>C15</f>
        <v>7851.69</v>
      </c>
      <c r="F5" s="633">
        <v>1</v>
      </c>
      <c r="G5" s="634">
        <f t="shared" si="1"/>
        <v>7851.69</v>
      </c>
      <c r="H5" s="634">
        <v>7947</v>
      </c>
      <c r="I5" s="634">
        <f t="shared" ref="I5:I10" si="2">SUM(G5-H5)</f>
        <v>-95.3100000000004</v>
      </c>
      <c r="J5" s="634"/>
      <c r="K5" s="634"/>
      <c r="L5" s="630"/>
      <c r="M5" s="627">
        <v>29.44</v>
      </c>
      <c r="N5" s="628">
        <f t="shared" ref="N5:N12" si="3">SUM(G5*M5)</f>
        <v>231153.7536</v>
      </c>
    </row>
    <row r="6" spans="1:15" ht="30.75" customHeight="1">
      <c r="A6" s="635" t="s">
        <v>393</v>
      </c>
      <c r="B6" s="636" t="s">
        <v>427</v>
      </c>
      <c r="C6" s="631">
        <v>47</v>
      </c>
      <c r="D6" s="632">
        <f>SUM(E6/C6)</f>
        <v>50.623404255319151</v>
      </c>
      <c r="E6" s="633">
        <v>2379.3000000000002</v>
      </c>
      <c r="F6" s="632">
        <v>2</v>
      </c>
      <c r="G6" s="634">
        <f t="shared" si="1"/>
        <v>4758.6000000000004</v>
      </c>
      <c r="H6" s="634">
        <v>4768</v>
      </c>
      <c r="I6" s="634">
        <f t="shared" si="2"/>
        <v>-9.3999999999996362</v>
      </c>
      <c r="J6" s="634"/>
      <c r="K6" s="634"/>
      <c r="L6" s="637" t="s">
        <v>428</v>
      </c>
      <c r="M6" s="627">
        <v>29.44</v>
      </c>
      <c r="N6" s="628">
        <f t="shared" si="3"/>
        <v>140093.18400000001</v>
      </c>
    </row>
    <row r="7" spans="1:15" ht="31.5" customHeight="1">
      <c r="A7" s="635" t="s">
        <v>63</v>
      </c>
      <c r="B7" s="636" t="s">
        <v>195</v>
      </c>
      <c r="C7" s="631">
        <v>47</v>
      </c>
      <c r="D7" s="632">
        <v>1</v>
      </c>
      <c r="E7" s="633">
        <f t="shared" si="0"/>
        <v>47</v>
      </c>
      <c r="F7" s="632">
        <v>5</v>
      </c>
      <c r="G7" s="634">
        <f t="shared" si="1"/>
        <v>235</v>
      </c>
      <c r="H7" s="634">
        <v>225</v>
      </c>
      <c r="I7" s="634">
        <f t="shared" si="2"/>
        <v>10</v>
      </c>
      <c r="J7" s="634"/>
      <c r="K7" s="634"/>
      <c r="L7" s="637" t="s">
        <v>424</v>
      </c>
      <c r="M7" s="627">
        <v>29.44</v>
      </c>
      <c r="N7" s="628">
        <f t="shared" si="3"/>
        <v>6918.4000000000005</v>
      </c>
    </row>
    <row r="8" spans="1:15" ht="34.5" customHeight="1">
      <c r="A8" s="635">
        <v>248.11</v>
      </c>
      <c r="B8" s="636" t="s">
        <v>396</v>
      </c>
      <c r="C8" s="631">
        <v>47</v>
      </c>
      <c r="D8" s="632">
        <v>1</v>
      </c>
      <c r="E8" s="633">
        <f t="shared" si="0"/>
        <v>47</v>
      </c>
      <c r="F8" s="632">
        <v>10</v>
      </c>
      <c r="G8" s="634">
        <f t="shared" si="1"/>
        <v>470</v>
      </c>
      <c r="H8" s="634">
        <v>450</v>
      </c>
      <c r="I8" s="634">
        <f t="shared" si="2"/>
        <v>20</v>
      </c>
      <c r="J8" s="634"/>
      <c r="K8" s="634"/>
      <c r="L8" s="637" t="s">
        <v>424</v>
      </c>
      <c r="M8" s="627">
        <v>29.44</v>
      </c>
      <c r="N8" s="628">
        <f t="shared" si="3"/>
        <v>13836.800000000001</v>
      </c>
    </row>
    <row r="9" spans="1:15" ht="29.25" customHeight="1">
      <c r="A9" s="635" t="s">
        <v>90</v>
      </c>
      <c r="B9" s="636" t="s">
        <v>201</v>
      </c>
      <c r="C9" s="638">
        <v>9</v>
      </c>
      <c r="D9" s="632">
        <v>1</v>
      </c>
      <c r="E9" s="633">
        <f t="shared" si="0"/>
        <v>9</v>
      </c>
      <c r="F9" s="632">
        <v>10</v>
      </c>
      <c r="G9" s="634">
        <f t="shared" si="1"/>
        <v>90</v>
      </c>
      <c r="H9" s="634">
        <v>90</v>
      </c>
      <c r="I9" s="634">
        <f t="shared" si="2"/>
        <v>0</v>
      </c>
      <c r="J9" s="634"/>
      <c r="K9" s="634"/>
      <c r="L9" s="637"/>
      <c r="M9" s="627">
        <v>29.44</v>
      </c>
      <c r="N9" s="628">
        <f t="shared" si="3"/>
        <v>2649.6</v>
      </c>
    </row>
    <row r="10" spans="1:15" ht="32.25" customHeight="1">
      <c r="A10" s="635" t="s">
        <v>97</v>
      </c>
      <c r="B10" s="636" t="s">
        <v>99</v>
      </c>
      <c r="C10" s="638">
        <v>13</v>
      </c>
      <c r="D10" s="632">
        <v>1</v>
      </c>
      <c r="E10" s="633">
        <f t="shared" si="0"/>
        <v>13</v>
      </c>
      <c r="F10" s="632">
        <v>15</v>
      </c>
      <c r="G10" s="634">
        <f t="shared" si="1"/>
        <v>195</v>
      </c>
      <c r="H10" s="634">
        <v>195</v>
      </c>
      <c r="I10" s="634">
        <f t="shared" si="2"/>
        <v>0</v>
      </c>
      <c r="J10" s="634"/>
      <c r="K10" s="634"/>
      <c r="L10" s="637"/>
      <c r="M10" s="627">
        <v>29.44</v>
      </c>
      <c r="N10" s="628">
        <f t="shared" si="3"/>
        <v>5740.8</v>
      </c>
    </row>
    <row r="11" spans="1:15" ht="36" customHeight="1">
      <c r="A11" s="635" t="s">
        <v>429</v>
      </c>
      <c r="B11" s="636" t="s">
        <v>430</v>
      </c>
      <c r="C11" s="638">
        <v>0</v>
      </c>
      <c r="D11" s="632">
        <v>0</v>
      </c>
      <c r="E11" s="633">
        <f t="shared" si="0"/>
        <v>0</v>
      </c>
      <c r="F11" s="632">
        <v>0</v>
      </c>
      <c r="G11" s="634">
        <f t="shared" si="1"/>
        <v>0</v>
      </c>
      <c r="H11" s="634">
        <v>135</v>
      </c>
      <c r="I11" s="634">
        <v>0</v>
      </c>
      <c r="J11" s="634">
        <f>SUM(-H11)</f>
        <v>-135</v>
      </c>
      <c r="K11" s="634"/>
      <c r="L11" s="637" t="s">
        <v>431</v>
      </c>
      <c r="M11" s="639">
        <v>29.44</v>
      </c>
      <c r="N11" s="628">
        <f t="shared" si="3"/>
        <v>0</v>
      </c>
    </row>
    <row r="12" spans="1:15" ht="63.75" customHeight="1" thickBot="1">
      <c r="A12" s="640"/>
      <c r="B12" s="641" t="s">
        <v>432</v>
      </c>
      <c r="C12" s="642">
        <v>0</v>
      </c>
      <c r="D12" s="643">
        <v>0</v>
      </c>
      <c r="E12" s="644">
        <v>0</v>
      </c>
      <c r="F12" s="645">
        <v>0</v>
      </c>
      <c r="G12" s="645">
        <v>0</v>
      </c>
      <c r="H12" s="645">
        <v>46</v>
      </c>
      <c r="I12" s="645">
        <v>0</v>
      </c>
      <c r="J12" s="645">
        <f>SUM(-H12)</f>
        <v>-46</v>
      </c>
      <c r="K12" s="645"/>
      <c r="L12" s="646" t="s">
        <v>433</v>
      </c>
      <c r="M12" s="639">
        <v>29.44</v>
      </c>
      <c r="N12" s="628">
        <f t="shared" si="3"/>
        <v>0</v>
      </c>
    </row>
    <row r="13" spans="1:15" ht="17.25" thickTop="1" thickBot="1">
      <c r="A13" s="1089" t="s">
        <v>434</v>
      </c>
      <c r="B13" s="1090"/>
      <c r="C13" s="647">
        <v>47</v>
      </c>
      <c r="D13" s="648">
        <f>SUM(D4:D12)</f>
        <v>222.68063829787232</v>
      </c>
      <c r="E13" s="648">
        <f>SUM(E4:E12)</f>
        <v>10393.99</v>
      </c>
      <c r="F13" s="648" t="s">
        <v>163</v>
      </c>
      <c r="G13" s="648">
        <f>SUM(G4:G12)</f>
        <v>15480.289999999999</v>
      </c>
      <c r="H13" s="648">
        <f>SUM(H4:H12)</f>
        <v>15656</v>
      </c>
      <c r="I13" s="648">
        <f>SUM(I4:I11)-I12</f>
        <v>5.2899999999999636</v>
      </c>
      <c r="J13" s="648"/>
      <c r="K13" s="648"/>
      <c r="L13" s="649"/>
      <c r="M13" s="650" t="s">
        <v>435</v>
      </c>
      <c r="N13" s="651">
        <f>SUM(N4:N12)-0.01</f>
        <v>455739.72759999998</v>
      </c>
    </row>
    <row r="14" spans="1:15" ht="13.5" thickBot="1">
      <c r="A14" s="1091" t="s">
        <v>436</v>
      </c>
      <c r="B14" s="1092"/>
      <c r="C14" s="1092"/>
      <c r="D14" s="1092"/>
      <c r="E14" s="1092"/>
      <c r="F14" s="1092"/>
      <c r="G14" s="1092"/>
      <c r="H14" s="1092"/>
      <c r="I14" s="1092"/>
      <c r="J14" s="1092"/>
      <c r="K14" s="1092"/>
      <c r="L14" s="1092"/>
      <c r="M14" s="1092"/>
      <c r="N14" s="1093"/>
    </row>
    <row r="15" spans="1:15" ht="87" customHeight="1">
      <c r="A15" s="622" t="s">
        <v>437</v>
      </c>
      <c r="B15" s="622" t="s">
        <v>438</v>
      </c>
      <c r="C15" s="624">
        <v>7851.69</v>
      </c>
      <c r="D15" s="623">
        <v>1</v>
      </c>
      <c r="E15" s="624">
        <f>SUM(C15*D15)</f>
        <v>7851.69</v>
      </c>
      <c r="F15" s="623">
        <v>1</v>
      </c>
      <c r="G15" s="625">
        <f>SUM(E15*F15)</f>
        <v>7851.69</v>
      </c>
      <c r="H15" s="625">
        <v>7947</v>
      </c>
      <c r="I15" s="625">
        <f>SUM(G15-H15)</f>
        <v>-95.3100000000004</v>
      </c>
      <c r="J15" s="625"/>
      <c r="K15" s="625"/>
      <c r="L15" s="652"/>
      <c r="M15" s="653">
        <v>14.03</v>
      </c>
      <c r="N15" s="654">
        <f>SUM(G15*M15)</f>
        <v>110159.2107</v>
      </c>
      <c r="O15" s="655"/>
    </row>
    <row r="16" spans="1:15" ht="13.5" thickBot="1">
      <c r="A16" s="656" t="s">
        <v>434</v>
      </c>
      <c r="B16" s="657"/>
      <c r="C16" s="658">
        <f>SUM(C15)</f>
        <v>7851.69</v>
      </c>
      <c r="D16" s="659" t="s">
        <v>163</v>
      </c>
      <c r="E16" s="658">
        <f>SUM(E15)</f>
        <v>7851.69</v>
      </c>
      <c r="F16" s="659" t="s">
        <v>163</v>
      </c>
      <c r="G16" s="660">
        <f>SUM(G15)</f>
        <v>7851.69</v>
      </c>
      <c r="H16" s="660"/>
      <c r="I16" s="661"/>
      <c r="J16" s="661"/>
      <c r="K16" s="661"/>
      <c r="L16" s="662"/>
      <c r="M16" s="663" t="s">
        <v>435</v>
      </c>
      <c r="N16" s="664">
        <f>SUM(N15)</f>
        <v>110159.2107</v>
      </c>
    </row>
    <row r="17" spans="1:14" ht="14.25" thickTop="1" thickBot="1">
      <c r="A17" s="665" t="s">
        <v>439</v>
      </c>
      <c r="B17" s="666"/>
      <c r="C17" s="667">
        <f>SUM(C16)</f>
        <v>7851.69</v>
      </c>
      <c r="D17" s="668"/>
      <c r="E17" s="667">
        <f>SUM(E13+E16)</f>
        <v>18245.68</v>
      </c>
      <c r="F17" s="668"/>
      <c r="G17" s="669">
        <f>SUM(G13+G16)</f>
        <v>23331.98</v>
      </c>
      <c r="H17" s="669"/>
      <c r="I17" s="670"/>
      <c r="J17" s="670"/>
      <c r="K17" s="670"/>
      <c r="L17" s="671"/>
      <c r="M17" s="650" t="s">
        <v>435</v>
      </c>
      <c r="N17" s="651">
        <f>SUM(N13+N16)</f>
        <v>565898.93830000004</v>
      </c>
    </row>
    <row r="18" spans="1:14">
      <c r="A18" s="1094" t="s">
        <v>422</v>
      </c>
      <c r="B18" s="1095"/>
      <c r="C18" s="1095"/>
      <c r="D18" s="1095"/>
      <c r="E18" s="1095"/>
      <c r="F18" s="1095"/>
      <c r="G18" s="1095"/>
      <c r="H18" s="1095"/>
      <c r="I18" s="1095"/>
      <c r="J18" s="1095"/>
      <c r="K18" s="1095"/>
      <c r="L18" s="1095"/>
      <c r="M18" s="1095"/>
      <c r="N18" s="1096"/>
    </row>
    <row r="19" spans="1:14">
      <c r="A19" s="1097" t="s">
        <v>440</v>
      </c>
      <c r="B19" s="1098"/>
      <c r="C19" s="1098"/>
      <c r="D19" s="1098"/>
      <c r="E19" s="1098"/>
      <c r="F19" s="1098"/>
      <c r="G19" s="1098"/>
      <c r="H19" s="1098"/>
      <c r="I19" s="1098"/>
      <c r="J19" s="1098"/>
      <c r="K19" s="1098"/>
      <c r="L19" s="1098"/>
      <c r="M19" s="1098"/>
      <c r="N19" s="1099"/>
    </row>
    <row r="20" spans="1:14" ht="32.25" customHeight="1">
      <c r="A20" s="635">
        <v>248.9</v>
      </c>
      <c r="B20" s="630" t="s">
        <v>441</v>
      </c>
      <c r="C20" s="672">
        <v>47</v>
      </c>
      <c r="D20" s="673">
        <v>1</v>
      </c>
      <c r="E20" s="633">
        <f>SUM(C20*D20)</f>
        <v>47</v>
      </c>
      <c r="F20" s="674">
        <v>1</v>
      </c>
      <c r="G20" s="634">
        <f>SUM(E20*F20)</f>
        <v>47</v>
      </c>
      <c r="H20" s="634">
        <v>45</v>
      </c>
      <c r="I20" s="634">
        <f>SUM(G20-H20)</f>
        <v>2</v>
      </c>
      <c r="J20" s="634"/>
      <c r="K20" s="634"/>
      <c r="L20" s="637" t="s">
        <v>424</v>
      </c>
      <c r="M20" s="627">
        <v>29.44</v>
      </c>
      <c r="N20" s="628">
        <f>SUM(G20*M20)</f>
        <v>1383.68</v>
      </c>
    </row>
    <row r="21" spans="1:14" ht="60.75" customHeight="1">
      <c r="A21" s="635" t="s">
        <v>403</v>
      </c>
      <c r="B21" s="630" t="s">
        <v>442</v>
      </c>
      <c r="C21" s="672">
        <v>47</v>
      </c>
      <c r="D21" s="634">
        <v>1</v>
      </c>
      <c r="E21" s="634">
        <f>SUM(C21*D21)</f>
        <v>47</v>
      </c>
      <c r="F21" s="634">
        <v>2</v>
      </c>
      <c r="G21" s="634">
        <f>SUM(E21*F21)</f>
        <v>94</v>
      </c>
      <c r="H21" s="634">
        <v>90</v>
      </c>
      <c r="I21" s="634">
        <f>SUM(G21-H21)</f>
        <v>4</v>
      </c>
      <c r="J21" s="634"/>
      <c r="K21" s="634"/>
      <c r="L21" s="637" t="s">
        <v>424</v>
      </c>
      <c r="M21" s="627">
        <v>29.44</v>
      </c>
      <c r="N21" s="628">
        <f>SUM(G21*M21)</f>
        <v>2767.36</v>
      </c>
    </row>
    <row r="22" spans="1:14" ht="58.5" customHeight="1">
      <c r="A22" s="635" t="s">
        <v>393</v>
      </c>
      <c r="B22" s="622" t="s">
        <v>443</v>
      </c>
      <c r="C22" s="672">
        <v>47</v>
      </c>
      <c r="D22" s="634">
        <v>1</v>
      </c>
      <c r="E22" s="634">
        <f>SUM(C22*D22)</f>
        <v>47</v>
      </c>
      <c r="F22" s="634">
        <v>2</v>
      </c>
      <c r="G22" s="634">
        <f>SUM(E22*F22)</f>
        <v>94</v>
      </c>
      <c r="H22" s="634">
        <v>90</v>
      </c>
      <c r="I22" s="634">
        <f>SUM(G22-H22)</f>
        <v>4</v>
      </c>
      <c r="J22" s="634"/>
      <c r="K22" s="634"/>
      <c r="L22" s="637" t="s">
        <v>424</v>
      </c>
      <c r="M22" s="627">
        <v>29.44</v>
      </c>
      <c r="N22" s="628">
        <f>SUM(G22*M22)</f>
        <v>2767.36</v>
      </c>
    </row>
    <row r="23" spans="1:14" ht="29.25" customHeight="1" thickBot="1">
      <c r="A23" s="640" t="s">
        <v>444</v>
      </c>
      <c r="B23" s="641" t="s">
        <v>151</v>
      </c>
      <c r="C23" s="642">
        <v>47</v>
      </c>
      <c r="D23" s="645">
        <v>1</v>
      </c>
      <c r="E23" s="645">
        <f>SUM(C23*D23)</f>
        <v>47</v>
      </c>
      <c r="F23" s="645">
        <v>2</v>
      </c>
      <c r="G23" s="645">
        <f>SUM(E23*F23)</f>
        <v>94</v>
      </c>
      <c r="H23" s="645">
        <v>90</v>
      </c>
      <c r="I23" s="645">
        <f>SUM(G23-H23)</f>
        <v>4</v>
      </c>
      <c r="J23" s="675"/>
      <c r="K23" s="675"/>
      <c r="L23" s="637" t="s">
        <v>424</v>
      </c>
      <c r="M23" s="676">
        <v>29.44</v>
      </c>
      <c r="N23" s="677">
        <f>SUM(G23*M23)</f>
        <v>2767.36</v>
      </c>
    </row>
    <row r="24" spans="1:14" ht="45" customHeight="1" thickTop="1" thickBot="1">
      <c r="A24" s="1079" t="s">
        <v>445</v>
      </c>
      <c r="B24" s="1079"/>
      <c r="C24" s="678">
        <v>47</v>
      </c>
      <c r="D24" s="679">
        <f>SUM(E24/C24)</f>
        <v>4</v>
      </c>
      <c r="E24" s="679">
        <f>SUM(E20:E23)</f>
        <v>188</v>
      </c>
      <c r="F24" s="679">
        <f>SUM(G24/E24)</f>
        <v>1.75</v>
      </c>
      <c r="G24" s="679">
        <f>SUM(G20:G23)</f>
        <v>329</v>
      </c>
      <c r="H24" s="679">
        <v>315</v>
      </c>
      <c r="I24" s="679">
        <f>SUM(G24-H24)</f>
        <v>14</v>
      </c>
      <c r="J24" s="679"/>
      <c r="K24" s="679"/>
      <c r="L24" s="646" t="s">
        <v>424</v>
      </c>
      <c r="M24" s="680" t="s">
        <v>435</v>
      </c>
      <c r="N24" s="681">
        <f>SUM(N20:N23)</f>
        <v>9685.76</v>
      </c>
    </row>
    <row r="25" spans="1:14" ht="16.5" thickTop="1">
      <c r="A25" s="1080" t="s">
        <v>446</v>
      </c>
      <c r="B25" s="1081"/>
      <c r="C25" s="682">
        <f>SUM(C13+C17)</f>
        <v>7898.69</v>
      </c>
      <c r="D25" s="683"/>
      <c r="E25" s="684">
        <f>SUM(E17+E24)</f>
        <v>18433.68</v>
      </c>
      <c r="F25" s="683"/>
      <c r="G25" s="684">
        <f>SUM(G17+G24)</f>
        <v>23660.98</v>
      </c>
      <c r="H25" s="685"/>
      <c r="I25" s="686"/>
      <c r="J25" s="686"/>
      <c r="K25" s="686"/>
      <c r="L25" s="687"/>
      <c r="M25" s="688"/>
      <c r="N25" s="689">
        <f>SUM(N17+N24)</f>
        <v>575584.69830000005</v>
      </c>
    </row>
    <row r="27" spans="1:14" ht="69.75" customHeight="1">
      <c r="A27" s="1082"/>
      <c r="B27" s="1082"/>
      <c r="C27" s="1082"/>
      <c r="D27" s="1082"/>
    </row>
  </sheetData>
  <mergeCells count="9">
    <mergeCell ref="A24:B24"/>
    <mergeCell ref="A25:B25"/>
    <mergeCell ref="A27:D27"/>
    <mergeCell ref="A2:N2"/>
    <mergeCell ref="A3:N3"/>
    <mergeCell ref="A13:B13"/>
    <mergeCell ref="A14:N14"/>
    <mergeCell ref="A18:N18"/>
    <mergeCell ref="A19:N19"/>
  </mergeCells>
  <pageMargins left="0.75" right="0.75" top="1" bottom="1"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75718-D756-4F38-B4DE-EA4347203257}">
  <sheetPr>
    <tabColor theme="9" tint="0.79998168889431442"/>
    <pageSetUpPr fitToPage="1"/>
  </sheetPr>
  <dimension ref="A1:P84"/>
  <sheetViews>
    <sheetView zoomScaleNormal="100" workbookViewId="0">
      <pane ySplit="3" topLeftCell="A42" activePane="bottomLeft" state="frozen"/>
      <selection pane="bottomLeft" activeCell="E18" sqref="E18"/>
    </sheetView>
  </sheetViews>
  <sheetFormatPr defaultColWidth="9.140625" defaultRowHeight="15"/>
  <cols>
    <col min="1" max="1" width="13.85546875" style="71" customWidth="1"/>
    <col min="2" max="2" width="41.7109375" style="72" customWidth="1"/>
    <col min="3" max="3" width="16.5703125" style="72" bestFit="1" customWidth="1"/>
    <col min="4" max="4" width="15.28515625" style="72" customWidth="1"/>
    <col min="5" max="5" width="21.5703125" style="72" customWidth="1"/>
    <col min="6" max="6" width="17.28515625" style="72" customWidth="1"/>
    <col min="7" max="7" width="14" style="72" bestFit="1" customWidth="1"/>
    <col min="8" max="8" width="13.7109375" style="72" customWidth="1"/>
    <col min="9" max="9" width="15.42578125" style="72" customWidth="1"/>
    <col min="10" max="10" width="14.7109375" style="72" customWidth="1"/>
    <col min="11" max="11" width="12.7109375" style="72" customWidth="1"/>
    <col min="12" max="12" width="21.140625" style="72" customWidth="1"/>
    <col min="13" max="13" width="3.28515625" style="17" customWidth="1"/>
    <col min="14" max="14" width="13.42578125" style="17" customWidth="1"/>
    <col min="15" max="15" width="11.5703125" style="17" customWidth="1"/>
    <col min="16" max="16" width="11.140625" style="17" customWidth="1"/>
    <col min="17" max="16384" width="9.140625" style="17"/>
  </cols>
  <sheetData>
    <row r="1" spans="1:16" s="3" customFormat="1" ht="21">
      <c r="A1" s="1" t="s">
        <v>447</v>
      </c>
      <c r="B1" s="2"/>
      <c r="C1" s="2"/>
      <c r="D1" s="2"/>
      <c r="E1" s="2"/>
      <c r="F1" s="2"/>
      <c r="G1" s="2"/>
      <c r="H1" s="2"/>
      <c r="I1" s="2"/>
      <c r="J1" s="2"/>
      <c r="K1" s="2"/>
      <c r="L1" s="2"/>
    </row>
    <row r="2" spans="1:16" s="4" customFormat="1" ht="18">
      <c r="A2" s="1115" t="s">
        <v>1</v>
      </c>
      <c r="B2" s="1115"/>
      <c r="C2" s="1115"/>
      <c r="D2" s="1115"/>
      <c r="E2" s="1115"/>
      <c r="F2" s="1115"/>
      <c r="G2" s="1115"/>
      <c r="H2" s="1115"/>
      <c r="I2" s="1115"/>
      <c r="J2" s="1115"/>
      <c r="K2" s="1115"/>
      <c r="L2" s="1115"/>
    </row>
    <row r="3" spans="1:16" s="4" customFormat="1" ht="120.6" customHeight="1">
      <c r="A3" s="5" t="s">
        <v>178</v>
      </c>
      <c r="B3" s="5" t="s">
        <v>5</v>
      </c>
      <c r="C3" s="6" t="s">
        <v>6</v>
      </c>
      <c r="D3" s="5" t="s">
        <v>7</v>
      </c>
      <c r="E3" s="5" t="s">
        <v>8</v>
      </c>
      <c r="F3" s="7" t="s">
        <v>9</v>
      </c>
      <c r="G3" s="5" t="s">
        <v>10</v>
      </c>
      <c r="H3" s="7" t="s">
        <v>11</v>
      </c>
      <c r="I3" s="5" t="s">
        <v>448</v>
      </c>
      <c r="J3" s="5" t="s">
        <v>180</v>
      </c>
      <c r="K3" s="5" t="s">
        <v>181</v>
      </c>
      <c r="L3" s="5" t="s">
        <v>343</v>
      </c>
      <c r="N3" s="8"/>
      <c r="O3" s="9"/>
      <c r="P3" s="8"/>
    </row>
    <row r="4" spans="1:16" s="4" customFormat="1">
      <c r="A4" s="1108" t="s">
        <v>20</v>
      </c>
      <c r="B4" s="1109"/>
      <c r="C4" s="1109"/>
      <c r="D4" s="1109"/>
      <c r="E4" s="1109"/>
      <c r="F4" s="1109"/>
      <c r="G4" s="1109"/>
      <c r="H4" s="1109"/>
      <c r="I4" s="1109"/>
      <c r="J4" s="1109"/>
      <c r="K4" s="1109"/>
      <c r="L4" s="1110"/>
      <c r="N4" s="10"/>
      <c r="O4" s="10"/>
      <c r="P4" s="10"/>
    </row>
    <row r="5" spans="1:16" s="4" customFormat="1">
      <c r="A5" s="1111" t="s">
        <v>21</v>
      </c>
      <c r="B5" s="1111"/>
      <c r="C5" s="1111"/>
      <c r="D5" s="1111"/>
      <c r="E5" s="1111"/>
      <c r="F5" s="1111"/>
      <c r="G5" s="1111"/>
      <c r="H5" s="1111"/>
      <c r="I5" s="1111"/>
      <c r="J5" s="1111"/>
      <c r="K5" s="1111"/>
      <c r="L5" s="1111"/>
    </row>
    <row r="6" spans="1:16" ht="59.25" customHeight="1">
      <c r="A6" s="11" t="s">
        <v>23</v>
      </c>
      <c r="B6" s="46" t="s">
        <v>449</v>
      </c>
      <c r="C6" s="12"/>
      <c r="D6" s="13">
        <f>968*0.7</f>
        <v>677.59999999999991</v>
      </c>
      <c r="E6" s="14">
        <v>0.5</v>
      </c>
      <c r="F6" s="15">
        <f>D6*E6</f>
        <v>338.79999999999995</v>
      </c>
      <c r="G6" s="14">
        <v>2</v>
      </c>
      <c r="H6" s="15">
        <f>F6*G6</f>
        <v>677.59999999999991</v>
      </c>
      <c r="I6" s="14">
        <v>1060</v>
      </c>
      <c r="J6" s="14">
        <f>H6-I6</f>
        <v>-382.40000000000009</v>
      </c>
      <c r="K6" s="14">
        <v>0</v>
      </c>
      <c r="L6" s="16" t="s">
        <v>450</v>
      </c>
    </row>
    <row r="7" spans="1:16" ht="39.75" customHeight="1">
      <c r="A7" s="11">
        <v>249.4</v>
      </c>
      <c r="B7" s="46" t="s">
        <v>451</v>
      </c>
      <c r="C7" s="12" t="s">
        <v>452</v>
      </c>
      <c r="D7" s="14">
        <v>55</v>
      </c>
      <c r="E7" s="14">
        <v>1</v>
      </c>
      <c r="F7" s="15">
        <f t="shared" ref="F7:F24" si="0">D7*E7</f>
        <v>55</v>
      </c>
      <c r="G7" s="14">
        <v>40</v>
      </c>
      <c r="H7" s="15">
        <f t="shared" ref="H7:H24" si="1">F7*G7</f>
        <v>2200</v>
      </c>
      <c r="I7" s="14">
        <v>2120</v>
      </c>
      <c r="J7" s="14">
        <f t="shared" ref="J7:J19" si="2">H7-I7</f>
        <v>80</v>
      </c>
      <c r="K7" s="14">
        <v>0</v>
      </c>
      <c r="L7" s="16" t="s">
        <v>453</v>
      </c>
    </row>
    <row r="8" spans="1:16" ht="56.25" customHeight="1">
      <c r="A8" s="11" t="s">
        <v>220</v>
      </c>
      <c r="B8" s="46" t="s">
        <v>454</v>
      </c>
      <c r="C8" s="18"/>
      <c r="D8" s="14">
        <v>55</v>
      </c>
      <c r="E8" s="14">
        <f>725686/55</f>
        <v>13194.290909090909</v>
      </c>
      <c r="F8" s="19">
        <f t="shared" si="0"/>
        <v>725686</v>
      </c>
      <c r="G8" s="14">
        <v>0.25</v>
      </c>
      <c r="H8" s="19">
        <f t="shared" si="1"/>
        <v>181421.5</v>
      </c>
      <c r="I8" s="20">
        <v>210000</v>
      </c>
      <c r="J8" s="21">
        <f>H8-I8</f>
        <v>-28578.5</v>
      </c>
      <c r="K8" s="22">
        <v>0</v>
      </c>
      <c r="L8" s="16" t="s">
        <v>383</v>
      </c>
    </row>
    <row r="9" spans="1:16" ht="67.5" customHeight="1">
      <c r="A9" s="23" t="s">
        <v>455</v>
      </c>
      <c r="B9" s="38" t="s">
        <v>456</v>
      </c>
      <c r="C9" s="25"/>
      <c r="D9" s="13">
        <v>55</v>
      </c>
      <c r="E9" s="13">
        <f>(19555/2)/55</f>
        <v>177.77272727272728</v>
      </c>
      <c r="F9" s="15">
        <f t="shared" si="0"/>
        <v>9777.5</v>
      </c>
      <c r="G9" s="13">
        <v>0.25</v>
      </c>
      <c r="H9" s="19">
        <f t="shared" si="1"/>
        <v>2444.375</v>
      </c>
      <c r="I9" s="26">
        <v>3231</v>
      </c>
      <c r="J9" s="27">
        <f>H9-I9</f>
        <v>-786.625</v>
      </c>
      <c r="K9" s="28">
        <v>0</v>
      </c>
      <c r="L9" s="29" t="s">
        <v>457</v>
      </c>
    </row>
    <row r="10" spans="1:16" ht="65.099999999999994" customHeight="1">
      <c r="A10" s="30" t="s">
        <v>50</v>
      </c>
      <c r="B10" s="38" t="s">
        <v>353</v>
      </c>
      <c r="C10" s="25"/>
      <c r="D10" s="13">
        <v>55</v>
      </c>
      <c r="E10" s="13">
        <v>1</v>
      </c>
      <c r="F10" s="15">
        <f t="shared" si="0"/>
        <v>55</v>
      </c>
      <c r="G10" s="13">
        <v>8</v>
      </c>
      <c r="H10" s="15">
        <f t="shared" si="1"/>
        <v>440</v>
      </c>
      <c r="I10" s="28">
        <v>0</v>
      </c>
      <c r="J10" s="31"/>
      <c r="K10" s="28">
        <f>H10-I10</f>
        <v>440</v>
      </c>
      <c r="L10" s="32" t="s">
        <v>377</v>
      </c>
    </row>
    <row r="11" spans="1:16" ht="68.099999999999994" customHeight="1">
      <c r="A11" s="30" t="s">
        <v>50</v>
      </c>
      <c r="B11" s="38" t="s">
        <v>54</v>
      </c>
      <c r="C11" s="25"/>
      <c r="D11" s="13">
        <v>55</v>
      </c>
      <c r="E11" s="13">
        <v>15</v>
      </c>
      <c r="F11" s="15">
        <f t="shared" si="0"/>
        <v>825</v>
      </c>
      <c r="G11" s="13">
        <v>2</v>
      </c>
      <c r="H11" s="19">
        <f t="shared" si="1"/>
        <v>1650</v>
      </c>
      <c r="I11" s="26">
        <v>0</v>
      </c>
      <c r="J11" s="27"/>
      <c r="K11" s="26">
        <f t="shared" ref="K11:K12" si="3">H11-I11</f>
        <v>1650</v>
      </c>
      <c r="L11" s="25" t="s">
        <v>377</v>
      </c>
    </row>
    <row r="12" spans="1:16" ht="57.6" customHeight="1">
      <c r="A12" s="30" t="s">
        <v>46</v>
      </c>
      <c r="B12" s="38" t="s">
        <v>47</v>
      </c>
      <c r="C12" s="25"/>
      <c r="D12" s="13">
        <v>5</v>
      </c>
      <c r="E12" s="13">
        <v>1</v>
      </c>
      <c r="F12" s="15">
        <f t="shared" si="0"/>
        <v>5</v>
      </c>
      <c r="G12" s="13">
        <v>8.3500000000000005E-2</v>
      </c>
      <c r="H12" s="15">
        <f t="shared" si="1"/>
        <v>0.41750000000000004</v>
      </c>
      <c r="I12" s="28">
        <v>0</v>
      </c>
      <c r="J12" s="31"/>
      <c r="K12" s="28">
        <f t="shared" si="3"/>
        <v>0.41750000000000004</v>
      </c>
      <c r="L12" s="25" t="s">
        <v>377</v>
      </c>
    </row>
    <row r="13" spans="1:16" ht="60" customHeight="1">
      <c r="A13" s="23" t="s">
        <v>458</v>
      </c>
      <c r="B13" s="38" t="s">
        <v>459</v>
      </c>
      <c r="C13" s="33"/>
      <c r="D13" s="13">
        <v>55</v>
      </c>
      <c r="E13" s="13">
        <f>(19555/55)*0.1</f>
        <v>35.554545454545455</v>
      </c>
      <c r="F13" s="19">
        <f t="shared" si="0"/>
        <v>1955.5</v>
      </c>
      <c r="G13" s="13">
        <v>1.5</v>
      </c>
      <c r="H13" s="19">
        <f t="shared" si="1"/>
        <v>2933.25</v>
      </c>
      <c r="I13" s="34">
        <v>3877</v>
      </c>
      <c r="J13" s="13">
        <f t="shared" si="2"/>
        <v>-943.75</v>
      </c>
      <c r="K13" s="13"/>
      <c r="L13" s="29" t="s">
        <v>460</v>
      </c>
    </row>
    <row r="14" spans="1:16" ht="71.099999999999994" customHeight="1">
      <c r="A14" s="23" t="s">
        <v>461</v>
      </c>
      <c r="B14" s="38" t="s">
        <v>61</v>
      </c>
      <c r="C14" s="33"/>
      <c r="D14" s="13">
        <v>55</v>
      </c>
      <c r="E14" s="13">
        <f>(968/55)*0.5</f>
        <v>8.8000000000000007</v>
      </c>
      <c r="F14" s="15">
        <f>D14*E14</f>
        <v>484.00000000000006</v>
      </c>
      <c r="G14" s="13">
        <v>2</v>
      </c>
      <c r="H14" s="15">
        <f>F14*G14</f>
        <v>968.00000000000011</v>
      </c>
      <c r="I14" s="13">
        <v>0</v>
      </c>
      <c r="J14" s="13"/>
      <c r="K14" s="13">
        <f>H14-I14</f>
        <v>968.00000000000011</v>
      </c>
      <c r="L14" s="25" t="s">
        <v>377</v>
      </c>
    </row>
    <row r="15" spans="1:16" ht="45.75" customHeight="1">
      <c r="A15" s="11" t="s">
        <v>64</v>
      </c>
      <c r="B15" s="46" t="s">
        <v>462</v>
      </c>
      <c r="C15" s="12"/>
      <c r="D15" s="14">
        <v>55</v>
      </c>
      <c r="E15" s="13">
        <v>1</v>
      </c>
      <c r="F15" s="15">
        <f t="shared" si="0"/>
        <v>55</v>
      </c>
      <c r="G15" s="14">
        <v>5</v>
      </c>
      <c r="H15" s="15">
        <f t="shared" si="1"/>
        <v>275</v>
      </c>
      <c r="I15" s="14">
        <v>265</v>
      </c>
      <c r="J15" s="14">
        <f t="shared" si="2"/>
        <v>10</v>
      </c>
      <c r="K15" s="14"/>
      <c r="L15" s="16" t="s">
        <v>463</v>
      </c>
    </row>
    <row r="16" spans="1:16" ht="25.5">
      <c r="A16" s="11" t="s">
        <v>67</v>
      </c>
      <c r="B16" s="46" t="s">
        <v>68</v>
      </c>
      <c r="C16" s="12"/>
      <c r="D16" s="14">
        <v>55</v>
      </c>
      <c r="E16" s="14">
        <v>1</v>
      </c>
      <c r="F16" s="15">
        <f t="shared" si="0"/>
        <v>55</v>
      </c>
      <c r="G16" s="14">
        <v>3</v>
      </c>
      <c r="H16" s="15">
        <f t="shared" si="1"/>
        <v>165</v>
      </c>
      <c r="I16" s="14">
        <v>159</v>
      </c>
      <c r="J16" s="14">
        <f t="shared" si="2"/>
        <v>6</v>
      </c>
      <c r="K16" s="14"/>
      <c r="L16" s="16" t="s">
        <v>463</v>
      </c>
    </row>
    <row r="17" spans="1:12" ht="38.25">
      <c r="A17" s="11" t="s">
        <v>75</v>
      </c>
      <c r="B17" s="46" t="s">
        <v>355</v>
      </c>
      <c r="C17" s="12"/>
      <c r="D17" s="14">
        <v>55</v>
      </c>
      <c r="E17" s="14">
        <f>500/55</f>
        <v>9.0909090909090917</v>
      </c>
      <c r="F17" s="15">
        <f t="shared" si="0"/>
        <v>500.00000000000006</v>
      </c>
      <c r="G17" s="14">
        <v>1</v>
      </c>
      <c r="H17" s="15">
        <f t="shared" si="1"/>
        <v>500.00000000000006</v>
      </c>
      <c r="I17" s="14">
        <v>0</v>
      </c>
      <c r="J17" s="14"/>
      <c r="K17" s="14">
        <f>H17-I17</f>
        <v>500.00000000000006</v>
      </c>
      <c r="L17" s="35" t="s">
        <v>377</v>
      </c>
    </row>
    <row r="18" spans="1:12" ht="38.25">
      <c r="A18" s="11" t="s">
        <v>79</v>
      </c>
      <c r="B18" s="46" t="s">
        <v>464</v>
      </c>
      <c r="C18" s="12"/>
      <c r="D18" s="14">
        <v>55</v>
      </c>
      <c r="E18" s="14">
        <f>(19555*0.02)/55</f>
        <v>7.1109090909090913</v>
      </c>
      <c r="F18" s="15">
        <f t="shared" si="0"/>
        <v>391.1</v>
      </c>
      <c r="G18" s="14">
        <v>8.3500000000000005E-2</v>
      </c>
      <c r="H18" s="15">
        <f t="shared" si="1"/>
        <v>32.656850000000006</v>
      </c>
      <c r="I18" s="14">
        <v>0</v>
      </c>
      <c r="J18" s="14"/>
      <c r="K18" s="14">
        <f>H18-I18</f>
        <v>32.656850000000006</v>
      </c>
      <c r="L18" s="35" t="s">
        <v>377</v>
      </c>
    </row>
    <row r="19" spans="1:12" ht="25.5">
      <c r="A19" s="23">
        <v>249.11</v>
      </c>
      <c r="B19" s="46" t="s">
        <v>465</v>
      </c>
      <c r="C19" s="12"/>
      <c r="D19" s="14">
        <v>55</v>
      </c>
      <c r="E19" s="14">
        <v>1</v>
      </c>
      <c r="F19" s="15">
        <f t="shared" si="0"/>
        <v>55</v>
      </c>
      <c r="G19" s="14">
        <v>10</v>
      </c>
      <c r="H19" s="15">
        <f t="shared" si="1"/>
        <v>550</v>
      </c>
      <c r="I19" s="14">
        <v>530</v>
      </c>
      <c r="J19" s="14">
        <f t="shared" si="2"/>
        <v>20</v>
      </c>
      <c r="K19" s="14"/>
      <c r="L19" s="16" t="s">
        <v>463</v>
      </c>
    </row>
    <row r="20" spans="1:12" ht="60.95" customHeight="1">
      <c r="A20" s="11" t="s">
        <v>85</v>
      </c>
      <c r="B20" s="38" t="s">
        <v>357</v>
      </c>
      <c r="C20" s="36"/>
      <c r="D20" s="14">
        <v>5</v>
      </c>
      <c r="E20" s="14">
        <v>1</v>
      </c>
      <c r="F20" s="15">
        <f t="shared" si="0"/>
        <v>5</v>
      </c>
      <c r="G20" s="14">
        <v>40</v>
      </c>
      <c r="H20" s="15">
        <f t="shared" si="1"/>
        <v>200</v>
      </c>
      <c r="I20" s="14">
        <v>200</v>
      </c>
      <c r="J20" s="14">
        <f>H20-I20</f>
        <v>0</v>
      </c>
      <c r="K20" s="14">
        <v>0</v>
      </c>
      <c r="L20" s="37" t="s">
        <v>28</v>
      </c>
    </row>
    <row r="21" spans="1:12" ht="40.5" customHeight="1">
      <c r="A21" s="11" t="s">
        <v>88</v>
      </c>
      <c r="B21" s="38" t="s">
        <v>359</v>
      </c>
      <c r="C21" s="36"/>
      <c r="D21" s="14">
        <v>1</v>
      </c>
      <c r="E21" s="14">
        <v>1</v>
      </c>
      <c r="F21" s="15">
        <f t="shared" si="0"/>
        <v>1</v>
      </c>
      <c r="G21" s="14">
        <v>24</v>
      </c>
      <c r="H21" s="15">
        <f t="shared" si="1"/>
        <v>24</v>
      </c>
      <c r="I21" s="14">
        <v>0</v>
      </c>
      <c r="J21" s="14"/>
      <c r="K21" s="14">
        <f>H21-I21</f>
        <v>24</v>
      </c>
      <c r="L21" s="25" t="s">
        <v>377</v>
      </c>
    </row>
    <row r="22" spans="1:12">
      <c r="A22" s="11" t="s">
        <v>466</v>
      </c>
      <c r="B22" s="46" t="s">
        <v>467</v>
      </c>
      <c r="C22" s="12"/>
      <c r="D22" s="14">
        <v>8</v>
      </c>
      <c r="E22" s="14">
        <v>1</v>
      </c>
      <c r="F22" s="15">
        <f t="shared" si="0"/>
        <v>8</v>
      </c>
      <c r="G22" s="14">
        <v>10</v>
      </c>
      <c r="H22" s="15">
        <f t="shared" si="1"/>
        <v>80</v>
      </c>
      <c r="I22" s="14">
        <v>80</v>
      </c>
      <c r="J22" s="14">
        <f>H22-I22</f>
        <v>0</v>
      </c>
      <c r="K22" s="14"/>
      <c r="L22" s="16" t="s">
        <v>28</v>
      </c>
    </row>
    <row r="23" spans="1:12" ht="38.25">
      <c r="A23" s="11" t="s">
        <v>95</v>
      </c>
      <c r="B23" s="39" t="s">
        <v>96</v>
      </c>
      <c r="C23" s="12"/>
      <c r="D23" s="14">
        <v>2</v>
      </c>
      <c r="E23" s="14">
        <v>1</v>
      </c>
      <c r="F23" s="15">
        <f t="shared" si="0"/>
        <v>2</v>
      </c>
      <c r="G23" s="14">
        <v>10</v>
      </c>
      <c r="H23" s="15">
        <f t="shared" si="1"/>
        <v>20</v>
      </c>
      <c r="I23" s="14">
        <v>0</v>
      </c>
      <c r="J23" s="14"/>
      <c r="K23" s="14">
        <f>H23-I23</f>
        <v>20</v>
      </c>
      <c r="L23" s="35" t="s">
        <v>377</v>
      </c>
    </row>
    <row r="24" spans="1:12">
      <c r="A24" s="11" t="s">
        <v>98</v>
      </c>
      <c r="B24" s="46" t="s">
        <v>468</v>
      </c>
      <c r="C24" s="12"/>
      <c r="D24" s="13">
        <v>1</v>
      </c>
      <c r="E24" s="13">
        <v>1</v>
      </c>
      <c r="F24" s="13">
        <f t="shared" si="0"/>
        <v>1</v>
      </c>
      <c r="G24" s="13">
        <v>15</v>
      </c>
      <c r="H24" s="13">
        <f t="shared" si="1"/>
        <v>15</v>
      </c>
      <c r="I24" s="13">
        <v>15</v>
      </c>
      <c r="J24" s="13">
        <f>H24-I24</f>
        <v>0</v>
      </c>
      <c r="K24" s="14"/>
      <c r="L24" s="16" t="s">
        <v>28</v>
      </c>
    </row>
    <row r="25" spans="1:12">
      <c r="A25" s="1100" t="s">
        <v>469</v>
      </c>
      <c r="B25" s="1101"/>
      <c r="C25" s="40"/>
      <c r="D25" s="41">
        <f>D6+D7</f>
        <v>732.59999999999991</v>
      </c>
      <c r="E25" s="42">
        <f>F25/D25</f>
        <v>1010.4489489489491</v>
      </c>
      <c r="F25" s="34">
        <f>SUM(F6:F24)</f>
        <v>740254.9</v>
      </c>
      <c r="G25" s="42">
        <f>H25/F25</f>
        <v>0.26287809692310043</v>
      </c>
      <c r="H25" s="34">
        <f>SUM(H6:H24)</f>
        <v>194596.79935000002</v>
      </c>
      <c r="I25" s="42">
        <f>SUM(I6:I24)</f>
        <v>221537</v>
      </c>
      <c r="J25" s="42">
        <f>SUM(J6:J24)</f>
        <v>-30575.275000000001</v>
      </c>
      <c r="K25" s="43">
        <f>SUM(K6:K24)</f>
        <v>3635.0743499999999</v>
      </c>
      <c r="L25" s="938"/>
    </row>
    <row r="26" spans="1:12" s="44" customFormat="1">
      <c r="A26" s="1116" t="s">
        <v>360</v>
      </c>
      <c r="B26" s="1117"/>
      <c r="C26" s="1117"/>
      <c r="D26" s="1117"/>
      <c r="E26" s="1117"/>
      <c r="F26" s="1117"/>
      <c r="G26" s="1117"/>
      <c r="H26" s="1117"/>
      <c r="I26" s="1117"/>
      <c r="J26" s="1117"/>
      <c r="K26" s="1117"/>
      <c r="L26" s="1118"/>
    </row>
    <row r="27" spans="1:12" ht="44.1" customHeight="1">
      <c r="A27" s="45">
        <v>249.6</v>
      </c>
      <c r="B27" s="46" t="s">
        <v>454</v>
      </c>
      <c r="C27" s="18"/>
      <c r="D27" s="47">
        <v>725686</v>
      </c>
      <c r="E27" s="48">
        <v>1</v>
      </c>
      <c r="F27" s="19">
        <f>D27*E27</f>
        <v>725686</v>
      </c>
      <c r="G27" s="49">
        <v>1.67E-2</v>
      </c>
      <c r="H27" s="19">
        <f>F27*G27</f>
        <v>12118.956200000001</v>
      </c>
      <c r="I27" s="20">
        <v>14028</v>
      </c>
      <c r="J27" s="50">
        <f>H27-I27</f>
        <v>-1909.0437999999995</v>
      </c>
      <c r="K27" s="51">
        <v>0</v>
      </c>
      <c r="L27" s="37" t="s">
        <v>470</v>
      </c>
    </row>
    <row r="28" spans="1:12" ht="44.1" customHeight="1">
      <c r="A28" s="52" t="s">
        <v>75</v>
      </c>
      <c r="B28" s="53" t="s">
        <v>471</v>
      </c>
      <c r="C28" s="18"/>
      <c r="D28" s="47">
        <v>500</v>
      </c>
      <c r="E28" s="48">
        <v>1</v>
      </c>
      <c r="F28" s="19">
        <f>D28*E28</f>
        <v>500</v>
      </c>
      <c r="G28" s="49">
        <v>0.5</v>
      </c>
      <c r="H28" s="19">
        <f>G28*F28</f>
        <v>250</v>
      </c>
      <c r="I28" s="20">
        <v>0</v>
      </c>
      <c r="J28" s="50">
        <v>0</v>
      </c>
      <c r="K28" s="20">
        <f>H28-I28</f>
        <v>250</v>
      </c>
      <c r="L28" s="25" t="s">
        <v>377</v>
      </c>
    </row>
    <row r="29" spans="1:12" ht="44.1" customHeight="1">
      <c r="A29" s="52" t="s">
        <v>472</v>
      </c>
      <c r="B29" s="53" t="s">
        <v>107</v>
      </c>
      <c r="C29" s="18"/>
      <c r="D29" s="47">
        <f>725686*0.02*0.02</f>
        <v>290.27440000000001</v>
      </c>
      <c r="E29" s="48">
        <v>1</v>
      </c>
      <c r="F29" s="19">
        <f>D29*E29</f>
        <v>290.27440000000001</v>
      </c>
      <c r="G29" s="49">
        <v>2</v>
      </c>
      <c r="H29" s="19">
        <f>G29*F29</f>
        <v>580.54880000000003</v>
      </c>
      <c r="I29" s="20">
        <v>0</v>
      </c>
      <c r="J29" s="50">
        <v>0</v>
      </c>
      <c r="K29" s="20">
        <f>H29-I29</f>
        <v>580.54880000000003</v>
      </c>
      <c r="L29" s="25" t="s">
        <v>377</v>
      </c>
    </row>
    <row r="30" spans="1:12">
      <c r="A30" s="1105" t="s">
        <v>109</v>
      </c>
      <c r="B30" s="1114"/>
      <c r="C30" s="54"/>
      <c r="D30" s="55">
        <f>D27</f>
        <v>725686</v>
      </c>
      <c r="E30" s="56">
        <v>2</v>
      </c>
      <c r="F30" s="57">
        <f>SUM(F27:F29)</f>
        <v>726476.27439999999</v>
      </c>
      <c r="G30" s="58">
        <f>H30/F30</f>
        <v>1.7825090035727669E-2</v>
      </c>
      <c r="H30" s="43">
        <f>SUM(H27:H29)</f>
        <v>12949.505000000001</v>
      </c>
      <c r="I30" s="59">
        <f>SUM(I27:I29)</f>
        <v>14028</v>
      </c>
      <c r="J30" s="60">
        <f>SUM(J27:J29)</f>
        <v>-1909.0437999999995</v>
      </c>
      <c r="K30" s="60">
        <f>SUM(K27:K29)</f>
        <v>830.54880000000003</v>
      </c>
      <c r="L30" s="54"/>
    </row>
    <row r="31" spans="1:12" s="44" customFormat="1">
      <c r="A31" s="1102" t="s">
        <v>473</v>
      </c>
      <c r="B31" s="1103"/>
      <c r="C31" s="1103"/>
      <c r="D31" s="1103"/>
      <c r="E31" s="1103"/>
      <c r="F31" s="1103"/>
      <c r="G31" s="1103"/>
      <c r="H31" s="1103"/>
      <c r="I31" s="1103"/>
      <c r="J31" s="1103"/>
      <c r="K31" s="1103"/>
      <c r="L31" s="1104"/>
    </row>
    <row r="32" spans="1:12" ht="48.95" customHeight="1">
      <c r="A32" s="45" t="s">
        <v>23</v>
      </c>
      <c r="B32" s="24" t="s">
        <v>362</v>
      </c>
      <c r="C32" s="37"/>
      <c r="D32" s="61">
        <f>968*0.3</f>
        <v>290.39999999999998</v>
      </c>
      <c r="E32" s="48">
        <v>0.5</v>
      </c>
      <c r="F32" s="62">
        <f>D32*E32</f>
        <v>145.19999999999999</v>
      </c>
      <c r="G32" s="48">
        <v>2</v>
      </c>
      <c r="H32" s="62">
        <f>F32*G32</f>
        <v>290.39999999999998</v>
      </c>
      <c r="I32" s="63">
        <v>0</v>
      </c>
      <c r="J32" s="18">
        <v>0</v>
      </c>
      <c r="K32" s="18">
        <f>H32-I32</f>
        <v>290.39999999999998</v>
      </c>
      <c r="L32" s="25" t="s">
        <v>377</v>
      </c>
    </row>
    <row r="33" spans="1:12" ht="83.1" customHeight="1">
      <c r="A33" s="45" t="s">
        <v>114</v>
      </c>
      <c r="B33" s="38" t="s">
        <v>115</v>
      </c>
      <c r="C33" s="37"/>
      <c r="D33" s="48">
        <f>19555/2</f>
        <v>9777.5</v>
      </c>
      <c r="E33" s="48">
        <v>1</v>
      </c>
      <c r="F33" s="19">
        <f>D33*E33</f>
        <v>9777.5</v>
      </c>
      <c r="G33" s="64">
        <v>8.3500000000000005E-2</v>
      </c>
      <c r="H33" s="15">
        <f t="shared" ref="H33:H37" si="4">F33*G33</f>
        <v>816.4212500000001</v>
      </c>
      <c r="I33" s="63">
        <v>1034</v>
      </c>
      <c r="J33" s="22">
        <f>H33-I33</f>
        <v>-217.5787499999999</v>
      </c>
      <c r="K33" s="18">
        <v>0</v>
      </c>
      <c r="L33" s="65" t="s">
        <v>474</v>
      </c>
    </row>
    <row r="34" spans="1:12" ht="45.95" customHeight="1">
      <c r="A34" s="45" t="s">
        <v>46</v>
      </c>
      <c r="B34" s="24" t="s">
        <v>107</v>
      </c>
      <c r="C34" s="37"/>
      <c r="D34" s="13">
        <f>19555*0.02*0.02</f>
        <v>7.822000000000001</v>
      </c>
      <c r="E34" s="48">
        <v>1</v>
      </c>
      <c r="F34" s="15">
        <f t="shared" ref="F34:F37" si="5">D34*E34</f>
        <v>7.822000000000001</v>
      </c>
      <c r="G34" s="48">
        <v>2</v>
      </c>
      <c r="H34" s="15">
        <f t="shared" si="4"/>
        <v>15.644000000000002</v>
      </c>
      <c r="I34" s="63">
        <v>0</v>
      </c>
      <c r="J34" s="18">
        <v>0</v>
      </c>
      <c r="K34" s="18">
        <f t="shared" ref="K34:K36" si="6">H34-I34</f>
        <v>15.644000000000002</v>
      </c>
      <c r="L34" s="25" t="s">
        <v>377</v>
      </c>
    </row>
    <row r="35" spans="1:12" ht="54.6" customHeight="1">
      <c r="A35" s="45" t="s">
        <v>118</v>
      </c>
      <c r="B35" s="24" t="s">
        <v>192</v>
      </c>
      <c r="C35" s="37"/>
      <c r="D35" s="49">
        <v>19555</v>
      </c>
      <c r="E35" s="48">
        <v>1</v>
      </c>
      <c r="F35" s="19">
        <f t="shared" si="5"/>
        <v>19555</v>
      </c>
      <c r="G35" s="48">
        <v>2</v>
      </c>
      <c r="H35" s="19">
        <f t="shared" si="4"/>
        <v>39110</v>
      </c>
      <c r="I35" s="63">
        <v>0</v>
      </c>
      <c r="J35" s="18">
        <v>0</v>
      </c>
      <c r="K35" s="50">
        <f t="shared" si="6"/>
        <v>39110</v>
      </c>
      <c r="L35" s="25" t="s">
        <v>377</v>
      </c>
    </row>
    <row r="36" spans="1:12" ht="48" customHeight="1">
      <c r="A36" s="66" t="s">
        <v>121</v>
      </c>
      <c r="B36" s="24" t="s">
        <v>122</v>
      </c>
      <c r="C36" s="37"/>
      <c r="D36" s="49">
        <v>19555</v>
      </c>
      <c r="E36" s="49">
        <v>9</v>
      </c>
      <c r="F36" s="19">
        <f t="shared" si="5"/>
        <v>175995</v>
      </c>
      <c r="G36" s="49">
        <v>4</v>
      </c>
      <c r="H36" s="19">
        <f t="shared" si="4"/>
        <v>703980</v>
      </c>
      <c r="I36" s="63">
        <v>0</v>
      </c>
      <c r="J36" s="18">
        <v>0</v>
      </c>
      <c r="K36" s="50">
        <f t="shared" si="6"/>
        <v>703980</v>
      </c>
      <c r="L36" s="25" t="s">
        <v>377</v>
      </c>
    </row>
    <row r="37" spans="1:12" ht="40.5" customHeight="1">
      <c r="A37" s="45" t="s">
        <v>75</v>
      </c>
      <c r="B37" s="24" t="s">
        <v>364</v>
      </c>
      <c r="C37" s="37"/>
      <c r="D37" s="48">
        <v>500</v>
      </c>
      <c r="E37" s="48">
        <v>1</v>
      </c>
      <c r="F37" s="62">
        <f t="shared" si="5"/>
        <v>500</v>
      </c>
      <c r="G37" s="48">
        <v>0.5</v>
      </c>
      <c r="H37" s="62">
        <f t="shared" si="4"/>
        <v>250</v>
      </c>
      <c r="I37" s="63">
        <v>0</v>
      </c>
      <c r="J37" s="18">
        <v>0</v>
      </c>
      <c r="K37" s="18">
        <f>H37-I37</f>
        <v>250</v>
      </c>
      <c r="L37" s="25" t="s">
        <v>377</v>
      </c>
    </row>
    <row r="38" spans="1:12">
      <c r="A38" s="1105" t="s">
        <v>475</v>
      </c>
      <c r="B38" s="1106"/>
      <c r="C38" s="54"/>
      <c r="D38" s="55">
        <f>D32+D36</f>
        <v>19845.400000000001</v>
      </c>
      <c r="E38" s="56">
        <f>F38/D38</f>
        <v>10.379257762504157</v>
      </c>
      <c r="F38" s="43">
        <f>SUM(F32:F37)</f>
        <v>205980.522</v>
      </c>
      <c r="G38" s="56">
        <f>H38/F38</f>
        <v>3.6142372007873638</v>
      </c>
      <c r="H38" s="43">
        <f>SUM(H32:H37)</f>
        <v>744462.46525000001</v>
      </c>
      <c r="I38" s="60">
        <f>SUM(I32:I37)</f>
        <v>1034</v>
      </c>
      <c r="J38" s="60">
        <f>SUM(J32:J37)</f>
        <v>-217.5787499999999</v>
      </c>
      <c r="K38" s="60">
        <f>SUM(K32:K37)</f>
        <v>743646.04399999999</v>
      </c>
      <c r="L38" s="54"/>
    </row>
    <row r="39" spans="1:12">
      <c r="A39" s="1107" t="s">
        <v>133</v>
      </c>
      <c r="B39" s="1107"/>
      <c r="C39" s="938"/>
      <c r="D39" s="41">
        <f>D25+D30+D38</f>
        <v>746264</v>
      </c>
      <c r="E39" s="67">
        <f>F39/D39</f>
        <v>2.2414476598093973</v>
      </c>
      <c r="F39" s="55">
        <f>F38+F30+F25</f>
        <v>1672711.6964</v>
      </c>
      <c r="G39" s="55">
        <f>H39/F39</f>
        <v>0.56914097728192348</v>
      </c>
      <c r="H39" s="41">
        <f>H25+H30+H38</f>
        <v>952008.7696</v>
      </c>
      <c r="I39" s="43">
        <f>I38+I30+I25</f>
        <v>236599</v>
      </c>
      <c r="J39" s="43" t="b">
        <f>D53=J38+J30+J25</f>
        <v>0</v>
      </c>
      <c r="K39" s="43">
        <f>K38+K30+K25</f>
        <v>748111.66714999999</v>
      </c>
      <c r="L39" s="18"/>
    </row>
    <row r="40" spans="1:12">
      <c r="A40" s="1108" t="s">
        <v>134</v>
      </c>
      <c r="B40" s="1109"/>
      <c r="C40" s="1109"/>
      <c r="D40" s="1109"/>
      <c r="E40" s="1109"/>
      <c r="F40" s="1109"/>
      <c r="G40" s="1109"/>
      <c r="H40" s="1109"/>
      <c r="I40" s="1109"/>
      <c r="J40" s="1109"/>
      <c r="K40" s="1109"/>
      <c r="L40" s="1110"/>
    </row>
    <row r="41" spans="1:12">
      <c r="A41" s="1111" t="s">
        <v>21</v>
      </c>
      <c r="B41" s="1111"/>
      <c r="C41" s="1111"/>
      <c r="D41" s="1111"/>
      <c r="E41" s="1111"/>
      <c r="F41" s="1111"/>
      <c r="G41" s="1111"/>
      <c r="H41" s="1111"/>
      <c r="I41" s="1111"/>
      <c r="J41" s="1111"/>
      <c r="K41" s="1111"/>
      <c r="L41" s="1111"/>
    </row>
    <row r="42" spans="1:12" ht="38.25">
      <c r="A42" s="11" t="s">
        <v>136</v>
      </c>
      <c r="B42" s="68" t="s">
        <v>137</v>
      </c>
      <c r="C42" s="18" t="s">
        <v>452</v>
      </c>
      <c r="D42" s="48">
        <v>55</v>
      </c>
      <c r="E42" s="48">
        <v>1</v>
      </c>
      <c r="F42" s="62">
        <f>D42*E42</f>
        <v>55</v>
      </c>
      <c r="G42" s="48">
        <v>0.16700000000000001</v>
      </c>
      <c r="H42" s="62">
        <f>F42*G42</f>
        <v>9.1850000000000005</v>
      </c>
      <c r="I42" s="51"/>
      <c r="J42" s="51"/>
      <c r="K42" s="51">
        <f>H42-I42</f>
        <v>9.1850000000000005</v>
      </c>
      <c r="L42" s="35" t="s">
        <v>377</v>
      </c>
    </row>
    <row r="43" spans="1:12" ht="25.5">
      <c r="A43" s="11">
        <v>249.9</v>
      </c>
      <c r="B43" s="68" t="s">
        <v>476</v>
      </c>
      <c r="C43" s="18"/>
      <c r="D43" s="48">
        <v>55</v>
      </c>
      <c r="E43" s="14">
        <f>725686/55</f>
        <v>13194.290909090909</v>
      </c>
      <c r="F43" s="62">
        <f t="shared" ref="F43:F52" si="7">D43*E43</f>
        <v>725686</v>
      </c>
      <c r="G43" s="48">
        <v>0.25</v>
      </c>
      <c r="H43" s="62">
        <f t="shared" ref="H43:H52" si="8">F43*G43</f>
        <v>181421.5</v>
      </c>
      <c r="I43" s="51">
        <v>210000</v>
      </c>
      <c r="J43" s="51">
        <f t="shared" ref="J43" si="9">H43-I43</f>
        <v>-28578.5</v>
      </c>
      <c r="K43" s="51"/>
      <c r="L43" s="16" t="s">
        <v>477</v>
      </c>
    </row>
    <row r="44" spans="1:12" ht="38.25">
      <c r="A44" s="11" t="s">
        <v>140</v>
      </c>
      <c r="B44" s="32" t="s">
        <v>368</v>
      </c>
      <c r="C44" s="18"/>
      <c r="D44" s="48">
        <v>55</v>
      </c>
      <c r="E44" s="48">
        <v>1</v>
      </c>
      <c r="F44" s="62">
        <f t="shared" si="7"/>
        <v>55</v>
      </c>
      <c r="G44" s="48">
        <v>2</v>
      </c>
      <c r="H44" s="62">
        <f t="shared" si="8"/>
        <v>110</v>
      </c>
      <c r="I44" s="51"/>
      <c r="J44" s="51"/>
      <c r="K44" s="51">
        <f>H44-I44</f>
        <v>110</v>
      </c>
      <c r="L44" s="35" t="s">
        <v>377</v>
      </c>
    </row>
    <row r="45" spans="1:12" ht="26.25">
      <c r="A45" s="11" t="s">
        <v>142</v>
      </c>
      <c r="B45" s="24" t="s">
        <v>478</v>
      </c>
      <c r="C45" s="18"/>
      <c r="D45" s="48">
        <v>55</v>
      </c>
      <c r="E45" s="48">
        <v>1</v>
      </c>
      <c r="F45" s="62">
        <f t="shared" si="7"/>
        <v>55</v>
      </c>
      <c r="G45" s="48">
        <v>2</v>
      </c>
      <c r="H45" s="62">
        <f t="shared" si="8"/>
        <v>110</v>
      </c>
      <c r="I45" s="51">
        <v>106</v>
      </c>
      <c r="J45" s="51">
        <f t="shared" ref="J45" si="10">H45-I45</f>
        <v>4</v>
      </c>
      <c r="K45" s="51"/>
      <c r="L45" s="37" t="s">
        <v>479</v>
      </c>
    </row>
    <row r="46" spans="1:12" ht="38.25">
      <c r="A46" s="11" t="s">
        <v>480</v>
      </c>
      <c r="B46" s="25" t="s">
        <v>143</v>
      </c>
      <c r="C46" s="18"/>
      <c r="D46" s="48">
        <v>55</v>
      </c>
      <c r="E46" s="48">
        <v>1</v>
      </c>
      <c r="F46" s="62">
        <f t="shared" si="7"/>
        <v>55</v>
      </c>
      <c r="G46" s="48">
        <v>0.16700000000000001</v>
      </c>
      <c r="H46" s="15">
        <f t="shared" si="8"/>
        <v>9.1850000000000005</v>
      </c>
      <c r="I46" s="51"/>
      <c r="J46" s="51"/>
      <c r="K46" s="51">
        <f>H46-I46</f>
        <v>9.1850000000000005</v>
      </c>
      <c r="L46" s="35" t="s">
        <v>377</v>
      </c>
    </row>
    <row r="47" spans="1:12" ht="41.25" customHeight="1">
      <c r="A47" s="11" t="s">
        <v>458</v>
      </c>
      <c r="B47" s="24" t="s">
        <v>459</v>
      </c>
      <c r="C47" s="18"/>
      <c r="D47" s="48">
        <v>55</v>
      </c>
      <c r="E47" s="14">
        <f>(19555/55)*0.1</f>
        <v>35.554545454545455</v>
      </c>
      <c r="F47" s="15">
        <f t="shared" si="7"/>
        <v>1955.5</v>
      </c>
      <c r="G47" s="48">
        <v>0.5</v>
      </c>
      <c r="H47" s="15">
        <f t="shared" si="8"/>
        <v>977.75</v>
      </c>
      <c r="I47" s="51">
        <v>106</v>
      </c>
      <c r="J47" s="51">
        <f t="shared" ref="J47" si="11">H47-I47</f>
        <v>871.75</v>
      </c>
      <c r="K47" s="51"/>
      <c r="L47" s="37" t="s">
        <v>481</v>
      </c>
    </row>
    <row r="48" spans="1:12" ht="38.25">
      <c r="A48" s="23" t="s">
        <v>148</v>
      </c>
      <c r="B48" s="25" t="s">
        <v>61</v>
      </c>
      <c r="C48" s="18"/>
      <c r="D48" s="48">
        <v>55</v>
      </c>
      <c r="E48" s="61">
        <f>(968/55)*0.5</f>
        <v>8.8000000000000007</v>
      </c>
      <c r="F48" s="62">
        <f t="shared" si="7"/>
        <v>484.00000000000006</v>
      </c>
      <c r="G48" s="48">
        <v>0.5</v>
      </c>
      <c r="H48" s="62">
        <f>F48*G48</f>
        <v>242.00000000000003</v>
      </c>
      <c r="I48" s="51"/>
      <c r="J48" s="51"/>
      <c r="K48" s="51">
        <f>H48-I48</f>
        <v>242.00000000000003</v>
      </c>
      <c r="L48" s="35" t="s">
        <v>377</v>
      </c>
    </row>
    <row r="49" spans="1:12" ht="26.25">
      <c r="A49" s="11" t="s">
        <v>482</v>
      </c>
      <c r="B49" s="25" t="s">
        <v>483</v>
      </c>
      <c r="C49" s="18" t="s">
        <v>236</v>
      </c>
      <c r="D49" s="48">
        <v>55</v>
      </c>
      <c r="E49" s="48">
        <v>1</v>
      </c>
      <c r="F49" s="62">
        <f t="shared" si="7"/>
        <v>55</v>
      </c>
      <c r="G49" s="48">
        <v>2</v>
      </c>
      <c r="H49" s="62">
        <f t="shared" si="8"/>
        <v>110</v>
      </c>
      <c r="I49" s="51">
        <v>106</v>
      </c>
      <c r="J49" s="51">
        <f t="shared" ref="J49:J52" si="12">H49-I49</f>
        <v>4</v>
      </c>
      <c r="K49" s="51"/>
      <c r="L49" s="37" t="s">
        <v>484</v>
      </c>
    </row>
    <row r="50" spans="1:12" ht="26.25">
      <c r="A50" s="11" t="s">
        <v>154</v>
      </c>
      <c r="B50" s="25" t="s">
        <v>485</v>
      </c>
      <c r="C50" s="18"/>
      <c r="D50" s="48">
        <v>55</v>
      </c>
      <c r="E50" s="48">
        <v>1</v>
      </c>
      <c r="F50" s="62">
        <f t="shared" si="7"/>
        <v>55</v>
      </c>
      <c r="G50" s="48">
        <v>1</v>
      </c>
      <c r="H50" s="62">
        <f t="shared" si="8"/>
        <v>55</v>
      </c>
      <c r="I50" s="63">
        <v>53</v>
      </c>
      <c r="J50" s="51">
        <f t="shared" si="12"/>
        <v>2</v>
      </c>
      <c r="K50" s="51"/>
      <c r="L50" s="37" t="s">
        <v>463</v>
      </c>
    </row>
    <row r="51" spans="1:12" ht="29.45" customHeight="1">
      <c r="A51" s="11" t="s">
        <v>88</v>
      </c>
      <c r="B51" s="25" t="s">
        <v>156</v>
      </c>
      <c r="C51" s="18"/>
      <c r="D51" s="48">
        <v>55</v>
      </c>
      <c r="E51" s="48">
        <v>1</v>
      </c>
      <c r="F51" s="62">
        <f t="shared" si="7"/>
        <v>55</v>
      </c>
      <c r="G51" s="48">
        <v>2</v>
      </c>
      <c r="H51" s="62">
        <f t="shared" si="8"/>
        <v>110</v>
      </c>
      <c r="I51" s="63"/>
      <c r="J51" s="51"/>
      <c r="K51" s="51">
        <f>H51-I51</f>
        <v>110</v>
      </c>
      <c r="L51" s="35" t="s">
        <v>377</v>
      </c>
    </row>
    <row r="52" spans="1:12" ht="26.25">
      <c r="A52" s="11" t="s">
        <v>158</v>
      </c>
      <c r="B52" s="25" t="s">
        <v>486</v>
      </c>
      <c r="C52" s="18"/>
      <c r="D52" s="48">
        <v>55</v>
      </c>
      <c r="E52" s="48">
        <v>1</v>
      </c>
      <c r="F52" s="62">
        <f t="shared" si="7"/>
        <v>55</v>
      </c>
      <c r="G52" s="48">
        <v>40</v>
      </c>
      <c r="H52" s="62">
        <f t="shared" si="8"/>
        <v>2200</v>
      </c>
      <c r="I52" s="63">
        <v>2120</v>
      </c>
      <c r="J52" s="51">
        <f t="shared" si="12"/>
        <v>80</v>
      </c>
      <c r="K52" s="51"/>
      <c r="L52" s="37" t="s">
        <v>463</v>
      </c>
    </row>
    <row r="53" spans="1:12" ht="37.5" customHeight="1">
      <c r="A53" s="1112" t="s">
        <v>160</v>
      </c>
      <c r="B53" s="1113"/>
      <c r="C53" s="54"/>
      <c r="D53" s="55">
        <v>55</v>
      </c>
      <c r="E53" s="55">
        <f>F53/D53</f>
        <v>13246.645454545454</v>
      </c>
      <c r="F53" s="55">
        <f>SUM(F42:F52)</f>
        <v>728565.5</v>
      </c>
      <c r="G53" s="55">
        <f>H53/F53</f>
        <v>0.2544103721628323</v>
      </c>
      <c r="H53" s="55">
        <f>SUM(H42:H52)</f>
        <v>185354.62</v>
      </c>
      <c r="I53" s="55">
        <f>SUM(I42:I52)</f>
        <v>212491</v>
      </c>
      <c r="J53" s="69">
        <f>SUM(J42:J52)</f>
        <v>-27616.75</v>
      </c>
      <c r="K53" s="69">
        <f>SUM(K42:K52)</f>
        <v>480.37</v>
      </c>
      <c r="L53" s="70"/>
    </row>
    <row r="54" spans="1:12">
      <c r="A54" s="1100" t="s">
        <v>161</v>
      </c>
      <c r="B54" s="1101"/>
      <c r="C54" s="938"/>
      <c r="D54" s="55">
        <f>D39</f>
        <v>746264</v>
      </c>
      <c r="E54" s="55">
        <f>F54/D54</f>
        <v>3.2177315218206957</v>
      </c>
      <c r="F54" s="43">
        <f>F53+F39</f>
        <v>2401277.1963999998</v>
      </c>
      <c r="G54" s="55">
        <f>H54/F54</f>
        <v>0.47364935264664054</v>
      </c>
      <c r="H54" s="43">
        <f>H53+H39</f>
        <v>1137363.3895999999</v>
      </c>
      <c r="I54" s="43">
        <f>SUM(I39+I53)</f>
        <v>449090</v>
      </c>
      <c r="J54" s="43">
        <f>J53+J39</f>
        <v>-27616.75</v>
      </c>
      <c r="K54" s="43">
        <f>K53+K39</f>
        <v>748592.03714999999</v>
      </c>
      <c r="L54" s="18"/>
    </row>
    <row r="55" spans="1:12" ht="15.75" thickBot="1"/>
    <row r="56" spans="1:12" ht="39" thickBot="1">
      <c r="B56" s="73" t="s">
        <v>163</v>
      </c>
      <c r="C56" s="73" t="s">
        <v>164</v>
      </c>
      <c r="D56" s="73" t="s">
        <v>165</v>
      </c>
      <c r="E56" s="73" t="s">
        <v>166</v>
      </c>
      <c r="F56" s="74" t="s">
        <v>167</v>
      </c>
      <c r="G56" s="75" t="s">
        <v>168</v>
      </c>
    </row>
    <row r="57" spans="1:12">
      <c r="B57" s="76" t="s">
        <v>169</v>
      </c>
      <c r="C57" s="77">
        <f>+D39</f>
        <v>746264</v>
      </c>
      <c r="D57" s="78">
        <f>+E57/C57</f>
        <v>2.2414476598093973</v>
      </c>
      <c r="E57" s="79">
        <f>+F39</f>
        <v>1672711.6964</v>
      </c>
      <c r="F57" s="78">
        <f>+G57/E57</f>
        <v>0.56914097728192348</v>
      </c>
      <c r="G57" s="80">
        <f>+H39</f>
        <v>952008.7696</v>
      </c>
      <c r="I57" s="81"/>
    </row>
    <row r="58" spans="1:12" ht="15.75" thickBot="1">
      <c r="B58" s="82" t="s">
        <v>170</v>
      </c>
      <c r="C58" s="83">
        <f>+D53</f>
        <v>55</v>
      </c>
      <c r="D58" s="84">
        <f>+E58/C58</f>
        <v>13246.645454545454</v>
      </c>
      <c r="E58" s="83">
        <f>+F53</f>
        <v>728565.5</v>
      </c>
      <c r="F58" s="84">
        <f>+G58/E58</f>
        <v>0.2544103721628323</v>
      </c>
      <c r="G58" s="85">
        <f>+H53</f>
        <v>185354.62</v>
      </c>
    </row>
    <row r="59" spans="1:12" ht="15.75" thickBot="1">
      <c r="B59" s="86" t="s">
        <v>487</v>
      </c>
      <c r="C59" s="87">
        <f>C57</f>
        <v>746264</v>
      </c>
      <c r="D59" s="88">
        <f>+E59/C59</f>
        <v>3.2177315218206957</v>
      </c>
      <c r="E59" s="89">
        <f>SUM(E57:E58)</f>
        <v>2401277.1963999998</v>
      </c>
      <c r="F59" s="90">
        <f>+G59/E59</f>
        <v>0.47364935264664054</v>
      </c>
      <c r="G59" s="91">
        <f>SUM(G57:G58)</f>
        <v>1137363.3895999999</v>
      </c>
    </row>
    <row r="60" spans="1:12" ht="15.75" thickBot="1">
      <c r="B60" s="92"/>
      <c r="C60" s="93"/>
      <c r="D60" s="94"/>
      <c r="E60" s="93"/>
      <c r="F60" s="94"/>
      <c r="G60" s="93"/>
    </row>
    <row r="61" spans="1:12" ht="15.75" thickBot="1">
      <c r="B61" s="95"/>
      <c r="C61" s="73" t="s">
        <v>172</v>
      </c>
      <c r="D61" s="96" t="s">
        <v>173</v>
      </c>
    </row>
    <row r="62" spans="1:12">
      <c r="B62" s="97" t="s">
        <v>174</v>
      </c>
      <c r="C62" s="98">
        <v>2549454</v>
      </c>
      <c r="D62" s="99">
        <f>I54</f>
        <v>449090</v>
      </c>
      <c r="E62" s="100"/>
      <c r="F62" s="101"/>
      <c r="G62" s="102"/>
    </row>
    <row r="63" spans="1:12">
      <c r="B63" s="103" t="s">
        <v>175</v>
      </c>
      <c r="C63" s="690">
        <f>+E59</f>
        <v>2401277.1963999998</v>
      </c>
      <c r="D63" s="245">
        <f>+G59</f>
        <v>1137363.3895999999</v>
      </c>
      <c r="E63" s="100"/>
      <c r="F63" s="101"/>
      <c r="G63" s="102"/>
    </row>
    <row r="64" spans="1:12" ht="15.75" thickBot="1">
      <c r="B64" s="104" t="s">
        <v>176</v>
      </c>
      <c r="C64" s="105">
        <f>+C63-C62</f>
        <v>-148176.80360000022</v>
      </c>
      <c r="D64" s="106">
        <f>+D63-D62</f>
        <v>688273.38959999988</v>
      </c>
      <c r="E64" s="100"/>
      <c r="F64" s="101"/>
      <c r="G64" s="100"/>
    </row>
    <row r="70" spans="13:13">
      <c r="M70" s="107"/>
    </row>
    <row r="71" spans="13:13">
      <c r="M71" s="107"/>
    </row>
    <row r="72" spans="13:13">
      <c r="M72" s="107"/>
    </row>
    <row r="73" spans="13:13">
      <c r="M73" s="107"/>
    </row>
    <row r="74" spans="13:13">
      <c r="M74" s="107"/>
    </row>
    <row r="75" spans="13:13">
      <c r="M75" s="107"/>
    </row>
    <row r="76" spans="13:13">
      <c r="M76" s="107"/>
    </row>
    <row r="77" spans="13:13">
      <c r="M77" s="107"/>
    </row>
    <row r="78" spans="13:13">
      <c r="M78" s="107"/>
    </row>
    <row r="79" spans="13:13">
      <c r="M79" s="107"/>
    </row>
    <row r="80" spans="13:13">
      <c r="M80" s="107"/>
    </row>
    <row r="81" spans="13:13">
      <c r="M81" s="107"/>
    </row>
    <row r="82" spans="13:13">
      <c r="M82" s="107"/>
    </row>
    <row r="83" spans="13:13">
      <c r="M83" s="107"/>
    </row>
    <row r="84" spans="13:13">
      <c r="M84" s="107"/>
    </row>
  </sheetData>
  <mergeCells count="13">
    <mergeCell ref="A30:B30"/>
    <mergeCell ref="A2:L2"/>
    <mergeCell ref="A4:L4"/>
    <mergeCell ref="A5:L5"/>
    <mergeCell ref="A25:B25"/>
    <mergeCell ref="A26:L26"/>
    <mergeCell ref="A54:B54"/>
    <mergeCell ref="A31:L31"/>
    <mergeCell ref="A38:B38"/>
    <mergeCell ref="A39:B39"/>
    <mergeCell ref="A40:L40"/>
    <mergeCell ref="A41:L41"/>
    <mergeCell ref="A53:B53"/>
  </mergeCells>
  <pageMargins left="0.7" right="0.7" top="0.75" bottom="0.75" header="0.3" footer="0.3"/>
  <pageSetup scale="56" fitToHeight="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ADF21-A83B-4458-BF3A-BC6E89DCF4E1}">
  <sheetPr>
    <tabColor theme="9" tint="0.79998168889431442"/>
  </sheetPr>
  <dimension ref="A1:M66"/>
  <sheetViews>
    <sheetView zoomScale="70" zoomScaleNormal="70" workbookViewId="0">
      <selection activeCell="I41" sqref="I41"/>
    </sheetView>
  </sheetViews>
  <sheetFormatPr defaultColWidth="9.140625" defaultRowHeight="15"/>
  <cols>
    <col min="1" max="1" width="13.85546875" style="71" customWidth="1"/>
    <col min="2" max="2" width="41.7109375" style="72" customWidth="1"/>
    <col min="3" max="3" width="13.7109375" style="72" customWidth="1"/>
    <col min="4" max="4" width="15.28515625" style="72" customWidth="1"/>
    <col min="5" max="5" width="21.5703125" style="72" customWidth="1"/>
    <col min="6" max="6" width="17.28515625" style="72" customWidth="1"/>
    <col min="7" max="7" width="14" style="72" bestFit="1" customWidth="1"/>
    <col min="8" max="8" width="13.7109375" style="72" customWidth="1"/>
    <col min="9" max="9" width="15.42578125" style="72" customWidth="1"/>
    <col min="10" max="10" width="14.7109375" style="72" customWidth="1"/>
    <col min="11" max="11" width="12.7109375" style="72" customWidth="1"/>
    <col min="12" max="12" width="21.140625" style="72" customWidth="1"/>
    <col min="13" max="13" width="3.28515625" style="17" customWidth="1"/>
    <col min="14" max="16384" width="9.140625" style="17"/>
  </cols>
  <sheetData>
    <row r="1" spans="1:12" s="3" customFormat="1" ht="21">
      <c r="A1" s="1" t="s">
        <v>488</v>
      </c>
      <c r="B1" s="2"/>
      <c r="C1" s="2"/>
      <c r="D1" s="2"/>
      <c r="E1" s="2"/>
      <c r="F1" s="2"/>
      <c r="G1" s="2"/>
      <c r="H1" s="2"/>
      <c r="I1" s="2"/>
      <c r="J1" s="2"/>
      <c r="K1" s="2"/>
      <c r="L1" s="2"/>
    </row>
    <row r="2" spans="1:12" s="4" customFormat="1" ht="18">
      <c r="A2" s="1115" t="s">
        <v>1</v>
      </c>
      <c r="B2" s="1115"/>
      <c r="C2" s="1115"/>
      <c r="D2" s="1115"/>
      <c r="E2" s="1115"/>
      <c r="F2" s="1115"/>
      <c r="G2" s="1115"/>
      <c r="H2" s="1115"/>
      <c r="I2" s="1115"/>
      <c r="J2" s="1115"/>
      <c r="K2" s="1115"/>
      <c r="L2" s="1115"/>
    </row>
    <row r="3" spans="1:12" s="4" customFormat="1" ht="120.6" customHeight="1">
      <c r="A3" s="5" t="s">
        <v>178</v>
      </c>
      <c r="B3" s="5" t="s">
        <v>5</v>
      </c>
      <c r="C3" s="6" t="s">
        <v>6</v>
      </c>
      <c r="D3" s="5" t="s">
        <v>7</v>
      </c>
      <c r="E3" s="5" t="s">
        <v>8</v>
      </c>
      <c r="F3" s="7" t="s">
        <v>9</v>
      </c>
      <c r="G3" s="5" t="s">
        <v>10</v>
      </c>
      <c r="H3" s="7" t="s">
        <v>11</v>
      </c>
      <c r="I3" s="5" t="s">
        <v>448</v>
      </c>
      <c r="J3" s="5" t="s">
        <v>180</v>
      </c>
      <c r="K3" s="5" t="s">
        <v>181</v>
      </c>
      <c r="L3" s="5" t="s">
        <v>343</v>
      </c>
    </row>
    <row r="4" spans="1:12" s="4" customFormat="1">
      <c r="A4" s="1108" t="s">
        <v>20</v>
      </c>
      <c r="B4" s="1109"/>
      <c r="C4" s="1109"/>
      <c r="D4" s="1109"/>
      <c r="E4" s="1109"/>
      <c r="F4" s="1109"/>
      <c r="G4" s="1109"/>
      <c r="H4" s="1109"/>
      <c r="I4" s="1109"/>
      <c r="J4" s="1109"/>
      <c r="K4" s="1109"/>
      <c r="L4" s="1110"/>
    </row>
    <row r="5" spans="1:12" s="4" customFormat="1">
      <c r="A5" s="1111" t="s">
        <v>21</v>
      </c>
      <c r="B5" s="1111"/>
      <c r="C5" s="1111"/>
      <c r="D5" s="1111"/>
      <c r="E5" s="1111"/>
      <c r="F5" s="1111"/>
      <c r="G5" s="1111"/>
      <c r="H5" s="1111"/>
      <c r="I5" s="1111"/>
      <c r="J5" s="1111"/>
      <c r="K5" s="1111"/>
      <c r="L5" s="1111"/>
    </row>
    <row r="6" spans="1:12" ht="59.25" customHeight="1">
      <c r="A6" s="45" t="s">
        <v>23</v>
      </c>
      <c r="B6" s="691" t="s">
        <v>449</v>
      </c>
      <c r="C6" s="12"/>
      <c r="D6" s="692">
        <f>(55*20)</f>
        <v>1100</v>
      </c>
      <c r="E6" s="48">
        <v>0.5</v>
      </c>
      <c r="F6" s="693">
        <f>D6*E6</f>
        <v>550</v>
      </c>
      <c r="G6" s="692">
        <v>2</v>
      </c>
      <c r="H6" s="693">
        <f>F6*G6</f>
        <v>1100</v>
      </c>
      <c r="I6" s="692">
        <v>1060</v>
      </c>
      <c r="J6" s="692">
        <f>H6-I6</f>
        <v>40</v>
      </c>
      <c r="K6" s="694"/>
      <c r="L6" s="16" t="s">
        <v>489</v>
      </c>
    </row>
    <row r="7" spans="1:12" ht="39.75" customHeight="1">
      <c r="A7" s="45">
        <v>249.4</v>
      </c>
      <c r="B7" s="691" t="s">
        <v>451</v>
      </c>
      <c r="C7" s="12"/>
      <c r="D7" s="692">
        <v>55</v>
      </c>
      <c r="E7" s="692">
        <v>1</v>
      </c>
      <c r="F7" s="693">
        <f t="shared" ref="F7:F17" si="0">D7*E7</f>
        <v>55</v>
      </c>
      <c r="G7" s="692">
        <v>40</v>
      </c>
      <c r="H7" s="693">
        <f t="shared" ref="H7:H17" si="1">F7*G7</f>
        <v>2200</v>
      </c>
      <c r="I7" s="692">
        <v>2120</v>
      </c>
      <c r="J7" s="692">
        <f t="shared" ref="J7:J17" si="2">H7-I7</f>
        <v>80</v>
      </c>
      <c r="K7" s="694"/>
      <c r="L7" s="16" t="s">
        <v>489</v>
      </c>
    </row>
    <row r="8" spans="1:12" ht="56.25" customHeight="1">
      <c r="A8" s="45" t="s">
        <v>220</v>
      </c>
      <c r="B8" s="691" t="s">
        <v>454</v>
      </c>
      <c r="C8" s="18"/>
      <c r="D8" s="692">
        <v>55</v>
      </c>
      <c r="E8" s="692">
        <f>840000/53</f>
        <v>15849.056603773584</v>
      </c>
      <c r="F8" s="693">
        <f>D8*E8</f>
        <v>871698.11320754711</v>
      </c>
      <c r="G8" s="694">
        <v>0.25</v>
      </c>
      <c r="H8" s="693">
        <f>F8*G8</f>
        <v>217924.52830188678</v>
      </c>
      <c r="I8" s="695">
        <v>210000</v>
      </c>
      <c r="J8" s="696">
        <f>H8-I8</f>
        <v>7924.5283018867776</v>
      </c>
      <c r="K8" s="697"/>
      <c r="L8" s="16" t="s">
        <v>490</v>
      </c>
    </row>
    <row r="9" spans="1:12" ht="123" customHeight="1">
      <c r="A9" s="698" t="s">
        <v>142</v>
      </c>
      <c r="B9" s="24" t="s">
        <v>491</v>
      </c>
      <c r="C9" s="25"/>
      <c r="D9" s="699">
        <v>55</v>
      </c>
      <c r="E9" s="700">
        <v>243.85</v>
      </c>
      <c r="F9" s="701">
        <f>D9*E9</f>
        <v>13411.75</v>
      </c>
      <c r="G9" s="13">
        <v>0.25</v>
      </c>
      <c r="H9" s="693">
        <f>F9*G9</f>
        <v>3352.9375</v>
      </c>
      <c r="I9" s="702">
        <v>3231</v>
      </c>
      <c r="J9" s="703">
        <f>H9-I9</f>
        <v>121.9375</v>
      </c>
      <c r="K9" s="704"/>
      <c r="L9" s="29" t="s">
        <v>492</v>
      </c>
    </row>
    <row r="10" spans="1:12" ht="123.75" customHeight="1">
      <c r="A10" s="698" t="s">
        <v>493</v>
      </c>
      <c r="B10" s="24" t="s">
        <v>459</v>
      </c>
      <c r="C10" s="33"/>
      <c r="D10" s="700">
        <v>55</v>
      </c>
      <c r="E10" s="705">
        <f>(25848/53)*0.1</f>
        <v>48.769811320754719</v>
      </c>
      <c r="F10" s="701">
        <f t="shared" si="0"/>
        <v>2682.3396226415098</v>
      </c>
      <c r="G10" s="706">
        <v>1.5</v>
      </c>
      <c r="H10" s="701">
        <f t="shared" si="1"/>
        <v>4023.5094339622647</v>
      </c>
      <c r="I10" s="700">
        <v>3877</v>
      </c>
      <c r="J10" s="700">
        <f t="shared" si="2"/>
        <v>146.50943396226467</v>
      </c>
      <c r="K10" s="707"/>
      <c r="L10" s="29" t="s">
        <v>494</v>
      </c>
    </row>
    <row r="11" spans="1:12" ht="45.75" customHeight="1">
      <c r="A11" s="45" t="s">
        <v>64</v>
      </c>
      <c r="B11" s="691" t="s">
        <v>462</v>
      </c>
      <c r="C11" s="12"/>
      <c r="D11" s="692">
        <v>55</v>
      </c>
      <c r="E11" s="692">
        <v>1</v>
      </c>
      <c r="F11" s="693">
        <f t="shared" si="0"/>
        <v>55</v>
      </c>
      <c r="G11" s="692">
        <v>5</v>
      </c>
      <c r="H11" s="693">
        <f t="shared" si="1"/>
        <v>275</v>
      </c>
      <c r="I11" s="692">
        <v>265</v>
      </c>
      <c r="J11" s="692">
        <f t="shared" si="2"/>
        <v>10</v>
      </c>
      <c r="K11" s="694"/>
      <c r="L11" s="16" t="s">
        <v>495</v>
      </c>
    </row>
    <row r="12" spans="1:12" ht="25.5">
      <c r="A12" s="45" t="s">
        <v>67</v>
      </c>
      <c r="B12" s="691" t="s">
        <v>68</v>
      </c>
      <c r="C12" s="12"/>
      <c r="D12" s="692">
        <v>55</v>
      </c>
      <c r="E12" s="692">
        <v>1</v>
      </c>
      <c r="F12" s="693">
        <f t="shared" si="0"/>
        <v>55</v>
      </c>
      <c r="G12" s="692">
        <v>3</v>
      </c>
      <c r="H12" s="693">
        <f t="shared" si="1"/>
        <v>165</v>
      </c>
      <c r="I12" s="692">
        <v>159</v>
      </c>
      <c r="J12" s="692">
        <f t="shared" si="2"/>
        <v>6</v>
      </c>
      <c r="K12" s="694"/>
      <c r="L12" s="16" t="s">
        <v>495</v>
      </c>
    </row>
    <row r="13" spans="1:12" ht="25.5">
      <c r="A13" s="45">
        <v>249.11</v>
      </c>
      <c r="B13" s="691" t="s">
        <v>465</v>
      </c>
      <c r="C13" s="12"/>
      <c r="D13" s="692">
        <v>55</v>
      </c>
      <c r="E13" s="692">
        <v>1</v>
      </c>
      <c r="F13" s="693">
        <f t="shared" si="0"/>
        <v>55</v>
      </c>
      <c r="G13" s="692">
        <v>10</v>
      </c>
      <c r="H13" s="693">
        <f t="shared" si="1"/>
        <v>550</v>
      </c>
      <c r="I13" s="692">
        <v>530</v>
      </c>
      <c r="J13" s="692">
        <f t="shared" si="2"/>
        <v>20</v>
      </c>
      <c r="K13" s="694"/>
      <c r="L13" s="16" t="s">
        <v>495</v>
      </c>
    </row>
    <row r="14" spans="1:12" ht="182.25" customHeight="1">
      <c r="A14" s="45">
        <v>249.12</v>
      </c>
      <c r="B14" s="38" t="s">
        <v>357</v>
      </c>
      <c r="C14" s="36"/>
      <c r="D14" s="692">
        <v>5</v>
      </c>
      <c r="E14" s="692">
        <v>1</v>
      </c>
      <c r="F14" s="693">
        <f t="shared" si="0"/>
        <v>5</v>
      </c>
      <c r="G14" s="692">
        <v>40</v>
      </c>
      <c r="H14" s="693">
        <f>F14*G14</f>
        <v>200</v>
      </c>
      <c r="I14" s="692">
        <v>200</v>
      </c>
      <c r="J14" s="692">
        <f>H14-I14</f>
        <v>0</v>
      </c>
      <c r="K14" s="694"/>
      <c r="L14" s="37" t="s">
        <v>496</v>
      </c>
    </row>
    <row r="15" spans="1:12" ht="63.75">
      <c r="A15" s="45" t="s">
        <v>466</v>
      </c>
      <c r="B15" s="691" t="s">
        <v>467</v>
      </c>
      <c r="C15" s="12"/>
      <c r="D15" s="692">
        <v>8</v>
      </c>
      <c r="E15" s="692">
        <v>1</v>
      </c>
      <c r="F15" s="693">
        <f>D15*E15</f>
        <v>8</v>
      </c>
      <c r="G15" s="692">
        <v>10</v>
      </c>
      <c r="H15" s="693">
        <f>F15*G15</f>
        <v>80</v>
      </c>
      <c r="I15" s="692">
        <v>80</v>
      </c>
      <c r="J15" s="692">
        <f>H15-I15</f>
        <v>0</v>
      </c>
      <c r="K15" s="694"/>
      <c r="L15" s="16" t="s">
        <v>497</v>
      </c>
    </row>
    <row r="16" spans="1:12" ht="38.25">
      <c r="A16" s="45" t="s">
        <v>98</v>
      </c>
      <c r="B16" s="691" t="s">
        <v>468</v>
      </c>
      <c r="C16" s="12"/>
      <c r="D16" s="692">
        <v>1</v>
      </c>
      <c r="E16" s="692">
        <v>1</v>
      </c>
      <c r="F16" s="693">
        <f t="shared" si="0"/>
        <v>1</v>
      </c>
      <c r="G16" s="692">
        <v>15</v>
      </c>
      <c r="H16" s="693">
        <f t="shared" si="1"/>
        <v>15</v>
      </c>
      <c r="I16" s="692">
        <v>15</v>
      </c>
      <c r="J16" s="708">
        <f>H16-I16</f>
        <v>0</v>
      </c>
      <c r="K16" s="694"/>
      <c r="L16" s="16" t="s">
        <v>498</v>
      </c>
    </row>
    <row r="17" spans="1:12" s="44" customFormat="1" ht="76.5">
      <c r="A17" s="45" t="s">
        <v>499</v>
      </c>
      <c r="B17" s="691" t="s">
        <v>500</v>
      </c>
      <c r="C17" s="12" t="s">
        <v>236</v>
      </c>
      <c r="D17" s="692"/>
      <c r="E17" s="692"/>
      <c r="F17" s="693">
        <f t="shared" si="0"/>
        <v>0</v>
      </c>
      <c r="G17" s="692"/>
      <c r="H17" s="693">
        <f t="shared" si="1"/>
        <v>0</v>
      </c>
      <c r="I17" s="692">
        <v>2080</v>
      </c>
      <c r="J17" s="692">
        <f t="shared" si="2"/>
        <v>-2080</v>
      </c>
      <c r="K17" s="694"/>
      <c r="L17" s="16" t="s">
        <v>501</v>
      </c>
    </row>
    <row r="18" spans="1:12">
      <c r="A18" s="1100" t="s">
        <v>469</v>
      </c>
      <c r="B18" s="1101"/>
      <c r="C18" s="709"/>
      <c r="D18" s="710">
        <v>1113</v>
      </c>
      <c r="E18" s="711">
        <f>F18/D18</f>
        <v>798.36136822119374</v>
      </c>
      <c r="F18" s="710">
        <f>SUM(F6:F17)</f>
        <v>888576.20283018867</v>
      </c>
      <c r="G18" s="711">
        <f>H18/F18</f>
        <v>0.25871272998718986</v>
      </c>
      <c r="H18" s="712">
        <f>SUM(H6:H17)</f>
        <v>229885.97523584904</v>
      </c>
      <c r="I18" s="710">
        <f>SUM(I6:I17)</f>
        <v>223617</v>
      </c>
      <c r="J18" s="710">
        <f>SUM(J6:J17)</f>
        <v>6268.9752358490423</v>
      </c>
      <c r="K18" s="713">
        <f>SUM(K6:K17)</f>
        <v>0</v>
      </c>
      <c r="L18" s="938"/>
    </row>
    <row r="19" spans="1:12" s="44" customFormat="1">
      <c r="A19" s="1116" t="s">
        <v>360</v>
      </c>
      <c r="B19" s="1117"/>
      <c r="C19" s="1117"/>
      <c r="D19" s="1117"/>
      <c r="E19" s="1117"/>
      <c r="F19" s="1117"/>
      <c r="G19" s="1117"/>
      <c r="H19" s="1117"/>
      <c r="I19" s="1117"/>
      <c r="J19" s="1117"/>
      <c r="K19" s="1117"/>
      <c r="L19" s="1118"/>
    </row>
    <row r="20" spans="1:12" ht="89.25" customHeight="1">
      <c r="A20" s="45">
        <v>249.6</v>
      </c>
      <c r="B20" s="691" t="s">
        <v>454</v>
      </c>
      <c r="C20" s="18"/>
      <c r="D20" s="692">
        <v>840000</v>
      </c>
      <c r="E20" s="694">
        <v>1</v>
      </c>
      <c r="F20" s="693">
        <f>D20*E20</f>
        <v>840000</v>
      </c>
      <c r="G20" s="714">
        <v>1.67E-2</v>
      </c>
      <c r="H20" s="693">
        <f>F20*G20</f>
        <v>14028</v>
      </c>
      <c r="I20" s="695">
        <v>13360</v>
      </c>
      <c r="J20" s="696">
        <f>H20-I20</f>
        <v>668</v>
      </c>
      <c r="K20" s="695"/>
      <c r="L20" s="37" t="s">
        <v>502</v>
      </c>
    </row>
    <row r="21" spans="1:12">
      <c r="A21" s="1105" t="s">
        <v>109</v>
      </c>
      <c r="B21" s="1114"/>
      <c r="C21" s="54"/>
      <c r="D21" s="715">
        <f>D20</f>
        <v>840000</v>
      </c>
      <c r="E21" s="716"/>
      <c r="F21" s="715">
        <f>F20</f>
        <v>840000</v>
      </c>
      <c r="G21" s="716"/>
      <c r="H21" s="715">
        <f>H20</f>
        <v>14028</v>
      </c>
      <c r="I21" s="717">
        <f>I20</f>
        <v>13360</v>
      </c>
      <c r="J21" s="717">
        <f>+J20</f>
        <v>668</v>
      </c>
      <c r="K21" s="717">
        <f>+K20</f>
        <v>0</v>
      </c>
      <c r="L21" s="54"/>
    </row>
    <row r="22" spans="1:12" s="44" customFormat="1">
      <c r="A22" s="1119" t="s">
        <v>503</v>
      </c>
      <c r="B22" s="1120"/>
      <c r="C22" s="1120"/>
      <c r="D22" s="1120"/>
      <c r="E22" s="1120"/>
      <c r="F22" s="1120"/>
      <c r="G22" s="1120"/>
      <c r="H22" s="1120"/>
      <c r="I22" s="1120"/>
      <c r="J22" s="1120"/>
      <c r="K22" s="1120"/>
      <c r="L22" s="1121"/>
    </row>
    <row r="23" spans="1:12" ht="135.75" customHeight="1">
      <c r="A23" s="45" t="s">
        <v>142</v>
      </c>
      <c r="B23" s="24" t="s">
        <v>504</v>
      </c>
      <c r="C23" s="37"/>
      <c r="D23" s="692">
        <v>12924</v>
      </c>
      <c r="E23" s="694">
        <v>1</v>
      </c>
      <c r="F23" s="693">
        <f>D23*E23</f>
        <v>12924</v>
      </c>
      <c r="G23" s="694">
        <v>0.08</v>
      </c>
      <c r="H23" s="693">
        <f>F23*G23</f>
        <v>1033.92</v>
      </c>
      <c r="I23" s="718">
        <v>290</v>
      </c>
      <c r="J23" s="697">
        <f>H23-I23</f>
        <v>743.92000000000007</v>
      </c>
      <c r="K23" s="696"/>
      <c r="L23" s="29" t="s">
        <v>494</v>
      </c>
    </row>
    <row r="24" spans="1:12" ht="40.5" customHeight="1">
      <c r="A24" s="1105" t="s">
        <v>475</v>
      </c>
      <c r="B24" s="1114"/>
      <c r="C24" s="54"/>
      <c r="D24" s="715">
        <f>D23</f>
        <v>12924</v>
      </c>
      <c r="E24" s="716"/>
      <c r="F24" s="715">
        <f>F23</f>
        <v>12924</v>
      </c>
      <c r="G24" s="716"/>
      <c r="H24" s="715">
        <f>H23</f>
        <v>1033.92</v>
      </c>
      <c r="I24" s="717">
        <f>I23</f>
        <v>290</v>
      </c>
      <c r="J24" s="717">
        <f>+J23</f>
        <v>743.92000000000007</v>
      </c>
      <c r="K24" s="717">
        <f>+K23</f>
        <v>0</v>
      </c>
      <c r="L24" s="54"/>
    </row>
    <row r="25" spans="1:12">
      <c r="A25" s="1107" t="s">
        <v>133</v>
      </c>
      <c r="B25" s="1107"/>
      <c r="C25" s="938"/>
      <c r="D25" s="710">
        <f>SUM(D18+D21+D24)</f>
        <v>854037</v>
      </c>
      <c r="E25" s="710"/>
      <c r="F25" s="710">
        <f t="shared" ref="F25:I25" si="3">SUM(F18+F21+F24)</f>
        <v>1741500.2028301887</v>
      </c>
      <c r="G25" s="710"/>
      <c r="H25" s="710">
        <f>SUM(H18+H21+H24)</f>
        <v>244947.89523584905</v>
      </c>
      <c r="I25" s="710">
        <f t="shared" si="3"/>
        <v>237267</v>
      </c>
      <c r="J25" s="710">
        <f>SUM(J18+J21+J24)</f>
        <v>7680.8952358490424</v>
      </c>
      <c r="K25" s="713">
        <f>SUM(K18+K21+K24)</f>
        <v>0</v>
      </c>
      <c r="L25" s="18"/>
    </row>
    <row r="26" spans="1:12">
      <c r="A26" s="1108" t="s">
        <v>134</v>
      </c>
      <c r="B26" s="1109"/>
      <c r="C26" s="1109"/>
      <c r="D26" s="1109"/>
      <c r="E26" s="1109"/>
      <c r="F26" s="1109"/>
      <c r="G26" s="1109"/>
      <c r="H26" s="1109"/>
      <c r="I26" s="1109"/>
      <c r="J26" s="1109"/>
      <c r="K26" s="1109"/>
      <c r="L26" s="1110"/>
    </row>
    <row r="27" spans="1:12">
      <c r="A27" s="1111" t="s">
        <v>21</v>
      </c>
      <c r="B27" s="1111"/>
      <c r="C27" s="1111"/>
      <c r="D27" s="1111"/>
      <c r="E27" s="1111"/>
      <c r="F27" s="1111"/>
      <c r="G27" s="1111"/>
      <c r="H27" s="1111"/>
      <c r="I27" s="1111"/>
      <c r="J27" s="1111"/>
      <c r="K27" s="1111"/>
      <c r="L27" s="1111"/>
    </row>
    <row r="28" spans="1:12" ht="38.25">
      <c r="A28" s="45">
        <v>249.9</v>
      </c>
      <c r="B28" s="68" t="s">
        <v>476</v>
      </c>
      <c r="C28" s="18"/>
      <c r="D28" s="692">
        <v>53</v>
      </c>
      <c r="E28" s="692">
        <f>840000/53</f>
        <v>15849.056603773584</v>
      </c>
      <c r="F28" s="693">
        <f>D28*E28</f>
        <v>840000</v>
      </c>
      <c r="G28" s="694">
        <v>0.25</v>
      </c>
      <c r="H28" s="693">
        <f t="shared" ref="H28:H33" si="4">F28*G28</f>
        <v>210000</v>
      </c>
      <c r="I28" s="695">
        <v>200000</v>
      </c>
      <c r="J28" s="695">
        <f t="shared" ref="J28:J33" si="5">H28-I28</f>
        <v>10000</v>
      </c>
      <c r="K28" s="719"/>
      <c r="L28" s="16" t="s">
        <v>490</v>
      </c>
    </row>
    <row r="29" spans="1:12" ht="41.25" customHeight="1">
      <c r="A29" s="45" t="s">
        <v>142</v>
      </c>
      <c r="B29" s="24" t="s">
        <v>478</v>
      </c>
      <c r="C29" s="18"/>
      <c r="D29" s="692">
        <v>53</v>
      </c>
      <c r="E29" s="692">
        <v>1</v>
      </c>
      <c r="F29" s="693">
        <v>53</v>
      </c>
      <c r="G29" s="692">
        <v>2</v>
      </c>
      <c r="H29" s="693">
        <f>F29*G29</f>
        <v>106</v>
      </c>
      <c r="I29" s="695">
        <v>104</v>
      </c>
      <c r="J29" s="695">
        <f t="shared" si="5"/>
        <v>2</v>
      </c>
      <c r="K29" s="719"/>
      <c r="L29" s="37" t="s">
        <v>495</v>
      </c>
    </row>
    <row r="30" spans="1:12" ht="39">
      <c r="A30" s="45" t="s">
        <v>493</v>
      </c>
      <c r="B30" s="24" t="s">
        <v>459</v>
      </c>
      <c r="C30" s="18"/>
      <c r="D30" s="692">
        <v>53</v>
      </c>
      <c r="E30" s="692">
        <v>1</v>
      </c>
      <c r="F30" s="693">
        <f>D30*E30</f>
        <v>53</v>
      </c>
      <c r="G30" s="692">
        <v>2</v>
      </c>
      <c r="H30" s="693">
        <f t="shared" si="4"/>
        <v>106</v>
      </c>
      <c r="I30" s="695">
        <v>104</v>
      </c>
      <c r="J30" s="695">
        <f t="shared" si="5"/>
        <v>2</v>
      </c>
      <c r="K30" s="719"/>
      <c r="L30" s="37" t="s">
        <v>495</v>
      </c>
    </row>
    <row r="31" spans="1:12" ht="26.25">
      <c r="A31" s="45">
        <v>249.11</v>
      </c>
      <c r="B31" s="68" t="s">
        <v>483</v>
      </c>
      <c r="C31" s="18"/>
      <c r="D31" s="692">
        <v>53</v>
      </c>
      <c r="E31" s="692">
        <v>1</v>
      </c>
      <c r="F31" s="693">
        <f>D31*E31</f>
        <v>53</v>
      </c>
      <c r="G31" s="692">
        <v>2</v>
      </c>
      <c r="H31" s="693">
        <f t="shared" si="4"/>
        <v>106</v>
      </c>
      <c r="I31" s="695">
        <v>104</v>
      </c>
      <c r="J31" s="695">
        <f t="shared" si="5"/>
        <v>2</v>
      </c>
      <c r="K31" s="719"/>
      <c r="L31" s="37" t="s">
        <v>495</v>
      </c>
    </row>
    <row r="32" spans="1:12" ht="26.25">
      <c r="A32" s="45" t="s">
        <v>154</v>
      </c>
      <c r="B32" s="68" t="s">
        <v>485</v>
      </c>
      <c r="C32" s="18"/>
      <c r="D32" s="692">
        <v>53</v>
      </c>
      <c r="E32" s="692">
        <v>1</v>
      </c>
      <c r="F32" s="693">
        <f>D32*E32</f>
        <v>53</v>
      </c>
      <c r="G32" s="692">
        <v>1</v>
      </c>
      <c r="H32" s="693">
        <f t="shared" si="4"/>
        <v>53</v>
      </c>
      <c r="I32" s="695">
        <v>52</v>
      </c>
      <c r="J32" s="695">
        <f t="shared" si="5"/>
        <v>1</v>
      </c>
      <c r="K32" s="719"/>
      <c r="L32" s="37" t="s">
        <v>495</v>
      </c>
    </row>
    <row r="33" spans="1:12" ht="29.45" customHeight="1">
      <c r="A33" s="45" t="s">
        <v>158</v>
      </c>
      <c r="B33" s="68" t="s">
        <v>486</v>
      </c>
      <c r="C33" s="18"/>
      <c r="D33" s="692">
        <v>53</v>
      </c>
      <c r="E33" s="692">
        <v>1</v>
      </c>
      <c r="F33" s="693">
        <f>D33*E33</f>
        <v>53</v>
      </c>
      <c r="G33" s="692">
        <v>40</v>
      </c>
      <c r="H33" s="693">
        <f t="shared" si="4"/>
        <v>2120</v>
      </c>
      <c r="I33" s="695">
        <v>2080</v>
      </c>
      <c r="J33" s="695">
        <f t="shared" si="5"/>
        <v>40</v>
      </c>
      <c r="K33" s="719"/>
      <c r="L33" s="37" t="s">
        <v>495</v>
      </c>
    </row>
    <row r="34" spans="1:12">
      <c r="A34" s="1112" t="s">
        <v>160</v>
      </c>
      <c r="B34" s="1113"/>
      <c r="C34" s="54"/>
      <c r="D34" s="715">
        <v>53</v>
      </c>
      <c r="E34" s="715"/>
      <c r="F34" s="715">
        <f t="shared" ref="F34:K34" si="6">SUM(F28:F33)</f>
        <v>840265</v>
      </c>
      <c r="G34" s="715"/>
      <c r="H34" s="715">
        <f>SUM(H28:H33)</f>
        <v>212491</v>
      </c>
      <c r="I34" s="715">
        <f>SUM(I28:I33)</f>
        <v>202444</v>
      </c>
      <c r="J34" s="715">
        <f>SUM(J28:J33)</f>
        <v>10047</v>
      </c>
      <c r="K34" s="715">
        <f t="shared" si="6"/>
        <v>0</v>
      </c>
      <c r="L34" s="70"/>
    </row>
    <row r="35" spans="1:12" ht="37.5" customHeight="1">
      <c r="A35" s="1100" t="s">
        <v>161</v>
      </c>
      <c r="B35" s="1101"/>
      <c r="C35" s="938"/>
      <c r="D35" s="710">
        <f>SUM(D25+D34)</f>
        <v>854090</v>
      </c>
      <c r="E35" s="710"/>
      <c r="F35" s="710">
        <f>SUM(F25+F34)</f>
        <v>2581765.2028301889</v>
      </c>
      <c r="G35" s="710">
        <f>H35/F35</f>
        <v>0.17718067263994197</v>
      </c>
      <c r="H35" s="710">
        <f>SUM(H25+H34)</f>
        <v>457438.89523584908</v>
      </c>
      <c r="I35" s="710">
        <f>SUM(I25+I34)</f>
        <v>439711</v>
      </c>
      <c r="J35" s="710">
        <f>SUM(J25+J34)</f>
        <v>17727.895235849042</v>
      </c>
      <c r="K35" s="712">
        <f t="shared" ref="K35" si="7">SUM(K25+K34)</f>
        <v>0</v>
      </c>
      <c r="L35" s="18"/>
    </row>
    <row r="36" spans="1:12" ht="15.75" thickBot="1">
      <c r="D36" s="720"/>
    </row>
    <row r="37" spans="1:12" ht="39" thickBot="1">
      <c r="B37" s="73" t="s">
        <v>163</v>
      </c>
      <c r="C37" s="73" t="s">
        <v>164</v>
      </c>
      <c r="D37" s="73" t="s">
        <v>165</v>
      </c>
      <c r="E37" s="73" t="s">
        <v>166</v>
      </c>
      <c r="F37" s="74" t="s">
        <v>167</v>
      </c>
      <c r="G37" s="75" t="s">
        <v>168</v>
      </c>
      <c r="H37" s="696"/>
      <c r="I37" s="696"/>
      <c r="J37" s="696"/>
      <c r="K37" s="721"/>
      <c r="L37" s="696"/>
    </row>
    <row r="38" spans="1:12">
      <c r="B38" s="76" t="s">
        <v>169</v>
      </c>
      <c r="C38" s="722">
        <f>+D25</f>
        <v>854037</v>
      </c>
      <c r="D38" s="723">
        <f>+E38/C38</f>
        <v>2.0391390570082897</v>
      </c>
      <c r="E38" s="724">
        <f>+F25</f>
        <v>1741500.2028301887</v>
      </c>
      <c r="F38" s="723">
        <f>+G38/E38</f>
        <v>0.14065338312207684</v>
      </c>
      <c r="G38" s="725">
        <f>+H25</f>
        <v>244947.89523584905</v>
      </c>
      <c r="I38" s="81"/>
      <c r="J38" s="726"/>
    </row>
    <row r="39" spans="1:12" ht="15.75" thickBot="1">
      <c r="B39" s="82" t="s">
        <v>170</v>
      </c>
      <c r="C39" s="727">
        <f>+D34</f>
        <v>53</v>
      </c>
      <c r="D39" s="728">
        <f>+E39/C39</f>
        <v>15854.056603773584</v>
      </c>
      <c r="E39" s="729">
        <f>+F34</f>
        <v>840265</v>
      </c>
      <c r="F39" s="728">
        <f>+G39/E39</f>
        <v>0.25288569677423195</v>
      </c>
      <c r="G39" s="730">
        <f>+H34</f>
        <v>212491</v>
      </c>
    </row>
    <row r="40" spans="1:12" ht="15.75" thickBot="1">
      <c r="B40" s="86" t="s">
        <v>487</v>
      </c>
      <c r="C40" s="731">
        <f>SUM(D18+D21+D24+D34)</f>
        <v>854090</v>
      </c>
      <c r="D40" s="732">
        <f>+E40/C40</f>
        <v>3.0228257008397112</v>
      </c>
      <c r="E40" s="733">
        <f>SUM(E38:E39)</f>
        <v>2581765.2028301889</v>
      </c>
      <c r="F40" s="734">
        <f>+G40/E40</f>
        <v>0.17718067263994197</v>
      </c>
      <c r="G40" s="735">
        <f>SUM(G38:G39)</f>
        <v>457438.89523584908</v>
      </c>
      <c r="J40" s="696">
        <f>SUM(F34,F18)</f>
        <v>1728841.2028301887</v>
      </c>
    </row>
    <row r="41" spans="1:12" ht="15.75" thickBot="1">
      <c r="B41" s="92"/>
      <c r="C41" s="233"/>
      <c r="D41" s="234"/>
      <c r="E41" s="235"/>
      <c r="F41" s="236"/>
      <c r="G41" s="235"/>
      <c r="J41" s="696"/>
    </row>
    <row r="42" spans="1:12" ht="15.75" thickBot="1">
      <c r="B42" s="95"/>
      <c r="C42" s="73" t="s">
        <v>172</v>
      </c>
      <c r="D42" s="96" t="s">
        <v>173</v>
      </c>
      <c r="J42" s="736"/>
    </row>
    <row r="43" spans="1:12">
      <c r="B43" s="97" t="s">
        <v>174</v>
      </c>
      <c r="C43" s="737">
        <v>2408659</v>
      </c>
      <c r="D43" s="738">
        <v>427280</v>
      </c>
      <c r="E43" s="241"/>
      <c r="F43" s="242"/>
      <c r="G43" s="243"/>
    </row>
    <row r="44" spans="1:12">
      <c r="B44" s="103" t="s">
        <v>175</v>
      </c>
      <c r="C44" s="739" t="s">
        <v>505</v>
      </c>
      <c r="D44" s="740">
        <f>+G40</f>
        <v>457438.89523584908</v>
      </c>
      <c r="E44" s="241"/>
      <c r="F44" s="242"/>
      <c r="G44" s="246"/>
    </row>
    <row r="45" spans="1:12" ht="15.75" thickBot="1">
      <c r="B45" s="104" t="s">
        <v>176</v>
      </c>
      <c r="C45" s="741" t="e">
        <f>+C44-C43</f>
        <v>#VALUE!</v>
      </c>
      <c r="D45" s="742">
        <f>+D44-D43</f>
        <v>30158.895235849079</v>
      </c>
      <c r="E45" s="241"/>
      <c r="F45" s="242"/>
      <c r="G45" s="241"/>
    </row>
    <row r="52" spans="13:13">
      <c r="M52" s="107"/>
    </row>
    <row r="53" spans="13:13">
      <c r="M53" s="107"/>
    </row>
    <row r="54" spans="13:13">
      <c r="M54" s="107"/>
    </row>
    <row r="55" spans="13:13">
      <c r="M55" s="107"/>
    </row>
    <row r="56" spans="13:13">
      <c r="M56" s="107"/>
    </row>
    <row r="57" spans="13:13">
      <c r="M57" s="107"/>
    </row>
    <row r="58" spans="13:13">
      <c r="M58" s="107"/>
    </row>
    <row r="59" spans="13:13">
      <c r="M59" s="107"/>
    </row>
    <row r="60" spans="13:13">
      <c r="M60" s="107"/>
    </row>
    <row r="61" spans="13:13">
      <c r="M61" s="107"/>
    </row>
    <row r="62" spans="13:13">
      <c r="M62" s="107"/>
    </row>
    <row r="63" spans="13:13">
      <c r="M63" s="107"/>
    </row>
    <row r="64" spans="13:13">
      <c r="M64" s="107"/>
    </row>
    <row r="65" spans="13:13">
      <c r="M65" s="107"/>
    </row>
    <row r="66" spans="13:13">
      <c r="M66" s="107"/>
    </row>
  </sheetData>
  <mergeCells count="13">
    <mergeCell ref="A35:B35"/>
    <mergeCell ref="A22:L22"/>
    <mergeCell ref="A24:B24"/>
    <mergeCell ref="A25:B25"/>
    <mergeCell ref="A26:L26"/>
    <mergeCell ref="A27:L27"/>
    <mergeCell ref="A34:B34"/>
    <mergeCell ref="A21:B21"/>
    <mergeCell ref="A2:L2"/>
    <mergeCell ref="A4:L4"/>
    <mergeCell ref="A5:L5"/>
    <mergeCell ref="A18:B18"/>
    <mergeCell ref="A19:L19"/>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9F6E7-A468-4582-8B18-1A2436956339}">
  <sheetPr>
    <tabColor theme="9" tint="0.79998168889431442"/>
  </sheetPr>
  <dimension ref="A1:L46"/>
  <sheetViews>
    <sheetView zoomScale="80" zoomScaleNormal="80" workbookViewId="0">
      <pane ySplit="2" topLeftCell="A18" activePane="bottomLeft" state="frozen"/>
      <selection pane="bottomLeft" activeCell="F18" sqref="F18"/>
    </sheetView>
  </sheetViews>
  <sheetFormatPr defaultColWidth="9.140625" defaultRowHeight="15"/>
  <cols>
    <col min="1" max="1" width="13.85546875" style="208" customWidth="1"/>
    <col min="2" max="2" width="41.7109375" style="206" customWidth="1"/>
    <col min="3" max="3" width="13.7109375" style="206" customWidth="1"/>
    <col min="4" max="4" width="15.28515625" style="206" customWidth="1"/>
    <col min="5" max="5" width="16.5703125" style="206" bestFit="1" customWidth="1"/>
    <col min="6" max="6" width="17.28515625" style="206" customWidth="1"/>
    <col min="7" max="7" width="14" style="206" bestFit="1" customWidth="1"/>
    <col min="8" max="8" width="13.7109375" style="206" customWidth="1"/>
    <col min="9" max="9" width="15.42578125" style="206" customWidth="1"/>
    <col min="10" max="10" width="14.7109375" style="206" customWidth="1"/>
    <col min="11" max="11" width="12.7109375" style="206" customWidth="1"/>
    <col min="12" max="12" width="21.140625" style="206" customWidth="1"/>
    <col min="13" max="13" width="3.28515625" customWidth="1"/>
  </cols>
  <sheetData>
    <row r="1" spans="1:12" s="108" customFormat="1">
      <c r="A1" s="1124" t="s">
        <v>506</v>
      </c>
      <c r="B1" s="1124"/>
      <c r="C1" s="1124"/>
      <c r="D1" s="1124"/>
      <c r="E1" s="1124"/>
      <c r="F1" s="1124"/>
      <c r="G1" s="1124"/>
      <c r="H1" s="1124"/>
      <c r="I1" s="1124"/>
      <c r="J1" s="1124"/>
      <c r="K1" s="1124"/>
      <c r="L1" s="1124"/>
    </row>
    <row r="2" spans="1:12" s="108" customFormat="1" ht="120.6" customHeight="1">
      <c r="A2" s="432" t="s">
        <v>178</v>
      </c>
      <c r="B2" s="432" t="s">
        <v>5</v>
      </c>
      <c r="C2" s="6" t="s">
        <v>6</v>
      </c>
      <c r="D2" s="432" t="s">
        <v>7</v>
      </c>
      <c r="E2" s="432" t="s">
        <v>8</v>
      </c>
      <c r="F2" s="433" t="s">
        <v>9</v>
      </c>
      <c r="G2" s="432" t="s">
        <v>10</v>
      </c>
      <c r="H2" s="433" t="s">
        <v>11</v>
      </c>
      <c r="I2" s="432" t="s">
        <v>179</v>
      </c>
      <c r="J2" s="432" t="s">
        <v>180</v>
      </c>
      <c r="K2" s="432" t="s">
        <v>181</v>
      </c>
      <c r="L2" s="432" t="s">
        <v>343</v>
      </c>
    </row>
    <row r="3" spans="1:12" s="108" customFormat="1">
      <c r="A3" s="1039" t="s">
        <v>20</v>
      </c>
      <c r="B3" s="1065"/>
      <c r="C3" s="1065"/>
      <c r="D3" s="1065"/>
      <c r="E3" s="1065"/>
      <c r="F3" s="1065"/>
      <c r="G3" s="1065"/>
      <c r="H3" s="1065"/>
      <c r="I3" s="1065"/>
      <c r="J3" s="1065"/>
      <c r="K3" s="1065"/>
      <c r="L3" s="1066"/>
    </row>
    <row r="4" spans="1:12" s="108" customFormat="1">
      <c r="A4" s="1063" t="s">
        <v>344</v>
      </c>
      <c r="B4" s="1063"/>
      <c r="C4" s="1063"/>
      <c r="D4" s="1063"/>
      <c r="E4" s="1063"/>
      <c r="F4" s="1063"/>
      <c r="G4" s="1063"/>
      <c r="H4" s="1063"/>
      <c r="I4" s="1063"/>
      <c r="J4" s="1063"/>
      <c r="K4" s="1063"/>
      <c r="L4" s="1063"/>
    </row>
    <row r="5" spans="1:12" ht="66" customHeight="1">
      <c r="A5" s="743" t="s">
        <v>507</v>
      </c>
      <c r="B5" s="744" t="s">
        <v>449</v>
      </c>
      <c r="C5" s="745"/>
      <c r="D5" s="746">
        <f>(51*20)</f>
        <v>1020</v>
      </c>
      <c r="E5" s="746">
        <v>0.5</v>
      </c>
      <c r="F5" s="747">
        <f>D5*E5</f>
        <v>510</v>
      </c>
      <c r="G5" s="746">
        <v>2</v>
      </c>
      <c r="H5" s="747">
        <f>F5*G5</f>
        <v>1020</v>
      </c>
      <c r="I5" s="748">
        <v>980</v>
      </c>
      <c r="J5" s="748">
        <f>H5-I5</f>
        <v>40</v>
      </c>
      <c r="K5" s="437"/>
      <c r="L5" s="749" t="s">
        <v>508</v>
      </c>
    </row>
    <row r="6" spans="1:12" ht="26.25">
      <c r="A6" s="743">
        <v>249.4</v>
      </c>
      <c r="B6" s="744" t="s">
        <v>26</v>
      </c>
      <c r="C6" s="745"/>
      <c r="D6" s="746">
        <v>51</v>
      </c>
      <c r="E6" s="746">
        <v>1</v>
      </c>
      <c r="F6" s="747">
        <f t="shared" ref="F6:F17" si="0">D6*E6</f>
        <v>51</v>
      </c>
      <c r="G6" s="746">
        <v>40</v>
      </c>
      <c r="H6" s="747">
        <f t="shared" ref="H6:H17" si="1">F6*G6</f>
        <v>2040</v>
      </c>
      <c r="I6" s="746">
        <v>1960</v>
      </c>
      <c r="J6" s="746">
        <f t="shared" ref="J6:J17" si="2">H6-I6</f>
        <v>80</v>
      </c>
      <c r="K6" s="437"/>
      <c r="L6" s="749" t="s">
        <v>508</v>
      </c>
    </row>
    <row r="7" spans="1:12" ht="118.5" customHeight="1">
      <c r="A7" s="743">
        <v>249.6</v>
      </c>
      <c r="B7" s="744" t="s">
        <v>454</v>
      </c>
      <c r="C7" s="555"/>
      <c r="D7" s="746">
        <v>51</v>
      </c>
      <c r="E7" s="746">
        <f>900000/51</f>
        <v>17647.058823529413</v>
      </c>
      <c r="F7" s="747">
        <f>D7*E7</f>
        <v>900000</v>
      </c>
      <c r="G7" s="437">
        <v>0.25</v>
      </c>
      <c r="H7" s="747">
        <f>F7*G7</f>
        <v>225000</v>
      </c>
      <c r="I7" s="750"/>
      <c r="K7" s="751">
        <f>+H7</f>
        <v>225000</v>
      </c>
      <c r="L7" s="749" t="s">
        <v>509</v>
      </c>
    </row>
    <row r="8" spans="1:12" ht="165" customHeight="1">
      <c r="A8" s="743" t="s">
        <v>142</v>
      </c>
      <c r="B8" s="752" t="s">
        <v>510</v>
      </c>
      <c r="C8" s="749"/>
      <c r="D8" s="753">
        <v>51</v>
      </c>
      <c r="E8" s="753">
        <f>(9196/2)/51</f>
        <v>90.156862745098039</v>
      </c>
      <c r="F8" s="747">
        <f>D8*E8</f>
        <v>4598</v>
      </c>
      <c r="G8" s="753">
        <v>1</v>
      </c>
      <c r="H8" s="747">
        <f>F8*G8</f>
        <v>4598</v>
      </c>
      <c r="I8" s="754"/>
      <c r="J8" s="555"/>
      <c r="K8" s="451">
        <f>+H8-I8</f>
        <v>4598</v>
      </c>
      <c r="L8" s="749" t="s">
        <v>511</v>
      </c>
    </row>
    <row r="9" spans="1:12" ht="51.75">
      <c r="A9" s="743" t="s">
        <v>493</v>
      </c>
      <c r="B9" s="744" t="s">
        <v>512</v>
      </c>
      <c r="C9" s="745"/>
      <c r="D9" s="746">
        <v>51</v>
      </c>
      <c r="E9" s="755">
        <f>((9196/2)/51)*0.1</f>
        <v>9.0156862745098039</v>
      </c>
      <c r="F9" s="747">
        <f t="shared" si="0"/>
        <v>459.8</v>
      </c>
      <c r="G9" s="755">
        <v>1.5</v>
      </c>
      <c r="H9" s="747">
        <f t="shared" si="1"/>
        <v>689.7</v>
      </c>
      <c r="I9" s="746">
        <v>880.5</v>
      </c>
      <c r="J9" s="746">
        <f t="shared" si="2"/>
        <v>-190.79999999999995</v>
      </c>
      <c r="K9" s="437"/>
      <c r="L9" s="749" t="s">
        <v>513</v>
      </c>
    </row>
    <row r="10" spans="1:12" ht="26.25">
      <c r="A10" s="743" t="s">
        <v>64</v>
      </c>
      <c r="B10" s="744" t="s">
        <v>462</v>
      </c>
      <c r="C10" s="745"/>
      <c r="D10" s="746">
        <v>51</v>
      </c>
      <c r="E10" s="746">
        <v>1</v>
      </c>
      <c r="F10" s="747">
        <f t="shared" si="0"/>
        <v>51</v>
      </c>
      <c r="G10" s="746">
        <v>5</v>
      </c>
      <c r="H10" s="747">
        <f t="shared" si="1"/>
        <v>255</v>
      </c>
      <c r="I10" s="746">
        <v>245</v>
      </c>
      <c r="J10" s="746">
        <f t="shared" si="2"/>
        <v>10</v>
      </c>
      <c r="K10" s="437"/>
      <c r="L10" s="749" t="s">
        <v>508</v>
      </c>
    </row>
    <row r="11" spans="1:12" ht="26.25">
      <c r="A11" s="743" t="s">
        <v>67</v>
      </c>
      <c r="B11" s="744" t="s">
        <v>68</v>
      </c>
      <c r="C11" s="745"/>
      <c r="D11" s="746">
        <v>51</v>
      </c>
      <c r="E11" s="746">
        <v>1</v>
      </c>
      <c r="F11" s="747">
        <f t="shared" si="0"/>
        <v>51</v>
      </c>
      <c r="G11" s="746">
        <v>3</v>
      </c>
      <c r="H11" s="747">
        <f t="shared" si="1"/>
        <v>153</v>
      </c>
      <c r="I11" s="746">
        <v>147</v>
      </c>
      <c r="J11" s="746">
        <f t="shared" si="2"/>
        <v>6</v>
      </c>
      <c r="K11" s="437"/>
      <c r="L11" s="749" t="s">
        <v>508</v>
      </c>
    </row>
    <row r="12" spans="1:12" ht="26.25">
      <c r="A12" s="743">
        <v>249.11</v>
      </c>
      <c r="B12" s="744" t="s">
        <v>465</v>
      </c>
      <c r="C12" s="745"/>
      <c r="D12" s="746">
        <v>51</v>
      </c>
      <c r="E12" s="746">
        <v>1</v>
      </c>
      <c r="F12" s="747">
        <f t="shared" si="0"/>
        <v>51</v>
      </c>
      <c r="G12" s="746">
        <v>10</v>
      </c>
      <c r="H12" s="747">
        <f t="shared" si="1"/>
        <v>510</v>
      </c>
      <c r="I12" s="746">
        <v>490</v>
      </c>
      <c r="J12" s="746">
        <f t="shared" si="2"/>
        <v>20</v>
      </c>
      <c r="K12" s="437"/>
      <c r="L12" s="749" t="s">
        <v>508</v>
      </c>
    </row>
    <row r="13" spans="1:12">
      <c r="A13" s="743">
        <v>249.12</v>
      </c>
      <c r="B13" s="752" t="s">
        <v>514</v>
      </c>
      <c r="C13" s="756"/>
      <c r="D13" s="746">
        <v>5</v>
      </c>
      <c r="E13" s="746">
        <v>1</v>
      </c>
      <c r="F13" s="747">
        <f t="shared" si="0"/>
        <v>5</v>
      </c>
      <c r="G13" s="746">
        <v>160</v>
      </c>
      <c r="H13" s="747">
        <f t="shared" si="1"/>
        <v>800</v>
      </c>
      <c r="I13" s="746">
        <v>800</v>
      </c>
      <c r="J13" s="746">
        <f t="shared" si="2"/>
        <v>0</v>
      </c>
      <c r="K13" s="437"/>
      <c r="L13" s="749"/>
    </row>
    <row r="14" spans="1:12">
      <c r="A14" s="743" t="s">
        <v>466</v>
      </c>
      <c r="B14" s="744" t="s">
        <v>467</v>
      </c>
      <c r="C14" s="745"/>
      <c r="D14" s="746">
        <v>12</v>
      </c>
      <c r="E14" s="746">
        <v>1</v>
      </c>
      <c r="F14" s="747">
        <f t="shared" si="0"/>
        <v>12</v>
      </c>
      <c r="G14" s="746">
        <v>10</v>
      </c>
      <c r="H14" s="747">
        <f t="shared" si="1"/>
        <v>120</v>
      </c>
      <c r="I14" s="746">
        <v>120</v>
      </c>
      <c r="J14" s="746">
        <f t="shared" si="2"/>
        <v>0</v>
      </c>
      <c r="K14" s="437"/>
      <c r="L14" s="555"/>
    </row>
    <row r="15" spans="1:12">
      <c r="A15" s="743" t="s">
        <v>98</v>
      </c>
      <c r="B15" s="744" t="s">
        <v>468</v>
      </c>
      <c r="C15" s="745"/>
      <c r="D15" s="746">
        <v>12</v>
      </c>
      <c r="E15" s="746">
        <v>1</v>
      </c>
      <c r="F15" s="747">
        <f t="shared" si="0"/>
        <v>12</v>
      </c>
      <c r="G15" s="746">
        <v>15</v>
      </c>
      <c r="H15" s="747">
        <f t="shared" si="1"/>
        <v>180</v>
      </c>
      <c r="I15" s="746">
        <v>180</v>
      </c>
      <c r="J15" s="746">
        <f t="shared" si="2"/>
        <v>0</v>
      </c>
      <c r="K15" s="437"/>
      <c r="L15" s="555"/>
    </row>
    <row r="16" spans="1:12" s="141" customFormat="1" ht="26.25">
      <c r="A16" s="743" t="s">
        <v>499</v>
      </c>
      <c r="B16" s="744" t="s">
        <v>500</v>
      </c>
      <c r="C16" s="745"/>
      <c r="D16" s="746">
        <v>51</v>
      </c>
      <c r="E16" s="746">
        <v>1</v>
      </c>
      <c r="F16" s="747">
        <f t="shared" si="0"/>
        <v>51</v>
      </c>
      <c r="G16" s="746">
        <v>40</v>
      </c>
      <c r="H16" s="747">
        <f t="shared" si="1"/>
        <v>2040</v>
      </c>
      <c r="I16" s="746">
        <v>1862</v>
      </c>
      <c r="J16" s="746">
        <f t="shared" si="2"/>
        <v>178</v>
      </c>
      <c r="K16" s="437"/>
      <c r="L16" s="749" t="s">
        <v>515</v>
      </c>
    </row>
    <row r="17" spans="1:12" ht="26.25">
      <c r="A17" s="743" t="s">
        <v>499</v>
      </c>
      <c r="B17" s="757" t="s">
        <v>516</v>
      </c>
      <c r="C17" s="758" t="s">
        <v>517</v>
      </c>
      <c r="D17" s="692">
        <v>51</v>
      </c>
      <c r="E17" s="692">
        <v>1</v>
      </c>
      <c r="F17" s="747">
        <f t="shared" si="0"/>
        <v>51</v>
      </c>
      <c r="G17" s="692">
        <v>2</v>
      </c>
      <c r="H17" s="747">
        <f t="shared" si="1"/>
        <v>102</v>
      </c>
      <c r="I17" s="692">
        <v>98</v>
      </c>
      <c r="J17" s="746">
        <f t="shared" si="2"/>
        <v>4</v>
      </c>
      <c r="K17" s="437"/>
      <c r="L17" s="749" t="s">
        <v>508</v>
      </c>
    </row>
    <row r="18" spans="1:12">
      <c r="A18" s="1125" t="s">
        <v>469</v>
      </c>
      <c r="B18" s="1126"/>
      <c r="C18" s="462"/>
      <c r="D18" s="759">
        <f>51+1020</f>
        <v>1071</v>
      </c>
      <c r="E18" s="760">
        <f>+F18/D18</f>
        <v>845.84761904761911</v>
      </c>
      <c r="F18" s="759">
        <f>SUM(F5:F17)</f>
        <v>905902.8</v>
      </c>
      <c r="G18" s="760">
        <f>+H18/F18</f>
        <v>0.26217790694542503</v>
      </c>
      <c r="H18" s="759">
        <f>SUM(H5:H17)</f>
        <v>237507.7</v>
      </c>
      <c r="I18" s="759">
        <f>SUM(I5:I17)</f>
        <v>7762.5</v>
      </c>
      <c r="J18" s="759">
        <f>SUM(J5:J17)</f>
        <v>147.20000000000005</v>
      </c>
      <c r="K18" s="582">
        <f>SUM(K5:K17)</f>
        <v>229598</v>
      </c>
      <c r="L18" s="467"/>
    </row>
    <row r="19" spans="1:12" s="141" customFormat="1">
      <c r="A19" s="1042" t="s">
        <v>360</v>
      </c>
      <c r="B19" s="1043"/>
      <c r="C19" s="1043"/>
      <c r="D19" s="1043"/>
      <c r="E19" s="1043"/>
      <c r="F19" s="1043"/>
      <c r="G19" s="1043"/>
      <c r="H19" s="1043"/>
      <c r="I19" s="1043"/>
      <c r="J19" s="1043"/>
      <c r="K19" s="1043"/>
      <c r="L19" s="1044"/>
    </row>
    <row r="20" spans="1:12" ht="89.25" customHeight="1">
      <c r="A20" s="743">
        <v>249.6</v>
      </c>
      <c r="B20" s="744" t="s">
        <v>454</v>
      </c>
      <c r="C20" s="555"/>
      <c r="D20" s="746">
        <v>900000</v>
      </c>
      <c r="E20" s="437">
        <v>1</v>
      </c>
      <c r="F20" s="747">
        <f>D20*E20</f>
        <v>900000</v>
      </c>
      <c r="G20" s="437">
        <v>0.01</v>
      </c>
      <c r="H20" s="747">
        <f>F20*G20</f>
        <v>9000</v>
      </c>
      <c r="I20" s="750">
        <v>240921.25</v>
      </c>
      <c r="K20" s="750">
        <f>+H20-I20</f>
        <v>-231921.25</v>
      </c>
      <c r="L20" s="749" t="s">
        <v>518</v>
      </c>
    </row>
    <row r="21" spans="1:12">
      <c r="A21" s="1122" t="s">
        <v>109</v>
      </c>
      <c r="B21" s="1123"/>
      <c r="C21" s="467"/>
      <c r="D21" s="759">
        <f>D20</f>
        <v>900000</v>
      </c>
      <c r="E21" s="761"/>
      <c r="F21" s="759">
        <f>F20</f>
        <v>900000</v>
      </c>
      <c r="G21" s="761"/>
      <c r="H21" s="759">
        <f>H20</f>
        <v>9000</v>
      </c>
      <c r="I21" s="471">
        <f>I20</f>
        <v>240921.25</v>
      </c>
      <c r="J21" s="471">
        <f>+J20</f>
        <v>0</v>
      </c>
      <c r="K21" s="471">
        <f>+K20</f>
        <v>-231921.25</v>
      </c>
      <c r="L21" s="467"/>
    </row>
    <row r="22" spans="1:12" s="141" customFormat="1">
      <c r="A22" s="1075" t="s">
        <v>519</v>
      </c>
      <c r="B22" s="1076"/>
      <c r="C22" s="1076"/>
      <c r="D22" s="1076"/>
      <c r="E22" s="1076"/>
      <c r="F22" s="1076"/>
      <c r="G22" s="1076"/>
      <c r="H22" s="1076"/>
      <c r="I22" s="1076"/>
      <c r="J22" s="1076"/>
      <c r="K22" s="1076"/>
      <c r="L22" s="1077"/>
    </row>
    <row r="23" spans="1:12" ht="81" customHeight="1">
      <c r="A23" s="743" t="s">
        <v>142</v>
      </c>
      <c r="B23" s="752" t="s">
        <v>520</v>
      </c>
      <c r="C23" s="749"/>
      <c r="D23" s="746">
        <f>9196/2</f>
        <v>4598</v>
      </c>
      <c r="E23" s="437">
        <v>1</v>
      </c>
      <c r="F23" s="747">
        <f>D23*E23</f>
        <v>4598</v>
      </c>
      <c r="G23" s="437">
        <v>0.08</v>
      </c>
      <c r="H23" s="747">
        <f>F23*G23</f>
        <v>367.84000000000003</v>
      </c>
      <c r="I23" s="750">
        <v>5870</v>
      </c>
      <c r="J23" s="555"/>
      <c r="K23" s="209">
        <f>+H23-I23</f>
        <v>-5502.16</v>
      </c>
      <c r="L23" s="749" t="s">
        <v>521</v>
      </c>
    </row>
    <row r="24" spans="1:12">
      <c r="A24" s="1122" t="s">
        <v>522</v>
      </c>
      <c r="B24" s="1123"/>
      <c r="C24" s="467"/>
      <c r="D24" s="759">
        <f>D23</f>
        <v>4598</v>
      </c>
      <c r="E24" s="761"/>
      <c r="F24" s="759">
        <f>F23</f>
        <v>4598</v>
      </c>
      <c r="G24" s="761"/>
      <c r="H24" s="759">
        <f>H23</f>
        <v>367.84000000000003</v>
      </c>
      <c r="I24" s="471">
        <f>I23</f>
        <v>5870</v>
      </c>
      <c r="J24" s="471">
        <f>+J23</f>
        <v>0</v>
      </c>
      <c r="K24" s="471">
        <f>+K23</f>
        <v>-5502.16</v>
      </c>
      <c r="L24" s="467"/>
    </row>
    <row r="25" spans="1:12">
      <c r="A25" s="1129" t="s">
        <v>133</v>
      </c>
      <c r="B25" s="1129"/>
      <c r="C25" s="939"/>
      <c r="D25" s="596">
        <f>SUM(D18+D21+D24)</f>
        <v>905669</v>
      </c>
      <c r="E25" s="596"/>
      <c r="F25" s="596">
        <f t="shared" ref="F25:I25" si="3">SUM(F18+F21+F24)</f>
        <v>1810500.8</v>
      </c>
      <c r="G25" s="596"/>
      <c r="H25" s="596">
        <f t="shared" si="3"/>
        <v>246875.54</v>
      </c>
      <c r="I25" s="596">
        <f t="shared" si="3"/>
        <v>254553.75</v>
      </c>
      <c r="J25" s="596">
        <f>SUM(J18+J21+J24)</f>
        <v>147.20000000000005</v>
      </c>
      <c r="K25" s="544">
        <f>SUM(K18+K21+K24)</f>
        <v>-7825.41</v>
      </c>
      <c r="L25" s="547"/>
    </row>
    <row r="26" spans="1:12">
      <c r="A26" s="1039" t="s">
        <v>134</v>
      </c>
      <c r="B26" s="1065"/>
      <c r="C26" s="1065"/>
      <c r="D26" s="1065"/>
      <c r="E26" s="1065"/>
      <c r="F26" s="1065"/>
      <c r="G26" s="1065"/>
      <c r="H26" s="1065"/>
      <c r="I26" s="1065"/>
      <c r="J26" s="1065"/>
      <c r="K26" s="1065"/>
      <c r="L26" s="1066"/>
    </row>
    <row r="27" spans="1:12">
      <c r="A27" s="1063" t="s">
        <v>366</v>
      </c>
      <c r="B27" s="1063"/>
      <c r="C27" s="1063"/>
      <c r="D27" s="1063"/>
      <c r="E27" s="1063"/>
      <c r="F27" s="1063"/>
      <c r="G27" s="1063"/>
      <c r="H27" s="1063"/>
      <c r="I27" s="1063"/>
      <c r="J27" s="1063"/>
      <c r="K27" s="1063"/>
      <c r="L27" s="1063"/>
    </row>
    <row r="28" spans="1:12" ht="39">
      <c r="A28" s="743">
        <v>249.9</v>
      </c>
      <c r="B28" s="555" t="s">
        <v>476</v>
      </c>
      <c r="C28" s="555"/>
      <c r="D28" s="746">
        <v>51</v>
      </c>
      <c r="E28" s="746">
        <f>900000/51</f>
        <v>17647.058823529413</v>
      </c>
      <c r="F28" s="747">
        <v>900000</v>
      </c>
      <c r="G28" s="437">
        <f>+H28/F28</f>
        <v>0.25</v>
      </c>
      <c r="H28" s="747">
        <v>225000</v>
      </c>
      <c r="I28" s="750">
        <v>240920.75</v>
      </c>
      <c r="J28" s="750">
        <f>+H28-I28</f>
        <v>-15920.75</v>
      </c>
      <c r="K28" s="595"/>
      <c r="L28" s="749" t="s">
        <v>523</v>
      </c>
    </row>
    <row r="29" spans="1:12" ht="26.25">
      <c r="A29" s="743" t="s">
        <v>142</v>
      </c>
      <c r="B29" s="555" t="s">
        <v>524</v>
      </c>
      <c r="C29" s="555"/>
      <c r="D29" s="746">
        <v>51</v>
      </c>
      <c r="E29" s="746">
        <v>1</v>
      </c>
      <c r="F29" s="747">
        <v>51</v>
      </c>
      <c r="G29" s="746">
        <f t="shared" ref="G29:G33" si="4">+H29/F29</f>
        <v>2</v>
      </c>
      <c r="H29" s="747">
        <v>102</v>
      </c>
      <c r="I29" s="750">
        <v>98</v>
      </c>
      <c r="J29" s="750">
        <f t="shared" ref="J29:J33" si="5">+H29-I29</f>
        <v>4</v>
      </c>
      <c r="K29" s="595"/>
      <c r="L29" s="749" t="s">
        <v>508</v>
      </c>
    </row>
    <row r="30" spans="1:12" ht="26.25">
      <c r="A30" s="743" t="s">
        <v>493</v>
      </c>
      <c r="B30" s="555" t="s">
        <v>525</v>
      </c>
      <c r="C30" s="555"/>
      <c r="D30" s="746">
        <v>51</v>
      </c>
      <c r="E30" s="746">
        <v>1</v>
      </c>
      <c r="F30" s="747">
        <v>51</v>
      </c>
      <c r="G30" s="746">
        <f t="shared" si="4"/>
        <v>2</v>
      </c>
      <c r="H30" s="747">
        <v>102</v>
      </c>
      <c r="I30" s="750">
        <v>98</v>
      </c>
      <c r="J30" s="750">
        <f t="shared" si="5"/>
        <v>4</v>
      </c>
      <c r="K30" s="595"/>
      <c r="L30" s="749" t="s">
        <v>508</v>
      </c>
    </row>
    <row r="31" spans="1:12" ht="26.25">
      <c r="A31" s="743" t="s">
        <v>482</v>
      </c>
      <c r="B31" s="555" t="s">
        <v>483</v>
      </c>
      <c r="C31" s="555"/>
      <c r="D31" s="746">
        <v>51</v>
      </c>
      <c r="E31" s="746">
        <v>1</v>
      </c>
      <c r="F31" s="747">
        <v>51</v>
      </c>
      <c r="G31" s="746">
        <f t="shared" si="4"/>
        <v>2</v>
      </c>
      <c r="H31" s="747">
        <v>102</v>
      </c>
      <c r="I31" s="750">
        <v>98</v>
      </c>
      <c r="J31" s="750">
        <f t="shared" si="5"/>
        <v>4</v>
      </c>
      <c r="K31" s="595"/>
      <c r="L31" s="749" t="s">
        <v>508</v>
      </c>
    </row>
    <row r="32" spans="1:12" ht="26.25">
      <c r="A32" s="743" t="s">
        <v>154</v>
      </c>
      <c r="B32" s="555" t="s">
        <v>485</v>
      </c>
      <c r="C32" s="555"/>
      <c r="D32" s="746">
        <v>51</v>
      </c>
      <c r="E32" s="746">
        <v>1</v>
      </c>
      <c r="F32" s="747">
        <v>51</v>
      </c>
      <c r="G32" s="746">
        <f t="shared" si="4"/>
        <v>1</v>
      </c>
      <c r="H32" s="747">
        <v>51</v>
      </c>
      <c r="I32" s="750">
        <v>49</v>
      </c>
      <c r="J32" s="750">
        <f t="shared" si="5"/>
        <v>2</v>
      </c>
      <c r="K32" s="595"/>
      <c r="L32" s="749" t="s">
        <v>508</v>
      </c>
    </row>
    <row r="33" spans="1:12" ht="29.45" customHeight="1">
      <c r="A33" s="743" t="s">
        <v>158</v>
      </c>
      <c r="B33" s="555" t="s">
        <v>486</v>
      </c>
      <c r="C33" s="555"/>
      <c r="D33" s="746">
        <v>51</v>
      </c>
      <c r="E33" s="746">
        <v>1</v>
      </c>
      <c r="F33" s="747">
        <v>51</v>
      </c>
      <c r="G33" s="746">
        <f t="shared" si="4"/>
        <v>40</v>
      </c>
      <c r="H33" s="747">
        <v>2040</v>
      </c>
      <c r="I33" s="750">
        <v>1960</v>
      </c>
      <c r="J33" s="750">
        <f t="shared" si="5"/>
        <v>80</v>
      </c>
      <c r="K33" s="595"/>
      <c r="L33" s="749" t="s">
        <v>508</v>
      </c>
    </row>
    <row r="34" spans="1:12">
      <c r="A34" s="1130" t="s">
        <v>160</v>
      </c>
      <c r="B34" s="1131"/>
      <c r="C34" s="939"/>
      <c r="D34" s="596">
        <f>51</f>
        <v>51</v>
      </c>
      <c r="E34" s="596"/>
      <c r="F34" s="596">
        <f t="shared" ref="F34:K34" si="6">SUM(F28:F33)</f>
        <v>900255</v>
      </c>
      <c r="G34" s="596"/>
      <c r="H34" s="596">
        <f t="shared" si="6"/>
        <v>227397</v>
      </c>
      <c r="I34" s="596">
        <f t="shared" si="6"/>
        <v>243223.75</v>
      </c>
      <c r="J34" s="596">
        <f t="shared" si="6"/>
        <v>-15826.75</v>
      </c>
      <c r="K34" s="596">
        <f t="shared" si="6"/>
        <v>0</v>
      </c>
      <c r="L34" s="547"/>
    </row>
    <row r="35" spans="1:12">
      <c r="A35" s="1127" t="s">
        <v>371</v>
      </c>
      <c r="B35" s="1128"/>
      <c r="C35" s="762"/>
      <c r="D35" s="763">
        <f>SUM(D25+D34)</f>
        <v>905720</v>
      </c>
      <c r="E35" s="763"/>
      <c r="F35" s="763">
        <f t="shared" ref="F35:K35" si="7">SUM(F25+F34)</f>
        <v>2710755.8</v>
      </c>
      <c r="G35" s="763"/>
      <c r="H35" s="763">
        <f t="shared" si="7"/>
        <v>474272.54000000004</v>
      </c>
      <c r="I35" s="763">
        <f t="shared" si="7"/>
        <v>497777.5</v>
      </c>
      <c r="J35" s="763">
        <f t="shared" si="7"/>
        <v>-15679.55</v>
      </c>
      <c r="K35" s="763">
        <f t="shared" si="7"/>
        <v>-7825.41</v>
      </c>
      <c r="L35" s="764"/>
    </row>
    <row r="36" spans="1:12">
      <c r="D36" s="207"/>
    </row>
    <row r="37" spans="1:12" ht="15.75" thickBot="1">
      <c r="D37" s="209"/>
      <c r="E37" s="210"/>
      <c r="F37" s="209"/>
      <c r="G37" s="210"/>
      <c r="H37" s="209"/>
      <c r="I37" s="209"/>
      <c r="J37" s="209"/>
      <c r="K37" s="209"/>
    </row>
    <row r="38" spans="1:12" ht="39" thickBot="1">
      <c r="B38" s="212" t="s">
        <v>163</v>
      </c>
      <c r="C38" s="212" t="s">
        <v>164</v>
      </c>
      <c r="D38" s="212" t="s">
        <v>165</v>
      </c>
      <c r="E38" s="212" t="s">
        <v>166</v>
      </c>
      <c r="F38" s="213" t="s">
        <v>167</v>
      </c>
      <c r="G38" s="214" t="s">
        <v>168</v>
      </c>
      <c r="I38" s="215"/>
    </row>
    <row r="39" spans="1:12">
      <c r="B39" s="557" t="s">
        <v>169</v>
      </c>
      <c r="C39" s="765">
        <f>+D25</f>
        <v>905669</v>
      </c>
      <c r="D39" s="766">
        <f>+E39/C39</f>
        <v>1.9990756004677206</v>
      </c>
      <c r="E39" s="767">
        <f>+F25</f>
        <v>1810500.8</v>
      </c>
      <c r="F39" s="766">
        <f>+G39/E39</f>
        <v>0.13635759785358836</v>
      </c>
      <c r="G39" s="768">
        <f>+H25</f>
        <v>246875.54</v>
      </c>
    </row>
    <row r="40" spans="1:12" ht="15.75" thickBot="1">
      <c r="B40" s="561" t="s">
        <v>170</v>
      </c>
      <c r="C40" s="769">
        <f>+D34</f>
        <v>51</v>
      </c>
      <c r="D40" s="770">
        <f>+E40/C40</f>
        <v>17652.058823529413</v>
      </c>
      <c r="E40" s="729">
        <f>+F34</f>
        <v>900255</v>
      </c>
      <c r="F40" s="770">
        <f>+G40/E40</f>
        <v>0.25259176566639452</v>
      </c>
      <c r="G40" s="771">
        <f>+H34</f>
        <v>227397</v>
      </c>
    </row>
    <row r="41" spans="1:12" ht="15.75" thickBot="1">
      <c r="B41" s="86" t="s">
        <v>487</v>
      </c>
      <c r="C41" s="731">
        <f>900000+4598+51+1020</f>
        <v>905669</v>
      </c>
      <c r="D41" s="732">
        <f>+E41/C41</f>
        <v>2.9930976990489899</v>
      </c>
      <c r="E41" s="733">
        <f>SUM(E39:E40)</f>
        <v>2710755.8</v>
      </c>
      <c r="F41" s="734">
        <f>+G41/E41</f>
        <v>0.174959522359041</v>
      </c>
      <c r="G41" s="735">
        <f>SUM(G39:G40)</f>
        <v>474272.54000000004</v>
      </c>
    </row>
    <row r="42" spans="1:12" ht="15.75" thickBot="1">
      <c r="B42" s="92"/>
      <c r="C42" s="233"/>
      <c r="D42" s="234"/>
      <c r="E42" s="235"/>
      <c r="F42" s="236"/>
      <c r="G42" s="235"/>
    </row>
    <row r="43" spans="1:12" ht="15.75" thickBot="1">
      <c r="B43" s="238"/>
      <c r="C43" s="212" t="s">
        <v>172</v>
      </c>
      <c r="D43" s="239" t="s">
        <v>173</v>
      </c>
    </row>
    <row r="44" spans="1:12">
      <c r="B44" s="97" t="s">
        <v>174</v>
      </c>
      <c r="C44" s="772">
        <v>1934932</v>
      </c>
      <c r="D44" s="773">
        <v>497778</v>
      </c>
      <c r="E44" s="241"/>
      <c r="F44" s="242"/>
      <c r="G44" s="243"/>
    </row>
    <row r="45" spans="1:12">
      <c r="B45" s="103" t="s">
        <v>175</v>
      </c>
      <c r="C45" s="774">
        <f>+E41</f>
        <v>2710755.8</v>
      </c>
      <c r="D45" s="775">
        <f>+G41</f>
        <v>474272.54000000004</v>
      </c>
      <c r="E45" s="241"/>
      <c r="F45" s="242"/>
      <c r="G45" s="246"/>
    </row>
    <row r="46" spans="1:12" ht="15.75" thickBot="1">
      <c r="B46" s="104" t="s">
        <v>176</v>
      </c>
      <c r="C46" s="776">
        <f>+C45-C44</f>
        <v>775823.79999999981</v>
      </c>
      <c r="D46" s="777">
        <f>+D45-D44</f>
        <v>-23505.459999999963</v>
      </c>
      <c r="E46" s="241"/>
      <c r="F46" s="242"/>
      <c r="G46" s="241"/>
    </row>
  </sheetData>
  <mergeCells count="13">
    <mergeCell ref="A35:B35"/>
    <mergeCell ref="A22:L22"/>
    <mergeCell ref="A24:B24"/>
    <mergeCell ref="A25:B25"/>
    <mergeCell ref="A26:L26"/>
    <mergeCell ref="A27:L27"/>
    <mergeCell ref="A34:B34"/>
    <mergeCell ref="A21:B21"/>
    <mergeCell ref="A1:L1"/>
    <mergeCell ref="A3:L3"/>
    <mergeCell ref="A4:L4"/>
    <mergeCell ref="A18:B18"/>
    <mergeCell ref="A19:L1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9A04-F48D-498F-ABD1-0AD647EA6EB7}">
  <sheetPr>
    <tabColor theme="9" tint="0.79998168889431442"/>
  </sheetPr>
  <dimension ref="A1:AU166"/>
  <sheetViews>
    <sheetView zoomScaleNormal="100" workbookViewId="0">
      <selection activeCell="H33" sqref="H33"/>
    </sheetView>
  </sheetViews>
  <sheetFormatPr defaultColWidth="9.140625" defaultRowHeight="12.75"/>
  <cols>
    <col min="1" max="1" width="14.42578125" style="793" customWidth="1"/>
    <col min="2" max="2" width="38.7109375" style="792" customWidth="1"/>
    <col min="3" max="3" width="10" style="792" customWidth="1"/>
    <col min="4" max="4" width="14.85546875" style="793" customWidth="1"/>
    <col min="5" max="5" width="13.42578125" style="793" customWidth="1"/>
    <col min="6" max="6" width="13.28515625" style="792" customWidth="1"/>
    <col min="7" max="7" width="13.7109375" style="792" customWidth="1"/>
    <col min="8" max="8" width="11.28515625" style="839" bestFit="1" customWidth="1"/>
    <col min="9" max="9" width="10.42578125" style="786" bestFit="1" customWidth="1"/>
    <col min="10" max="16384" width="9.140625" style="786"/>
  </cols>
  <sheetData>
    <row r="1" spans="1:47" s="782" customFormat="1" ht="35.25" customHeight="1">
      <c r="A1" s="778" t="s">
        <v>526</v>
      </c>
      <c r="B1" s="779" t="s">
        <v>527</v>
      </c>
      <c r="C1" s="779" t="s">
        <v>528</v>
      </c>
      <c r="D1" s="778" t="s">
        <v>529</v>
      </c>
      <c r="E1" s="778" t="s">
        <v>530</v>
      </c>
      <c r="F1" s="779" t="s">
        <v>531</v>
      </c>
      <c r="G1" s="779" t="s">
        <v>532</v>
      </c>
      <c r="H1" s="778" t="s">
        <v>533</v>
      </c>
      <c r="I1" s="780"/>
      <c r="J1" s="781"/>
      <c r="K1" s="781"/>
      <c r="L1" s="781"/>
      <c r="M1" s="781"/>
      <c r="N1" s="781"/>
      <c r="O1" s="781"/>
      <c r="P1" s="781"/>
      <c r="Q1" s="781"/>
      <c r="R1" s="781"/>
      <c r="S1" s="781"/>
      <c r="T1" s="781"/>
      <c r="U1" s="781"/>
      <c r="V1" s="781"/>
      <c r="W1" s="781"/>
      <c r="X1" s="781"/>
      <c r="Y1" s="781"/>
      <c r="Z1" s="781"/>
      <c r="AA1" s="781"/>
      <c r="AB1" s="781"/>
      <c r="AC1" s="781"/>
      <c r="AD1" s="781"/>
      <c r="AE1" s="781"/>
      <c r="AF1" s="781"/>
      <c r="AG1" s="781"/>
      <c r="AH1" s="781"/>
      <c r="AI1" s="781"/>
      <c r="AJ1" s="781"/>
      <c r="AK1" s="781"/>
      <c r="AL1" s="781"/>
      <c r="AM1" s="781"/>
      <c r="AN1" s="781"/>
      <c r="AO1" s="781"/>
      <c r="AP1" s="781"/>
      <c r="AQ1" s="781"/>
      <c r="AR1" s="781"/>
      <c r="AS1" s="781"/>
      <c r="AT1" s="781"/>
      <c r="AU1" s="781"/>
    </row>
    <row r="2" spans="1:47" ht="15.75" customHeight="1">
      <c r="A2" s="783" t="s">
        <v>422</v>
      </c>
      <c r="B2" s="784"/>
      <c r="C2" s="784"/>
      <c r="D2" s="784"/>
      <c r="E2" s="784"/>
      <c r="F2" s="784"/>
      <c r="G2" s="784"/>
      <c r="H2" s="785"/>
    </row>
    <row r="3" spans="1:47">
      <c r="A3" s="787" t="s">
        <v>534</v>
      </c>
      <c r="B3" s="788"/>
      <c r="C3" s="788"/>
      <c r="D3" s="789"/>
      <c r="E3" s="789"/>
      <c r="F3" s="789"/>
      <c r="G3" s="789"/>
      <c r="H3" s="790"/>
    </row>
    <row r="4" spans="1:47" ht="14.25" customHeight="1">
      <c r="A4" s="791" t="s">
        <v>507</v>
      </c>
      <c r="B4" s="792" t="s">
        <v>24</v>
      </c>
      <c r="D4" s="793">
        <v>490</v>
      </c>
      <c r="E4" s="793">
        <v>1</v>
      </c>
      <c r="F4" s="792">
        <v>490</v>
      </c>
      <c r="G4" s="792">
        <v>2</v>
      </c>
      <c r="H4" s="794">
        <f t="shared" ref="H4:H14" si="0">SUM(F4*G4)</f>
        <v>980</v>
      </c>
      <c r="I4" s="795"/>
    </row>
    <row r="5" spans="1:47">
      <c r="A5" s="796">
        <v>249.4</v>
      </c>
      <c r="B5" s="792" t="s">
        <v>26</v>
      </c>
      <c r="D5" s="793">
        <v>49</v>
      </c>
      <c r="E5" s="793">
        <v>1</v>
      </c>
      <c r="F5" s="792">
        <v>49</v>
      </c>
      <c r="G5" s="792">
        <v>40</v>
      </c>
      <c r="H5" s="794">
        <f t="shared" si="0"/>
        <v>1960</v>
      </c>
    </row>
    <row r="6" spans="1:47">
      <c r="A6" s="791" t="s">
        <v>493</v>
      </c>
      <c r="B6" s="792" t="s">
        <v>535</v>
      </c>
      <c r="D6" s="793">
        <v>587</v>
      </c>
      <c r="E6" s="793">
        <v>1</v>
      </c>
      <c r="F6" s="792">
        <v>587</v>
      </c>
      <c r="G6" s="792">
        <v>1.5</v>
      </c>
      <c r="H6" s="794">
        <f t="shared" si="0"/>
        <v>880.5</v>
      </c>
    </row>
    <row r="7" spans="1:47">
      <c r="A7" s="791" t="s">
        <v>64</v>
      </c>
      <c r="B7" s="792" t="s">
        <v>462</v>
      </c>
      <c r="D7" s="793">
        <v>49</v>
      </c>
      <c r="E7" s="793">
        <v>1</v>
      </c>
      <c r="F7" s="792">
        <v>49</v>
      </c>
      <c r="G7" s="792">
        <v>5</v>
      </c>
      <c r="H7" s="794">
        <f t="shared" si="0"/>
        <v>245</v>
      </c>
    </row>
    <row r="8" spans="1:47">
      <c r="A8" s="791" t="s">
        <v>67</v>
      </c>
      <c r="B8" s="792" t="s">
        <v>68</v>
      </c>
      <c r="D8" s="793">
        <v>49</v>
      </c>
      <c r="E8" s="793">
        <v>1</v>
      </c>
      <c r="F8" s="792">
        <v>49</v>
      </c>
      <c r="G8" s="792">
        <v>3</v>
      </c>
      <c r="H8" s="794">
        <f t="shared" si="0"/>
        <v>147</v>
      </c>
    </row>
    <row r="9" spans="1:47">
      <c r="A9" s="796">
        <v>249.11</v>
      </c>
      <c r="B9" s="792" t="s">
        <v>465</v>
      </c>
      <c r="D9" s="793">
        <v>49</v>
      </c>
      <c r="E9" s="793">
        <v>1</v>
      </c>
      <c r="F9" s="792">
        <v>49</v>
      </c>
      <c r="G9" s="792">
        <v>10</v>
      </c>
      <c r="H9" s="794">
        <f t="shared" si="0"/>
        <v>490</v>
      </c>
    </row>
    <row r="10" spans="1:47" ht="15.75" customHeight="1">
      <c r="A10" s="796">
        <v>249.12</v>
      </c>
      <c r="B10" s="797" t="s">
        <v>536</v>
      </c>
      <c r="D10" s="793">
        <v>5</v>
      </c>
      <c r="E10" s="793">
        <v>1</v>
      </c>
      <c r="F10" s="792">
        <v>5</v>
      </c>
      <c r="G10" s="792">
        <v>160</v>
      </c>
      <c r="H10" s="794">
        <f t="shared" si="0"/>
        <v>800</v>
      </c>
      <c r="I10" s="798"/>
    </row>
    <row r="11" spans="1:47">
      <c r="A11" s="796" t="s">
        <v>466</v>
      </c>
      <c r="B11" s="792" t="s">
        <v>467</v>
      </c>
      <c r="D11" s="793">
        <v>12</v>
      </c>
      <c r="E11" s="793">
        <v>1</v>
      </c>
      <c r="F11" s="792">
        <v>12</v>
      </c>
      <c r="G11" s="792">
        <v>10</v>
      </c>
      <c r="H11" s="794">
        <f t="shared" si="0"/>
        <v>120</v>
      </c>
    </row>
    <row r="12" spans="1:47">
      <c r="A12" s="796" t="s">
        <v>98</v>
      </c>
      <c r="B12" s="792" t="s">
        <v>468</v>
      </c>
      <c r="D12" s="793">
        <v>12</v>
      </c>
      <c r="E12" s="793">
        <v>1</v>
      </c>
      <c r="F12" s="792">
        <v>12</v>
      </c>
      <c r="G12" s="792">
        <v>15</v>
      </c>
      <c r="H12" s="794">
        <f t="shared" si="0"/>
        <v>180</v>
      </c>
    </row>
    <row r="13" spans="1:47" s="799" customFormat="1">
      <c r="A13" s="791" t="s">
        <v>499</v>
      </c>
      <c r="B13" s="792" t="s">
        <v>500</v>
      </c>
      <c r="C13" s="792"/>
      <c r="D13" s="793">
        <v>49</v>
      </c>
      <c r="E13" s="793">
        <v>1</v>
      </c>
      <c r="F13" s="792">
        <v>49</v>
      </c>
      <c r="G13" s="792">
        <v>38</v>
      </c>
      <c r="H13" s="794">
        <f t="shared" si="0"/>
        <v>1862</v>
      </c>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86"/>
      <c r="AG13" s="786"/>
      <c r="AH13" s="786"/>
      <c r="AI13" s="786"/>
      <c r="AJ13" s="786"/>
      <c r="AK13" s="786"/>
      <c r="AL13" s="786"/>
      <c r="AM13" s="786"/>
      <c r="AN13" s="786"/>
      <c r="AO13" s="786"/>
      <c r="AP13" s="786"/>
      <c r="AQ13" s="786"/>
      <c r="AR13" s="786"/>
      <c r="AS13" s="786"/>
      <c r="AT13" s="786"/>
      <c r="AU13" s="786"/>
    </row>
    <row r="14" spans="1:47" s="799" customFormat="1" ht="13.5" thickBot="1">
      <c r="A14" s="791"/>
      <c r="B14" s="792" t="s">
        <v>516</v>
      </c>
      <c r="C14" s="792" t="s">
        <v>537</v>
      </c>
      <c r="D14" s="793">
        <v>49</v>
      </c>
      <c r="E14" s="793">
        <v>1</v>
      </c>
      <c r="F14" s="792">
        <v>49</v>
      </c>
      <c r="G14" s="792">
        <v>2</v>
      </c>
      <c r="H14" s="800">
        <f t="shared" si="0"/>
        <v>98</v>
      </c>
      <c r="I14" s="786"/>
      <c r="J14" s="786"/>
      <c r="K14" s="786"/>
      <c r="L14" s="786"/>
      <c r="M14" s="786"/>
      <c r="N14" s="786"/>
      <c r="O14" s="786"/>
      <c r="P14" s="786"/>
      <c r="Q14" s="786"/>
      <c r="R14" s="786"/>
      <c r="S14" s="786"/>
      <c r="T14" s="786"/>
      <c r="U14" s="786"/>
      <c r="V14" s="786"/>
      <c r="W14" s="786"/>
      <c r="X14" s="786"/>
      <c r="Y14" s="786"/>
      <c r="Z14" s="786"/>
      <c r="AA14" s="786"/>
      <c r="AB14" s="786"/>
      <c r="AC14" s="786"/>
      <c r="AD14" s="786"/>
      <c r="AE14" s="786"/>
      <c r="AF14" s="786"/>
      <c r="AG14" s="786"/>
      <c r="AH14" s="786"/>
      <c r="AI14" s="786"/>
      <c r="AJ14" s="786"/>
      <c r="AK14" s="786"/>
      <c r="AL14" s="786"/>
      <c r="AM14" s="786"/>
      <c r="AN14" s="786"/>
      <c r="AO14" s="786"/>
      <c r="AP14" s="786"/>
      <c r="AQ14" s="786"/>
      <c r="AR14" s="786"/>
      <c r="AS14" s="786"/>
      <c r="AT14" s="786"/>
      <c r="AU14" s="786"/>
    </row>
    <row r="15" spans="1:47" s="799" customFormat="1" ht="13.5" thickBot="1">
      <c r="A15" s="801" t="s">
        <v>538</v>
      </c>
      <c r="B15" s="802" t="s">
        <v>539</v>
      </c>
      <c r="C15" s="802"/>
      <c r="D15" s="803">
        <v>587</v>
      </c>
      <c r="E15" s="804"/>
      <c r="F15" s="805">
        <f>SUM(F4:F14)</f>
        <v>1400</v>
      </c>
      <c r="G15" s="806">
        <v>0.17</v>
      </c>
      <c r="H15" s="807">
        <f>SUM(H4:H14)</f>
        <v>7762.5</v>
      </c>
      <c r="I15" s="808"/>
      <c r="J15" s="786"/>
      <c r="K15" s="786"/>
      <c r="L15" s="786"/>
      <c r="M15" s="786"/>
      <c r="N15" s="786"/>
      <c r="O15" s="786"/>
      <c r="P15" s="786"/>
      <c r="Q15" s="786"/>
      <c r="R15" s="786"/>
      <c r="S15" s="786"/>
      <c r="T15" s="786"/>
      <c r="U15" s="786"/>
      <c r="V15" s="786"/>
      <c r="W15" s="786"/>
      <c r="X15" s="786"/>
      <c r="Y15" s="786"/>
      <c r="Z15" s="786"/>
      <c r="AA15" s="786"/>
      <c r="AB15" s="786"/>
      <c r="AC15" s="786"/>
      <c r="AD15" s="786"/>
      <c r="AE15" s="786"/>
      <c r="AF15" s="786"/>
      <c r="AG15" s="786"/>
      <c r="AH15" s="786"/>
      <c r="AI15" s="786"/>
      <c r="AJ15" s="786"/>
      <c r="AK15" s="786"/>
      <c r="AL15" s="786"/>
      <c r="AM15" s="786"/>
      <c r="AN15" s="786"/>
      <c r="AO15" s="786"/>
      <c r="AP15" s="786"/>
      <c r="AQ15" s="786"/>
      <c r="AR15" s="786"/>
      <c r="AS15" s="786"/>
      <c r="AT15" s="786"/>
      <c r="AU15" s="786"/>
    </row>
    <row r="16" spans="1:47">
      <c r="A16" s="809" t="s">
        <v>360</v>
      </c>
      <c r="B16" s="810"/>
      <c r="C16" s="810"/>
      <c r="D16" s="810"/>
      <c r="E16" s="810"/>
      <c r="F16" s="810"/>
      <c r="G16" s="810"/>
      <c r="H16" s="811"/>
      <c r="I16" s="808"/>
    </row>
    <row r="17" spans="1:47">
      <c r="A17" s="791" t="s">
        <v>534</v>
      </c>
      <c r="B17" s="791"/>
      <c r="C17" s="791"/>
      <c r="D17" s="812"/>
      <c r="E17" s="813"/>
      <c r="F17" s="812"/>
      <c r="G17" s="813"/>
      <c r="H17" s="814"/>
      <c r="I17" s="808"/>
    </row>
    <row r="18" spans="1:47">
      <c r="A18" s="796">
        <v>249.6</v>
      </c>
      <c r="B18" s="793" t="s">
        <v>454</v>
      </c>
      <c r="C18" s="791"/>
      <c r="D18" s="815">
        <v>963685</v>
      </c>
      <c r="E18" s="815">
        <v>1</v>
      </c>
      <c r="F18" s="815">
        <v>963685</v>
      </c>
      <c r="G18" s="816">
        <v>0.25</v>
      </c>
      <c r="H18" s="815">
        <f>SUM(D18*G18)</f>
        <v>240921.25</v>
      </c>
      <c r="I18" s="808"/>
    </row>
    <row r="19" spans="1:47">
      <c r="A19" s="817" t="s">
        <v>538</v>
      </c>
      <c r="B19" s="817" t="s">
        <v>539</v>
      </c>
      <c r="C19" s="817"/>
      <c r="D19" s="818">
        <f>SUM(D18)</f>
        <v>963685</v>
      </c>
      <c r="E19" s="818"/>
      <c r="F19" s="818">
        <f>SUM(F18)</f>
        <v>963685</v>
      </c>
      <c r="G19" s="819"/>
      <c r="H19" s="818">
        <f>SUM(H18)</f>
        <v>240921.25</v>
      </c>
      <c r="I19" s="808"/>
    </row>
    <row r="20" spans="1:47">
      <c r="A20" s="820" t="s">
        <v>540</v>
      </c>
      <c r="B20" s="821"/>
      <c r="C20" s="821"/>
      <c r="D20" s="821"/>
      <c r="E20" s="821"/>
      <c r="F20" s="821"/>
      <c r="G20" s="821"/>
      <c r="H20" s="822"/>
      <c r="I20" s="808"/>
    </row>
    <row r="21" spans="1:47">
      <c r="A21" s="823" t="s">
        <v>534</v>
      </c>
      <c r="B21" s="823"/>
      <c r="C21" s="823"/>
      <c r="D21" s="824"/>
      <c r="E21" s="824"/>
      <c r="F21" s="824"/>
      <c r="G21" s="825"/>
      <c r="H21" s="824"/>
      <c r="I21" s="808"/>
    </row>
    <row r="22" spans="1:47">
      <c r="A22" s="791" t="s">
        <v>142</v>
      </c>
      <c r="B22" s="793" t="s">
        <v>520</v>
      </c>
      <c r="C22" s="791"/>
      <c r="D22" s="815">
        <v>5870</v>
      </c>
      <c r="E22" s="815">
        <v>1</v>
      </c>
      <c r="F22" s="815">
        <f>SUM(D22*E22)</f>
        <v>5870</v>
      </c>
      <c r="G22" s="815">
        <v>1</v>
      </c>
      <c r="H22" s="815">
        <f>SUM(F22)</f>
        <v>5870</v>
      </c>
      <c r="I22" s="808"/>
    </row>
    <row r="23" spans="1:47">
      <c r="A23" s="791" t="s">
        <v>538</v>
      </c>
      <c r="B23" s="791" t="s">
        <v>539</v>
      </c>
      <c r="C23" s="791"/>
      <c r="D23" s="812">
        <f>SUM(D22)</f>
        <v>5870</v>
      </c>
      <c r="E23" s="812"/>
      <c r="F23" s="812">
        <f>SUM(F22)</f>
        <v>5870</v>
      </c>
      <c r="G23" s="814"/>
      <c r="H23" s="812">
        <f>SUM(F23)</f>
        <v>5870</v>
      </c>
      <c r="I23" s="808"/>
    </row>
    <row r="24" spans="1:47">
      <c r="A24" s="826" t="s">
        <v>422</v>
      </c>
      <c r="B24" s="827"/>
      <c r="C24" s="827"/>
      <c r="D24" s="827"/>
      <c r="E24" s="827"/>
      <c r="F24" s="827"/>
      <c r="G24" s="827"/>
      <c r="H24" s="828"/>
      <c r="I24" s="808"/>
    </row>
    <row r="25" spans="1:47">
      <c r="A25" s="787" t="s">
        <v>440</v>
      </c>
      <c r="B25" s="788"/>
      <c r="C25" s="788"/>
      <c r="D25" s="788"/>
      <c r="E25" s="788"/>
      <c r="F25" s="788"/>
      <c r="G25" s="788"/>
      <c r="H25" s="829"/>
    </row>
    <row r="26" spans="1:47">
      <c r="A26" s="796">
        <v>249.9</v>
      </c>
      <c r="B26" s="792" t="s">
        <v>476</v>
      </c>
      <c r="D26" s="815">
        <v>49</v>
      </c>
      <c r="E26" s="815">
        <v>19667</v>
      </c>
      <c r="F26" s="830">
        <f>SUM(D26*E26)</f>
        <v>963683</v>
      </c>
      <c r="G26" s="792">
        <v>0.25</v>
      </c>
      <c r="H26" s="815">
        <f t="shared" ref="H26:H31" si="1">SUM(F26*G26)</f>
        <v>240920.75</v>
      </c>
    </row>
    <row r="27" spans="1:47">
      <c r="A27" s="796" t="s">
        <v>142</v>
      </c>
      <c r="B27" s="792" t="s">
        <v>524</v>
      </c>
      <c r="D27" s="815">
        <v>49</v>
      </c>
      <c r="E27" s="815">
        <v>1</v>
      </c>
      <c r="F27" s="830">
        <v>49</v>
      </c>
      <c r="G27" s="830">
        <v>2</v>
      </c>
      <c r="H27" s="815">
        <f t="shared" si="1"/>
        <v>98</v>
      </c>
      <c r="I27" s="795"/>
    </row>
    <row r="28" spans="1:47">
      <c r="A28" s="796" t="s">
        <v>493</v>
      </c>
      <c r="B28" s="792" t="s">
        <v>525</v>
      </c>
      <c r="D28" s="815">
        <v>49</v>
      </c>
      <c r="E28" s="793">
        <v>1</v>
      </c>
      <c r="F28" s="830">
        <v>49</v>
      </c>
      <c r="G28" s="792">
        <v>2</v>
      </c>
      <c r="H28" s="793">
        <f t="shared" si="1"/>
        <v>98</v>
      </c>
    </row>
    <row r="29" spans="1:47">
      <c r="A29" s="796">
        <v>249.11</v>
      </c>
      <c r="B29" s="792" t="s">
        <v>483</v>
      </c>
      <c r="D29" s="815">
        <v>49</v>
      </c>
      <c r="E29" s="793">
        <v>1</v>
      </c>
      <c r="F29" s="830">
        <v>49</v>
      </c>
      <c r="G29" s="792">
        <v>2</v>
      </c>
      <c r="H29" s="793">
        <f t="shared" si="1"/>
        <v>98</v>
      </c>
    </row>
    <row r="30" spans="1:47">
      <c r="A30" s="796" t="s">
        <v>154</v>
      </c>
      <c r="B30" s="792" t="s">
        <v>485</v>
      </c>
      <c r="D30" s="815">
        <v>49</v>
      </c>
      <c r="E30" s="793">
        <v>1</v>
      </c>
      <c r="F30" s="830">
        <v>49</v>
      </c>
      <c r="G30" s="792">
        <v>1</v>
      </c>
      <c r="H30" s="793">
        <f t="shared" si="1"/>
        <v>49</v>
      </c>
    </row>
    <row r="31" spans="1:47">
      <c r="A31" s="796" t="s">
        <v>158</v>
      </c>
      <c r="B31" s="792" t="s">
        <v>541</v>
      </c>
      <c r="D31" s="815">
        <v>49</v>
      </c>
      <c r="E31" s="793">
        <v>1</v>
      </c>
      <c r="F31" s="830">
        <v>49</v>
      </c>
      <c r="G31" s="792">
        <v>40</v>
      </c>
      <c r="H31" s="794">
        <f t="shared" si="1"/>
        <v>1960</v>
      </c>
    </row>
    <row r="32" spans="1:47" s="799" customFormat="1">
      <c r="A32" s="831" t="s">
        <v>538</v>
      </c>
      <c r="B32" s="831" t="s">
        <v>542</v>
      </c>
      <c r="C32" s="831"/>
      <c r="D32" s="832">
        <f>SUM(D26)</f>
        <v>49</v>
      </c>
      <c r="E32" s="832"/>
      <c r="F32" s="832">
        <f>SUM(F26:F31)</f>
        <v>963928</v>
      </c>
      <c r="G32" s="833"/>
      <c r="H32" s="832">
        <f>SUM(H26:H31)</f>
        <v>243223.75</v>
      </c>
      <c r="I32" s="808"/>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6"/>
      <c r="AI32" s="786"/>
      <c r="AJ32" s="786"/>
      <c r="AK32" s="786"/>
      <c r="AL32" s="786"/>
      <c r="AM32" s="786"/>
      <c r="AN32" s="786"/>
      <c r="AO32" s="786"/>
      <c r="AP32" s="786"/>
      <c r="AQ32" s="786"/>
      <c r="AR32" s="786"/>
      <c r="AS32" s="786"/>
      <c r="AT32" s="786"/>
      <c r="AU32" s="786"/>
    </row>
    <row r="33" spans="1:47" s="837" customFormat="1" ht="13.5" thickBot="1">
      <c r="A33" s="834" t="s">
        <v>446</v>
      </c>
      <c r="B33" s="834" t="s">
        <v>543</v>
      </c>
      <c r="C33" s="834"/>
      <c r="D33" s="835">
        <f>SUM(D15+D19+D23)</f>
        <v>970142</v>
      </c>
      <c r="E33" s="834"/>
      <c r="F33" s="835">
        <f>SUM(F15+F19+F23+F32+D32)</f>
        <v>1934932</v>
      </c>
      <c r="G33" s="836"/>
      <c r="H33" s="835">
        <f>SUM(H15+H19+H23+H32)</f>
        <v>497777.5</v>
      </c>
      <c r="I33" s="808"/>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c r="AR33" s="786"/>
      <c r="AS33" s="786"/>
      <c r="AT33" s="786"/>
      <c r="AU33" s="786"/>
    </row>
    <row r="34" spans="1:47" ht="13.5" thickTop="1">
      <c r="A34" s="786"/>
      <c r="B34" s="786"/>
      <c r="C34" s="786"/>
      <c r="D34" s="786"/>
      <c r="E34" s="786"/>
      <c r="F34" s="795"/>
      <c r="G34" s="786"/>
      <c r="H34" s="795"/>
    </row>
    <row r="35" spans="1:47">
      <c r="A35" s="786"/>
      <c r="B35" s="786"/>
      <c r="C35" s="786"/>
      <c r="D35" s="786"/>
      <c r="E35" s="786"/>
      <c r="F35" s="786"/>
      <c r="G35" s="786"/>
      <c r="H35" s="786"/>
    </row>
    <row r="36" spans="1:47">
      <c r="A36" s="786"/>
      <c r="B36" s="786"/>
      <c r="C36" s="786"/>
      <c r="D36" s="786"/>
      <c r="E36" s="786"/>
      <c r="F36" s="786"/>
      <c r="G36" s="786"/>
      <c r="H36" s="786"/>
    </row>
    <row r="37" spans="1:47">
      <c r="A37" s="786"/>
      <c r="B37" s="786"/>
      <c r="C37" s="786"/>
      <c r="D37" s="786"/>
      <c r="E37" s="786"/>
      <c r="F37" s="786"/>
      <c r="G37" s="786"/>
      <c r="H37" s="786"/>
    </row>
    <row r="38" spans="1:47">
      <c r="A38" s="786"/>
      <c r="B38" s="786"/>
      <c r="C38" s="786"/>
      <c r="D38" s="786"/>
      <c r="E38" s="786"/>
      <c r="F38" s="786"/>
      <c r="G38" s="786"/>
      <c r="H38" s="786"/>
    </row>
    <row r="39" spans="1:47">
      <c r="A39" s="786"/>
      <c r="B39" s="786"/>
      <c r="C39" s="786"/>
      <c r="D39" s="786"/>
      <c r="E39" s="786"/>
      <c r="F39" s="786"/>
      <c r="G39" s="838"/>
      <c r="H39" s="786"/>
    </row>
    <row r="40" spans="1:47">
      <c r="A40" s="786"/>
      <c r="B40" s="786"/>
      <c r="C40" s="786"/>
      <c r="D40" s="786"/>
      <c r="E40" s="786"/>
      <c r="F40" s="786"/>
      <c r="G40" s="786"/>
      <c r="H40" s="786"/>
    </row>
    <row r="41" spans="1:47">
      <c r="A41" s="786"/>
      <c r="B41" s="786"/>
      <c r="C41" s="786"/>
      <c r="D41" s="786"/>
      <c r="E41" s="786"/>
      <c r="F41" s="786"/>
      <c r="G41" s="786"/>
      <c r="H41" s="786"/>
    </row>
    <row r="42" spans="1:47">
      <c r="A42" s="786"/>
      <c r="B42" s="786"/>
      <c r="C42" s="786"/>
      <c r="D42" s="786"/>
      <c r="E42" s="786"/>
      <c r="F42" s="786"/>
      <c r="G42" s="786"/>
      <c r="H42" s="786"/>
    </row>
    <row r="43" spans="1:47">
      <c r="A43" s="786"/>
      <c r="B43" s="786"/>
      <c r="C43" s="786"/>
      <c r="D43" s="786"/>
      <c r="E43" s="786"/>
      <c r="F43" s="786"/>
      <c r="G43" s="786"/>
      <c r="H43" s="786"/>
    </row>
    <row r="44" spans="1:47">
      <c r="A44" s="786"/>
      <c r="B44" s="786"/>
      <c r="C44" s="786"/>
      <c r="D44" s="786"/>
      <c r="E44" s="786"/>
      <c r="F44" s="786"/>
      <c r="G44" s="786"/>
      <c r="H44" s="786"/>
    </row>
    <row r="45" spans="1:47">
      <c r="A45" s="786"/>
      <c r="B45" s="786"/>
      <c r="C45" s="786"/>
      <c r="D45" s="786"/>
      <c r="E45" s="786"/>
      <c r="F45" s="786"/>
      <c r="G45" s="786"/>
      <c r="H45" s="786"/>
    </row>
    <row r="46" spans="1:47">
      <c r="A46" s="786"/>
      <c r="B46" s="786"/>
      <c r="C46" s="786"/>
      <c r="D46" s="786"/>
      <c r="E46" s="786"/>
      <c r="F46" s="786"/>
      <c r="G46" s="786"/>
      <c r="H46" s="786"/>
    </row>
    <row r="47" spans="1:47">
      <c r="A47" s="786"/>
      <c r="B47" s="786"/>
      <c r="C47" s="786"/>
      <c r="D47" s="786"/>
      <c r="E47" s="786"/>
      <c r="F47" s="786"/>
      <c r="G47" s="786"/>
      <c r="H47" s="786"/>
    </row>
    <row r="48" spans="1:47">
      <c r="A48" s="786"/>
      <c r="B48" s="786"/>
      <c r="C48" s="786"/>
      <c r="D48" s="786"/>
      <c r="E48" s="786"/>
      <c r="F48" s="786"/>
      <c r="G48" s="786"/>
      <c r="H48" s="786"/>
    </row>
    <row r="49" s="786" customFormat="1"/>
    <row r="50" s="786" customFormat="1"/>
    <row r="51" s="786" customFormat="1"/>
    <row r="52" s="786" customFormat="1"/>
    <row r="53" s="786" customFormat="1"/>
    <row r="54" s="786" customFormat="1"/>
    <row r="55" s="786" customFormat="1"/>
    <row r="56" s="786" customFormat="1"/>
    <row r="57" s="786" customFormat="1"/>
    <row r="58" s="786" customFormat="1"/>
    <row r="59" s="786" customFormat="1"/>
    <row r="60" s="786" customFormat="1"/>
    <row r="61" s="786" customFormat="1"/>
    <row r="62" s="786" customFormat="1"/>
    <row r="63" s="786" customFormat="1"/>
    <row r="64" s="786" customFormat="1"/>
    <row r="65" s="786" customFormat="1"/>
    <row r="66" s="786" customFormat="1"/>
    <row r="67" s="786" customFormat="1"/>
    <row r="68" s="786" customFormat="1"/>
    <row r="69" s="786" customFormat="1"/>
    <row r="70" s="786" customFormat="1"/>
    <row r="71" s="786" customFormat="1"/>
    <row r="72" s="786" customFormat="1"/>
    <row r="73" s="786" customFormat="1"/>
    <row r="74" s="786" customFormat="1"/>
    <row r="75" s="786" customFormat="1"/>
    <row r="76" s="786" customFormat="1"/>
    <row r="77" s="786" customFormat="1"/>
    <row r="78" s="786" customFormat="1"/>
    <row r="79" s="786" customFormat="1"/>
    <row r="80" s="786" customFormat="1"/>
    <row r="81" s="786" customFormat="1"/>
    <row r="82" s="786" customFormat="1"/>
    <row r="83" s="786" customFormat="1"/>
    <row r="84" s="786" customFormat="1"/>
    <row r="85" s="786" customFormat="1"/>
    <row r="86" s="786" customFormat="1"/>
    <row r="87" s="786" customFormat="1"/>
    <row r="88" s="786" customFormat="1"/>
    <row r="89" s="786" customFormat="1"/>
    <row r="90" s="786" customFormat="1"/>
    <row r="91" s="786" customFormat="1"/>
    <row r="92" s="786" customFormat="1"/>
    <row r="93" s="786" customFormat="1"/>
    <row r="94" s="786" customFormat="1"/>
    <row r="95" s="786" customFormat="1"/>
    <row r="96" s="786" customFormat="1"/>
    <row r="97" s="786" customFormat="1"/>
    <row r="98" s="786" customFormat="1"/>
    <row r="99" s="786" customFormat="1"/>
    <row r="100" s="786" customFormat="1"/>
    <row r="101" s="786" customFormat="1"/>
    <row r="102" s="786" customFormat="1"/>
    <row r="103" s="786" customFormat="1"/>
    <row r="104" s="786" customFormat="1"/>
    <row r="105" s="786" customFormat="1"/>
    <row r="106" s="786" customFormat="1"/>
    <row r="107" s="786" customFormat="1"/>
    <row r="108" s="786" customFormat="1"/>
    <row r="109" s="786" customFormat="1"/>
    <row r="110" s="786" customFormat="1"/>
    <row r="111" s="786" customFormat="1"/>
    <row r="112" s="786" customFormat="1"/>
    <row r="113" s="786" customFormat="1"/>
    <row r="114" s="786" customFormat="1"/>
    <row r="115" s="786" customFormat="1"/>
    <row r="116" s="786" customFormat="1"/>
    <row r="117" s="786" customFormat="1"/>
    <row r="118" s="786" customFormat="1"/>
    <row r="119" s="786" customFormat="1"/>
    <row r="120" s="786" customFormat="1"/>
    <row r="121" s="786" customFormat="1"/>
    <row r="122" s="786" customFormat="1"/>
    <row r="123" s="786" customFormat="1"/>
    <row r="124" s="786" customFormat="1"/>
    <row r="125" s="786" customFormat="1"/>
    <row r="126" s="786" customFormat="1"/>
    <row r="127" s="786" customFormat="1"/>
    <row r="128" s="786" customFormat="1"/>
    <row r="129" s="786" customFormat="1"/>
    <row r="130" s="786" customFormat="1"/>
    <row r="131" s="786" customFormat="1"/>
    <row r="132" s="786" customFormat="1"/>
    <row r="133" s="786" customFormat="1"/>
    <row r="134" s="786" customFormat="1"/>
    <row r="135" s="786" customFormat="1"/>
    <row r="136" s="786" customFormat="1"/>
    <row r="137" s="786" customFormat="1"/>
    <row r="138" s="786" customFormat="1"/>
    <row r="139" s="786" customFormat="1"/>
    <row r="140" s="786" customFormat="1"/>
    <row r="141" s="786" customFormat="1"/>
    <row r="142" s="786" customFormat="1"/>
    <row r="143" s="786" customFormat="1"/>
    <row r="144" s="786" customFormat="1"/>
    <row r="145" s="786" customFormat="1"/>
    <row r="146" s="786" customFormat="1"/>
    <row r="147" s="786" customFormat="1"/>
    <row r="148" s="786" customFormat="1"/>
    <row r="149" s="786" customFormat="1"/>
    <row r="150" s="786" customFormat="1"/>
    <row r="151" s="786" customFormat="1"/>
    <row r="152" s="786" customFormat="1"/>
    <row r="153" s="786" customFormat="1"/>
    <row r="154" s="786" customFormat="1"/>
    <row r="155" s="786" customFormat="1"/>
    <row r="156" s="786" customFormat="1"/>
    <row r="157" s="786" customFormat="1"/>
    <row r="158" s="786" customFormat="1"/>
    <row r="159" s="786" customFormat="1"/>
    <row r="160" s="786" customFormat="1"/>
    <row r="161" s="786" customFormat="1"/>
    <row r="162" s="786" customFormat="1"/>
    <row r="163" s="786" customFormat="1"/>
    <row r="164" s="786" customFormat="1"/>
    <row r="165" s="786" customFormat="1"/>
    <row r="166" s="786" customFormat="1"/>
  </sheetData>
  <pageMargins left="0.5" right="0.5" top="1" bottom="0.75" header="0.25" footer="0.5"/>
  <pageSetup orientation="landscape" r:id="rId1"/>
  <headerFooter alignWithMargins="0">
    <oddHeader>&amp;COMB #0584-0541
Senior Farmers' Market Program (SFMNP)
 Reporting and Recordkeeping Requirements&amp;RJanuary 2010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39F1-4D3F-43EC-A1CF-098719071B42}">
  <sheetPr>
    <tabColor theme="8"/>
  </sheetPr>
  <dimension ref="A1:U77"/>
  <sheetViews>
    <sheetView zoomScale="110" zoomScaleNormal="110" workbookViewId="0">
      <pane ySplit="2" topLeftCell="A23" activePane="bottomLeft" state="frozen"/>
      <selection pane="bottomLeft" activeCell="A5" sqref="A5"/>
    </sheetView>
  </sheetViews>
  <sheetFormatPr defaultColWidth="9.140625" defaultRowHeight="15"/>
  <cols>
    <col min="1" max="1" width="21.5703125" style="391" customWidth="1"/>
    <col min="2" max="2" width="37" style="388" customWidth="1"/>
    <col min="3" max="3" width="15.140625" style="388" bestFit="1" customWidth="1"/>
    <col min="4" max="12" width="14.7109375" style="388" customWidth="1"/>
    <col min="13" max="13" width="37.85546875" style="388" customWidth="1"/>
    <col min="14" max="14" width="3.140625" style="390" customWidth="1"/>
    <col min="15" max="15" width="12.85546875" style="390" bestFit="1" customWidth="1"/>
    <col min="16" max="16" width="18.85546875" style="390" bestFit="1" customWidth="1"/>
    <col min="17" max="17" width="14" style="390" bestFit="1" customWidth="1"/>
    <col min="18" max="18" width="14.5703125" style="390" bestFit="1" customWidth="1"/>
    <col min="19" max="20" width="15.5703125" style="390" bestFit="1" customWidth="1"/>
    <col min="21" max="21" width="10.140625" style="390" bestFit="1" customWidth="1"/>
    <col min="22" max="16384" width="9.140625" style="390"/>
  </cols>
  <sheetData>
    <row r="1" spans="1:21" ht="15.75">
      <c r="A1" s="1029" t="s">
        <v>177</v>
      </c>
      <c r="B1" s="1029"/>
      <c r="C1" s="1029"/>
      <c r="D1" s="1029"/>
      <c r="E1" s="1029"/>
      <c r="F1" s="1029"/>
      <c r="G1" s="1029"/>
      <c r="H1" s="1029"/>
      <c r="I1" s="1029"/>
      <c r="J1" s="1029"/>
      <c r="K1" s="1029"/>
      <c r="L1" s="1029"/>
      <c r="M1" s="1029"/>
    </row>
    <row r="2" spans="1:21" s="425" customFormat="1" ht="51.75" thickBot="1">
      <c r="A2" s="109" t="s">
        <v>178</v>
      </c>
      <c r="B2" s="109" t="s">
        <v>5</v>
      </c>
      <c r="C2" s="110" t="s">
        <v>6</v>
      </c>
      <c r="D2" s="109" t="s">
        <v>7</v>
      </c>
      <c r="E2" s="109" t="s">
        <v>8</v>
      </c>
      <c r="F2" s="378" t="s">
        <v>9</v>
      </c>
      <c r="G2" s="109" t="s">
        <v>10</v>
      </c>
      <c r="H2" s="378" t="s">
        <v>11</v>
      </c>
      <c r="I2" s="109" t="s">
        <v>179</v>
      </c>
      <c r="J2" s="109" t="s">
        <v>180</v>
      </c>
      <c r="K2" s="109" t="s">
        <v>181</v>
      </c>
      <c r="L2" s="109" t="s">
        <v>182</v>
      </c>
      <c r="M2" s="109" t="s">
        <v>19</v>
      </c>
    </row>
    <row r="3" spans="1:21" s="425" customFormat="1">
      <c r="A3" s="1030" t="s">
        <v>20</v>
      </c>
      <c r="B3" s="1031"/>
      <c r="C3" s="1031"/>
      <c r="D3" s="1031"/>
      <c r="E3" s="1031"/>
      <c r="F3" s="1031"/>
      <c r="G3" s="1031"/>
      <c r="H3" s="1031"/>
      <c r="I3" s="1031"/>
      <c r="J3" s="1031"/>
      <c r="K3" s="1031"/>
      <c r="L3" s="1031"/>
      <c r="M3" s="1032"/>
    </row>
    <row r="4" spans="1:21" s="425" customFormat="1">
      <c r="A4" s="1033" t="s">
        <v>183</v>
      </c>
      <c r="B4" s="1033"/>
      <c r="C4" s="1033"/>
      <c r="D4" s="1033"/>
      <c r="E4" s="1033"/>
      <c r="F4" s="1033"/>
      <c r="G4" s="1033"/>
      <c r="H4" s="1033"/>
      <c r="I4" s="1033"/>
      <c r="J4" s="1033"/>
      <c r="K4" s="1033"/>
      <c r="L4" s="1033"/>
      <c r="M4" s="1033"/>
    </row>
    <row r="5" spans="1:21" ht="26.45" customHeight="1">
      <c r="A5" s="112" t="s">
        <v>22</v>
      </c>
      <c r="B5" s="265" t="s">
        <v>24</v>
      </c>
      <c r="C5" s="114"/>
      <c r="D5" s="115">
        <f>FMNP_LAs*0.7*0.5</f>
        <v>379.75</v>
      </c>
      <c r="E5" s="116">
        <v>1</v>
      </c>
      <c r="F5" s="272">
        <f>D5*E5</f>
        <v>379.75</v>
      </c>
      <c r="G5" s="116">
        <v>2</v>
      </c>
      <c r="H5" s="272">
        <f>F5*G5</f>
        <v>759.5</v>
      </c>
      <c r="I5" s="132">
        <v>768.59999999999991</v>
      </c>
      <c r="J5" s="116">
        <f>H5-I5</f>
        <v>-9.0999999999999091</v>
      </c>
      <c r="K5" s="116">
        <v>0</v>
      </c>
      <c r="L5" s="116">
        <f>J5+K5</f>
        <v>-9.0999999999999091</v>
      </c>
      <c r="M5" s="16" t="s">
        <v>184</v>
      </c>
    </row>
    <row r="6" spans="1:21">
      <c r="A6" s="118">
        <v>248.4</v>
      </c>
      <c r="B6" s="127" t="s">
        <v>26</v>
      </c>
      <c r="C6" s="127" t="s">
        <v>185</v>
      </c>
      <c r="D6" s="116">
        <f t="shared" ref="D6:D11" si="0">FMNP_SAs</f>
        <v>50</v>
      </c>
      <c r="E6" s="116">
        <v>1</v>
      </c>
      <c r="F6" s="272">
        <f t="shared" ref="F6:F28" si="1">D6*E6</f>
        <v>50</v>
      </c>
      <c r="G6" s="115">
        <v>40</v>
      </c>
      <c r="H6" s="272">
        <f t="shared" ref="H6:H28" si="2">F6*G6</f>
        <v>2000</v>
      </c>
      <c r="I6" s="132">
        <v>2040</v>
      </c>
      <c r="J6" s="116">
        <f>-1*G6</f>
        <v>-40</v>
      </c>
      <c r="K6" s="116">
        <f>H6-I6-J6</f>
        <v>0</v>
      </c>
      <c r="L6" s="116">
        <f t="shared" ref="L6:L28" si="3">J6+K6</f>
        <v>-40</v>
      </c>
      <c r="M6" s="16" t="s">
        <v>186</v>
      </c>
    </row>
    <row r="7" spans="1:21" s="366" customFormat="1">
      <c r="A7" s="123" t="s">
        <v>29</v>
      </c>
      <c r="B7" s="940" t="s">
        <v>31</v>
      </c>
      <c r="C7" s="120"/>
      <c r="D7" s="116">
        <f t="shared" si="0"/>
        <v>50</v>
      </c>
      <c r="E7" s="116">
        <f>FMNP_participants/FMNP_SAs</f>
        <v>28563.26</v>
      </c>
      <c r="F7" s="272">
        <f t="shared" si="1"/>
        <v>1428163</v>
      </c>
      <c r="G7" s="115">
        <v>0.25</v>
      </c>
      <c r="H7" s="272">
        <f t="shared" si="2"/>
        <v>357040.75</v>
      </c>
      <c r="I7" s="132">
        <v>332686.5</v>
      </c>
      <c r="J7" s="116">
        <f>H7-I7</f>
        <v>24354.25</v>
      </c>
      <c r="K7" s="116">
        <v>0</v>
      </c>
      <c r="L7" s="116">
        <f t="shared" si="3"/>
        <v>24354.25</v>
      </c>
      <c r="M7" s="16" t="s">
        <v>187</v>
      </c>
    </row>
    <row r="8" spans="1:21" s="366" customFormat="1" ht="25.5">
      <c r="A8" s="259">
        <v>248.9</v>
      </c>
      <c r="B8" s="940" t="s">
        <v>33</v>
      </c>
      <c r="C8" s="120"/>
      <c r="D8" s="116">
        <f t="shared" si="0"/>
        <v>50</v>
      </c>
      <c r="E8" s="116">
        <v>1</v>
      </c>
      <c r="F8" s="272">
        <f t="shared" si="1"/>
        <v>50</v>
      </c>
      <c r="G8" s="115">
        <v>5</v>
      </c>
      <c r="H8" s="272">
        <f t="shared" si="2"/>
        <v>250</v>
      </c>
      <c r="I8" s="132">
        <v>0</v>
      </c>
      <c r="J8" s="116">
        <v>0</v>
      </c>
      <c r="K8" s="116">
        <f>H8-I8</f>
        <v>250</v>
      </c>
      <c r="L8" s="116">
        <f t="shared" si="3"/>
        <v>250</v>
      </c>
      <c r="M8" s="16" t="s">
        <v>34</v>
      </c>
    </row>
    <row r="9" spans="1:21" s="366" customFormat="1" ht="38.25">
      <c r="A9" s="121" t="s">
        <v>188</v>
      </c>
      <c r="B9" s="940" t="s">
        <v>37</v>
      </c>
      <c r="C9" s="122"/>
      <c r="D9" s="116">
        <f t="shared" si="0"/>
        <v>50</v>
      </c>
      <c r="E9" s="115">
        <f>((FMNP_outlets/3)/FMNP_SAs)</f>
        <v>116.02</v>
      </c>
      <c r="F9" s="272">
        <f t="shared" si="1"/>
        <v>5801</v>
      </c>
      <c r="G9" s="115">
        <v>0.25</v>
      </c>
      <c r="H9" s="272">
        <f t="shared" si="2"/>
        <v>1450.25</v>
      </c>
      <c r="I9" s="132">
        <v>2449.625</v>
      </c>
      <c r="J9" s="116">
        <v>-274.25</v>
      </c>
      <c r="K9" s="116">
        <f>H9-I9-J9</f>
        <v>-725.125</v>
      </c>
      <c r="L9" s="116">
        <f t="shared" si="3"/>
        <v>-999.375</v>
      </c>
      <c r="M9" s="16" t="s">
        <v>189</v>
      </c>
    </row>
    <row r="10" spans="1:21" s="366" customFormat="1" ht="26.45" customHeight="1">
      <c r="A10" s="123" t="s">
        <v>190</v>
      </c>
      <c r="B10" s="940" t="s">
        <v>41</v>
      </c>
      <c r="C10" s="122"/>
      <c r="D10" s="116">
        <f t="shared" si="0"/>
        <v>50</v>
      </c>
      <c r="E10" s="115">
        <v>1</v>
      </c>
      <c r="F10" s="272">
        <f t="shared" si="1"/>
        <v>50</v>
      </c>
      <c r="G10" s="115">
        <v>8</v>
      </c>
      <c r="H10" s="272">
        <f t="shared" si="2"/>
        <v>400</v>
      </c>
      <c r="I10" s="132">
        <v>408</v>
      </c>
      <c r="J10" s="116">
        <f t="shared" ref="J10:J28" si="4">H10-I10</f>
        <v>-8</v>
      </c>
      <c r="K10" s="116">
        <v>0</v>
      </c>
      <c r="L10" s="116">
        <f t="shared" si="3"/>
        <v>-8</v>
      </c>
      <c r="M10" s="16" t="s">
        <v>191</v>
      </c>
    </row>
    <row r="11" spans="1:21" s="366" customFormat="1" ht="26.45" customHeight="1">
      <c r="A11" s="123" t="s">
        <v>190</v>
      </c>
      <c r="B11" s="940" t="s">
        <v>44</v>
      </c>
      <c r="C11" s="122"/>
      <c r="D11" s="116">
        <f t="shared" si="0"/>
        <v>50</v>
      </c>
      <c r="E11" s="115">
        <v>15</v>
      </c>
      <c r="F11" s="272">
        <f t="shared" si="1"/>
        <v>750</v>
      </c>
      <c r="G11" s="115">
        <v>2</v>
      </c>
      <c r="H11" s="272">
        <f t="shared" si="2"/>
        <v>1500</v>
      </c>
      <c r="I11" s="132">
        <v>1530</v>
      </c>
      <c r="J11" s="116">
        <f t="shared" si="4"/>
        <v>-30</v>
      </c>
      <c r="K11" s="116">
        <v>0</v>
      </c>
      <c r="L11" s="116">
        <f t="shared" si="3"/>
        <v>-30</v>
      </c>
      <c r="M11" s="16" t="s">
        <v>191</v>
      </c>
    </row>
    <row r="12" spans="1:21" s="366" customFormat="1" ht="26.45" customHeight="1">
      <c r="A12" s="123" t="s">
        <v>45</v>
      </c>
      <c r="B12" s="941" t="s">
        <v>47</v>
      </c>
      <c r="C12" s="122"/>
      <c r="D12" s="115">
        <v>5</v>
      </c>
      <c r="E12" s="115">
        <v>1</v>
      </c>
      <c r="F12" s="272">
        <f t="shared" si="1"/>
        <v>5</v>
      </c>
      <c r="G12" s="115">
        <v>8.3500000000000005E-2</v>
      </c>
      <c r="H12" s="272">
        <f t="shared" si="2"/>
        <v>0.41750000000000004</v>
      </c>
      <c r="I12" s="132">
        <v>0.41750000000000004</v>
      </c>
      <c r="J12" s="116">
        <f t="shared" si="4"/>
        <v>0</v>
      </c>
      <c r="K12" s="116">
        <v>0</v>
      </c>
      <c r="L12" s="116">
        <f t="shared" si="3"/>
        <v>0</v>
      </c>
      <c r="M12" s="124" t="s">
        <v>28</v>
      </c>
    </row>
    <row r="13" spans="1:21" s="366" customFormat="1" ht="26.45" customHeight="1">
      <c r="A13" s="123" t="s">
        <v>49</v>
      </c>
      <c r="B13" s="940" t="s">
        <v>51</v>
      </c>
      <c r="C13" s="122"/>
      <c r="D13" s="116">
        <f>FMNP_SAs</f>
        <v>50</v>
      </c>
      <c r="E13" s="115">
        <v>1</v>
      </c>
      <c r="F13" s="272">
        <f t="shared" si="1"/>
        <v>50</v>
      </c>
      <c r="G13" s="115">
        <v>8</v>
      </c>
      <c r="H13" s="272">
        <f t="shared" si="2"/>
        <v>400</v>
      </c>
      <c r="I13" s="132">
        <v>408</v>
      </c>
      <c r="J13" s="116">
        <f t="shared" si="4"/>
        <v>-8</v>
      </c>
      <c r="K13" s="116">
        <v>0</v>
      </c>
      <c r="L13" s="116">
        <f t="shared" si="3"/>
        <v>-8</v>
      </c>
      <c r="M13" s="16" t="s">
        <v>191</v>
      </c>
    </row>
    <row r="14" spans="1:21" s="366" customFormat="1" ht="26.45" customHeight="1">
      <c r="A14" s="123" t="s">
        <v>49</v>
      </c>
      <c r="B14" s="941" t="s">
        <v>192</v>
      </c>
      <c r="C14" s="122"/>
      <c r="D14" s="116">
        <f>FMNP_SAs</f>
        <v>50</v>
      </c>
      <c r="E14" s="115">
        <v>15</v>
      </c>
      <c r="F14" s="272">
        <f t="shared" si="1"/>
        <v>750</v>
      </c>
      <c r="G14" s="115">
        <v>2</v>
      </c>
      <c r="H14" s="272">
        <f t="shared" si="2"/>
        <v>1500</v>
      </c>
      <c r="I14" s="132">
        <v>1530</v>
      </c>
      <c r="J14" s="116">
        <f t="shared" si="4"/>
        <v>-30</v>
      </c>
      <c r="K14" s="116">
        <v>0</v>
      </c>
      <c r="L14" s="116">
        <f t="shared" si="3"/>
        <v>-30</v>
      </c>
      <c r="M14" s="16" t="s">
        <v>191</v>
      </c>
    </row>
    <row r="15" spans="1:21" s="366" customFormat="1" ht="25.5">
      <c r="A15" s="123" t="s">
        <v>55</v>
      </c>
      <c r="B15" s="941" t="s">
        <v>57</v>
      </c>
      <c r="C15" s="125"/>
      <c r="D15" s="116">
        <f>FMNP_SAs</f>
        <v>50</v>
      </c>
      <c r="E15" s="126">
        <f>(FMNP_outlets*0.1)/FMNP_SAs</f>
        <v>34.806000000000004</v>
      </c>
      <c r="F15" s="272">
        <f t="shared" si="1"/>
        <v>1740.3000000000002</v>
      </c>
      <c r="G15" s="126">
        <v>1.5</v>
      </c>
      <c r="H15" s="272">
        <f t="shared" si="2"/>
        <v>2610.4500000000003</v>
      </c>
      <c r="I15" s="132">
        <v>2939.55</v>
      </c>
      <c r="J15" s="116">
        <f t="shared" si="4"/>
        <v>-329.09999999999991</v>
      </c>
      <c r="K15" s="116">
        <v>0</v>
      </c>
      <c r="L15" s="116">
        <f t="shared" si="3"/>
        <v>-329.09999999999991</v>
      </c>
      <c r="M15" s="16" t="s">
        <v>193</v>
      </c>
      <c r="P15" s="10"/>
      <c r="Q15" s="10"/>
    </row>
    <row r="16" spans="1:21" s="366" customFormat="1" ht="25.5">
      <c r="A16" s="259" t="s">
        <v>59</v>
      </c>
      <c r="B16" s="941" t="s">
        <v>61</v>
      </c>
      <c r="C16" s="125"/>
      <c r="D16" s="116">
        <f>FMNP_SAs</f>
        <v>50</v>
      </c>
      <c r="E16" s="115">
        <f>(FMNP_LAs*0.5)/FMNP_SAs</f>
        <v>10.85</v>
      </c>
      <c r="F16" s="272">
        <f>D16*E16</f>
        <v>542.5</v>
      </c>
      <c r="G16" s="126">
        <v>2</v>
      </c>
      <c r="H16" s="272">
        <f t="shared" si="2"/>
        <v>1085</v>
      </c>
      <c r="I16" s="132">
        <v>1098</v>
      </c>
      <c r="J16" s="116">
        <f t="shared" si="4"/>
        <v>-13</v>
      </c>
      <c r="K16" s="116">
        <v>0</v>
      </c>
      <c r="L16" s="116">
        <f t="shared" si="3"/>
        <v>-13</v>
      </c>
      <c r="M16" s="16" t="s">
        <v>194</v>
      </c>
      <c r="U16" s="367"/>
    </row>
    <row r="17" spans="1:21" s="366" customFormat="1" ht="26.45" customHeight="1">
      <c r="A17" s="121" t="s">
        <v>63</v>
      </c>
      <c r="B17" s="127" t="s">
        <v>195</v>
      </c>
      <c r="C17" s="128"/>
      <c r="D17" s="116">
        <f>FMNP_SAs</f>
        <v>50</v>
      </c>
      <c r="E17" s="116">
        <v>1</v>
      </c>
      <c r="F17" s="272">
        <f t="shared" si="1"/>
        <v>50</v>
      </c>
      <c r="G17" s="115">
        <v>5</v>
      </c>
      <c r="H17" s="272">
        <f t="shared" si="2"/>
        <v>250</v>
      </c>
      <c r="I17" s="132">
        <v>255</v>
      </c>
      <c r="J17" s="116">
        <f t="shared" si="4"/>
        <v>-5</v>
      </c>
      <c r="K17" s="116">
        <v>0</v>
      </c>
      <c r="L17" s="116">
        <f t="shared" si="3"/>
        <v>-5</v>
      </c>
      <c r="M17" s="16" t="s">
        <v>191</v>
      </c>
      <c r="U17" s="367"/>
    </row>
    <row r="18" spans="1:21" s="366" customFormat="1">
      <c r="A18" s="129" t="s">
        <v>66</v>
      </c>
      <c r="B18" s="130" t="s">
        <v>196</v>
      </c>
      <c r="C18" s="131"/>
      <c r="D18" s="132"/>
      <c r="E18" s="132"/>
      <c r="F18" s="288"/>
      <c r="G18" s="134"/>
      <c r="H18" s="288">
        <f>SUM(H19:H20)</f>
        <v>93</v>
      </c>
      <c r="I18" s="132">
        <f>SUM(I19:I20)</f>
        <v>115.5</v>
      </c>
      <c r="J18" s="132">
        <f>SUM(J19:J20)</f>
        <v>-22.5</v>
      </c>
      <c r="K18" s="132">
        <f>SUM(K19:K20)</f>
        <v>0</v>
      </c>
      <c r="L18" s="132">
        <f>SUM(L19:L20)</f>
        <v>-22.5</v>
      </c>
      <c r="M18" s="16"/>
      <c r="U18" s="367"/>
    </row>
    <row r="19" spans="1:21" s="366" customFormat="1" ht="26.45" customHeight="1">
      <c r="A19" s="135" t="s">
        <v>66</v>
      </c>
      <c r="B19" s="136" t="s">
        <v>71</v>
      </c>
      <c r="C19" s="128"/>
      <c r="D19" s="116">
        <f>FMNP_paper</f>
        <v>12</v>
      </c>
      <c r="E19" s="116">
        <v>1</v>
      </c>
      <c r="F19" s="272">
        <f t="shared" si="1"/>
        <v>12</v>
      </c>
      <c r="G19" s="115">
        <v>3</v>
      </c>
      <c r="H19" s="272">
        <f t="shared" si="2"/>
        <v>36</v>
      </c>
      <c r="I19" s="132">
        <v>78</v>
      </c>
      <c r="J19" s="116">
        <f>H19-I19</f>
        <v>-42</v>
      </c>
      <c r="K19" s="116">
        <f>H19-I19-J19</f>
        <v>0</v>
      </c>
      <c r="L19" s="116">
        <f>J19+K19</f>
        <v>-42</v>
      </c>
      <c r="M19" s="16" t="s">
        <v>197</v>
      </c>
      <c r="U19" s="367"/>
    </row>
    <row r="20" spans="1:21" s="366" customFormat="1" ht="26.45" customHeight="1">
      <c r="A20" s="135" t="s">
        <v>66</v>
      </c>
      <c r="B20" s="136" t="s">
        <v>73</v>
      </c>
      <c r="C20" s="128"/>
      <c r="D20" s="116">
        <f>FMNP_eSol</f>
        <v>38</v>
      </c>
      <c r="E20" s="116">
        <v>1</v>
      </c>
      <c r="F20" s="272">
        <f t="shared" si="1"/>
        <v>38</v>
      </c>
      <c r="G20" s="115">
        <v>1.5</v>
      </c>
      <c r="H20" s="272">
        <f t="shared" si="2"/>
        <v>57</v>
      </c>
      <c r="I20" s="132">
        <v>37.5</v>
      </c>
      <c r="J20" s="116">
        <f>H20-I20</f>
        <v>19.5</v>
      </c>
      <c r="K20" s="116">
        <f>H20-I20-J20</f>
        <v>0</v>
      </c>
      <c r="L20" s="116">
        <f t="shared" si="3"/>
        <v>19.5</v>
      </c>
      <c r="M20" s="16" t="s">
        <v>198</v>
      </c>
    </row>
    <row r="21" spans="1:21" s="366" customFormat="1" ht="25.5">
      <c r="A21" s="123" t="s">
        <v>74</v>
      </c>
      <c r="B21" s="940" t="s">
        <v>130</v>
      </c>
      <c r="C21" s="128"/>
      <c r="D21" s="116">
        <f>FMNP_SAs</f>
        <v>50</v>
      </c>
      <c r="E21" s="115">
        <f>FMNP_Outlet_Complaints/FMNP_SAs</f>
        <v>8.8000000000000007</v>
      </c>
      <c r="F21" s="272">
        <f>D21*E21</f>
        <v>440.00000000000006</v>
      </c>
      <c r="G21" s="116">
        <v>1</v>
      </c>
      <c r="H21" s="272">
        <f>F21*G21</f>
        <v>440.00000000000006</v>
      </c>
      <c r="I21" s="132">
        <v>492.99999999999994</v>
      </c>
      <c r="J21" s="116">
        <f t="shared" si="4"/>
        <v>-52.999999999999886</v>
      </c>
      <c r="K21" s="116">
        <v>0</v>
      </c>
      <c r="L21" s="116">
        <f t="shared" si="3"/>
        <v>-52.999999999999886</v>
      </c>
      <c r="M21" s="16" t="s">
        <v>193</v>
      </c>
      <c r="U21" s="426"/>
    </row>
    <row r="22" spans="1:21" s="366" customFormat="1" ht="25.5">
      <c r="A22" s="123" t="s">
        <v>78</v>
      </c>
      <c r="B22" s="940" t="s">
        <v>199</v>
      </c>
      <c r="C22" s="128"/>
      <c r="D22" s="116">
        <f>FMNP_SAs</f>
        <v>50</v>
      </c>
      <c r="E22" s="116">
        <f>(FMNP_outlets*0.02)/FMNP_SAs</f>
        <v>6.9611999999999998</v>
      </c>
      <c r="F22" s="272">
        <f>D22*E22</f>
        <v>348.06</v>
      </c>
      <c r="G22" s="116">
        <v>8.3500000000000005E-2</v>
      </c>
      <c r="H22" s="272">
        <f>F22*G22</f>
        <v>29.063010000000002</v>
      </c>
      <c r="I22" s="132">
        <v>32.726990000000001</v>
      </c>
      <c r="J22" s="116">
        <f t="shared" si="4"/>
        <v>-3.6639799999999987</v>
      </c>
      <c r="K22" s="116">
        <v>0</v>
      </c>
      <c r="L22" s="116">
        <f t="shared" si="3"/>
        <v>-3.6639799999999987</v>
      </c>
      <c r="M22" s="16" t="s">
        <v>193</v>
      </c>
    </row>
    <row r="23" spans="1:21" s="366" customFormat="1" ht="26.45" customHeight="1">
      <c r="A23" s="121" t="s">
        <v>82</v>
      </c>
      <c r="B23" s="139" t="s">
        <v>200</v>
      </c>
      <c r="C23" s="140"/>
      <c r="D23" s="116">
        <f>FMNP_SAs</f>
        <v>50</v>
      </c>
      <c r="E23" s="116">
        <v>1</v>
      </c>
      <c r="F23" s="272">
        <f t="shared" si="1"/>
        <v>50</v>
      </c>
      <c r="G23" s="116">
        <v>10</v>
      </c>
      <c r="H23" s="272">
        <f t="shared" si="2"/>
        <v>500</v>
      </c>
      <c r="I23" s="132">
        <v>510</v>
      </c>
      <c r="J23" s="116">
        <f t="shared" si="4"/>
        <v>-10</v>
      </c>
      <c r="K23" s="116">
        <v>0</v>
      </c>
      <c r="L23" s="116">
        <f t="shared" si="3"/>
        <v>-10</v>
      </c>
      <c r="M23" s="16" t="s">
        <v>191</v>
      </c>
    </row>
    <row r="24" spans="1:21" s="366" customFormat="1" ht="38.25">
      <c r="A24" s="121" t="s">
        <v>84</v>
      </c>
      <c r="B24" s="940" t="s">
        <v>86</v>
      </c>
      <c r="C24" s="140"/>
      <c r="D24" s="116">
        <v>5</v>
      </c>
      <c r="E24" s="116">
        <v>1</v>
      </c>
      <c r="F24" s="272">
        <f t="shared" si="1"/>
        <v>5</v>
      </c>
      <c r="G24" s="116">
        <v>40</v>
      </c>
      <c r="H24" s="272">
        <f t="shared" si="2"/>
        <v>200</v>
      </c>
      <c r="I24" s="132">
        <v>200</v>
      </c>
      <c r="J24" s="116">
        <v>0</v>
      </c>
      <c r="K24" s="116">
        <f>H24-I24</f>
        <v>0</v>
      </c>
      <c r="L24" s="116">
        <f t="shared" si="3"/>
        <v>0</v>
      </c>
      <c r="M24" s="16" t="s">
        <v>28</v>
      </c>
      <c r="Q24" s="370"/>
    </row>
    <row r="25" spans="1:21" s="366" customFormat="1" ht="26.45" customHeight="1">
      <c r="A25" s="121" t="s">
        <v>87</v>
      </c>
      <c r="B25" s="940" t="s">
        <v>89</v>
      </c>
      <c r="C25" s="127"/>
      <c r="D25" s="116">
        <v>1</v>
      </c>
      <c r="E25" s="116">
        <v>1</v>
      </c>
      <c r="F25" s="272">
        <f>D25*E25</f>
        <v>1</v>
      </c>
      <c r="G25" s="116">
        <v>24</v>
      </c>
      <c r="H25" s="272">
        <f t="shared" si="2"/>
        <v>24</v>
      </c>
      <c r="I25" s="132">
        <v>24</v>
      </c>
      <c r="J25" s="116">
        <f t="shared" si="4"/>
        <v>0</v>
      </c>
      <c r="K25" s="116">
        <v>0</v>
      </c>
      <c r="L25" s="116">
        <f>J25+K25</f>
        <v>0</v>
      </c>
      <c r="M25" s="16" t="s">
        <v>28</v>
      </c>
      <c r="Q25" s="370"/>
    </row>
    <row r="26" spans="1:21" s="366" customFormat="1" ht="26.45" customHeight="1">
      <c r="A26" s="121" t="s">
        <v>90</v>
      </c>
      <c r="B26" s="127" t="s">
        <v>201</v>
      </c>
      <c r="C26" s="127"/>
      <c r="D26" s="116">
        <v>8</v>
      </c>
      <c r="E26" s="116">
        <v>1</v>
      </c>
      <c r="F26" s="272">
        <f t="shared" si="1"/>
        <v>8</v>
      </c>
      <c r="G26" s="116">
        <v>10</v>
      </c>
      <c r="H26" s="272">
        <f t="shared" si="2"/>
        <v>80</v>
      </c>
      <c r="I26" s="132">
        <v>70</v>
      </c>
      <c r="J26" s="115">
        <v>0</v>
      </c>
      <c r="K26" s="115">
        <f>H26-I26</f>
        <v>10</v>
      </c>
      <c r="L26" s="115">
        <f t="shared" si="3"/>
        <v>10</v>
      </c>
      <c r="M26" s="16" t="s">
        <v>202</v>
      </c>
      <c r="Q26" s="370"/>
    </row>
    <row r="27" spans="1:21" s="366" customFormat="1" ht="26.45" customHeight="1">
      <c r="A27" s="121" t="s">
        <v>94</v>
      </c>
      <c r="B27" s="39" t="s">
        <v>96</v>
      </c>
      <c r="C27" s="127"/>
      <c r="D27" s="116">
        <v>2</v>
      </c>
      <c r="E27" s="116">
        <v>1</v>
      </c>
      <c r="F27" s="272">
        <f t="shared" si="1"/>
        <v>2</v>
      </c>
      <c r="G27" s="116">
        <v>10</v>
      </c>
      <c r="H27" s="272">
        <f t="shared" si="2"/>
        <v>20</v>
      </c>
      <c r="I27" s="132">
        <v>20</v>
      </c>
      <c r="J27" s="116">
        <f t="shared" si="4"/>
        <v>0</v>
      </c>
      <c r="K27" s="116">
        <v>0</v>
      </c>
      <c r="L27" s="116">
        <f t="shared" si="3"/>
        <v>0</v>
      </c>
      <c r="M27" s="16" t="s">
        <v>28</v>
      </c>
      <c r="Q27" s="370"/>
      <c r="S27" s="370"/>
    </row>
    <row r="28" spans="1:21" s="372" customFormat="1" ht="26.45" customHeight="1">
      <c r="A28" s="121" t="s">
        <v>97</v>
      </c>
      <c r="B28" s="127" t="s">
        <v>99</v>
      </c>
      <c r="C28" s="128"/>
      <c r="D28" s="116">
        <v>1</v>
      </c>
      <c r="E28" s="116">
        <v>1</v>
      </c>
      <c r="F28" s="272">
        <f t="shared" si="1"/>
        <v>1</v>
      </c>
      <c r="G28" s="116">
        <v>15</v>
      </c>
      <c r="H28" s="272">
        <f t="shared" si="2"/>
        <v>15</v>
      </c>
      <c r="I28" s="132">
        <v>15</v>
      </c>
      <c r="J28" s="116">
        <f t="shared" si="4"/>
        <v>0</v>
      </c>
      <c r="K28" s="116">
        <v>0</v>
      </c>
      <c r="L28" s="116">
        <f t="shared" si="3"/>
        <v>0</v>
      </c>
      <c r="M28" s="16" t="s">
        <v>28</v>
      </c>
    </row>
    <row r="29" spans="1:21" ht="26.1" customHeight="1">
      <c r="A29" s="1015" t="s">
        <v>100</v>
      </c>
      <c r="B29" s="1017"/>
      <c r="C29" s="377"/>
      <c r="D29" s="301">
        <f>FMNP_SAs+(FMNP_LAs*0.35)</f>
        <v>429.75</v>
      </c>
      <c r="E29" s="301">
        <f>+F29/D29</f>
        <v>3349.1253286794649</v>
      </c>
      <c r="F29" s="301">
        <f>SUM(F5:F17,F19:F28)</f>
        <v>1439286.61</v>
      </c>
      <c r="G29" s="301">
        <f>+H29/F29</f>
        <v>0.25752162768331455</v>
      </c>
      <c r="H29" s="301">
        <f>SUM(H5:H17, H19:H28)</f>
        <v>370647.43050999998</v>
      </c>
      <c r="I29" s="300">
        <f>SUM(I5:I17, I19:I28)</f>
        <v>347593.91948999994</v>
      </c>
      <c r="J29" s="301">
        <f>SUM(J5:J17, J19:J28)</f>
        <v>23518.636020000002</v>
      </c>
      <c r="K29" s="301">
        <f>SUM(K5:K17, K19:K28)</f>
        <v>-465.125</v>
      </c>
      <c r="L29" s="301">
        <f>SUM(L5:L17, L19:L28)</f>
        <v>23053.511020000002</v>
      </c>
      <c r="M29" s="297"/>
      <c r="O29" s="427"/>
      <c r="Q29" s="428"/>
    </row>
    <row r="30" spans="1:21">
      <c r="A30" s="1023" t="s">
        <v>101</v>
      </c>
      <c r="B30" s="1024"/>
      <c r="C30" s="1024"/>
      <c r="D30" s="1024"/>
      <c r="E30" s="1024"/>
      <c r="F30" s="1024"/>
      <c r="G30" s="1024"/>
      <c r="H30" s="1024"/>
      <c r="I30" s="1024"/>
      <c r="J30" s="1024"/>
      <c r="K30" s="1024"/>
      <c r="L30" s="1024"/>
      <c r="M30" s="1025"/>
      <c r="O30" s="427"/>
    </row>
    <row r="31" spans="1:21" s="366" customFormat="1" ht="38.25">
      <c r="A31" s="146" t="s">
        <v>29</v>
      </c>
      <c r="B31" s="940" t="s">
        <v>102</v>
      </c>
      <c r="C31" s="139"/>
      <c r="D31" s="116">
        <f>FMNP_participants</f>
        <v>1428163</v>
      </c>
      <c r="E31" s="116">
        <v>1</v>
      </c>
      <c r="F31" s="272">
        <f>D31*E31</f>
        <v>1428163</v>
      </c>
      <c r="G31" s="115">
        <v>0.25</v>
      </c>
      <c r="H31" s="272">
        <f>F31*G31</f>
        <v>357040.75</v>
      </c>
      <c r="I31" s="132">
        <v>66670.374599999996</v>
      </c>
      <c r="J31" s="147">
        <f>(FMNP_participants-'WIC FMNP 2024'!$D$31)*0.25</f>
        <v>24354.25</v>
      </c>
      <c r="K31" s="116">
        <f>H31-I31-J31</f>
        <v>266016.12540000002</v>
      </c>
      <c r="L31" s="148">
        <f>J31+K31</f>
        <v>290370.37540000002</v>
      </c>
      <c r="M31" s="32" t="s">
        <v>203</v>
      </c>
      <c r="Q31" s="370"/>
    </row>
    <row r="32" spans="1:21" ht="26.45" customHeight="1">
      <c r="A32" s="1015" t="s">
        <v>109</v>
      </c>
      <c r="B32" s="1017"/>
      <c r="C32" s="297"/>
      <c r="D32" s="301">
        <f>FMNP_participants</f>
        <v>1428163</v>
      </c>
      <c r="E32" s="301">
        <f>+F32/D32</f>
        <v>1</v>
      </c>
      <c r="F32" s="301">
        <f>F31</f>
        <v>1428163</v>
      </c>
      <c r="G32" s="301">
        <f>+H32/F32</f>
        <v>0.25</v>
      </c>
      <c r="H32" s="301">
        <f>H31</f>
        <v>357040.75</v>
      </c>
      <c r="I32" s="300">
        <f>I31</f>
        <v>66670.374599999996</v>
      </c>
      <c r="J32" s="301">
        <f>J31</f>
        <v>24354.25</v>
      </c>
      <c r="K32" s="301">
        <f>K31</f>
        <v>266016.12540000002</v>
      </c>
      <c r="L32" s="295">
        <f>J32+K32</f>
        <v>290370.37540000002</v>
      </c>
      <c r="M32" s="297"/>
    </row>
    <row r="33" spans="1:20">
      <c r="A33" s="1026" t="s">
        <v>204</v>
      </c>
      <c r="B33" s="1027"/>
      <c r="C33" s="1027"/>
      <c r="D33" s="1027"/>
      <c r="E33" s="1027"/>
      <c r="F33" s="1027"/>
      <c r="G33" s="1027"/>
      <c r="H33" s="1027"/>
      <c r="I33" s="1027"/>
      <c r="J33" s="1027"/>
      <c r="K33" s="1027"/>
      <c r="L33" s="1027"/>
      <c r="M33" s="1028"/>
    </row>
    <row r="34" spans="1:20" s="366" customFormat="1" ht="36" customHeight="1">
      <c r="A34" s="150" t="s">
        <v>22</v>
      </c>
      <c r="B34" s="940" t="s">
        <v>111</v>
      </c>
      <c r="C34" s="152"/>
      <c r="D34" s="153">
        <f>FMNP_LAs*0.3*0.5</f>
        <v>162.75</v>
      </c>
      <c r="E34" s="154">
        <v>1</v>
      </c>
      <c r="F34" s="379">
        <f t="shared" ref="F34:F40" si="5">D34*E34</f>
        <v>162.75</v>
      </c>
      <c r="G34" s="154">
        <v>2</v>
      </c>
      <c r="H34" s="379">
        <f t="shared" ref="H34:H40" si="6">F34*G34</f>
        <v>325.5</v>
      </c>
      <c r="I34" s="180">
        <v>329.4</v>
      </c>
      <c r="J34" s="147">
        <f>H34-I34</f>
        <v>-3.8999999999999773</v>
      </c>
      <c r="K34" s="157">
        <v>0</v>
      </c>
      <c r="L34" s="158">
        <f>J34+K34</f>
        <v>-3.8999999999999773</v>
      </c>
      <c r="M34" s="16" t="s">
        <v>184</v>
      </c>
      <c r="P34" s="868"/>
      <c r="Q34" s="868"/>
      <c r="R34" s="868"/>
    </row>
    <row r="35" spans="1:20" s="372" customFormat="1" ht="38.25">
      <c r="A35" s="166" t="s">
        <v>113</v>
      </c>
      <c r="B35" s="161" t="s">
        <v>115</v>
      </c>
      <c r="C35" s="167"/>
      <c r="D35" s="168">
        <f>FMNP_outlets/3</f>
        <v>5801</v>
      </c>
      <c r="E35" s="169">
        <v>1</v>
      </c>
      <c r="F35" s="379">
        <f t="shared" si="5"/>
        <v>5801</v>
      </c>
      <c r="G35" s="168">
        <v>8.3500000000000005E-2</v>
      </c>
      <c r="H35" s="381">
        <f t="shared" si="6"/>
        <v>484.38350000000003</v>
      </c>
      <c r="I35" s="180">
        <v>818.17475000000002</v>
      </c>
      <c r="J35" s="157">
        <v>-91.599499999999921</v>
      </c>
      <c r="K35" s="157">
        <f>H35-I35-J35</f>
        <v>-242.19175000000007</v>
      </c>
      <c r="L35" s="158">
        <f t="shared" ref="L35:L41" si="7">J35+K35</f>
        <v>-333.79124999999999</v>
      </c>
      <c r="M35" s="16" t="s">
        <v>189</v>
      </c>
      <c r="O35" s="366"/>
      <c r="P35" s="370"/>
      <c r="Q35" s="370"/>
      <c r="R35" s="370"/>
    </row>
    <row r="36" spans="1:20" s="372" customFormat="1" ht="38.25">
      <c r="A36" s="172" t="s">
        <v>45</v>
      </c>
      <c r="B36" s="937" t="s">
        <v>107</v>
      </c>
      <c r="C36" s="32"/>
      <c r="D36" s="153">
        <v>1</v>
      </c>
      <c r="E36" s="153">
        <v>1</v>
      </c>
      <c r="F36" s="379">
        <f t="shared" si="5"/>
        <v>1</v>
      </c>
      <c r="G36" s="153">
        <v>2</v>
      </c>
      <c r="H36" s="379">
        <f t="shared" si="6"/>
        <v>2</v>
      </c>
      <c r="I36" s="180">
        <v>15.6776</v>
      </c>
      <c r="J36" s="147">
        <v>0</v>
      </c>
      <c r="K36" s="157">
        <f>H36-I36</f>
        <v>-13.6776</v>
      </c>
      <c r="L36" s="158">
        <f t="shared" si="7"/>
        <v>-13.6776</v>
      </c>
      <c r="M36" s="16" t="s">
        <v>116</v>
      </c>
    </row>
    <row r="37" spans="1:20" s="372" customFormat="1" ht="26.1" customHeight="1">
      <c r="A37" s="259" t="s">
        <v>117</v>
      </c>
      <c r="B37" s="940" t="s">
        <v>119</v>
      </c>
      <c r="C37" s="152"/>
      <c r="D37" s="154">
        <f>FMNP_outlets</f>
        <v>17403</v>
      </c>
      <c r="E37" s="153">
        <v>1</v>
      </c>
      <c r="F37" s="379">
        <f t="shared" si="5"/>
        <v>17403</v>
      </c>
      <c r="G37" s="153">
        <v>2</v>
      </c>
      <c r="H37" s="379">
        <f t="shared" si="6"/>
        <v>34806</v>
      </c>
      <c r="I37" s="180">
        <v>35274.6</v>
      </c>
      <c r="J37" s="147">
        <f t="shared" ref="J37" si="8">H37-I37</f>
        <v>-468.59999999999854</v>
      </c>
      <c r="K37" s="157">
        <v>0</v>
      </c>
      <c r="L37" s="158">
        <f t="shared" si="7"/>
        <v>-468.59999999999854</v>
      </c>
      <c r="M37" s="386" t="s">
        <v>205</v>
      </c>
      <c r="O37" s="869"/>
    </row>
    <row r="38" spans="1:20" s="366" customFormat="1" ht="15" customHeight="1">
      <c r="A38" s="175" t="s">
        <v>120</v>
      </c>
      <c r="B38" s="176" t="s">
        <v>122</v>
      </c>
      <c r="C38" s="177"/>
      <c r="D38" s="178"/>
      <c r="E38" s="178"/>
      <c r="F38" s="380"/>
      <c r="G38" s="178"/>
      <c r="H38" s="380">
        <f>SUM(H39:H41)</f>
        <v>193521.36</v>
      </c>
      <c r="I38" s="181">
        <f>SUM(I39:I41)</f>
        <v>384639.15686274506</v>
      </c>
      <c r="J38" s="181">
        <f>SUM(J39:J41)</f>
        <v>-191117.7968627451</v>
      </c>
      <c r="K38" s="181">
        <f>SUM(K39:K41)</f>
        <v>0</v>
      </c>
      <c r="L38" s="251">
        <f>SUM(L39:L41)</f>
        <v>-191117.7968627451</v>
      </c>
      <c r="M38" s="32"/>
    </row>
    <row r="39" spans="1:20" s="366" customFormat="1" ht="26.1" customHeight="1">
      <c r="A39" s="182" t="s">
        <v>120</v>
      </c>
      <c r="B39" s="183" t="s">
        <v>125</v>
      </c>
      <c r="C39" s="16"/>
      <c r="D39" s="153">
        <f>FMNP_outlets*((FMNP_paper+F_mail)/FMNP_SAs)</f>
        <v>4872.84</v>
      </c>
      <c r="E39" s="153">
        <v>9</v>
      </c>
      <c r="F39" s="379">
        <f t="shared" si="5"/>
        <v>43855.56</v>
      </c>
      <c r="G39" s="153">
        <v>4</v>
      </c>
      <c r="H39" s="379">
        <f t="shared" si="6"/>
        <v>175422.24</v>
      </c>
      <c r="I39" s="180">
        <v>373495.76470588235</v>
      </c>
      <c r="J39" s="147">
        <f>H39-I39</f>
        <v>-198073.52470588236</v>
      </c>
      <c r="K39" s="157">
        <f>H39-I39-J39</f>
        <v>0</v>
      </c>
      <c r="L39" s="252">
        <f>J39+K39</f>
        <v>-198073.52470588236</v>
      </c>
      <c r="M39" s="32" t="s">
        <v>206</v>
      </c>
      <c r="O39" s="870"/>
    </row>
    <row r="40" spans="1:20" s="366" customFormat="1" ht="26.1" customHeight="1">
      <c r="A40" s="182" t="s">
        <v>120</v>
      </c>
      <c r="B40" s="183" t="s">
        <v>127</v>
      </c>
      <c r="C40" s="16"/>
      <c r="D40" s="153">
        <f>FMNP_outlets*(F_hybrid/FMNP_SAs)</f>
        <v>1392.24</v>
      </c>
      <c r="E40" s="153">
        <v>9</v>
      </c>
      <c r="F40" s="379">
        <f t="shared" si="5"/>
        <v>12530.16</v>
      </c>
      <c r="G40" s="153">
        <v>1</v>
      </c>
      <c r="H40" s="379">
        <f t="shared" si="6"/>
        <v>12530.16</v>
      </c>
      <c r="I40" s="180">
        <v>6916.5882352941171</v>
      </c>
      <c r="J40" s="147">
        <f t="shared" ref="J40:J41" si="9">H40-I40</f>
        <v>5613.5717647058827</v>
      </c>
      <c r="K40" s="157">
        <f t="shared" ref="K40:K41" si="10">H40-I40-J40</f>
        <v>0</v>
      </c>
      <c r="L40" s="252">
        <f t="shared" si="7"/>
        <v>5613.5717647058827</v>
      </c>
      <c r="M40" s="32" t="s">
        <v>207</v>
      </c>
      <c r="O40" s="871"/>
      <c r="Q40" s="872"/>
      <c r="S40" s="873"/>
      <c r="T40" s="874"/>
    </row>
    <row r="41" spans="1:20" s="366" customFormat="1" ht="26.1" customHeight="1">
      <c r="A41" s="182" t="s">
        <v>120</v>
      </c>
      <c r="B41" s="183" t="s">
        <v>129</v>
      </c>
      <c r="C41" s="16"/>
      <c r="D41" s="153">
        <f>FMNP_outlets*(F_auto/FMNP_SAs)</f>
        <v>11137.92</v>
      </c>
      <c r="E41" s="153">
        <v>1</v>
      </c>
      <c r="F41" s="379">
        <f>D41*E41</f>
        <v>11137.92</v>
      </c>
      <c r="G41" s="153">
        <v>0.5</v>
      </c>
      <c r="H41" s="379">
        <f>F41*G41</f>
        <v>5568.96</v>
      </c>
      <c r="I41" s="180">
        <v>4226.8039215686276</v>
      </c>
      <c r="J41" s="147">
        <f t="shared" si="9"/>
        <v>1342.1560784313724</v>
      </c>
      <c r="K41" s="157">
        <f t="shared" si="10"/>
        <v>0</v>
      </c>
      <c r="L41" s="252">
        <f t="shared" si="7"/>
        <v>1342.1560784313724</v>
      </c>
      <c r="M41" s="32" t="s">
        <v>208</v>
      </c>
      <c r="Q41" s="870"/>
      <c r="S41" s="873"/>
      <c r="T41" s="874"/>
    </row>
    <row r="42" spans="1:20" s="372" customFormat="1" ht="26.1" customHeight="1">
      <c r="A42" s="172" t="s">
        <v>74</v>
      </c>
      <c r="B42" s="940" t="s">
        <v>130</v>
      </c>
      <c r="C42" s="162"/>
      <c r="D42" s="190">
        <f>FMNP_Outlet_Complaints</f>
        <v>440</v>
      </c>
      <c r="E42" s="163">
        <v>1</v>
      </c>
      <c r="F42" s="379">
        <f>D42*E42</f>
        <v>440</v>
      </c>
      <c r="G42" s="163">
        <v>0.5</v>
      </c>
      <c r="H42" s="382">
        <f>F42*G42</f>
        <v>220</v>
      </c>
      <c r="I42" s="180">
        <v>246.5</v>
      </c>
      <c r="J42" s="147">
        <f>H42-I42</f>
        <v>-26.5</v>
      </c>
      <c r="K42" s="157">
        <v>0</v>
      </c>
      <c r="L42" s="158">
        <f>J42+K42</f>
        <v>-26.5</v>
      </c>
      <c r="M42" s="387" t="s">
        <v>205</v>
      </c>
      <c r="O42" s="366"/>
      <c r="P42" s="366"/>
      <c r="Q42" s="871"/>
      <c r="R42" s="366"/>
      <c r="S42" s="873"/>
      <c r="T42" s="874"/>
    </row>
    <row r="43" spans="1:20" ht="26.1" customHeight="1">
      <c r="A43" s="1005" t="s">
        <v>132</v>
      </c>
      <c r="B43" s="1005"/>
      <c r="C43" s="297"/>
      <c r="D43" s="301">
        <f>FMNP_outlets+(FMNP_LAs*0.15)</f>
        <v>17565.75</v>
      </c>
      <c r="E43" s="301">
        <f>+F43/D43</f>
        <v>5.1994016765580744</v>
      </c>
      <c r="F43" s="301">
        <f>SUM(F34:F37,F39:F42)</f>
        <v>91331.39</v>
      </c>
      <c r="G43" s="301">
        <f>+H43/F43</f>
        <v>2.5112860266333401</v>
      </c>
      <c r="H43" s="301">
        <f>SUM(H34:H37,H39:H42)</f>
        <v>229359.24349999998</v>
      </c>
      <c r="I43" s="300">
        <f>SUM(I34:I37,I39:I42)</f>
        <v>421323.50921274506</v>
      </c>
      <c r="J43" s="301">
        <f>SUM(J34:J37,J39:J42)</f>
        <v>-191708.39636274512</v>
      </c>
      <c r="K43" s="301">
        <f>SUM(K34:K37,K39:K42)</f>
        <v>-255.86935000000008</v>
      </c>
      <c r="L43" s="301">
        <f>SUM(L34:L37,L39:L42)</f>
        <v>-191964.26571274511</v>
      </c>
      <c r="M43" s="383"/>
      <c r="Q43" s="427"/>
      <c r="S43" s="429"/>
      <c r="T43" s="430"/>
    </row>
    <row r="44" spans="1:20" ht="26.1" customHeight="1">
      <c r="A44" s="1021" t="s">
        <v>133</v>
      </c>
      <c r="B44" s="1022"/>
      <c r="C44" s="356"/>
      <c r="D44" s="384">
        <f>FMNP_SAs+(FMNP_LAs*0.5)+FMNP_outlets+FMNP_participants</f>
        <v>1446158.5</v>
      </c>
      <c r="E44" s="384">
        <f>F44/D44</f>
        <v>2.0459590010361937</v>
      </c>
      <c r="F44" s="384">
        <f>SUM(F29+F32+F43)</f>
        <v>2958781.0000000005</v>
      </c>
      <c r="G44" s="384">
        <f>+H44/F44</f>
        <v>0.32346004114870275</v>
      </c>
      <c r="H44" s="384">
        <f>SUM(H29+H32+H43)</f>
        <v>957047.42400999996</v>
      </c>
      <c r="I44" s="385">
        <f>SUM(I29+I32+I43)</f>
        <v>835587.80330274499</v>
      </c>
      <c r="J44" s="384">
        <f>SUM(J29+J32+J43)</f>
        <v>-143835.51034274511</v>
      </c>
      <c r="K44" s="384">
        <f>SUM(K43+K32+K29)</f>
        <v>265295.13105000003</v>
      </c>
      <c r="L44" s="384">
        <f>L43+L32+L29</f>
        <v>121459.62070725492</v>
      </c>
      <c r="M44" s="359"/>
      <c r="T44" s="430"/>
    </row>
    <row r="45" spans="1:20" ht="14.45" customHeight="1">
      <c r="A45" s="1034" t="s">
        <v>134</v>
      </c>
      <c r="B45" s="1035"/>
      <c r="C45" s="1035"/>
      <c r="D45" s="1035"/>
      <c r="E45" s="1035"/>
      <c r="F45" s="1035"/>
      <c r="G45" s="1035"/>
      <c r="H45" s="1035"/>
      <c r="I45" s="1035"/>
      <c r="J45" s="1035"/>
      <c r="K45" s="1035"/>
      <c r="L45" s="1035"/>
      <c r="M45" s="1036"/>
    </row>
    <row r="46" spans="1:20">
      <c r="A46" s="1018" t="s">
        <v>209</v>
      </c>
      <c r="B46" s="1019"/>
      <c r="C46" s="1019"/>
      <c r="D46" s="1019"/>
      <c r="E46" s="1019"/>
      <c r="F46" s="1019"/>
      <c r="G46" s="1019"/>
      <c r="H46" s="1019"/>
      <c r="I46" s="1019"/>
      <c r="J46" s="1019"/>
      <c r="K46" s="1019"/>
      <c r="L46" s="1019"/>
      <c r="M46" s="1020"/>
      <c r="O46" s="427"/>
      <c r="P46" s="431"/>
    </row>
    <row r="47" spans="1:20" s="366" customFormat="1" ht="26.45" customHeight="1">
      <c r="A47" s="146" t="s">
        <v>135</v>
      </c>
      <c r="B47" s="139" t="s">
        <v>137</v>
      </c>
      <c r="C47" s="127" t="s">
        <v>185</v>
      </c>
      <c r="D47" s="116">
        <f t="shared" ref="D47:D58" si="11">FMNP_SAs</f>
        <v>50</v>
      </c>
      <c r="E47" s="198">
        <v>1</v>
      </c>
      <c r="F47" s="272">
        <f>D47*E47</f>
        <v>50</v>
      </c>
      <c r="G47" s="198">
        <v>0.16700000000000001</v>
      </c>
      <c r="H47" s="272">
        <f>F47*G47</f>
        <v>8.35</v>
      </c>
      <c r="I47" s="132">
        <v>8.5170000000000012</v>
      </c>
      <c r="J47" s="147">
        <f>H47-I47</f>
        <v>-0.16700000000000159</v>
      </c>
      <c r="K47" s="199">
        <v>0</v>
      </c>
      <c r="L47" s="198">
        <f>J47+K47</f>
        <v>-0.16700000000000159</v>
      </c>
      <c r="M47" s="16" t="s">
        <v>191</v>
      </c>
    </row>
    <row r="48" spans="1:20" s="366" customFormat="1" ht="51">
      <c r="A48" s="123">
        <v>248.9</v>
      </c>
      <c r="B48" s="139" t="s">
        <v>138</v>
      </c>
      <c r="C48" s="161"/>
      <c r="D48" s="116">
        <f t="shared" si="11"/>
        <v>50</v>
      </c>
      <c r="E48" s="126">
        <f>FMNP_participants/FMNP_SAs</f>
        <v>28563.26</v>
      </c>
      <c r="F48" s="272">
        <f t="shared" ref="F48:F57" si="12">D48*E48</f>
        <v>1428163</v>
      </c>
      <c r="G48" s="279">
        <v>1.67E-2</v>
      </c>
      <c r="H48" s="272">
        <f t="shared" ref="H48:H57" si="13">F48*G48</f>
        <v>23850.322099999998</v>
      </c>
      <c r="I48" s="132">
        <v>332686.5</v>
      </c>
      <c r="J48" s="147">
        <f>(FMNP_participants-'WIC FMNP 2024'!$D$31)*0.0167</f>
        <v>1626.8639000000001</v>
      </c>
      <c r="K48" s="199">
        <f>H48-I48-J48</f>
        <v>-310463.04180000001</v>
      </c>
      <c r="L48" s="198">
        <f t="shared" ref="L48:L57" si="14">J48+K48</f>
        <v>-308836.17790000001</v>
      </c>
      <c r="M48" s="16" t="s">
        <v>210</v>
      </c>
    </row>
    <row r="49" spans="1:13" s="366" customFormat="1" ht="26.45" customHeight="1">
      <c r="A49" s="123" t="s">
        <v>40</v>
      </c>
      <c r="B49" s="16" t="s">
        <v>141</v>
      </c>
      <c r="C49" s="161"/>
      <c r="D49" s="116">
        <f t="shared" si="11"/>
        <v>50</v>
      </c>
      <c r="E49" s="126">
        <v>1</v>
      </c>
      <c r="F49" s="272">
        <f t="shared" si="12"/>
        <v>50</v>
      </c>
      <c r="G49" s="126">
        <v>2</v>
      </c>
      <c r="H49" s="272">
        <f t="shared" si="13"/>
        <v>100</v>
      </c>
      <c r="I49" s="132">
        <v>102</v>
      </c>
      <c r="J49" s="147">
        <f t="shared" ref="J49:J57" si="15">H49-I49</f>
        <v>-2</v>
      </c>
      <c r="K49" s="199">
        <v>0</v>
      </c>
      <c r="L49" s="198">
        <f t="shared" si="14"/>
        <v>-2</v>
      </c>
      <c r="M49" s="16" t="s">
        <v>191</v>
      </c>
    </row>
    <row r="50" spans="1:13" s="366" customFormat="1" ht="26.45" customHeight="1">
      <c r="A50" s="123" t="s">
        <v>113</v>
      </c>
      <c r="B50" s="161" t="s">
        <v>115</v>
      </c>
      <c r="C50" s="139"/>
      <c r="D50" s="116">
        <f t="shared" si="11"/>
        <v>50</v>
      </c>
      <c r="E50" s="116">
        <v>1</v>
      </c>
      <c r="F50" s="272">
        <f t="shared" si="12"/>
        <v>50</v>
      </c>
      <c r="G50" s="116">
        <v>2</v>
      </c>
      <c r="H50" s="272">
        <f t="shared" si="13"/>
        <v>100</v>
      </c>
      <c r="I50" s="132">
        <v>102</v>
      </c>
      <c r="J50" s="147">
        <f t="shared" si="15"/>
        <v>-2</v>
      </c>
      <c r="K50" s="199">
        <v>0</v>
      </c>
      <c r="L50" s="198">
        <f t="shared" si="14"/>
        <v>-2</v>
      </c>
      <c r="M50" s="16" t="s">
        <v>191</v>
      </c>
    </row>
    <row r="51" spans="1:13" s="366" customFormat="1" ht="26.45" customHeight="1">
      <c r="A51" s="123" t="s">
        <v>45</v>
      </c>
      <c r="B51" s="32" t="s">
        <v>143</v>
      </c>
      <c r="C51" s="139"/>
      <c r="D51" s="116">
        <f t="shared" si="11"/>
        <v>50</v>
      </c>
      <c r="E51" s="116">
        <v>1</v>
      </c>
      <c r="F51" s="272">
        <f t="shared" si="12"/>
        <v>50</v>
      </c>
      <c r="G51" s="116">
        <v>0.16700000000000001</v>
      </c>
      <c r="H51" s="272">
        <f t="shared" si="13"/>
        <v>8.35</v>
      </c>
      <c r="I51" s="132">
        <v>8.5170000000000012</v>
      </c>
      <c r="J51" s="147">
        <f t="shared" si="15"/>
        <v>-0.16700000000000159</v>
      </c>
      <c r="K51" s="199">
        <v>0</v>
      </c>
      <c r="L51" s="198">
        <f t="shared" si="14"/>
        <v>-0.16700000000000159</v>
      </c>
      <c r="M51" s="16" t="s">
        <v>191</v>
      </c>
    </row>
    <row r="52" spans="1:13" s="366" customFormat="1" ht="25.5">
      <c r="A52" s="123" t="s">
        <v>211</v>
      </c>
      <c r="B52" s="32" t="s">
        <v>57</v>
      </c>
      <c r="C52" s="139"/>
      <c r="D52" s="116">
        <f t="shared" si="11"/>
        <v>50</v>
      </c>
      <c r="E52" s="116">
        <f>(FMNP_outlets/FMNP_SAs)*0.1</f>
        <v>34.806000000000004</v>
      </c>
      <c r="F52" s="272">
        <f t="shared" si="12"/>
        <v>1740.3000000000002</v>
      </c>
      <c r="G52" s="116">
        <v>0.5</v>
      </c>
      <c r="H52" s="272">
        <f t="shared" si="13"/>
        <v>870.15000000000009</v>
      </c>
      <c r="I52" s="132">
        <v>979.85000000000014</v>
      </c>
      <c r="J52" s="147">
        <f t="shared" si="15"/>
        <v>-109.70000000000005</v>
      </c>
      <c r="K52" s="199">
        <v>0</v>
      </c>
      <c r="L52" s="198">
        <f t="shared" si="14"/>
        <v>-109.70000000000005</v>
      </c>
      <c r="M52" s="152" t="s">
        <v>193</v>
      </c>
    </row>
    <row r="53" spans="1:13" s="366" customFormat="1" ht="25.5">
      <c r="A53" s="123" t="s">
        <v>147</v>
      </c>
      <c r="B53" s="138" t="s">
        <v>61</v>
      </c>
      <c r="C53" s="139"/>
      <c r="D53" s="116">
        <f t="shared" si="11"/>
        <v>50</v>
      </c>
      <c r="E53" s="115">
        <f>(FMNP_LAs*0.5)/FMNP_SAs</f>
        <v>10.85</v>
      </c>
      <c r="F53" s="272">
        <f t="shared" si="12"/>
        <v>542.5</v>
      </c>
      <c r="G53" s="116">
        <v>0.5</v>
      </c>
      <c r="H53" s="272">
        <f t="shared" si="13"/>
        <v>271.25</v>
      </c>
      <c r="I53" s="132">
        <v>274.5</v>
      </c>
      <c r="J53" s="147">
        <f>H53-I53</f>
        <v>-3.25</v>
      </c>
      <c r="K53" s="199">
        <v>0</v>
      </c>
      <c r="L53" s="198">
        <f t="shared" si="14"/>
        <v>-3.25</v>
      </c>
      <c r="M53" s="16" t="s">
        <v>194</v>
      </c>
    </row>
    <row r="54" spans="1:13" ht="26.45" customHeight="1">
      <c r="A54" s="118" t="s">
        <v>149</v>
      </c>
      <c r="B54" s="201" t="s">
        <v>151</v>
      </c>
      <c r="C54" s="120" t="s">
        <v>212</v>
      </c>
      <c r="D54" s="116">
        <f t="shared" si="11"/>
        <v>50</v>
      </c>
      <c r="E54" s="116">
        <v>1</v>
      </c>
      <c r="F54" s="272">
        <f t="shared" si="12"/>
        <v>50</v>
      </c>
      <c r="G54" s="116">
        <v>2</v>
      </c>
      <c r="H54" s="272">
        <f t="shared" si="13"/>
        <v>100</v>
      </c>
      <c r="I54" s="132">
        <v>102</v>
      </c>
      <c r="J54" s="147">
        <f t="shared" si="15"/>
        <v>-2</v>
      </c>
      <c r="K54" s="199">
        <v>0</v>
      </c>
      <c r="L54" s="198">
        <f t="shared" si="14"/>
        <v>-2</v>
      </c>
      <c r="M54" s="16" t="s">
        <v>191</v>
      </c>
    </row>
    <row r="55" spans="1:13" ht="26.45" customHeight="1">
      <c r="A55" s="118" t="s">
        <v>153</v>
      </c>
      <c r="B55" s="201" t="s">
        <v>155</v>
      </c>
      <c r="C55" s="139"/>
      <c r="D55" s="116">
        <f t="shared" si="11"/>
        <v>50</v>
      </c>
      <c r="E55" s="116">
        <v>1</v>
      </c>
      <c r="F55" s="272">
        <f t="shared" si="12"/>
        <v>50</v>
      </c>
      <c r="G55" s="116">
        <v>1</v>
      </c>
      <c r="H55" s="272">
        <f t="shared" si="13"/>
        <v>50</v>
      </c>
      <c r="I55" s="132">
        <v>51</v>
      </c>
      <c r="J55" s="147">
        <f t="shared" si="15"/>
        <v>-1</v>
      </c>
      <c r="K55" s="199">
        <v>0</v>
      </c>
      <c r="L55" s="198">
        <f t="shared" si="14"/>
        <v>-1</v>
      </c>
      <c r="M55" s="16" t="s">
        <v>191</v>
      </c>
    </row>
    <row r="56" spans="1:13" ht="26.45" customHeight="1">
      <c r="A56" s="118" t="s">
        <v>87</v>
      </c>
      <c r="B56" s="201" t="s">
        <v>156</v>
      </c>
      <c r="C56" s="139"/>
      <c r="D56" s="116">
        <f t="shared" si="11"/>
        <v>50</v>
      </c>
      <c r="E56" s="116">
        <v>1</v>
      </c>
      <c r="F56" s="272">
        <f t="shared" si="12"/>
        <v>50</v>
      </c>
      <c r="G56" s="116">
        <v>2</v>
      </c>
      <c r="H56" s="272">
        <f t="shared" si="13"/>
        <v>100</v>
      </c>
      <c r="I56" s="132">
        <v>102</v>
      </c>
      <c r="J56" s="147">
        <f t="shared" si="15"/>
        <v>-2</v>
      </c>
      <c r="K56" s="199">
        <v>0</v>
      </c>
      <c r="L56" s="198">
        <f t="shared" si="14"/>
        <v>-2</v>
      </c>
      <c r="M56" s="16" t="s">
        <v>191</v>
      </c>
    </row>
    <row r="57" spans="1:13" ht="26.45" customHeight="1">
      <c r="A57" s="118" t="s">
        <v>157</v>
      </c>
      <c r="B57" s="201" t="s">
        <v>159</v>
      </c>
      <c r="C57" s="139"/>
      <c r="D57" s="116">
        <f t="shared" si="11"/>
        <v>50</v>
      </c>
      <c r="E57" s="116">
        <v>1</v>
      </c>
      <c r="F57" s="424">
        <f t="shared" si="12"/>
        <v>50</v>
      </c>
      <c r="G57" s="116">
        <v>40</v>
      </c>
      <c r="H57" s="272">
        <f t="shared" si="13"/>
        <v>2000</v>
      </c>
      <c r="I57" s="132">
        <v>2040</v>
      </c>
      <c r="J57" s="147">
        <f t="shared" si="15"/>
        <v>-40</v>
      </c>
      <c r="K57" s="199">
        <v>0</v>
      </c>
      <c r="L57" s="198">
        <f t="shared" si="14"/>
        <v>-40</v>
      </c>
      <c r="M57" s="16" t="s">
        <v>191</v>
      </c>
    </row>
    <row r="58" spans="1:13" ht="26.45" customHeight="1">
      <c r="A58" s="1021" t="s">
        <v>160</v>
      </c>
      <c r="B58" s="1022"/>
      <c r="C58" s="356"/>
      <c r="D58" s="357">
        <f t="shared" si="11"/>
        <v>50</v>
      </c>
      <c r="E58" s="357">
        <f>+F58/D58</f>
        <v>28616.916000000001</v>
      </c>
      <c r="F58" s="357">
        <f>SUM(F47:F57)</f>
        <v>1430845.8</v>
      </c>
      <c r="G58" s="357">
        <f>+H58/F58</f>
        <v>1.9190343292058442E-2</v>
      </c>
      <c r="H58" s="357">
        <f>SUM(H47:H57)</f>
        <v>27458.422099999996</v>
      </c>
      <c r="I58" s="358">
        <f>SUM(I47:I57)</f>
        <v>336456.88399999996</v>
      </c>
      <c r="J58" s="357">
        <f>SUM(J47:J57)</f>
        <v>1464.5799000000002</v>
      </c>
      <c r="K58" s="357">
        <f>SUM(K47:K57)</f>
        <v>-310463.04180000001</v>
      </c>
      <c r="L58" s="357">
        <f>SUM(L47:L57)</f>
        <v>-308998.46190000005</v>
      </c>
      <c r="M58" s="359"/>
    </row>
    <row r="59" spans="1:13" ht="26.45" customHeight="1">
      <c r="A59" s="1021" t="s">
        <v>213</v>
      </c>
      <c r="B59" s="1022"/>
      <c r="C59" s="356"/>
      <c r="D59" s="357">
        <f>D44</f>
        <v>1446158.5</v>
      </c>
      <c r="E59" s="357">
        <f>F59/D59</f>
        <v>3.0353704659620648</v>
      </c>
      <c r="F59" s="357">
        <f>SUM(F44,F58)</f>
        <v>4389626.8000000007</v>
      </c>
      <c r="G59" s="357">
        <f>H59/F59</f>
        <v>0.22428007914249107</v>
      </c>
      <c r="H59" s="357">
        <f>SUM(H44,H58)</f>
        <v>984505.84610999993</v>
      </c>
      <c r="I59" s="358">
        <f>SUM(I44,I58)</f>
        <v>1172044.6873027449</v>
      </c>
      <c r="J59" s="357">
        <f>SUM(J44,J58)</f>
        <v>-142370.9304427451</v>
      </c>
      <c r="K59" s="357">
        <f>SUM(K44,K58)</f>
        <v>-45167.910749999981</v>
      </c>
      <c r="L59" s="357">
        <f>SUM(L44,L58)</f>
        <v>-187538.84119274514</v>
      </c>
      <c r="M59" s="359"/>
    </row>
    <row r="60" spans="1:13">
      <c r="A60" s="860" t="s">
        <v>214</v>
      </c>
      <c r="D60" s="389"/>
    </row>
    <row r="61" spans="1:13" ht="15.75" thickBot="1">
      <c r="D61" s="392"/>
      <c r="E61" s="393"/>
      <c r="F61" s="392"/>
      <c r="G61" s="393"/>
      <c r="H61" s="392"/>
      <c r="I61" s="392"/>
      <c r="J61" s="392"/>
      <c r="K61" s="392"/>
      <c r="L61" s="392"/>
    </row>
    <row r="62" spans="1:13" ht="39" thickBot="1">
      <c r="B62" s="394" t="s">
        <v>163</v>
      </c>
      <c r="C62" s="395" t="s">
        <v>164</v>
      </c>
      <c r="D62" s="395" t="s">
        <v>165</v>
      </c>
      <c r="E62" s="395" t="s">
        <v>215</v>
      </c>
      <c r="F62" s="396" t="s">
        <v>167</v>
      </c>
      <c r="G62" s="397" t="s">
        <v>168</v>
      </c>
      <c r="I62" s="398"/>
      <c r="J62" s="399"/>
    </row>
    <row r="63" spans="1:13">
      <c r="B63" s="400" t="s">
        <v>169</v>
      </c>
      <c r="C63" s="401">
        <f>+D44</f>
        <v>1446158.5</v>
      </c>
      <c r="D63" s="219">
        <f>+E63/C63</f>
        <v>2.0459590010361937</v>
      </c>
      <c r="E63" s="401">
        <f>+F44</f>
        <v>2958781.0000000005</v>
      </c>
      <c r="F63" s="219">
        <f>+G63/E63</f>
        <v>0.32346004114870275</v>
      </c>
      <c r="G63" s="402">
        <f>+H44</f>
        <v>957047.42400999996</v>
      </c>
      <c r="J63" s="403"/>
    </row>
    <row r="64" spans="1:13" ht="15.75" thickBot="1">
      <c r="B64" s="404" t="s">
        <v>170</v>
      </c>
      <c r="C64" s="226">
        <f>+D58</f>
        <v>50</v>
      </c>
      <c r="D64" s="224">
        <f>+E64/C64</f>
        <v>28616.916000000001</v>
      </c>
      <c r="E64" s="405">
        <f>+F58</f>
        <v>1430845.8</v>
      </c>
      <c r="F64" s="226">
        <f>+G64/E64</f>
        <v>1.9190343292058442E-2</v>
      </c>
      <c r="G64" s="406">
        <f>+H58</f>
        <v>27458.422099999996</v>
      </c>
      <c r="J64" s="403"/>
    </row>
    <row r="65" spans="1:14" ht="26.25" thickBot="1">
      <c r="B65" s="376" t="s">
        <v>216</v>
      </c>
      <c r="C65" s="407">
        <f>D59</f>
        <v>1446158.5</v>
      </c>
      <c r="D65" s="230">
        <f>+E65/C65</f>
        <v>3.0353704659620648</v>
      </c>
      <c r="E65" s="407">
        <f>SUM(E63:E64)</f>
        <v>4389626.8000000007</v>
      </c>
      <c r="F65" s="231">
        <f>+G65/E65</f>
        <v>0.22428007914249107</v>
      </c>
      <c r="G65" s="408">
        <f>SUM(G63:G64)</f>
        <v>984505.84610999993</v>
      </c>
      <c r="J65" s="392"/>
    </row>
    <row r="66" spans="1:14" ht="15.75" thickBot="1">
      <c r="B66" s="335"/>
      <c r="C66" s="409"/>
      <c r="D66" s="410"/>
      <c r="E66" s="411"/>
      <c r="F66" s="412"/>
      <c r="G66" s="411"/>
      <c r="J66" s="413"/>
    </row>
    <row r="67" spans="1:14" ht="15.75" thickBot="1">
      <c r="B67" s="414"/>
      <c r="C67" s="395" t="s">
        <v>172</v>
      </c>
      <c r="D67" s="415" t="s">
        <v>173</v>
      </c>
    </row>
    <row r="68" spans="1:14">
      <c r="B68" s="340" t="s">
        <v>174</v>
      </c>
      <c r="C68" s="416">
        <v>4149393.316054902</v>
      </c>
      <c r="D68" s="342">
        <v>1175964.0873027449</v>
      </c>
      <c r="E68" s="417"/>
      <c r="F68" s="418"/>
      <c r="G68" s="417"/>
    </row>
    <row r="69" spans="1:14">
      <c r="B69" s="345" t="s">
        <v>175</v>
      </c>
      <c r="C69" s="419">
        <f>+E65</f>
        <v>4389626.8000000007</v>
      </c>
      <c r="D69" s="347">
        <f>+G65</f>
        <v>984505.84610999993</v>
      </c>
      <c r="E69" s="417"/>
      <c r="F69" s="418"/>
      <c r="G69" s="420"/>
    </row>
    <row r="70" spans="1:14" ht="15.75" thickBot="1">
      <c r="B70" s="348" t="s">
        <v>176</v>
      </c>
      <c r="C70" s="349">
        <f>+C69-C68</f>
        <v>240233.48394509871</v>
      </c>
      <c r="D70" s="350">
        <f>D69-D68</f>
        <v>-191458.24119274493</v>
      </c>
      <c r="E70" s="417"/>
      <c r="F70" s="418"/>
      <c r="G70" s="417"/>
    </row>
    <row r="71" spans="1:14">
      <c r="I71" s="389"/>
    </row>
    <row r="72" spans="1:14">
      <c r="N72" s="421"/>
    </row>
    <row r="73" spans="1:14">
      <c r="I73" s="422"/>
      <c r="J73" s="422"/>
      <c r="N73" s="421"/>
    </row>
    <row r="74" spans="1:14">
      <c r="A74" s="390"/>
      <c r="C74" s="403"/>
      <c r="E74" s="422"/>
      <c r="F74" s="423"/>
      <c r="N74" s="421"/>
    </row>
    <row r="75" spans="1:14">
      <c r="E75" s="422"/>
      <c r="F75" s="423"/>
      <c r="N75" s="421"/>
    </row>
    <row r="76" spans="1:14">
      <c r="E76" s="422"/>
      <c r="F76" s="423"/>
    </row>
    <row r="77" spans="1:14">
      <c r="C77" s="389"/>
      <c r="E77" s="422"/>
      <c r="F77" s="423"/>
    </row>
  </sheetData>
  <mergeCells count="13">
    <mergeCell ref="A29:B29"/>
    <mergeCell ref="A1:M1"/>
    <mergeCell ref="A3:M3"/>
    <mergeCell ref="A4:M4"/>
    <mergeCell ref="A45:M45"/>
    <mergeCell ref="A46:M46"/>
    <mergeCell ref="A58:B58"/>
    <mergeCell ref="A59:B59"/>
    <mergeCell ref="A30:M30"/>
    <mergeCell ref="A32:B32"/>
    <mergeCell ref="A33:M33"/>
    <mergeCell ref="A43:B43"/>
    <mergeCell ref="A44:B4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A3C1-BBED-4C87-9E83-9876B38708BA}">
  <sheetPr>
    <tabColor theme="9"/>
    <pageSetUpPr fitToPage="1"/>
  </sheetPr>
  <dimension ref="B1:X93"/>
  <sheetViews>
    <sheetView tabSelected="1" zoomScaleNormal="100" workbookViewId="0">
      <pane ySplit="3" topLeftCell="A4" activePane="bottomLeft" state="frozen"/>
      <selection pane="bottomLeft" activeCell="H17" sqref="H17"/>
    </sheetView>
  </sheetViews>
  <sheetFormatPr defaultColWidth="9.140625" defaultRowHeight="15"/>
  <cols>
    <col min="1" max="1" width="1" style="366" customWidth="1"/>
    <col min="2" max="2" width="10.5703125" style="366" customWidth="1"/>
    <col min="3" max="3" width="18.140625" style="315" customWidth="1"/>
    <col min="4" max="4" width="41.7109375" style="310" customWidth="1"/>
    <col min="5" max="5" width="13.140625" style="310" customWidth="1"/>
    <col min="6" max="14" width="16" style="310" customWidth="1"/>
    <col min="15" max="15" width="38.42578125" style="310" customWidth="1"/>
    <col min="16" max="16" width="3.28515625" style="366" customWidth="1"/>
    <col min="17" max="17" width="13.42578125" style="366" customWidth="1"/>
    <col min="18" max="18" width="11.5703125" style="366" customWidth="1"/>
    <col min="19" max="19" width="11.140625" style="366" customWidth="1"/>
    <col min="20" max="23" width="9.140625" style="366"/>
    <col min="24" max="24" width="12.28515625" style="366" customWidth="1"/>
    <col min="25" max="16384" width="9.140625" style="366"/>
  </cols>
  <sheetData>
    <row r="1" spans="2:24" ht="36.75" customHeight="1">
      <c r="B1" s="978" t="s">
        <v>565</v>
      </c>
      <c r="C1" s="979"/>
      <c r="D1" s="979"/>
      <c r="E1" s="979"/>
      <c r="F1" s="979"/>
      <c r="G1" s="979"/>
      <c r="H1" s="979"/>
      <c r="I1" s="979"/>
      <c r="J1" s="979"/>
      <c r="K1" s="979"/>
      <c r="L1" s="979"/>
      <c r="M1" s="979"/>
      <c r="N1" s="979"/>
      <c r="O1" s="979"/>
    </row>
    <row r="2" spans="2:24" s="10" customFormat="1" ht="15.75">
      <c r="B2" s="987" t="s">
        <v>1</v>
      </c>
      <c r="C2" s="987"/>
      <c r="D2" s="987"/>
      <c r="E2" s="987"/>
      <c r="F2" s="987"/>
      <c r="G2" s="987"/>
      <c r="H2" s="987"/>
      <c r="I2" s="987"/>
      <c r="J2" s="987"/>
      <c r="K2" s="987"/>
      <c r="L2" s="987"/>
      <c r="M2" s="987"/>
      <c r="N2" s="987"/>
      <c r="O2" s="987"/>
    </row>
    <row r="3" spans="2:24" s="10" customFormat="1" ht="76.5">
      <c r="B3" s="5" t="s">
        <v>2</v>
      </c>
      <c r="C3" s="5" t="s">
        <v>178</v>
      </c>
      <c r="D3" s="5" t="s">
        <v>5</v>
      </c>
      <c r="E3" s="6" t="s">
        <v>6</v>
      </c>
      <c r="F3" s="5" t="s">
        <v>7</v>
      </c>
      <c r="G3" s="5" t="s">
        <v>8</v>
      </c>
      <c r="H3" s="270" t="s">
        <v>9</v>
      </c>
      <c r="I3" s="5" t="s">
        <v>10</v>
      </c>
      <c r="J3" s="270" t="s">
        <v>11</v>
      </c>
      <c r="K3" s="5" t="s">
        <v>567</v>
      </c>
      <c r="L3" s="5" t="s">
        <v>180</v>
      </c>
      <c r="M3" s="5" t="s">
        <v>217</v>
      </c>
      <c r="N3" s="5" t="s">
        <v>182</v>
      </c>
      <c r="O3" s="5" t="s">
        <v>19</v>
      </c>
      <c r="Q3" s="8"/>
      <c r="R3" s="9"/>
      <c r="S3" s="8"/>
    </row>
    <row r="4" spans="2:24" s="10" customFormat="1" ht="15" customHeight="1">
      <c r="B4" s="988" t="s">
        <v>20</v>
      </c>
      <c r="C4" s="988"/>
      <c r="D4" s="988"/>
      <c r="E4" s="988"/>
      <c r="F4" s="988"/>
      <c r="G4" s="988"/>
      <c r="H4" s="988"/>
      <c r="I4" s="988"/>
      <c r="J4" s="988"/>
      <c r="K4" s="988"/>
      <c r="L4" s="988"/>
      <c r="M4" s="988"/>
      <c r="N4" s="988"/>
      <c r="O4" s="988"/>
    </row>
    <row r="5" spans="2:24" s="10" customFormat="1">
      <c r="B5" s="989" t="s">
        <v>21</v>
      </c>
      <c r="C5" s="989"/>
      <c r="D5" s="989"/>
      <c r="E5" s="989"/>
      <c r="F5" s="989"/>
      <c r="G5" s="989"/>
      <c r="H5" s="989"/>
      <c r="I5" s="989"/>
      <c r="J5" s="989"/>
      <c r="K5" s="989"/>
      <c r="L5" s="989"/>
      <c r="M5" s="989"/>
      <c r="N5" s="989"/>
      <c r="O5" s="989"/>
    </row>
    <row r="6" spans="2:24">
      <c r="B6" s="120">
        <v>1</v>
      </c>
      <c r="C6" s="121" t="s">
        <v>23</v>
      </c>
      <c r="D6" s="127" t="s">
        <v>24</v>
      </c>
      <c r="E6" s="128"/>
      <c r="F6" s="115">
        <f>SFMNP_LAs*0.7</f>
        <v>779.09999999999991</v>
      </c>
      <c r="G6" s="115">
        <v>0.5</v>
      </c>
      <c r="H6" s="272">
        <f>F6*G6</f>
        <v>389.54999999999995</v>
      </c>
      <c r="I6" s="116">
        <v>2</v>
      </c>
      <c r="J6" s="272">
        <f>H6*I6</f>
        <v>779.09999999999991</v>
      </c>
      <c r="K6" s="132">
        <f>'SFMNP 2022'!H6</f>
        <v>677.59999999999991</v>
      </c>
      <c r="L6" s="116">
        <f>J6-K6</f>
        <v>101.5</v>
      </c>
      <c r="M6" s="116">
        <v>0</v>
      </c>
      <c r="N6" s="262">
        <f>SUM(L6:M6)</f>
        <v>101.5</v>
      </c>
      <c r="O6" s="16" t="s">
        <v>218</v>
      </c>
    </row>
    <row r="7" spans="2:24" ht="51">
      <c r="B7" s="120">
        <v>2</v>
      </c>
      <c r="C7" s="121">
        <v>249.4</v>
      </c>
      <c r="D7" s="127" t="s">
        <v>26</v>
      </c>
      <c r="E7" s="127" t="s">
        <v>564</v>
      </c>
      <c r="F7" s="116">
        <f t="shared" ref="F7:F12" si="0">SFMNP_SAs</f>
        <v>56</v>
      </c>
      <c r="G7" s="116">
        <v>1</v>
      </c>
      <c r="H7" s="272">
        <f t="shared" ref="H7:H27" si="1">F7*G7</f>
        <v>56</v>
      </c>
      <c r="I7" s="115">
        <v>20</v>
      </c>
      <c r="J7" s="272">
        <f t="shared" ref="J7:J27" si="2">H7*I7</f>
        <v>1120</v>
      </c>
      <c r="K7" s="361">
        <f>'SFMNP 2022'!H7</f>
        <v>2200</v>
      </c>
      <c r="L7" s="116">
        <f>1*I7</f>
        <v>20</v>
      </c>
      <c r="M7" s="116">
        <f>J7-K7-L7</f>
        <v>-1100</v>
      </c>
      <c r="N7" s="262">
        <f t="shared" ref="N7:N27" si="3">SUM(L7:M7)</f>
        <v>-1080</v>
      </c>
      <c r="O7" s="16" t="s">
        <v>219</v>
      </c>
    </row>
    <row r="8" spans="2:24" ht="25.5">
      <c r="B8" s="120">
        <v>3</v>
      </c>
      <c r="C8" s="121" t="s">
        <v>30</v>
      </c>
      <c r="D8" s="940" t="s">
        <v>31</v>
      </c>
      <c r="E8" s="139"/>
      <c r="F8" s="116">
        <f t="shared" si="0"/>
        <v>56</v>
      </c>
      <c r="G8" s="116">
        <f>SFMNP_participants/SFMNP_SAs</f>
        <v>14971.607142857143</v>
      </c>
      <c r="H8" s="272">
        <f>F8*G8</f>
        <v>838410</v>
      </c>
      <c r="I8" s="126">
        <v>0.25</v>
      </c>
      <c r="J8" s="272">
        <f>H8*I8</f>
        <v>209602.5</v>
      </c>
      <c r="K8" s="180">
        <f>'SFMNP 2022'!H8</f>
        <v>181421.5</v>
      </c>
      <c r="L8" s="262">
        <f>J8-K8</f>
        <v>28181</v>
      </c>
      <c r="M8" s="262">
        <v>0</v>
      </c>
      <c r="N8" s="262">
        <f t="shared" si="3"/>
        <v>28181</v>
      </c>
      <c r="O8" s="16" t="s">
        <v>221</v>
      </c>
    </row>
    <row r="9" spans="2:24" ht="25.5">
      <c r="B9" s="120">
        <v>4</v>
      </c>
      <c r="C9" s="121">
        <v>249.9</v>
      </c>
      <c r="D9" s="940" t="s">
        <v>568</v>
      </c>
      <c r="E9" s="139"/>
      <c r="F9" s="116">
        <f t="shared" si="0"/>
        <v>56</v>
      </c>
      <c r="G9" s="116">
        <v>1</v>
      </c>
      <c r="H9" s="272">
        <f>F9*G9</f>
        <v>56</v>
      </c>
      <c r="I9" s="126">
        <v>5</v>
      </c>
      <c r="J9" s="272">
        <f>H9*I9</f>
        <v>280</v>
      </c>
      <c r="K9" s="361">
        <v>280</v>
      </c>
      <c r="L9" s="262">
        <v>0</v>
      </c>
      <c r="M9" s="262">
        <f>K9</f>
        <v>280</v>
      </c>
      <c r="N9" s="262">
        <f t="shared" si="3"/>
        <v>280</v>
      </c>
      <c r="O9" s="16" t="s">
        <v>34</v>
      </c>
      <c r="Q9" s="870"/>
    </row>
    <row r="10" spans="2:24" ht="38.25">
      <c r="B10" s="120">
        <v>5</v>
      </c>
      <c r="C10" s="123" t="s">
        <v>36</v>
      </c>
      <c r="D10" s="940" t="s">
        <v>37</v>
      </c>
      <c r="E10" s="32"/>
      <c r="F10" s="116">
        <f t="shared" si="0"/>
        <v>56</v>
      </c>
      <c r="G10" s="116">
        <f>(SFMNP_outlets/3)/SFMNP_SAs</f>
        <v>113.04166666666666</v>
      </c>
      <c r="H10" s="272">
        <f t="shared" si="1"/>
        <v>6330.333333333333</v>
      </c>
      <c r="I10" s="126">
        <v>0.25</v>
      </c>
      <c r="J10" s="272">
        <f t="shared" si="2"/>
        <v>1582.5833333333333</v>
      </c>
      <c r="K10" s="361">
        <f>'SFMNP 2022'!H9</f>
        <v>2444.375</v>
      </c>
      <c r="L10" s="262">
        <f>J10-K10-M10</f>
        <v>-70.5</v>
      </c>
      <c r="M10" s="153">
        <f>J10-(SFMNP_outlets/2)*0.25</f>
        <v>-791.29166666666674</v>
      </c>
      <c r="N10" s="262">
        <f t="shared" si="3"/>
        <v>-861.79166666666674</v>
      </c>
      <c r="O10" s="16" t="s">
        <v>189</v>
      </c>
    </row>
    <row r="11" spans="2:24" ht="25.5">
      <c r="B11" s="120" t="s">
        <v>39</v>
      </c>
      <c r="C11" s="261" t="s">
        <v>50</v>
      </c>
      <c r="D11" s="940" t="s">
        <v>51</v>
      </c>
      <c r="E11" s="32"/>
      <c r="F11" s="116">
        <f t="shared" si="0"/>
        <v>56</v>
      </c>
      <c r="G11" s="126">
        <v>1</v>
      </c>
      <c r="H11" s="272">
        <f t="shared" si="1"/>
        <v>56</v>
      </c>
      <c r="I11" s="126">
        <v>8</v>
      </c>
      <c r="J11" s="272">
        <f t="shared" si="2"/>
        <v>448</v>
      </c>
      <c r="K11" s="361">
        <f>'SFMNP 2022'!H10</f>
        <v>440</v>
      </c>
      <c r="L11" s="158">
        <f t="shared" ref="L11:L13" si="4">J11-K11</f>
        <v>8</v>
      </c>
      <c r="M11" s="154">
        <v>0</v>
      </c>
      <c r="N11" s="262">
        <f t="shared" si="3"/>
        <v>8</v>
      </c>
      <c r="O11" s="16" t="s">
        <v>222</v>
      </c>
      <c r="R11" s="10"/>
      <c r="S11" s="10"/>
    </row>
    <row r="12" spans="2:24">
      <c r="B12" s="120" t="s">
        <v>43</v>
      </c>
      <c r="C12" s="261" t="s">
        <v>50</v>
      </c>
      <c r="D12" s="940" t="s">
        <v>54</v>
      </c>
      <c r="E12" s="32"/>
      <c r="F12" s="116">
        <f t="shared" si="0"/>
        <v>56</v>
      </c>
      <c r="G12" s="126">
        <v>15</v>
      </c>
      <c r="H12" s="272">
        <f t="shared" si="1"/>
        <v>840</v>
      </c>
      <c r="I12" s="126">
        <v>2</v>
      </c>
      <c r="J12" s="272">
        <f t="shared" si="2"/>
        <v>1680</v>
      </c>
      <c r="K12" s="361">
        <f>'SFMNP 2022'!H11</f>
        <v>1650</v>
      </c>
      <c r="L12" s="158">
        <f t="shared" si="4"/>
        <v>30</v>
      </c>
      <c r="M12" s="154">
        <v>0</v>
      </c>
      <c r="N12" s="262">
        <f t="shared" si="3"/>
        <v>30</v>
      </c>
      <c r="O12" s="16" t="s">
        <v>222</v>
      </c>
      <c r="W12" s="367"/>
    </row>
    <row r="13" spans="2:24">
      <c r="B13" s="120">
        <v>7</v>
      </c>
      <c r="C13" s="261" t="s">
        <v>46</v>
      </c>
      <c r="D13" s="940" t="s">
        <v>47</v>
      </c>
      <c r="E13" s="16"/>
      <c r="F13" s="115">
        <v>5</v>
      </c>
      <c r="G13" s="115">
        <v>1</v>
      </c>
      <c r="H13" s="272">
        <f t="shared" si="1"/>
        <v>5</v>
      </c>
      <c r="I13" s="862">
        <v>8.3500000000000005E-2</v>
      </c>
      <c r="J13" s="272">
        <f>H13*I13</f>
        <v>0.41750000000000004</v>
      </c>
      <c r="K13" s="178">
        <f>'SFMNP 2022'!H12</f>
        <v>0.41750000000000004</v>
      </c>
      <c r="L13" s="262">
        <f t="shared" si="4"/>
        <v>0</v>
      </c>
      <c r="M13" s="153">
        <f t="shared" ref="M13" si="5">J13-K13</f>
        <v>0</v>
      </c>
      <c r="N13" s="262">
        <f t="shared" si="3"/>
        <v>0</v>
      </c>
      <c r="O13" s="16" t="s">
        <v>28</v>
      </c>
      <c r="W13" s="367"/>
    </row>
    <row r="14" spans="2:24" ht="25.5">
      <c r="B14" s="120">
        <v>8</v>
      </c>
      <c r="C14" s="123" t="s">
        <v>223</v>
      </c>
      <c r="D14" s="940" t="s">
        <v>57</v>
      </c>
      <c r="E14" s="875"/>
      <c r="F14" s="116">
        <f>SFMNP_SAs</f>
        <v>56</v>
      </c>
      <c r="G14" s="126">
        <f>(SFMNP_outlets/SFMNP_SAs)*0.1</f>
        <v>33.912500000000001</v>
      </c>
      <c r="H14" s="272">
        <f t="shared" si="1"/>
        <v>1899.1000000000001</v>
      </c>
      <c r="I14" s="126">
        <v>1.5</v>
      </c>
      <c r="J14" s="272">
        <f t="shared" si="2"/>
        <v>2848.65</v>
      </c>
      <c r="K14" s="275">
        <f>'SFMNP 2022'!H13</f>
        <v>2933.25</v>
      </c>
      <c r="L14" s="126">
        <f t="shared" ref="L14:L22" si="6">J14-K14</f>
        <v>-84.599999999999909</v>
      </c>
      <c r="M14" s="126">
        <v>0</v>
      </c>
      <c r="N14" s="262">
        <f t="shared" si="3"/>
        <v>-84.599999999999909</v>
      </c>
      <c r="O14" s="362" t="s">
        <v>224</v>
      </c>
      <c r="W14" s="367"/>
      <c r="X14" s="368"/>
    </row>
    <row r="15" spans="2:24" ht="25.5">
      <c r="B15" s="120">
        <v>9</v>
      </c>
      <c r="C15" s="121" t="s">
        <v>60</v>
      </c>
      <c r="D15" s="940" t="s">
        <v>61</v>
      </c>
      <c r="E15" s="875"/>
      <c r="F15" s="116">
        <f>SFMNP_SAs</f>
        <v>56</v>
      </c>
      <c r="G15" s="115">
        <f>(SFMNP_LAs/SFMNP_SAs)*0.5</f>
        <v>9.9375</v>
      </c>
      <c r="H15" s="272">
        <f>F15*G15</f>
        <v>556.5</v>
      </c>
      <c r="I15" s="126">
        <v>2</v>
      </c>
      <c r="J15" s="272">
        <f>H15*I15</f>
        <v>1113</v>
      </c>
      <c r="K15" s="275">
        <f>'SFMNP 2022'!H14</f>
        <v>968.00000000000011</v>
      </c>
      <c r="L15" s="126">
        <f>J15-K15</f>
        <v>144.99999999999989</v>
      </c>
      <c r="M15" s="126">
        <v>0</v>
      </c>
      <c r="N15" s="262">
        <f t="shared" si="3"/>
        <v>144.99999999999989</v>
      </c>
      <c r="O15" s="16" t="s">
        <v>62</v>
      </c>
      <c r="W15" s="367"/>
      <c r="X15" s="368"/>
    </row>
    <row r="16" spans="2:24">
      <c r="B16" s="120">
        <v>10</v>
      </c>
      <c r="C16" s="121" t="s">
        <v>64</v>
      </c>
      <c r="D16" s="127" t="s">
        <v>65</v>
      </c>
      <c r="E16" s="128"/>
      <c r="F16" s="116">
        <f>SFMNP_SAs</f>
        <v>56</v>
      </c>
      <c r="G16" s="126">
        <v>1</v>
      </c>
      <c r="H16" s="272">
        <f t="shared" si="1"/>
        <v>56</v>
      </c>
      <c r="I16" s="116">
        <v>5</v>
      </c>
      <c r="J16" s="272">
        <f t="shared" si="2"/>
        <v>280</v>
      </c>
      <c r="K16" s="132">
        <f>'SFMNP 2022'!H15</f>
        <v>275</v>
      </c>
      <c r="L16" s="116">
        <f t="shared" si="6"/>
        <v>5</v>
      </c>
      <c r="M16" s="116">
        <v>0</v>
      </c>
      <c r="N16" s="262">
        <f t="shared" si="3"/>
        <v>5</v>
      </c>
      <c r="O16" s="16" t="s">
        <v>222</v>
      </c>
      <c r="R16" s="369"/>
      <c r="S16" s="370"/>
    </row>
    <row r="17" spans="2:19" ht="22.9" customHeight="1">
      <c r="B17" s="277">
        <v>11</v>
      </c>
      <c r="C17" s="129" t="s">
        <v>67</v>
      </c>
      <c r="D17" s="276" t="s">
        <v>68</v>
      </c>
      <c r="E17" s="128"/>
      <c r="F17" s="116"/>
      <c r="G17" s="116"/>
      <c r="H17" s="272"/>
      <c r="I17" s="116"/>
      <c r="J17" s="288">
        <f>SUM(J18:J19)</f>
        <v>117</v>
      </c>
      <c r="K17" s="132">
        <f>'SFMNP 2022'!H16</f>
        <v>165</v>
      </c>
      <c r="L17" s="132">
        <f>SUM(L18:L19)</f>
        <v>3</v>
      </c>
      <c r="M17" s="134">
        <f>SUM(M18:M19)</f>
        <v>-51</v>
      </c>
      <c r="N17" s="134">
        <f>J17-K17</f>
        <v>-48</v>
      </c>
      <c r="O17" s="983" t="s">
        <v>225</v>
      </c>
      <c r="Q17" s="371"/>
      <c r="S17" s="370"/>
    </row>
    <row r="18" spans="2:19" ht="22.9" customHeight="1">
      <c r="B18" s="120" t="s">
        <v>226</v>
      </c>
      <c r="C18" s="135" t="s">
        <v>67</v>
      </c>
      <c r="D18" s="278" t="s">
        <v>71</v>
      </c>
      <c r="E18" s="128"/>
      <c r="F18" s="116">
        <f>SFMNP_paper</f>
        <v>22</v>
      </c>
      <c r="G18" s="116">
        <v>1</v>
      </c>
      <c r="H18" s="272">
        <f t="shared" si="1"/>
        <v>22</v>
      </c>
      <c r="I18" s="116">
        <v>3</v>
      </c>
      <c r="J18" s="272">
        <f t="shared" si="2"/>
        <v>66</v>
      </c>
      <c r="K18" s="132">
        <f>'SFMNP 2022'!H16</f>
        <v>165</v>
      </c>
      <c r="L18" s="116">
        <f>1*I18</f>
        <v>3</v>
      </c>
      <c r="M18" s="115">
        <f>J18-K18-L18</f>
        <v>-102</v>
      </c>
      <c r="N18" s="115">
        <f>SUM(L18:M18)</f>
        <v>-99</v>
      </c>
      <c r="O18" s="983"/>
    </row>
    <row r="19" spans="2:19" ht="22.9" customHeight="1">
      <c r="B19" s="120" t="s">
        <v>227</v>
      </c>
      <c r="C19" s="135" t="s">
        <v>67</v>
      </c>
      <c r="D19" s="278" t="s">
        <v>73</v>
      </c>
      <c r="E19" s="128"/>
      <c r="F19" s="116">
        <f>SFMNP_eSol</f>
        <v>34</v>
      </c>
      <c r="G19" s="116">
        <v>1</v>
      </c>
      <c r="H19" s="272">
        <f t="shared" si="1"/>
        <v>34</v>
      </c>
      <c r="I19" s="116">
        <v>1.5</v>
      </c>
      <c r="J19" s="272">
        <f t="shared" si="2"/>
        <v>51</v>
      </c>
      <c r="K19" s="132">
        <v>0</v>
      </c>
      <c r="L19" s="116">
        <v>0</v>
      </c>
      <c r="M19" s="115">
        <f>J19-K19-L19</f>
        <v>51</v>
      </c>
      <c r="N19" s="115">
        <f>SUM(L19:M19)</f>
        <v>51</v>
      </c>
      <c r="O19" s="983"/>
    </row>
    <row r="20" spans="2:19" ht="51">
      <c r="B20" s="120">
        <v>12</v>
      </c>
      <c r="C20" s="121" t="s">
        <v>75</v>
      </c>
      <c r="D20" s="940" t="s">
        <v>569</v>
      </c>
      <c r="E20" s="128"/>
      <c r="F20" s="116">
        <f>SFMNP_SAs</f>
        <v>56</v>
      </c>
      <c r="G20" s="115">
        <f>(SFMNP_Outlet_Complaints+SFMNP_Participant_Complaints)/SFMNP_SAs</f>
        <v>19</v>
      </c>
      <c r="H20" s="272">
        <f t="shared" si="1"/>
        <v>1064</v>
      </c>
      <c r="I20" s="116">
        <v>1</v>
      </c>
      <c r="J20" s="272">
        <f t="shared" si="2"/>
        <v>1064</v>
      </c>
      <c r="K20" s="275">
        <f>'SFMNP 2022'!H17+SFMNP_Participant_Complaints</f>
        <v>1078</v>
      </c>
      <c r="L20" s="115">
        <f>J20-'SFMNP 2022'!H17-M20</f>
        <v>-14</v>
      </c>
      <c r="M20" s="115">
        <f>SFMNP_Participant_Complaints</f>
        <v>578</v>
      </c>
      <c r="N20" s="115">
        <f t="shared" si="3"/>
        <v>564</v>
      </c>
      <c r="O20" s="16" t="s">
        <v>228</v>
      </c>
    </row>
    <row r="21" spans="2:19" ht="51">
      <c r="B21" s="120">
        <v>13</v>
      </c>
      <c r="C21" s="121" t="s">
        <v>79</v>
      </c>
      <c r="D21" s="940" t="s">
        <v>570</v>
      </c>
      <c r="E21" s="128"/>
      <c r="F21" s="116">
        <f>SFMNP_SAs</f>
        <v>56</v>
      </c>
      <c r="G21" s="115">
        <f>((SFMNP_outlets+SFMNP_participants)*0.02)/SFMNP_SAs</f>
        <v>306.21464285714285</v>
      </c>
      <c r="H21" s="272">
        <f t="shared" si="1"/>
        <v>17148.02</v>
      </c>
      <c r="I21" s="863">
        <v>8.3500000000000005E-2</v>
      </c>
      <c r="J21" s="272">
        <f t="shared" si="2"/>
        <v>1431.8596700000001</v>
      </c>
      <c r="K21" s="275">
        <f>'SFMNP 2022'!H18+0.0835*(SFMNP_participants*0.02)</f>
        <v>1432.8015500000001</v>
      </c>
      <c r="L21" s="116">
        <f>J21-'SFMNP 2022'!H18-M21</f>
        <v>-0.94188000000008287</v>
      </c>
      <c r="M21" s="116">
        <f>0.0835*(SFMNP_participants*0.02)</f>
        <v>1400.1447000000001</v>
      </c>
      <c r="N21" s="116">
        <f t="shared" si="3"/>
        <v>1399.20282</v>
      </c>
      <c r="O21" s="16" t="s">
        <v>229</v>
      </c>
    </row>
    <row r="22" spans="2:19" ht="25.5">
      <c r="B22" s="120">
        <v>14</v>
      </c>
      <c r="C22" s="123">
        <v>249.11</v>
      </c>
      <c r="D22" s="940" t="s">
        <v>83</v>
      </c>
      <c r="E22" s="128"/>
      <c r="F22" s="116">
        <f>SFMNP_SAs</f>
        <v>56</v>
      </c>
      <c r="G22" s="116">
        <v>1</v>
      </c>
      <c r="H22" s="272">
        <f t="shared" si="1"/>
        <v>56</v>
      </c>
      <c r="I22" s="116">
        <v>10</v>
      </c>
      <c r="J22" s="272">
        <f t="shared" si="2"/>
        <v>560</v>
      </c>
      <c r="K22" s="132">
        <f>'SFMNP 2022'!H19</f>
        <v>550</v>
      </c>
      <c r="L22" s="116">
        <f t="shared" si="6"/>
        <v>10</v>
      </c>
      <c r="M22" s="116">
        <v>0</v>
      </c>
      <c r="N22" s="116">
        <f t="shared" si="3"/>
        <v>10</v>
      </c>
      <c r="O22" s="16" t="s">
        <v>222</v>
      </c>
    </row>
    <row r="23" spans="2:19" ht="25.5">
      <c r="B23" s="120">
        <v>15</v>
      </c>
      <c r="C23" s="121" t="s">
        <v>85</v>
      </c>
      <c r="D23" s="940" t="s">
        <v>86</v>
      </c>
      <c r="E23" s="263"/>
      <c r="F23" s="116">
        <v>5</v>
      </c>
      <c r="G23" s="116">
        <v>1</v>
      </c>
      <c r="H23" s="272">
        <f t="shared" si="1"/>
        <v>5</v>
      </c>
      <c r="I23" s="116">
        <v>40</v>
      </c>
      <c r="J23" s="272">
        <f t="shared" si="2"/>
        <v>200</v>
      </c>
      <c r="K23" s="132">
        <f>'SFMNP 2022'!H20</f>
        <v>200</v>
      </c>
      <c r="L23" s="116">
        <f>J23-K23</f>
        <v>0</v>
      </c>
      <c r="M23" s="116">
        <v>0</v>
      </c>
      <c r="N23" s="116">
        <f t="shared" si="3"/>
        <v>0</v>
      </c>
      <c r="O23" s="16" t="s">
        <v>28</v>
      </c>
    </row>
    <row r="24" spans="2:19" ht="25.5">
      <c r="B24" s="120">
        <v>16</v>
      </c>
      <c r="C24" s="121" t="s">
        <v>88</v>
      </c>
      <c r="D24" s="940" t="s">
        <v>89</v>
      </c>
      <c r="E24" s="263"/>
      <c r="F24" s="116">
        <v>1</v>
      </c>
      <c r="G24" s="116">
        <v>1</v>
      </c>
      <c r="H24" s="272">
        <f t="shared" si="1"/>
        <v>1</v>
      </c>
      <c r="I24" s="116">
        <v>24</v>
      </c>
      <c r="J24" s="272">
        <f t="shared" si="2"/>
        <v>24</v>
      </c>
      <c r="K24" s="132">
        <f>'SFMNP 2022'!H21</f>
        <v>24</v>
      </c>
      <c r="L24" s="116">
        <f t="shared" ref="L24:L26" si="7">J24-K24</f>
        <v>0</v>
      </c>
      <c r="M24" s="116">
        <f>J24-K24</f>
        <v>0</v>
      </c>
      <c r="N24" s="116">
        <f t="shared" si="3"/>
        <v>0</v>
      </c>
      <c r="O24" s="16" t="s">
        <v>28</v>
      </c>
    </row>
    <row r="25" spans="2:19">
      <c r="B25" s="120">
        <v>17</v>
      </c>
      <c r="C25" s="121" t="s">
        <v>91</v>
      </c>
      <c r="D25" s="127" t="s">
        <v>92</v>
      </c>
      <c r="E25" s="128"/>
      <c r="F25" s="116">
        <v>8</v>
      </c>
      <c r="G25" s="116">
        <v>1</v>
      </c>
      <c r="H25" s="272">
        <f t="shared" si="1"/>
        <v>8</v>
      </c>
      <c r="I25" s="116">
        <v>10</v>
      </c>
      <c r="J25" s="272">
        <f t="shared" si="2"/>
        <v>80</v>
      </c>
      <c r="K25" s="132">
        <f>'SFMNP 2022'!H22</f>
        <v>80</v>
      </c>
      <c r="L25" s="116">
        <f t="shared" si="7"/>
        <v>0</v>
      </c>
      <c r="M25" s="116">
        <v>0</v>
      </c>
      <c r="N25" s="116">
        <f t="shared" si="3"/>
        <v>0</v>
      </c>
      <c r="O25" s="16" t="s">
        <v>28</v>
      </c>
    </row>
    <row r="26" spans="2:19">
      <c r="B26" s="120">
        <v>18</v>
      </c>
      <c r="C26" s="121" t="s">
        <v>95</v>
      </c>
      <c r="D26" s="139" t="s">
        <v>96</v>
      </c>
      <c r="E26" s="128"/>
      <c r="F26" s="116">
        <v>2</v>
      </c>
      <c r="G26" s="116">
        <v>1</v>
      </c>
      <c r="H26" s="272">
        <f t="shared" si="1"/>
        <v>2</v>
      </c>
      <c r="I26" s="116">
        <v>10</v>
      </c>
      <c r="J26" s="272">
        <f t="shared" si="2"/>
        <v>20</v>
      </c>
      <c r="K26" s="132">
        <f>'SFMNP 2022'!H23</f>
        <v>20</v>
      </c>
      <c r="L26" s="116">
        <f t="shared" si="7"/>
        <v>0</v>
      </c>
      <c r="M26" s="116">
        <v>0</v>
      </c>
      <c r="N26" s="116">
        <f t="shared" si="3"/>
        <v>0</v>
      </c>
      <c r="O26" s="16" t="s">
        <v>28</v>
      </c>
    </row>
    <row r="27" spans="2:19">
      <c r="B27" s="120">
        <v>19</v>
      </c>
      <c r="C27" s="121" t="s">
        <v>98</v>
      </c>
      <c r="D27" s="127" t="s">
        <v>99</v>
      </c>
      <c r="E27" s="128"/>
      <c r="F27" s="126">
        <v>1</v>
      </c>
      <c r="G27" s="126">
        <v>1</v>
      </c>
      <c r="H27" s="272">
        <f t="shared" si="1"/>
        <v>1</v>
      </c>
      <c r="I27" s="126">
        <v>15</v>
      </c>
      <c r="J27" s="272">
        <f t="shared" si="2"/>
        <v>15</v>
      </c>
      <c r="K27" s="275">
        <f>'SFMNP 2022'!H24</f>
        <v>15</v>
      </c>
      <c r="L27" s="126">
        <f>J27-K27</f>
        <v>0</v>
      </c>
      <c r="M27" s="116">
        <v>0</v>
      </c>
      <c r="N27" s="116">
        <f t="shared" si="3"/>
        <v>0</v>
      </c>
      <c r="O27" s="16" t="s">
        <v>28</v>
      </c>
    </row>
    <row r="28" spans="2:19" ht="28.5" customHeight="1">
      <c r="B28" s="984" t="s">
        <v>100</v>
      </c>
      <c r="C28" s="985"/>
      <c r="D28" s="986"/>
      <c r="E28" s="917"/>
      <c r="F28" s="943">
        <f>SFMNP_SAs+(SFMNP_LAs*0.7)</f>
        <v>835.09999999999991</v>
      </c>
      <c r="G28" s="914">
        <f>H28/F28</f>
        <v>1038.1936334969866</v>
      </c>
      <c r="H28" s="943">
        <f>SUM(H6:H16, H18:H27)</f>
        <v>866995.50333333341</v>
      </c>
      <c r="I28" s="914">
        <f>J28/H28</f>
        <v>0.25749396582222184</v>
      </c>
      <c r="J28" s="943">
        <f>SUM(J6:J16, J18:J27)</f>
        <v>223246.11050333336</v>
      </c>
      <c r="K28" s="944">
        <f>SUM(K6:K16,K18:K27)-SUM(M9,M20,M21)</f>
        <v>194596.79935000002</v>
      </c>
      <c r="L28" s="943">
        <f>SUM(L6:L16, L18:L27)</f>
        <v>28333.458120000003</v>
      </c>
      <c r="M28" s="943">
        <f>SUM(M6:M16, M18:M27)</f>
        <v>315.85303333333331</v>
      </c>
      <c r="N28" s="943">
        <f>SUM(N6:N16, N18:N27)</f>
        <v>28649.311153333332</v>
      </c>
      <c r="O28" s="913"/>
    </row>
    <row r="29" spans="2:19" s="372" customFormat="1">
      <c r="B29" s="990" t="s">
        <v>101</v>
      </c>
      <c r="C29" s="991"/>
      <c r="D29" s="991"/>
      <c r="E29" s="991"/>
      <c r="F29" s="991"/>
      <c r="G29" s="991"/>
      <c r="H29" s="991"/>
      <c r="I29" s="991"/>
      <c r="J29" s="991"/>
      <c r="K29" s="991"/>
      <c r="L29" s="991"/>
      <c r="M29" s="991"/>
      <c r="N29" s="991"/>
      <c r="O29" s="992"/>
    </row>
    <row r="30" spans="2:19" ht="38.25">
      <c r="B30" s="120">
        <v>1</v>
      </c>
      <c r="C30" s="280" t="s">
        <v>30</v>
      </c>
      <c r="D30" s="940" t="s">
        <v>102</v>
      </c>
      <c r="E30" s="139"/>
      <c r="F30" s="262">
        <f>SFMNP_participants</f>
        <v>838410</v>
      </c>
      <c r="G30" s="279">
        <v>1</v>
      </c>
      <c r="H30" s="272">
        <f>F30*G30</f>
        <v>838410</v>
      </c>
      <c r="I30" s="115">
        <v>0.25</v>
      </c>
      <c r="J30" s="272">
        <f>H30*I30</f>
        <v>209602.5</v>
      </c>
      <c r="K30" s="180">
        <f>'SFMNP 2022'!H27</f>
        <v>12118.956200000001</v>
      </c>
      <c r="L30" s="262">
        <f>(SFMNP_participants-Prev_SFMNP_participants)*0.25</f>
        <v>28181</v>
      </c>
      <c r="M30" s="262">
        <f>J30-K30-L30</f>
        <v>169302.54379999998</v>
      </c>
      <c r="N30" s="156">
        <f>SUM(L30:M30)</f>
        <v>197483.54379999998</v>
      </c>
      <c r="O30" s="32" t="s">
        <v>230</v>
      </c>
    </row>
    <row r="31" spans="2:19">
      <c r="B31" s="120">
        <v>2</v>
      </c>
      <c r="C31" s="280" t="s">
        <v>75</v>
      </c>
      <c r="D31" s="127" t="s">
        <v>104</v>
      </c>
      <c r="E31" s="139"/>
      <c r="F31" s="262">
        <f>SFMNP_Participant_Complaints</f>
        <v>578</v>
      </c>
      <c r="G31" s="279">
        <v>1</v>
      </c>
      <c r="H31" s="272">
        <f>F31*G31</f>
        <v>578</v>
      </c>
      <c r="I31" s="115">
        <v>0.5</v>
      </c>
      <c r="J31" s="272">
        <f>I31*H31</f>
        <v>289</v>
      </c>
      <c r="K31" s="180">
        <f>'SFMNP 2022'!H28</f>
        <v>250</v>
      </c>
      <c r="L31" s="262">
        <f t="shared" ref="L31:L32" si="8">J31-K31</f>
        <v>39</v>
      </c>
      <c r="M31" s="156">
        <v>0</v>
      </c>
      <c r="N31" s="156">
        <f>SUM(L31:M31)</f>
        <v>39</v>
      </c>
      <c r="O31" s="32" t="s">
        <v>32</v>
      </c>
    </row>
    <row r="32" spans="2:19">
      <c r="B32" s="120">
        <v>3</v>
      </c>
      <c r="C32" s="121" t="s">
        <v>106</v>
      </c>
      <c r="D32" s="127" t="s">
        <v>107</v>
      </c>
      <c r="E32" s="139"/>
      <c r="F32" s="262">
        <f>SFMNP_participants*0.02*0.02</f>
        <v>335.36400000000003</v>
      </c>
      <c r="G32" s="279">
        <v>1</v>
      </c>
      <c r="H32" s="272">
        <f>F32*G32</f>
        <v>335.36400000000003</v>
      </c>
      <c r="I32" s="115">
        <v>2</v>
      </c>
      <c r="J32" s="272">
        <f>I32*H32</f>
        <v>670.72800000000007</v>
      </c>
      <c r="K32" s="180">
        <f>'SFMNP 2022'!H29</f>
        <v>580.54880000000003</v>
      </c>
      <c r="L32" s="262">
        <f t="shared" si="8"/>
        <v>90.179200000000037</v>
      </c>
      <c r="M32" s="156">
        <v>0</v>
      </c>
      <c r="N32" s="156">
        <f>SUM(L32:M32)</f>
        <v>90.179200000000037</v>
      </c>
      <c r="O32" s="32" t="s">
        <v>32</v>
      </c>
    </row>
    <row r="33" spans="2:17" ht="15" customHeight="1">
      <c r="B33" s="984" t="s">
        <v>109</v>
      </c>
      <c r="C33" s="985"/>
      <c r="D33" s="986"/>
      <c r="E33" s="913"/>
      <c r="F33" s="945">
        <f>SFMNP_participants</f>
        <v>838410</v>
      </c>
      <c r="G33" s="916">
        <f>H33/F33</f>
        <v>1.0010894001741391</v>
      </c>
      <c r="H33" s="943">
        <f>SUM(H30:H32)</f>
        <v>839323.36399999994</v>
      </c>
      <c r="I33" s="916">
        <f>J33/H33</f>
        <v>0.25087140073941755</v>
      </c>
      <c r="J33" s="943">
        <f>SUM(J30:J32)</f>
        <v>210562.228</v>
      </c>
      <c r="K33" s="946">
        <f>SUM(K30:K32)</f>
        <v>12949.505000000001</v>
      </c>
      <c r="L33" s="947">
        <f>SUM(L30:L32)</f>
        <v>28310.179199999999</v>
      </c>
      <c r="M33" s="947">
        <f>SUM(M30:M32)</f>
        <v>169302.54379999998</v>
      </c>
      <c r="N33" s="947">
        <f>SUM(N30:N32)</f>
        <v>197612.723</v>
      </c>
      <c r="O33" s="913"/>
    </row>
    <row r="34" spans="2:17" s="372" customFormat="1">
      <c r="B34" s="993" t="s">
        <v>110</v>
      </c>
      <c r="C34" s="994"/>
      <c r="D34" s="994"/>
      <c r="E34" s="994"/>
      <c r="F34" s="994"/>
      <c r="G34" s="994"/>
      <c r="H34" s="994"/>
      <c r="I34" s="994"/>
      <c r="J34" s="994"/>
      <c r="K34" s="994"/>
      <c r="L34" s="994"/>
      <c r="M34" s="994"/>
      <c r="N34" s="994"/>
      <c r="O34" s="995"/>
    </row>
    <row r="35" spans="2:17">
      <c r="B35" s="120">
        <v>1</v>
      </c>
      <c r="C35" s="280" t="s">
        <v>23</v>
      </c>
      <c r="D35" s="940" t="s">
        <v>111</v>
      </c>
      <c r="E35" s="16"/>
      <c r="F35" s="281">
        <f>SFMNP_LAs*0.3</f>
        <v>333.9</v>
      </c>
      <c r="G35" s="279">
        <v>0.5</v>
      </c>
      <c r="H35" s="363">
        <f>F35*G35</f>
        <v>166.95</v>
      </c>
      <c r="I35" s="279">
        <v>2</v>
      </c>
      <c r="J35" s="282">
        <f>H35*I35</f>
        <v>333.9</v>
      </c>
      <c r="K35" s="942">
        <f>'SFMNP 2022'!H32</f>
        <v>290.39999999999998</v>
      </c>
      <c r="L35" s="283">
        <f>J35-K35</f>
        <v>43.5</v>
      </c>
      <c r="M35" s="283">
        <v>0</v>
      </c>
      <c r="N35" s="283">
        <f>SUM(L35:M35)</f>
        <v>43.5</v>
      </c>
      <c r="O35" s="16" t="s">
        <v>218</v>
      </c>
    </row>
    <row r="36" spans="2:17" ht="38.25">
      <c r="B36" s="120">
        <v>2</v>
      </c>
      <c r="C36" s="280" t="s">
        <v>114</v>
      </c>
      <c r="D36" s="940" t="s">
        <v>115</v>
      </c>
      <c r="E36" s="16"/>
      <c r="F36" s="116">
        <f>SFMNP_outlets/3</f>
        <v>6330.333333333333</v>
      </c>
      <c r="G36" s="279">
        <v>1</v>
      </c>
      <c r="H36" s="272">
        <f>F36*G36</f>
        <v>6330.333333333333</v>
      </c>
      <c r="I36" s="912">
        <v>8.3500000000000005E-2</v>
      </c>
      <c r="J36" s="282">
        <f t="shared" ref="J36:J43" si="9">H36*I36</f>
        <v>528.58283333333338</v>
      </c>
      <c r="K36" s="134">
        <f>'SFMNP 2022'!H33</f>
        <v>816.4212500000001</v>
      </c>
      <c r="L36" s="283">
        <f>J36-K36-M36</f>
        <v>-23.547000000000025</v>
      </c>
      <c r="M36" s="283">
        <f>J36-(SFMNP_outlets/2)*I36</f>
        <v>-264.29141666666669</v>
      </c>
      <c r="N36" s="283">
        <f t="shared" ref="N36:N43" si="10">SUM(L36:M36)</f>
        <v>-287.83841666666672</v>
      </c>
      <c r="O36" s="16" t="s">
        <v>189</v>
      </c>
      <c r="Q36" s="371"/>
    </row>
    <row r="37" spans="2:17" ht="38.25">
      <c r="B37" s="120">
        <v>3</v>
      </c>
      <c r="C37" s="280" t="s">
        <v>46</v>
      </c>
      <c r="D37" s="940" t="s">
        <v>107</v>
      </c>
      <c r="E37" s="16"/>
      <c r="F37" s="281">
        <v>1</v>
      </c>
      <c r="G37" s="279">
        <v>1</v>
      </c>
      <c r="H37" s="282">
        <f t="shared" ref="H37:H43" si="11">F37*G37</f>
        <v>1</v>
      </c>
      <c r="I37" s="279">
        <v>2</v>
      </c>
      <c r="J37" s="282">
        <f t="shared" si="9"/>
        <v>2</v>
      </c>
      <c r="K37" s="134">
        <f>'SFMNP 2022'!H34</f>
        <v>15.644000000000002</v>
      </c>
      <c r="L37" s="283">
        <v>0</v>
      </c>
      <c r="M37" s="283">
        <f>J37-K37</f>
        <v>-13.644000000000002</v>
      </c>
      <c r="N37" s="283">
        <f t="shared" si="10"/>
        <v>-13.644000000000002</v>
      </c>
      <c r="O37" s="16" t="s">
        <v>116</v>
      </c>
    </row>
    <row r="38" spans="2:17" ht="25.5">
      <c r="B38" s="120">
        <v>4</v>
      </c>
      <c r="C38" s="280" t="s">
        <v>118</v>
      </c>
      <c r="D38" s="940" t="s">
        <v>119</v>
      </c>
      <c r="E38" s="16"/>
      <c r="F38" s="116">
        <f>SFMNP_outlets</f>
        <v>18991</v>
      </c>
      <c r="G38" s="279">
        <v>1</v>
      </c>
      <c r="H38" s="272">
        <f t="shared" si="11"/>
        <v>18991</v>
      </c>
      <c r="I38" s="279">
        <v>2</v>
      </c>
      <c r="J38" s="272">
        <f t="shared" si="9"/>
        <v>37982</v>
      </c>
      <c r="K38" s="134">
        <f>'SFMNP 2022'!H35</f>
        <v>39110</v>
      </c>
      <c r="L38" s="116">
        <f t="shared" ref="L38" si="12">J38-K38</f>
        <v>-1128</v>
      </c>
      <c r="M38" s="283">
        <v>0</v>
      </c>
      <c r="N38" s="116">
        <f t="shared" si="10"/>
        <v>-1128</v>
      </c>
      <c r="O38" s="16" t="s">
        <v>224</v>
      </c>
    </row>
    <row r="39" spans="2:17" s="373" customFormat="1" ht="15" customHeight="1">
      <c r="B39" s="277">
        <v>5</v>
      </c>
      <c r="C39" s="285" t="s">
        <v>121</v>
      </c>
      <c r="D39" s="286" t="s">
        <v>122</v>
      </c>
      <c r="E39" s="177"/>
      <c r="F39" s="132"/>
      <c r="G39" s="279"/>
      <c r="H39" s="288"/>
      <c r="I39" s="279"/>
      <c r="J39" s="288">
        <f>SUM(J40:J42)</f>
        <v>333529.4375</v>
      </c>
      <c r="K39" s="134">
        <f>'SFMNP 2022'!H36</f>
        <v>703980</v>
      </c>
      <c r="L39" s="134">
        <f>SUM(L40:L42)</f>
        <v>-20304</v>
      </c>
      <c r="M39" s="134">
        <f>SUM(M40:M42)</f>
        <v>-350146.5625</v>
      </c>
      <c r="N39" s="132">
        <f>SUM(N40:N42)</f>
        <v>-370450.5625</v>
      </c>
      <c r="O39" s="1002" t="s">
        <v>231</v>
      </c>
      <c r="Q39" s="374"/>
    </row>
    <row r="40" spans="2:17" ht="25.5">
      <c r="B40" s="120" t="s">
        <v>124</v>
      </c>
      <c r="C40" s="290" t="s">
        <v>121</v>
      </c>
      <c r="D40" s="291" t="s">
        <v>125</v>
      </c>
      <c r="E40" s="16"/>
      <c r="F40" s="116">
        <f>SFMNP_outlets*((SFMNP_paper+S_mail)/SFMNP_SAs)</f>
        <v>8478.125</v>
      </c>
      <c r="G40" s="153">
        <v>9</v>
      </c>
      <c r="H40" s="272">
        <f>F40*G40</f>
        <v>76303.125</v>
      </c>
      <c r="I40" s="153">
        <v>4</v>
      </c>
      <c r="J40" s="272">
        <f t="shared" si="9"/>
        <v>305212.5</v>
      </c>
      <c r="K40" s="134">
        <f>'SFMNP 2022'!H36</f>
        <v>703980</v>
      </c>
      <c r="L40" s="115">
        <f>(SFMNP_outlets-Prev_SFMNP_outlets)*9*4</f>
        <v>-20304</v>
      </c>
      <c r="M40" s="115">
        <f>J40-K40-L40</f>
        <v>-378463.5</v>
      </c>
      <c r="N40" s="116">
        <f>SUM(L40:M40)</f>
        <v>-398767.5</v>
      </c>
      <c r="O40" s="1002"/>
    </row>
    <row r="41" spans="2:17" ht="25.5">
      <c r="B41" s="120" t="s">
        <v>126</v>
      </c>
      <c r="C41" s="290" t="s">
        <v>121</v>
      </c>
      <c r="D41" s="291" t="s">
        <v>127</v>
      </c>
      <c r="E41" s="16"/>
      <c r="F41" s="116">
        <f>SFMNP_outlets*(S_hybrid/SFMNP_SAs)</f>
        <v>2713</v>
      </c>
      <c r="G41" s="153">
        <v>9</v>
      </c>
      <c r="H41" s="272">
        <f t="shared" ref="H41:H42" si="13">F41*G41</f>
        <v>24417</v>
      </c>
      <c r="I41" s="153">
        <v>1</v>
      </c>
      <c r="J41" s="272">
        <f t="shared" si="9"/>
        <v>24417</v>
      </c>
      <c r="K41" s="134">
        <v>0</v>
      </c>
      <c r="L41" s="283">
        <v>0</v>
      </c>
      <c r="M41" s="115">
        <f>J41-K41</f>
        <v>24417</v>
      </c>
      <c r="N41" s="116">
        <f>SUM(L41:M41)</f>
        <v>24417</v>
      </c>
      <c r="O41" s="1002"/>
    </row>
    <row r="42" spans="2:17" ht="25.5">
      <c r="B42" s="120" t="s">
        <v>128</v>
      </c>
      <c r="C42" s="290" t="s">
        <v>121</v>
      </c>
      <c r="D42" s="291" t="s">
        <v>129</v>
      </c>
      <c r="E42" s="16"/>
      <c r="F42" s="116">
        <f>SFMNP_outlets*(S_auto/SFMNP_SAs)</f>
        <v>7799.875</v>
      </c>
      <c r="G42" s="153">
        <v>1</v>
      </c>
      <c r="H42" s="272">
        <f t="shared" si="13"/>
        <v>7799.875</v>
      </c>
      <c r="I42" s="153">
        <v>0.5</v>
      </c>
      <c r="J42" s="272">
        <f t="shared" si="9"/>
        <v>3899.9375</v>
      </c>
      <c r="K42" s="134">
        <v>0</v>
      </c>
      <c r="L42" s="283">
        <v>0</v>
      </c>
      <c r="M42" s="115">
        <f>J42-K42</f>
        <v>3899.9375</v>
      </c>
      <c r="N42" s="116">
        <f>SUM(L42:M42)</f>
        <v>3899.9375</v>
      </c>
      <c r="O42" s="1002"/>
    </row>
    <row r="43" spans="2:17">
      <c r="B43" s="120">
        <v>6</v>
      </c>
      <c r="C43" s="280" t="s">
        <v>75</v>
      </c>
      <c r="D43" s="940" t="s">
        <v>232</v>
      </c>
      <c r="E43" s="16"/>
      <c r="F43" s="279">
        <f>SFMNP_Outlet_Complaints</f>
        <v>486</v>
      </c>
      <c r="G43" s="279">
        <v>1</v>
      </c>
      <c r="H43" s="282">
        <f t="shared" si="11"/>
        <v>486</v>
      </c>
      <c r="I43" s="279">
        <v>0.5</v>
      </c>
      <c r="J43" s="282">
        <f t="shared" si="9"/>
        <v>243</v>
      </c>
      <c r="K43" s="134">
        <f>'SFMNP 2022'!H37</f>
        <v>250</v>
      </c>
      <c r="L43" s="283">
        <f>J43-K43</f>
        <v>-7</v>
      </c>
      <c r="M43" s="283">
        <v>0</v>
      </c>
      <c r="N43" s="283">
        <f t="shared" si="10"/>
        <v>-7</v>
      </c>
      <c r="O43" s="16" t="s">
        <v>224</v>
      </c>
    </row>
    <row r="44" spans="2:17" ht="30.75" customHeight="1">
      <c r="B44" s="984" t="s">
        <v>132</v>
      </c>
      <c r="C44" s="985"/>
      <c r="D44" s="986"/>
      <c r="E44" s="913"/>
      <c r="F44" s="943">
        <f>SFMNP_outlets+(SFMNP_LAs*0.3)</f>
        <v>19324.900000000001</v>
      </c>
      <c r="G44" s="915">
        <f>H44/F44</f>
        <v>6.9596884503067704</v>
      </c>
      <c r="H44" s="943">
        <f>SUM(H35:H38,H40:H43)</f>
        <v>134495.28333333333</v>
      </c>
      <c r="I44" s="915">
        <f>J44/H44</f>
        <v>2.7704980509229755</v>
      </c>
      <c r="J44" s="943">
        <f>SUM(J35:J38, J40:J43)</f>
        <v>372618.92033333331</v>
      </c>
      <c r="K44" s="944">
        <f>SUM(K35:K38, K40:K43)</f>
        <v>744462.46525000001</v>
      </c>
      <c r="L44" s="943">
        <f>SUM(L35:L38, L40:L43)</f>
        <v>-21419.046999999999</v>
      </c>
      <c r="M44" s="943">
        <f>SUM(M35:M38, M40:M43)</f>
        <v>-350424.49791666667</v>
      </c>
      <c r="N44" s="943">
        <f>SUM(N35:N38, N40:N43)</f>
        <v>-371843.54491666669</v>
      </c>
      <c r="O44" s="913"/>
    </row>
    <row r="45" spans="2:17">
      <c r="B45" s="996" t="s">
        <v>133</v>
      </c>
      <c r="C45" s="997"/>
      <c r="D45" s="998"/>
      <c r="E45" s="364"/>
      <c r="F45" s="877">
        <f>SFMNP_SAs+SFMNP_LAs+SFMNP_outlets+SFMNP_participants</f>
        <v>858570</v>
      </c>
      <c r="G45" s="357">
        <f>H45/F45</f>
        <v>2.1440466714032249</v>
      </c>
      <c r="H45" s="877">
        <f>H44+H33+H28</f>
        <v>1840814.1506666667</v>
      </c>
      <c r="I45" s="357">
        <f>J45/H45</f>
        <v>0.43808184467976419</v>
      </c>
      <c r="J45" s="877">
        <f>J28+J33+J44</f>
        <v>806427.2588366667</v>
      </c>
      <c r="K45" s="909">
        <f>K44+K33+K28</f>
        <v>952008.7696</v>
      </c>
      <c r="L45" s="877">
        <f>L44+L33+L28</f>
        <v>35224.590320000003</v>
      </c>
      <c r="M45" s="877">
        <f>M44+M33+M28</f>
        <v>-180806.10108333334</v>
      </c>
      <c r="N45" s="877">
        <f>N44+N33+N28</f>
        <v>-145581.51076333335</v>
      </c>
      <c r="O45" s="359"/>
    </row>
    <row r="46" spans="2:17" ht="15" customHeight="1">
      <c r="B46" s="999" t="s">
        <v>134</v>
      </c>
      <c r="C46" s="1000"/>
      <c r="D46" s="1000"/>
      <c r="E46" s="1000"/>
      <c r="F46" s="1000"/>
      <c r="G46" s="1000"/>
      <c r="H46" s="1000"/>
      <c r="I46" s="1000"/>
      <c r="J46" s="1000"/>
      <c r="K46" s="1000"/>
      <c r="L46" s="1000"/>
      <c r="M46" s="1000"/>
      <c r="N46" s="1000"/>
      <c r="O46" s="1001"/>
    </row>
    <row r="47" spans="2:17">
      <c r="B47" s="990" t="s">
        <v>21</v>
      </c>
      <c r="C47" s="991"/>
      <c r="D47" s="991"/>
      <c r="E47" s="991"/>
      <c r="F47" s="991"/>
      <c r="G47" s="991"/>
      <c r="H47" s="991"/>
      <c r="I47" s="991"/>
      <c r="J47" s="991"/>
      <c r="K47" s="991"/>
      <c r="L47" s="991"/>
      <c r="M47" s="991"/>
      <c r="N47" s="991"/>
      <c r="O47" s="992"/>
    </row>
    <row r="48" spans="2:17" ht="25.5">
      <c r="B48" s="120">
        <v>1</v>
      </c>
      <c r="C48" s="121" t="s">
        <v>136</v>
      </c>
      <c r="D48" s="139" t="s">
        <v>137</v>
      </c>
      <c r="E48" s="127"/>
      <c r="F48" s="360">
        <v>0</v>
      </c>
      <c r="G48" s="279">
        <v>0</v>
      </c>
      <c r="H48" s="282">
        <f>F48*G48</f>
        <v>0</v>
      </c>
      <c r="I48" s="281">
        <v>0</v>
      </c>
      <c r="J48" s="272">
        <f>H48*I48</f>
        <v>0</v>
      </c>
      <c r="K48" s="134">
        <f>'SFMNP 2022'!H42</f>
        <v>9.1850000000000005</v>
      </c>
      <c r="L48" s="115">
        <f>J48-K48-M48</f>
        <v>0</v>
      </c>
      <c r="M48" s="115">
        <f>J48-K48</f>
        <v>-9.1850000000000005</v>
      </c>
      <c r="N48" s="115">
        <f>SUM(L48:M48)</f>
        <v>-9.1850000000000005</v>
      </c>
      <c r="O48" s="16" t="s">
        <v>233</v>
      </c>
    </row>
    <row r="49" spans="2:15" ht="51">
      <c r="B49" s="120">
        <v>2</v>
      </c>
      <c r="C49" s="121">
        <v>249.9</v>
      </c>
      <c r="D49" s="139" t="s">
        <v>138</v>
      </c>
      <c r="E49" s="139"/>
      <c r="F49" s="360">
        <f t="shared" ref="F49:F58" si="14">SFMNP_SAs</f>
        <v>56</v>
      </c>
      <c r="G49" s="115">
        <f>SFMNP_participants/SFMNP_SAs</f>
        <v>14971.607142857143</v>
      </c>
      <c r="H49" s="272">
        <f t="shared" ref="H49:H58" si="15">F49*G49</f>
        <v>838410</v>
      </c>
      <c r="I49" s="865">
        <v>1.67E-2</v>
      </c>
      <c r="J49" s="272">
        <f t="shared" ref="J49:J58" si="16">H49*I49</f>
        <v>14001.447</v>
      </c>
      <c r="K49" s="134">
        <f>'SFMNP 2022'!H43</f>
        <v>181421.5</v>
      </c>
      <c r="L49" s="115">
        <f>(SFMNP_participants-Prev_SFMNP_participants)*I49</f>
        <v>1882.4908</v>
      </c>
      <c r="M49" s="115">
        <f>J49-K49-L49</f>
        <v>-169302.54380000001</v>
      </c>
      <c r="N49" s="115">
        <f t="shared" ref="N49:N58" si="17">SUM(L49:M49)</f>
        <v>-167420.05300000001</v>
      </c>
      <c r="O49" s="16" t="s">
        <v>234</v>
      </c>
    </row>
    <row r="50" spans="2:15">
      <c r="B50" s="120">
        <v>3</v>
      </c>
      <c r="C50" s="121" t="s">
        <v>140</v>
      </c>
      <c r="D50" s="16" t="s">
        <v>141</v>
      </c>
      <c r="E50" s="139"/>
      <c r="F50" s="360">
        <f t="shared" si="14"/>
        <v>56</v>
      </c>
      <c r="G50" s="279">
        <v>1</v>
      </c>
      <c r="H50" s="272">
        <f t="shared" si="15"/>
        <v>56</v>
      </c>
      <c r="I50" s="279">
        <v>2</v>
      </c>
      <c r="J50" s="272">
        <f t="shared" si="16"/>
        <v>112</v>
      </c>
      <c r="K50" s="134">
        <f>'SFMNP 2022'!H44</f>
        <v>110</v>
      </c>
      <c r="L50" s="115">
        <f t="shared" ref="L50:L58" si="18">J50-K50</f>
        <v>2</v>
      </c>
      <c r="M50" s="115">
        <v>0</v>
      </c>
      <c r="N50" s="115">
        <f t="shared" si="17"/>
        <v>2</v>
      </c>
      <c r="O50" s="16" t="s">
        <v>222</v>
      </c>
    </row>
    <row r="51" spans="2:15">
      <c r="B51" s="120">
        <v>4</v>
      </c>
      <c r="C51" s="121" t="s">
        <v>142</v>
      </c>
      <c r="D51" s="940" t="s">
        <v>115</v>
      </c>
      <c r="E51" s="139"/>
      <c r="F51" s="360">
        <f t="shared" si="14"/>
        <v>56</v>
      </c>
      <c r="G51" s="279">
        <v>1</v>
      </c>
      <c r="H51" s="272">
        <f t="shared" si="15"/>
        <v>56</v>
      </c>
      <c r="I51" s="279">
        <v>2</v>
      </c>
      <c r="J51" s="272">
        <f t="shared" si="16"/>
        <v>112</v>
      </c>
      <c r="K51" s="134">
        <f>'SFMNP 2022'!H45</f>
        <v>110</v>
      </c>
      <c r="L51" s="115">
        <f t="shared" si="18"/>
        <v>2</v>
      </c>
      <c r="M51" s="115">
        <v>0</v>
      </c>
      <c r="N51" s="115">
        <f t="shared" si="17"/>
        <v>2</v>
      </c>
      <c r="O51" s="16" t="s">
        <v>222</v>
      </c>
    </row>
    <row r="52" spans="2:15" ht="25.5">
      <c r="B52" s="120">
        <v>5</v>
      </c>
      <c r="C52" s="121" t="s">
        <v>46</v>
      </c>
      <c r="D52" s="16" t="s">
        <v>143</v>
      </c>
      <c r="E52" s="139"/>
      <c r="F52" s="360">
        <f t="shared" si="14"/>
        <v>56</v>
      </c>
      <c r="G52" s="279">
        <v>1</v>
      </c>
      <c r="H52" s="272">
        <f t="shared" si="15"/>
        <v>56</v>
      </c>
      <c r="I52" s="864">
        <v>0.16700000000000001</v>
      </c>
      <c r="J52" s="272">
        <f t="shared" si="16"/>
        <v>9.3520000000000003</v>
      </c>
      <c r="K52" s="134">
        <f>'SFMNP 2022'!H46</f>
        <v>9.1850000000000005</v>
      </c>
      <c r="L52" s="115">
        <f t="shared" si="18"/>
        <v>0.16699999999999982</v>
      </c>
      <c r="M52" s="115">
        <v>0</v>
      </c>
      <c r="N52" s="115">
        <f t="shared" si="17"/>
        <v>0.16699999999999982</v>
      </c>
      <c r="O52" s="16" t="s">
        <v>222</v>
      </c>
    </row>
    <row r="53" spans="2:15" ht="25.5">
      <c r="B53" s="120">
        <v>6</v>
      </c>
      <c r="C53" s="121" t="s">
        <v>223</v>
      </c>
      <c r="D53" s="940" t="s">
        <v>57</v>
      </c>
      <c r="E53" s="139"/>
      <c r="F53" s="360">
        <f t="shared" si="14"/>
        <v>56</v>
      </c>
      <c r="G53" s="279">
        <f>(SFMNP_outlets/SFMNP_SAs)*0.1</f>
        <v>33.912500000000001</v>
      </c>
      <c r="H53" s="272">
        <f t="shared" si="15"/>
        <v>1899.1000000000001</v>
      </c>
      <c r="I53" s="279">
        <v>0.5</v>
      </c>
      <c r="J53" s="272">
        <f t="shared" si="16"/>
        <v>949.55000000000007</v>
      </c>
      <c r="K53" s="134">
        <f>'SFMNP 2022'!H47</f>
        <v>977.75</v>
      </c>
      <c r="L53" s="115">
        <f t="shared" si="18"/>
        <v>-28.199999999999932</v>
      </c>
      <c r="M53" s="115">
        <v>0</v>
      </c>
      <c r="N53" s="115">
        <f t="shared" si="17"/>
        <v>-28.199999999999932</v>
      </c>
      <c r="O53" s="362" t="s">
        <v>235</v>
      </c>
    </row>
    <row r="54" spans="2:15" ht="25.5">
      <c r="B54" s="120">
        <v>7</v>
      </c>
      <c r="C54" s="123" t="s">
        <v>559</v>
      </c>
      <c r="D54" s="16" t="s">
        <v>61</v>
      </c>
      <c r="E54" s="139"/>
      <c r="F54" s="360">
        <f t="shared" si="14"/>
        <v>56</v>
      </c>
      <c r="G54" s="281">
        <f>(SFMNP_LAs/SFMNP_SAs)*0.5</f>
        <v>9.9375</v>
      </c>
      <c r="H54" s="272">
        <f t="shared" si="15"/>
        <v>556.5</v>
      </c>
      <c r="I54" s="279">
        <v>0.5</v>
      </c>
      <c r="J54" s="272">
        <f>H54*I54</f>
        <v>278.25</v>
      </c>
      <c r="K54" s="134">
        <f>'SFMNP 2022'!H48</f>
        <v>242.00000000000003</v>
      </c>
      <c r="L54" s="115">
        <f t="shared" si="18"/>
        <v>36.249999999999972</v>
      </c>
      <c r="M54" s="115">
        <v>0</v>
      </c>
      <c r="N54" s="115">
        <f t="shared" si="17"/>
        <v>36.249999999999972</v>
      </c>
      <c r="O54" s="16" t="s">
        <v>218</v>
      </c>
    </row>
    <row r="55" spans="2:15">
      <c r="B55" s="120">
        <v>8</v>
      </c>
      <c r="C55" s="121" t="s">
        <v>150</v>
      </c>
      <c r="D55" s="16" t="s">
        <v>151</v>
      </c>
      <c r="E55" s="139" t="s">
        <v>236</v>
      </c>
      <c r="F55" s="360">
        <f t="shared" si="14"/>
        <v>56</v>
      </c>
      <c r="G55" s="279">
        <v>1</v>
      </c>
      <c r="H55" s="272">
        <f t="shared" si="15"/>
        <v>56</v>
      </c>
      <c r="I55" s="279">
        <v>2</v>
      </c>
      <c r="J55" s="272">
        <f t="shared" si="16"/>
        <v>112</v>
      </c>
      <c r="K55" s="134">
        <f>'SFMNP 2022'!H49</f>
        <v>110</v>
      </c>
      <c r="L55" s="115">
        <f t="shared" si="18"/>
        <v>2</v>
      </c>
      <c r="M55" s="115">
        <v>0</v>
      </c>
      <c r="N55" s="115">
        <f t="shared" si="17"/>
        <v>2</v>
      </c>
      <c r="O55" s="16" t="s">
        <v>222</v>
      </c>
    </row>
    <row r="56" spans="2:15">
      <c r="B56" s="120">
        <v>9</v>
      </c>
      <c r="C56" s="121" t="s">
        <v>154</v>
      </c>
      <c r="D56" s="16" t="s">
        <v>155</v>
      </c>
      <c r="E56" s="260"/>
      <c r="F56" s="360">
        <f t="shared" si="14"/>
        <v>56</v>
      </c>
      <c r="G56" s="279">
        <v>1</v>
      </c>
      <c r="H56" s="272">
        <f t="shared" si="15"/>
        <v>56</v>
      </c>
      <c r="I56" s="279">
        <v>1</v>
      </c>
      <c r="J56" s="272">
        <f t="shared" si="16"/>
        <v>56</v>
      </c>
      <c r="K56" s="134">
        <f>'SFMNP 2022'!H50</f>
        <v>55</v>
      </c>
      <c r="L56" s="115">
        <f t="shared" si="18"/>
        <v>1</v>
      </c>
      <c r="M56" s="115">
        <v>0</v>
      </c>
      <c r="N56" s="115">
        <f t="shared" si="17"/>
        <v>1</v>
      </c>
      <c r="O56" s="16" t="s">
        <v>222</v>
      </c>
    </row>
    <row r="57" spans="2:15">
      <c r="B57" s="120">
        <v>10</v>
      </c>
      <c r="C57" s="121" t="s">
        <v>88</v>
      </c>
      <c r="D57" s="16" t="s">
        <v>156</v>
      </c>
      <c r="E57" s="260"/>
      <c r="F57" s="360">
        <f t="shared" si="14"/>
        <v>56</v>
      </c>
      <c r="G57" s="279">
        <v>1</v>
      </c>
      <c r="H57" s="272">
        <f t="shared" si="15"/>
        <v>56</v>
      </c>
      <c r="I57" s="279">
        <v>2</v>
      </c>
      <c r="J57" s="272">
        <f t="shared" si="16"/>
        <v>112</v>
      </c>
      <c r="K57" s="134">
        <f>'SFMNP 2022'!H51</f>
        <v>110</v>
      </c>
      <c r="L57" s="115">
        <f t="shared" si="18"/>
        <v>2</v>
      </c>
      <c r="M57" s="115">
        <v>0</v>
      </c>
      <c r="N57" s="115">
        <f t="shared" si="17"/>
        <v>2</v>
      </c>
      <c r="O57" s="16" t="s">
        <v>222</v>
      </c>
    </row>
    <row r="58" spans="2:15">
      <c r="B58" s="120">
        <v>11</v>
      </c>
      <c r="C58" s="121" t="s">
        <v>158</v>
      </c>
      <c r="D58" s="16" t="s">
        <v>159</v>
      </c>
      <c r="E58" s="260"/>
      <c r="F58" s="360">
        <f t="shared" si="14"/>
        <v>56</v>
      </c>
      <c r="G58" s="279">
        <v>1</v>
      </c>
      <c r="H58" s="272">
        <f t="shared" si="15"/>
        <v>56</v>
      </c>
      <c r="I58" s="279">
        <v>40</v>
      </c>
      <c r="J58" s="272">
        <f t="shared" si="16"/>
        <v>2240</v>
      </c>
      <c r="K58" s="134">
        <f>'SFMNP 2022'!H52</f>
        <v>2200</v>
      </c>
      <c r="L58" s="115">
        <f t="shared" si="18"/>
        <v>40</v>
      </c>
      <c r="M58" s="115">
        <v>0</v>
      </c>
      <c r="N58" s="115">
        <f t="shared" si="17"/>
        <v>40</v>
      </c>
      <c r="O58" s="16" t="s">
        <v>222</v>
      </c>
    </row>
    <row r="59" spans="2:15" ht="15" customHeight="1">
      <c r="B59" s="980" t="s">
        <v>160</v>
      </c>
      <c r="C59" s="981"/>
      <c r="D59" s="982"/>
      <c r="E59" s="356"/>
      <c r="F59" s="948">
        <f>SFMNP_SAs</f>
        <v>56</v>
      </c>
      <c r="G59" s="357">
        <f>H59/F59</f>
        <v>15022.457142857142</v>
      </c>
      <c r="H59" s="877">
        <f>SUM(H48:H58)</f>
        <v>841257.6</v>
      </c>
      <c r="I59" s="365">
        <f>J59/H59</f>
        <v>2.1375853246377807E-2</v>
      </c>
      <c r="J59" s="877">
        <f>SUM(J48:J58)</f>
        <v>17982.599000000002</v>
      </c>
      <c r="K59" s="909">
        <f>SUM(K48:K58)</f>
        <v>185354.62</v>
      </c>
      <c r="L59" s="877">
        <f>SUM(L48:L58)</f>
        <v>1939.7078000000001</v>
      </c>
      <c r="M59" s="877">
        <f>SUM(M48:M58)</f>
        <v>-169311.72880000001</v>
      </c>
      <c r="N59" s="877">
        <f>SUM(N48:N58)</f>
        <v>-167372.02100000004</v>
      </c>
      <c r="O59" s="359"/>
    </row>
    <row r="60" spans="2:15" ht="15" customHeight="1">
      <c r="B60" s="980" t="s">
        <v>161</v>
      </c>
      <c r="C60" s="981"/>
      <c r="D60" s="982"/>
      <c r="E60" s="356"/>
      <c r="F60" s="877">
        <f>F45</f>
        <v>858570</v>
      </c>
      <c r="G60" s="365">
        <f>H60/F60</f>
        <v>3.1238824448404521</v>
      </c>
      <c r="H60" s="877">
        <f>H59+H45</f>
        <v>2682071.7506666668</v>
      </c>
      <c r="I60" s="365">
        <f>J60/H60</f>
        <v>0.3073780027069552</v>
      </c>
      <c r="J60" s="877">
        <f>J59+J45</f>
        <v>824409.85783666675</v>
      </c>
      <c r="K60" s="909">
        <f>SUM(K45+K59)</f>
        <v>1137363.3895999999</v>
      </c>
      <c r="L60" s="877">
        <f>L59+L45</f>
        <v>37164.298120000007</v>
      </c>
      <c r="M60" s="877">
        <f>M59+M45</f>
        <v>-350117.82988333335</v>
      </c>
      <c r="N60" s="877">
        <f>N59+N45</f>
        <v>-312953.53176333336</v>
      </c>
      <c r="O60" s="359"/>
    </row>
    <row r="61" spans="2:15">
      <c r="B61" s="975" t="s">
        <v>566</v>
      </c>
      <c r="C61" s="366"/>
      <c r="H61" s="910"/>
    </row>
    <row r="62" spans="2:15">
      <c r="B62" s="975" t="s">
        <v>571</v>
      </c>
      <c r="C62" s="366"/>
      <c r="H62" s="910"/>
    </row>
    <row r="63" spans="2:15">
      <c r="B63" s="975" t="s">
        <v>237</v>
      </c>
      <c r="C63" s="976"/>
    </row>
    <row r="64" spans="2:15" ht="15.75" thickBot="1">
      <c r="B64" s="975"/>
      <c r="C64" s="976"/>
    </row>
    <row r="65" spans="4:16" ht="39" thickBot="1">
      <c r="D65" s="316" t="s">
        <v>163</v>
      </c>
      <c r="E65" s="905" t="s">
        <v>164</v>
      </c>
      <c r="F65" s="905" t="s">
        <v>165</v>
      </c>
      <c r="G65" s="905" t="s">
        <v>166</v>
      </c>
      <c r="H65" s="907" t="s">
        <v>167</v>
      </c>
      <c r="I65" s="908" t="s">
        <v>168</v>
      </c>
      <c r="K65" s="910"/>
    </row>
    <row r="66" spans="4:16">
      <c r="D66" s="320" t="s">
        <v>169</v>
      </c>
      <c r="E66" s="918">
        <f>+F45</f>
        <v>858570</v>
      </c>
      <c r="F66" s="924">
        <f>+G66/E66</f>
        <v>2.1440466714032249</v>
      </c>
      <c r="G66" s="925">
        <f>+H45</f>
        <v>1840814.1506666667</v>
      </c>
      <c r="H66" s="924">
        <f>+I66/G66</f>
        <v>0.43808184467976419</v>
      </c>
      <c r="I66" s="921">
        <f>+J45</f>
        <v>806427.2588366667</v>
      </c>
      <c r="K66" s="325"/>
    </row>
    <row r="67" spans="4:16" ht="15.75" thickBot="1">
      <c r="D67" s="326" t="s">
        <v>170</v>
      </c>
      <c r="E67" s="919">
        <f>+F59</f>
        <v>56</v>
      </c>
      <c r="F67" s="926">
        <f>+G67/E67</f>
        <v>15022.457142857142</v>
      </c>
      <c r="G67" s="927">
        <f>+H59</f>
        <v>841257.6</v>
      </c>
      <c r="H67" s="926">
        <f>+I67/G67</f>
        <v>2.1375853246377807E-2</v>
      </c>
      <c r="I67" s="922">
        <f>+J59</f>
        <v>17982.599000000002</v>
      </c>
      <c r="K67" s="911"/>
    </row>
    <row r="68" spans="4:16" ht="15.75" thickBot="1">
      <c r="D68" s="376" t="s">
        <v>238</v>
      </c>
      <c r="E68" s="920">
        <f>E66</f>
        <v>858570</v>
      </c>
      <c r="F68" s="928">
        <f>+G68/E68</f>
        <v>3.1238824448404521</v>
      </c>
      <c r="G68" s="929">
        <f>SUM(G66:G67)</f>
        <v>2682071.7506666668</v>
      </c>
      <c r="H68" s="930">
        <f>+I68/G68</f>
        <v>0.3073780027069552</v>
      </c>
      <c r="I68" s="923">
        <f>SUM(I66:I67)</f>
        <v>824409.85783666675</v>
      </c>
    </row>
    <row r="69" spans="4:16" ht="15.75" thickBot="1">
      <c r="D69" s="335"/>
      <c r="E69" s="336"/>
      <c r="F69" s="337"/>
      <c r="G69" s="336"/>
      <c r="H69" s="337"/>
      <c r="I69" s="336"/>
    </row>
    <row r="70" spans="4:16" ht="15.75" thickBot="1">
      <c r="D70" s="338"/>
      <c r="E70" s="905" t="s">
        <v>172</v>
      </c>
      <c r="F70" s="906" t="s">
        <v>173</v>
      </c>
    </row>
    <row r="71" spans="4:16">
      <c r="D71" s="340" t="s">
        <v>572</v>
      </c>
      <c r="E71" s="931">
        <v>2401277.1963999998</v>
      </c>
      <c r="F71" s="934">
        <v>1137363.3895999999</v>
      </c>
      <c r="G71" s="343"/>
      <c r="H71" s="344"/>
      <c r="I71" s="343"/>
    </row>
    <row r="72" spans="4:16">
      <c r="D72" s="345" t="s">
        <v>175</v>
      </c>
      <c r="E72" s="932">
        <f>+G68</f>
        <v>2682071.7506666668</v>
      </c>
      <c r="F72" s="935">
        <f>+I68</f>
        <v>824409.85783666675</v>
      </c>
      <c r="G72" s="343"/>
      <c r="H72" s="344"/>
      <c r="I72" s="343"/>
    </row>
    <row r="73" spans="4:16" ht="15.75" thickBot="1">
      <c r="D73" s="348" t="s">
        <v>176</v>
      </c>
      <c r="E73" s="933">
        <f>+E72-E71</f>
        <v>280794.55426666699</v>
      </c>
      <c r="F73" s="936">
        <f>+F72-F71</f>
        <v>-312953.53176333313</v>
      </c>
      <c r="G73" s="343"/>
      <c r="H73" s="965"/>
      <c r="I73" s="343"/>
    </row>
    <row r="79" spans="4:16">
      <c r="P79" s="375"/>
    </row>
    <row r="80" spans="4:16">
      <c r="P80" s="375"/>
    </row>
    <row r="81" spans="16:16">
      <c r="P81" s="375"/>
    </row>
    <row r="82" spans="16:16">
      <c r="P82" s="375"/>
    </row>
    <row r="83" spans="16:16">
      <c r="P83" s="375"/>
    </row>
    <row r="84" spans="16:16">
      <c r="P84" s="375"/>
    </row>
    <row r="85" spans="16:16">
      <c r="P85" s="375"/>
    </row>
    <row r="86" spans="16:16">
      <c r="P86" s="375"/>
    </row>
    <row r="87" spans="16:16">
      <c r="P87" s="375"/>
    </row>
    <row r="88" spans="16:16">
      <c r="P88" s="375"/>
    </row>
    <row r="89" spans="16:16">
      <c r="P89" s="375"/>
    </row>
    <row r="90" spans="16:16">
      <c r="P90" s="375"/>
    </row>
    <row r="91" spans="16:16">
      <c r="P91" s="375"/>
    </row>
    <row r="92" spans="16:16">
      <c r="P92" s="375"/>
    </row>
    <row r="93" spans="16:16">
      <c r="P93" s="375"/>
    </row>
  </sheetData>
  <mergeCells count="16">
    <mergeCell ref="B1:O1"/>
    <mergeCell ref="B59:D59"/>
    <mergeCell ref="B60:D60"/>
    <mergeCell ref="O17:O19"/>
    <mergeCell ref="B33:D33"/>
    <mergeCell ref="B2:O2"/>
    <mergeCell ref="B4:O4"/>
    <mergeCell ref="B5:O5"/>
    <mergeCell ref="B28:D28"/>
    <mergeCell ref="B29:O29"/>
    <mergeCell ref="B34:O34"/>
    <mergeCell ref="B44:D44"/>
    <mergeCell ref="B45:D45"/>
    <mergeCell ref="B46:O46"/>
    <mergeCell ref="B47:O47"/>
    <mergeCell ref="O39:O42"/>
  </mergeCell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4DDE-A6E4-423E-9D48-B62C245DFE31}">
  <sheetPr>
    <tabColor theme="6" tint="0.79998168889431442"/>
  </sheetPr>
  <dimension ref="A1:S44"/>
  <sheetViews>
    <sheetView workbookViewId="0">
      <selection activeCell="E9" sqref="E9:E10"/>
    </sheetView>
  </sheetViews>
  <sheetFormatPr defaultColWidth="9.140625" defaultRowHeight="15"/>
  <cols>
    <col min="1" max="1" width="23.5703125" style="390" customWidth="1"/>
    <col min="2" max="2" width="14.42578125" style="390" customWidth="1"/>
    <col min="3" max="3" width="13.28515625" style="390" bestFit="1" customWidth="1"/>
    <col min="4" max="4" width="18" style="390" bestFit="1" customWidth="1"/>
    <col min="5" max="5" width="13.5703125" style="390" bestFit="1" customWidth="1"/>
    <col min="6" max="6" width="25.5703125" style="390" customWidth="1"/>
    <col min="7" max="16384" width="9.140625" style="390"/>
  </cols>
  <sheetData>
    <row r="1" spans="1:6">
      <c r="A1" s="390" t="s">
        <v>239</v>
      </c>
    </row>
    <row r="2" spans="1:6">
      <c r="A2" s="390" t="s">
        <v>240</v>
      </c>
    </row>
    <row r="3" spans="1:6">
      <c r="A3" s="390" t="s">
        <v>241</v>
      </c>
    </row>
    <row r="6" spans="1:6" ht="30">
      <c r="A6" s="857" t="s">
        <v>242</v>
      </c>
      <c r="B6" s="858" t="s">
        <v>243</v>
      </c>
      <c r="C6" s="858" t="s">
        <v>244</v>
      </c>
      <c r="D6" s="858" t="s">
        <v>245</v>
      </c>
      <c r="E6" s="858" t="s">
        <v>246</v>
      </c>
      <c r="F6" s="858" t="s">
        <v>247</v>
      </c>
    </row>
    <row r="7" spans="1:6">
      <c r="A7" s="840" t="s">
        <v>248</v>
      </c>
      <c r="B7" s="859">
        <v>51</v>
      </c>
      <c r="C7" s="859">
        <v>50</v>
      </c>
      <c r="D7" s="846" t="s">
        <v>249</v>
      </c>
      <c r="E7" s="846" t="s">
        <v>250</v>
      </c>
      <c r="F7" s="846" t="s">
        <v>251</v>
      </c>
    </row>
    <row r="8" spans="1:6">
      <c r="A8" s="840" t="s">
        <v>252</v>
      </c>
      <c r="B8" s="859">
        <v>1098</v>
      </c>
      <c r="C8" s="859">
        <v>1085</v>
      </c>
      <c r="D8" s="846" t="s">
        <v>253</v>
      </c>
      <c r="E8" s="846" t="s">
        <v>250</v>
      </c>
      <c r="F8" s="846" t="s">
        <v>251</v>
      </c>
    </row>
    <row r="9" spans="1:6">
      <c r="A9" s="840" t="s">
        <v>254</v>
      </c>
      <c r="B9" s="859">
        <v>1330746</v>
      </c>
      <c r="C9" s="859">
        <v>1428163</v>
      </c>
      <c r="D9" s="846" t="s">
        <v>255</v>
      </c>
      <c r="E9" s="846" t="s">
        <v>256</v>
      </c>
      <c r="F9" s="846" t="s">
        <v>257</v>
      </c>
    </row>
    <row r="10" spans="1:6">
      <c r="A10" s="840" t="s">
        <v>258</v>
      </c>
      <c r="B10" s="859">
        <v>19597</v>
      </c>
      <c r="C10" s="859">
        <v>17403</v>
      </c>
      <c r="D10" s="846" t="s">
        <v>259</v>
      </c>
      <c r="E10" s="846" t="s">
        <v>256</v>
      </c>
      <c r="F10" s="846" t="s">
        <v>257</v>
      </c>
    </row>
    <row r="11" spans="1:6">
      <c r="A11" s="840" t="s">
        <v>260</v>
      </c>
      <c r="B11" s="859">
        <v>2</v>
      </c>
      <c r="C11" s="859">
        <v>4</v>
      </c>
      <c r="D11" s="846" t="s">
        <v>261</v>
      </c>
      <c r="E11" s="846" t="s">
        <v>250</v>
      </c>
      <c r="F11" s="846" t="s">
        <v>262</v>
      </c>
    </row>
    <row r="12" spans="1:6">
      <c r="A12" s="840" t="s">
        <v>263</v>
      </c>
      <c r="B12" s="859">
        <v>1</v>
      </c>
      <c r="C12" s="859">
        <v>2</v>
      </c>
      <c r="D12" s="846" t="s">
        <v>264</v>
      </c>
      <c r="E12" s="846" t="s">
        <v>250</v>
      </c>
      <c r="F12" s="846" t="s">
        <v>262</v>
      </c>
    </row>
    <row r="13" spans="1:6">
      <c r="A13" s="840" t="s">
        <v>265</v>
      </c>
      <c r="B13" s="859">
        <v>22</v>
      </c>
      <c r="C13" s="859">
        <v>32</v>
      </c>
      <c r="D13" s="846" t="s">
        <v>266</v>
      </c>
      <c r="E13" s="846" t="s">
        <v>250</v>
      </c>
      <c r="F13" s="846" t="s">
        <v>262</v>
      </c>
    </row>
    <row r="14" spans="1:6">
      <c r="A14" s="840" t="s">
        <v>267</v>
      </c>
      <c r="B14" s="852">
        <v>26</v>
      </c>
      <c r="C14" s="852">
        <v>12</v>
      </c>
      <c r="D14" s="846" t="s">
        <v>268</v>
      </c>
      <c r="E14" s="846" t="s">
        <v>250</v>
      </c>
      <c r="F14" s="846" t="s">
        <v>251</v>
      </c>
    </row>
    <row r="15" spans="1:6">
      <c r="A15" s="840" t="s">
        <v>269</v>
      </c>
      <c r="B15" s="852">
        <f>SUM(B11:B13)</f>
        <v>25</v>
      </c>
      <c r="C15" s="852">
        <f>SUM(C11:C13)</f>
        <v>38</v>
      </c>
      <c r="D15" s="846" t="s">
        <v>270</v>
      </c>
      <c r="E15" s="846" t="s">
        <v>250</v>
      </c>
      <c r="F15" s="846" t="s">
        <v>262</v>
      </c>
    </row>
    <row r="16" spans="1:6">
      <c r="A16" s="840" t="s">
        <v>271</v>
      </c>
      <c r="B16" s="852"/>
      <c r="C16" s="859">
        <v>32</v>
      </c>
      <c r="D16" s="846" t="s">
        <v>272</v>
      </c>
      <c r="E16" s="846" t="s">
        <v>250</v>
      </c>
      <c r="F16" s="846" t="s">
        <v>251</v>
      </c>
    </row>
    <row r="17" spans="1:6">
      <c r="A17" s="840" t="s">
        <v>273</v>
      </c>
      <c r="B17" s="852"/>
      <c r="C17" s="852">
        <f>FMNP_SAs-C16</f>
        <v>18</v>
      </c>
      <c r="D17" s="848"/>
      <c r="E17" s="846" t="s">
        <v>250</v>
      </c>
      <c r="F17" s="846" t="s">
        <v>251</v>
      </c>
    </row>
    <row r="20" spans="1:6">
      <c r="A20" s="856" t="s">
        <v>274</v>
      </c>
      <c r="B20" s="855" t="s">
        <v>275</v>
      </c>
      <c r="C20" s="855" t="s">
        <v>276</v>
      </c>
      <c r="D20" s="855" t="s">
        <v>277</v>
      </c>
      <c r="E20" s="855" t="s">
        <v>278</v>
      </c>
      <c r="F20" s="855" t="s">
        <v>245</v>
      </c>
    </row>
    <row r="21" spans="1:6">
      <c r="A21" s="840" t="s">
        <v>248</v>
      </c>
      <c r="B21" s="847">
        <f>FMNP_SAs-B7</f>
        <v>-1</v>
      </c>
      <c r="C21" s="849">
        <f>B21/B7</f>
        <v>-1.9607843137254902E-2</v>
      </c>
      <c r="D21" s="848"/>
      <c r="E21" s="848"/>
      <c r="F21" s="848"/>
    </row>
    <row r="22" spans="1:6">
      <c r="A22" s="840" t="s">
        <v>252</v>
      </c>
      <c r="B22" s="847">
        <f>FMNP_LAs-B8</f>
        <v>-13</v>
      </c>
      <c r="C22" s="849">
        <f>B22/B8</f>
        <v>-1.1839708561020037E-2</v>
      </c>
      <c r="D22" s="848"/>
      <c r="E22" s="848"/>
      <c r="F22" s="848"/>
    </row>
    <row r="23" spans="1:6">
      <c r="A23" s="840" t="s">
        <v>254</v>
      </c>
      <c r="B23" s="847">
        <f>FMNP_participants-B9</f>
        <v>97417</v>
      </c>
      <c r="C23" s="849">
        <f>B23/B9</f>
        <v>7.3204803922010661E-2</v>
      </c>
      <c r="D23" s="850"/>
      <c r="E23" s="848"/>
      <c r="F23" s="848"/>
    </row>
    <row r="24" spans="1:6" ht="30">
      <c r="A24" s="840" t="s">
        <v>258</v>
      </c>
      <c r="B24" s="847">
        <f>FMNP_outlets-Prev_FMNP_outlets</f>
        <v>-2194</v>
      </c>
      <c r="C24" s="849">
        <f>B24/Prev_FMNP_outlets</f>
        <v>-0.11195591161912538</v>
      </c>
      <c r="D24" s="850" t="s">
        <v>130</v>
      </c>
      <c r="E24" s="848">
        <f>ROUND(495*(1+C24), 0)</f>
        <v>440</v>
      </c>
      <c r="F24" s="848" t="s">
        <v>279</v>
      </c>
    </row>
    <row r="27" spans="1:6">
      <c r="A27" s="373" t="s">
        <v>280</v>
      </c>
    </row>
    <row r="28" spans="1:6">
      <c r="A28" s="373" t="s">
        <v>248</v>
      </c>
      <c r="D28" s="842" t="s">
        <v>281</v>
      </c>
    </row>
    <row r="29" spans="1:6">
      <c r="A29" s="841" t="s">
        <v>282</v>
      </c>
      <c r="B29" s="851">
        <f>ROUND(32/(FMNP_SAs+SFMNP_SAs),2)</f>
        <v>0.3</v>
      </c>
      <c r="D29" s="841" t="s">
        <v>283</v>
      </c>
      <c r="E29" s="852">
        <f>FMNP_outlets+SFMNP_outlets</f>
        <v>36394</v>
      </c>
    </row>
    <row r="30" spans="1:6" ht="30">
      <c r="A30" s="841" t="s">
        <v>284</v>
      </c>
      <c r="B30" s="848">
        <f>SFMNP_SAs+FMNP_SAs</f>
        <v>106</v>
      </c>
      <c r="D30" s="841" t="s">
        <v>285</v>
      </c>
      <c r="E30" s="853">
        <f>ROUND(E29*B29, 0)</f>
        <v>10918</v>
      </c>
    </row>
    <row r="31" spans="1:6" ht="30">
      <c r="A31" s="841" t="s">
        <v>286</v>
      </c>
      <c r="B31" s="848">
        <f>FMNP_SAs+SFMNP_SAs-Consolidated_SAs</f>
        <v>74</v>
      </c>
      <c r="D31" s="854" t="s">
        <v>287</v>
      </c>
      <c r="E31" s="853">
        <f>E29-E30</f>
        <v>25476</v>
      </c>
      <c r="F31" s="390" t="s">
        <v>288</v>
      </c>
    </row>
    <row r="44" spans="18:19">
      <c r="R44" s="427"/>
      <c r="S44" s="43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7BD7-EFDC-42F4-95BC-1CBFE7BDD1FE}">
  <sheetPr>
    <tabColor theme="6" tint="0.79998168889431442"/>
  </sheetPr>
  <dimension ref="A1:H29"/>
  <sheetViews>
    <sheetView workbookViewId="0">
      <selection activeCell="L22" sqref="L22"/>
    </sheetView>
  </sheetViews>
  <sheetFormatPr defaultColWidth="9.140625" defaultRowHeight="15"/>
  <cols>
    <col min="1" max="1" width="22" style="390" customWidth="1"/>
    <col min="2" max="2" width="14.140625" style="390" customWidth="1"/>
    <col min="3" max="3" width="12.7109375" style="390" bestFit="1" customWidth="1"/>
    <col min="4" max="4" width="19" style="390" bestFit="1" customWidth="1"/>
    <col min="5" max="5" width="13.28515625" style="390" bestFit="1" customWidth="1"/>
    <col min="6" max="6" width="23.5703125" style="390" customWidth="1"/>
    <col min="7" max="16384" width="9.140625" style="390"/>
  </cols>
  <sheetData>
    <row r="1" spans="1:8">
      <c r="A1" s="390" t="s">
        <v>289</v>
      </c>
    </row>
    <row r="2" spans="1:8">
      <c r="A2" s="390" t="s">
        <v>240</v>
      </c>
    </row>
    <row r="3" spans="1:8">
      <c r="A3" s="390" t="s">
        <v>241</v>
      </c>
    </row>
    <row r="5" spans="1:8">
      <c r="A5" s="842"/>
    </row>
    <row r="6" spans="1:8" ht="33" customHeight="1">
      <c r="A6" s="969" t="s">
        <v>560</v>
      </c>
      <c r="B6" s="843" t="s">
        <v>290</v>
      </c>
      <c r="C6" s="844" t="s">
        <v>561</v>
      </c>
      <c r="D6" s="844" t="s">
        <v>245</v>
      </c>
      <c r="E6" s="843" t="s">
        <v>291</v>
      </c>
      <c r="F6" s="844" t="s">
        <v>292</v>
      </c>
    </row>
    <row r="7" spans="1:8">
      <c r="A7" s="840" t="s">
        <v>248</v>
      </c>
      <c r="B7" s="845">
        <v>55</v>
      </c>
      <c r="C7" s="845">
        <v>56</v>
      </c>
      <c r="D7" s="846" t="s">
        <v>293</v>
      </c>
      <c r="E7" s="846" t="s">
        <v>294</v>
      </c>
      <c r="F7" s="846" t="s">
        <v>251</v>
      </c>
    </row>
    <row r="8" spans="1:8">
      <c r="A8" s="840" t="s">
        <v>252</v>
      </c>
      <c r="B8" s="845">
        <v>968</v>
      </c>
      <c r="C8" s="845">
        <v>1113</v>
      </c>
      <c r="D8" s="846" t="s">
        <v>295</v>
      </c>
      <c r="E8" s="846" t="s">
        <v>250</v>
      </c>
      <c r="F8" s="846" t="s">
        <v>251</v>
      </c>
    </row>
    <row r="9" spans="1:8">
      <c r="A9" s="840" t="s">
        <v>254</v>
      </c>
      <c r="B9" s="845">
        <v>725686</v>
      </c>
      <c r="C9" s="845">
        <v>838410</v>
      </c>
      <c r="D9" s="846" t="s">
        <v>296</v>
      </c>
      <c r="E9" s="846" t="s">
        <v>297</v>
      </c>
      <c r="F9" s="846" t="s">
        <v>257</v>
      </c>
    </row>
    <row r="10" spans="1:8">
      <c r="A10" s="840" t="s">
        <v>258</v>
      </c>
      <c r="B10" s="845">
        <v>19555</v>
      </c>
      <c r="C10" s="845">
        <v>18991</v>
      </c>
      <c r="D10" s="846" t="s">
        <v>298</v>
      </c>
      <c r="E10" s="846" t="s">
        <v>297</v>
      </c>
      <c r="F10" s="846" t="s">
        <v>257</v>
      </c>
    </row>
    <row r="11" spans="1:8">
      <c r="A11" s="840" t="s">
        <v>260</v>
      </c>
      <c r="B11" s="845"/>
      <c r="C11" s="845">
        <v>8</v>
      </c>
      <c r="D11" s="846" t="s">
        <v>299</v>
      </c>
      <c r="E11" s="846" t="s">
        <v>294</v>
      </c>
      <c r="F11" s="846" t="s">
        <v>262</v>
      </c>
    </row>
    <row r="12" spans="1:8">
      <c r="A12" s="840" t="s">
        <v>263</v>
      </c>
      <c r="B12" s="845"/>
      <c r="C12" s="845">
        <v>3</v>
      </c>
      <c r="D12" s="846" t="s">
        <v>300</v>
      </c>
      <c r="E12" s="846" t="s">
        <v>294</v>
      </c>
      <c r="F12" s="846" t="s">
        <v>262</v>
      </c>
    </row>
    <row r="13" spans="1:8">
      <c r="A13" s="840" t="s">
        <v>265</v>
      </c>
      <c r="B13" s="845"/>
      <c r="C13" s="845">
        <v>23</v>
      </c>
      <c r="D13" s="846" t="s">
        <v>301</v>
      </c>
      <c r="E13" s="846" t="s">
        <v>294</v>
      </c>
      <c r="F13" s="846" t="s">
        <v>262</v>
      </c>
    </row>
    <row r="14" spans="1:8">
      <c r="A14" s="840" t="s">
        <v>267</v>
      </c>
      <c r="B14" s="845"/>
      <c r="C14" s="845">
        <v>22</v>
      </c>
      <c r="D14" s="846" t="s">
        <v>302</v>
      </c>
      <c r="E14" s="846" t="s">
        <v>294</v>
      </c>
      <c r="F14" s="846" t="s">
        <v>251</v>
      </c>
    </row>
    <row r="15" spans="1:8">
      <c r="A15" s="840" t="s">
        <v>269</v>
      </c>
      <c r="B15" s="845"/>
      <c r="C15" s="845">
        <v>34</v>
      </c>
      <c r="D15" s="846" t="s">
        <v>303</v>
      </c>
      <c r="E15" s="846" t="s">
        <v>294</v>
      </c>
      <c r="F15" s="253" t="s">
        <v>262</v>
      </c>
      <c r="H15" s="977"/>
    </row>
    <row r="16" spans="1:8">
      <c r="A16" s="840" t="s">
        <v>304</v>
      </c>
      <c r="B16" s="845"/>
      <c r="C16" s="845">
        <v>32</v>
      </c>
      <c r="D16" s="846" t="s">
        <v>305</v>
      </c>
      <c r="E16" s="846" t="s">
        <v>250</v>
      </c>
      <c r="F16" s="846" t="s">
        <v>251</v>
      </c>
    </row>
    <row r="17" spans="1:6">
      <c r="A17" s="840" t="s">
        <v>306</v>
      </c>
      <c r="B17" s="845"/>
      <c r="C17" s="845">
        <f>SFMNP_SAs-C16</f>
        <v>24</v>
      </c>
      <c r="D17" s="846"/>
      <c r="E17" s="846" t="s">
        <v>250</v>
      </c>
      <c r="F17" s="846" t="s">
        <v>251</v>
      </c>
    </row>
    <row r="18" spans="1:6">
      <c r="A18" s="366"/>
      <c r="B18" s="366"/>
      <c r="C18" s="366"/>
      <c r="D18" s="366"/>
      <c r="E18" s="366"/>
    </row>
    <row r="19" spans="1:6" ht="30">
      <c r="A19" s="969" t="s">
        <v>307</v>
      </c>
      <c r="B19" s="970" t="s">
        <v>275</v>
      </c>
      <c r="C19" s="970" t="s">
        <v>276</v>
      </c>
      <c r="D19" s="970" t="s">
        <v>277</v>
      </c>
      <c r="E19" s="970" t="s">
        <v>278</v>
      </c>
      <c r="F19" s="844" t="s">
        <v>245</v>
      </c>
    </row>
    <row r="20" spans="1:6">
      <c r="A20" s="840" t="s">
        <v>248</v>
      </c>
      <c r="B20" s="845">
        <f>SFMNP_SAs-B7</f>
        <v>1</v>
      </c>
      <c r="C20" s="971">
        <f>B20/B7</f>
        <v>1.8181818181818181E-2</v>
      </c>
      <c r="D20" s="846"/>
      <c r="E20" s="846"/>
      <c r="F20" s="848"/>
    </row>
    <row r="21" spans="1:6">
      <c r="A21" s="840" t="s">
        <v>252</v>
      </c>
      <c r="B21" s="845">
        <f>SFMNP_LAs-B8</f>
        <v>145</v>
      </c>
      <c r="C21" s="971">
        <f>B21/B8</f>
        <v>0.14979338842975207</v>
      </c>
      <c r="D21" s="846"/>
      <c r="E21" s="846"/>
      <c r="F21" s="848"/>
    </row>
    <row r="22" spans="1:6" ht="30">
      <c r="A22" s="840" t="s">
        <v>254</v>
      </c>
      <c r="B22" s="845">
        <f>SFMNP_participants-B9</f>
        <v>112724</v>
      </c>
      <c r="C22" s="971">
        <f>B22/B9</f>
        <v>0.15533440082900868</v>
      </c>
      <c r="D22" s="972" t="s">
        <v>308</v>
      </c>
      <c r="E22" s="846">
        <f>ROUND(500*(1+C22), 0)</f>
        <v>578</v>
      </c>
      <c r="F22" s="850" t="s">
        <v>309</v>
      </c>
    </row>
    <row r="23" spans="1:6" ht="30">
      <c r="A23" s="840" t="s">
        <v>258</v>
      </c>
      <c r="B23" s="846">
        <f>SFMNP_outlets-Prev_SFMNP_outlets</f>
        <v>-564</v>
      </c>
      <c r="C23" s="971">
        <f>B23/Prev_SFMNP_outlets</f>
        <v>-2.8841728458194837E-2</v>
      </c>
      <c r="D23" s="972" t="s">
        <v>130</v>
      </c>
      <c r="E23" s="846">
        <f>ROUND(500*(1+C23), 0)</f>
        <v>486</v>
      </c>
      <c r="F23" s="850" t="s">
        <v>310</v>
      </c>
    </row>
    <row r="24" spans="1:6">
      <c r="A24" s="366"/>
      <c r="B24" s="366"/>
      <c r="C24" s="366"/>
      <c r="D24" s="366"/>
      <c r="E24" s="366"/>
    </row>
    <row r="25" spans="1:6">
      <c r="A25" s="373" t="s">
        <v>311</v>
      </c>
      <c r="B25" s="366"/>
      <c r="C25" s="366"/>
      <c r="D25" s="366"/>
      <c r="E25" s="366"/>
    </row>
    <row r="26" spans="1:6">
      <c r="A26" s="373" t="s">
        <v>248</v>
      </c>
      <c r="D26" s="842" t="s">
        <v>281</v>
      </c>
    </row>
    <row r="27" spans="1:6">
      <c r="A27" s="841" t="s">
        <v>282</v>
      </c>
      <c r="B27" s="851">
        <f>ROUND(32/(FMNP_SAs+SFMNP_SAs),2)</f>
        <v>0.3</v>
      </c>
      <c r="D27" s="841" t="s">
        <v>283</v>
      </c>
      <c r="E27" s="852">
        <f>FMNP_outlets+SFMNP_outlets</f>
        <v>36394</v>
      </c>
    </row>
    <row r="28" spans="1:6" ht="30">
      <c r="A28" s="841" t="s">
        <v>284</v>
      </c>
      <c r="B28" s="848">
        <f>SFMNP_SAs+FMNP_SAs</f>
        <v>106</v>
      </c>
      <c r="D28" s="841" t="s">
        <v>285</v>
      </c>
      <c r="E28" s="853">
        <f>ROUND(E27*B27, 0)</f>
        <v>10918</v>
      </c>
    </row>
    <row r="29" spans="1:6" ht="30">
      <c r="A29" s="841" t="s">
        <v>286</v>
      </c>
      <c r="B29" s="848">
        <f>FMNP_SAs+SFMNP_SAs-Consolidated_SAs</f>
        <v>74</v>
      </c>
      <c r="D29" s="854" t="s">
        <v>287</v>
      </c>
      <c r="E29" s="853">
        <f>E27-E28</f>
        <v>25476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EF09-54F1-4801-9F7A-A1C418BD0973}">
  <dimension ref="A1:K23"/>
  <sheetViews>
    <sheetView workbookViewId="0">
      <selection activeCell="F5" sqref="F5"/>
    </sheetView>
  </sheetViews>
  <sheetFormatPr defaultRowHeight="15"/>
  <cols>
    <col min="1" max="1" width="24.42578125" customWidth="1"/>
    <col min="2" max="2" width="17.42578125" customWidth="1"/>
    <col min="3" max="3" width="16.28515625" customWidth="1"/>
    <col min="4" max="4" width="17.5703125" customWidth="1"/>
    <col min="5" max="5" width="15.28515625" bestFit="1" customWidth="1"/>
    <col min="6" max="6" width="18" customWidth="1"/>
    <col min="7" max="7" width="16.42578125" bestFit="1" customWidth="1"/>
    <col min="8" max="8" width="14.28515625" bestFit="1" customWidth="1"/>
  </cols>
  <sheetData>
    <row r="1" spans="1:11" ht="15.75" thickBot="1">
      <c r="A1" s="878" t="s">
        <v>312</v>
      </c>
    </row>
    <row r="2" spans="1:11" s="141" customFormat="1" ht="30">
      <c r="A2" s="891" t="s">
        <v>313</v>
      </c>
      <c r="B2" s="892" t="s">
        <v>11</v>
      </c>
      <c r="C2" s="892" t="s">
        <v>314</v>
      </c>
      <c r="D2" s="892" t="s">
        <v>315</v>
      </c>
      <c r="E2" s="892" t="s">
        <v>316</v>
      </c>
      <c r="F2" s="893" t="s">
        <v>317</v>
      </c>
    </row>
    <row r="3" spans="1:11">
      <c r="A3" s="887" t="s">
        <v>318</v>
      </c>
      <c r="B3" s="968">
        <f>ROUND(SUM('SFMNP 2026'!J28,'SFMNP 2026'!J59), 2)</f>
        <v>241228.71</v>
      </c>
      <c r="C3" s="894">
        <f>ROUND((38.15+32.85)/2, 2)</f>
        <v>35.5</v>
      </c>
      <c r="D3" s="187">
        <f t="shared" ref="D3:D5" si="0">B3*C3</f>
        <v>8563619.2050000001</v>
      </c>
      <c r="E3" s="187">
        <f>ROUND(D3*0.33, 2)</f>
        <v>2825994.34</v>
      </c>
      <c r="F3" s="882">
        <f>ROUND(SUM(D3:E3), 2)</f>
        <v>11389613.550000001</v>
      </c>
    </row>
    <row r="4" spans="1:11">
      <c r="A4" s="887" t="s">
        <v>319</v>
      </c>
      <c r="B4" s="968">
        <f>ROUND(SUM('SFMNP 2026'!J36:J39,'SFMNP 2026'!J43), 2)</f>
        <v>372285.02</v>
      </c>
      <c r="C4" s="894">
        <v>21.44</v>
      </c>
      <c r="D4" s="187">
        <f t="shared" si="0"/>
        <v>7981790.8288000012</v>
      </c>
      <c r="E4" s="187">
        <f t="shared" ref="E4:E5" si="1">D4*0.33</f>
        <v>2633990.9735040003</v>
      </c>
      <c r="F4" s="882">
        <f>ROUND(SUM(D4:E4), 2)</f>
        <v>10615781.800000001</v>
      </c>
    </row>
    <row r="5" spans="1:11">
      <c r="A5" s="887" t="s">
        <v>320</v>
      </c>
      <c r="B5" s="968">
        <f>ROUND('SFMNP 2026'!J35, 2)</f>
        <v>333.9</v>
      </c>
      <c r="C5" s="894">
        <v>21.04</v>
      </c>
      <c r="D5" s="187">
        <f t="shared" si="0"/>
        <v>7025.2559999999994</v>
      </c>
      <c r="E5" s="187">
        <f t="shared" si="1"/>
        <v>2318.33448</v>
      </c>
      <c r="F5" s="882">
        <f>ROUND(SUM(D5:E5), 2)</f>
        <v>9343.59</v>
      </c>
    </row>
    <row r="6" spans="1:11">
      <c r="A6" s="887" t="s">
        <v>321</v>
      </c>
      <c r="B6" s="968">
        <f>ROUND('SFMNP 2026'!J33, 2)</f>
        <v>210562.23</v>
      </c>
      <c r="C6" s="894">
        <v>7.25</v>
      </c>
      <c r="D6" s="187">
        <f>B6*C6</f>
        <v>1526576.1675</v>
      </c>
      <c r="E6" s="187">
        <f>D6*0.33</f>
        <v>503770.13527500001</v>
      </c>
      <c r="F6" s="882">
        <f>ROUND(SUM(D6:E6), 2)</f>
        <v>2030346.3</v>
      </c>
    </row>
    <row r="7" spans="1:11" ht="15.75" thickBot="1">
      <c r="A7" s="889" t="s">
        <v>322</v>
      </c>
      <c r="B7" s="895">
        <f>SUM(B3:B6)</f>
        <v>824409.86</v>
      </c>
      <c r="C7" s="896"/>
      <c r="D7" s="896">
        <f t="shared" ref="D7:E7" si="2">SUM(D3:D6)</f>
        <v>18079011.4573</v>
      </c>
      <c r="E7" s="896">
        <f t="shared" si="2"/>
        <v>5966073.7832589997</v>
      </c>
      <c r="F7" s="890">
        <f>SUM(F3:F6)</f>
        <v>24045085.240000002</v>
      </c>
    </row>
    <row r="10" spans="1:11" ht="15.75" thickBot="1">
      <c r="A10" s="878" t="s">
        <v>323</v>
      </c>
    </row>
    <row r="11" spans="1:11">
      <c r="A11" s="879" t="s">
        <v>324</v>
      </c>
      <c r="B11" s="897" t="s">
        <v>325</v>
      </c>
      <c r="C11" s="897" t="s">
        <v>326</v>
      </c>
      <c r="D11" s="897" t="s">
        <v>327</v>
      </c>
      <c r="E11" s="898" t="s">
        <v>328</v>
      </c>
    </row>
    <row r="12" spans="1:11">
      <c r="A12" s="887" t="s">
        <v>329</v>
      </c>
      <c r="B12">
        <v>3</v>
      </c>
      <c r="C12" s="187">
        <f>B12*E17</f>
        <v>268819.19999999995</v>
      </c>
      <c r="D12" s="187">
        <f>C12*0.33</f>
        <v>88710.335999999996</v>
      </c>
      <c r="E12" s="882">
        <f>ROUND(SUM(C12:D12), 2)</f>
        <v>357529.54</v>
      </c>
    </row>
    <row r="13" spans="1:11">
      <c r="A13" s="887" t="s">
        <v>330</v>
      </c>
      <c r="B13">
        <v>7</v>
      </c>
      <c r="C13" s="187">
        <f>B13*E17</f>
        <v>627244.79999999993</v>
      </c>
      <c r="D13" s="187">
        <f>C13*0.33</f>
        <v>206990.78399999999</v>
      </c>
      <c r="E13" s="882">
        <f>ROUND(SUM(C13:D13), 2)</f>
        <v>834235.58</v>
      </c>
    </row>
    <row r="14" spans="1:11" ht="15.75" thickBot="1">
      <c r="A14" s="889" t="s">
        <v>331</v>
      </c>
      <c r="B14" s="899"/>
      <c r="C14" s="900">
        <f>SUM(C12:C13)</f>
        <v>896063.99999999988</v>
      </c>
      <c r="D14" s="900">
        <f t="shared" ref="D14" si="3">SUM(D12:D13)</f>
        <v>295701.12</v>
      </c>
      <c r="E14" s="903">
        <f>SUM(E12:E13)</f>
        <v>1191765.1199999999</v>
      </c>
    </row>
    <row r="15" spans="1:11">
      <c r="K15" s="967"/>
    </row>
    <row r="16" spans="1:11" ht="15.75" thickBot="1">
      <c r="A16" s="141" t="s">
        <v>332</v>
      </c>
    </row>
    <row r="17" spans="1:5">
      <c r="A17" s="885" t="s">
        <v>333</v>
      </c>
      <c r="B17" s="886">
        <v>35.659999999999997</v>
      </c>
      <c r="D17" s="879" t="s">
        <v>334</v>
      </c>
      <c r="E17" s="880">
        <f>B20*40*52</f>
        <v>89606.399999999994</v>
      </c>
    </row>
    <row r="18" spans="1:5">
      <c r="A18" s="887" t="s">
        <v>335</v>
      </c>
      <c r="B18" s="888">
        <v>42.74</v>
      </c>
      <c r="D18" s="881" t="s">
        <v>336</v>
      </c>
      <c r="E18" s="882">
        <f>ROUND(E17*0.33, 2)</f>
        <v>29570.11</v>
      </c>
    </row>
    <row r="19" spans="1:5" ht="15.75" thickBot="1">
      <c r="A19" s="887" t="s">
        <v>337</v>
      </c>
      <c r="B19" s="888">
        <v>50.83</v>
      </c>
      <c r="D19" s="883" t="s">
        <v>338</v>
      </c>
      <c r="E19" s="884">
        <f>SUM(E17:E18)</f>
        <v>119176.51</v>
      </c>
    </row>
    <row r="20" spans="1:5" ht="15.75" thickBot="1">
      <c r="A20" s="901" t="s">
        <v>339</v>
      </c>
      <c r="B20" s="966">
        <f>ROUND(AVERAGE(B17:B19), 2)</f>
        <v>43.08</v>
      </c>
    </row>
    <row r="22" spans="1:5">
      <c r="A22" t="s">
        <v>340</v>
      </c>
    </row>
    <row r="23" spans="1:5">
      <c r="A23" t="s">
        <v>341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4F91-87BE-41C3-ABA9-0977EE2F5A89}">
  <dimension ref="A1:C21"/>
  <sheetViews>
    <sheetView workbookViewId="0">
      <selection activeCell="D22" sqref="D22"/>
    </sheetView>
  </sheetViews>
  <sheetFormatPr defaultRowHeight="15"/>
  <cols>
    <col min="1" max="1" width="19.85546875" bestFit="1" customWidth="1"/>
    <col min="2" max="2" width="16.85546875" bestFit="1" customWidth="1"/>
    <col min="3" max="3" width="31.28515625" bestFit="1" customWidth="1"/>
  </cols>
  <sheetData>
    <row r="1" spans="1:3" ht="15.75" customHeight="1">
      <c r="A1" s="878" t="s">
        <v>562</v>
      </c>
    </row>
    <row r="2" spans="1:3">
      <c r="A2" s="950" t="s">
        <v>313</v>
      </c>
      <c r="B2" s="950" t="s">
        <v>544</v>
      </c>
      <c r="C2" s="953" t="s">
        <v>545</v>
      </c>
    </row>
    <row r="3" spans="1:3">
      <c r="A3" s="951" t="s">
        <v>554</v>
      </c>
      <c r="B3" s="952">
        <f>'SFMNP 2026'!H28+'SFMNP 2026'!H59</f>
        <v>1708253.1033333335</v>
      </c>
      <c r="C3" s="954" t="s">
        <v>546</v>
      </c>
    </row>
    <row r="4" spans="1:3">
      <c r="A4" s="951" t="s">
        <v>319</v>
      </c>
      <c r="B4" s="952">
        <f>'SFMNP 2026'!H42</f>
        <v>7799.875</v>
      </c>
      <c r="C4" s="954" t="s">
        <v>549</v>
      </c>
    </row>
    <row r="5" spans="1:3">
      <c r="A5" s="951" t="s">
        <v>547</v>
      </c>
      <c r="B5" s="952">
        <v>0</v>
      </c>
      <c r="C5" s="954" t="s">
        <v>548</v>
      </c>
    </row>
    <row r="6" spans="1:3" ht="15.75" thickBot="1">
      <c r="A6" s="955" t="s">
        <v>555</v>
      </c>
      <c r="B6" s="960">
        <f>'SFMNP 2026'!H35</f>
        <v>166.95</v>
      </c>
      <c r="C6" s="954" t="s">
        <v>546</v>
      </c>
    </row>
    <row r="7" spans="1:3">
      <c r="A7" s="956" t="s">
        <v>331</v>
      </c>
      <c r="B7" s="959">
        <f>SUM(B3:B6)</f>
        <v>1716219.9283333335</v>
      </c>
      <c r="C7" s="958"/>
    </row>
    <row r="8" spans="1:3" ht="15.75" thickBot="1">
      <c r="A8" s="957" t="s">
        <v>550</v>
      </c>
      <c r="B8" s="973">
        <f>B7/'SFMNP 2026'!H60</f>
        <v>0.63988591204047496</v>
      </c>
      <c r="C8" s="958" t="s">
        <v>551</v>
      </c>
    </row>
    <row r="11" spans="1:3">
      <c r="A11" s="878" t="s">
        <v>563</v>
      </c>
    </row>
    <row r="12" spans="1:3">
      <c r="A12" s="950" t="s">
        <v>313</v>
      </c>
      <c r="B12" s="950" t="s">
        <v>552</v>
      </c>
      <c r="C12" s="950" t="s">
        <v>553</v>
      </c>
    </row>
    <row r="13" spans="1:3">
      <c r="A13" s="951" t="s">
        <v>554</v>
      </c>
      <c r="B13" s="961">
        <v>0</v>
      </c>
      <c r="C13" s="962">
        <f>(SFMNP_SAs+0.7*SFMNP_LAs)*B13</f>
        <v>0</v>
      </c>
    </row>
    <row r="14" spans="1:3">
      <c r="A14" s="951" t="s">
        <v>319</v>
      </c>
      <c r="B14" s="961">
        <v>1</v>
      </c>
      <c r="C14" s="962">
        <f>SFMNP_outlets*B14</f>
        <v>18991</v>
      </c>
    </row>
    <row r="15" spans="1:3">
      <c r="A15" s="951" t="s">
        <v>547</v>
      </c>
      <c r="B15" s="961">
        <v>0</v>
      </c>
      <c r="C15" s="962">
        <f>SFMNP_participants*B15</f>
        <v>0</v>
      </c>
    </row>
    <row r="16" spans="1:3">
      <c r="A16" s="951" t="s">
        <v>555</v>
      </c>
      <c r="B16" s="961">
        <v>0</v>
      </c>
      <c r="C16" s="962">
        <f>(SFMNP_LAs*0.3)*B16</f>
        <v>0</v>
      </c>
    </row>
    <row r="17" spans="1:3">
      <c r="A17" s="1037" t="s">
        <v>331</v>
      </c>
      <c r="B17" s="1038"/>
      <c r="C17" s="962">
        <f>SUM(C13:C16)</f>
        <v>18991</v>
      </c>
    </row>
    <row r="18" spans="1:3" ht="15.75" thickBot="1"/>
    <row r="19" spans="1:3">
      <c r="A19" s="949"/>
      <c r="B19" s="885" t="s">
        <v>556</v>
      </c>
      <c r="C19" s="963">
        <f>C17</f>
        <v>18991</v>
      </c>
    </row>
    <row r="20" spans="1:3">
      <c r="B20" s="887" t="s">
        <v>557</v>
      </c>
      <c r="C20" s="964">
        <f>'SFMNP 2026'!F60</f>
        <v>858570</v>
      </c>
    </row>
    <row r="21" spans="1:3" ht="15.75" thickBot="1">
      <c r="B21" s="889" t="s">
        <v>558</v>
      </c>
      <c r="C21" s="974">
        <f>C19/C20</f>
        <v>2.2119337968948369E-2</v>
      </c>
    </row>
  </sheetData>
  <mergeCells count="1">
    <mergeCell ref="A17:B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3128-6E68-40BE-B8E1-83DCFF74948E}">
  <dimension ref="A1:F23"/>
  <sheetViews>
    <sheetView workbookViewId="0">
      <selection activeCell="G28" sqref="G28"/>
    </sheetView>
  </sheetViews>
  <sheetFormatPr defaultRowHeight="15"/>
  <cols>
    <col min="1" max="1" width="24.42578125" customWidth="1"/>
    <col min="2" max="2" width="17.42578125" customWidth="1"/>
    <col min="3" max="3" width="16.28515625" customWidth="1"/>
    <col min="4" max="4" width="17.5703125" customWidth="1"/>
    <col min="5" max="5" width="15.28515625" bestFit="1" customWidth="1"/>
    <col min="6" max="6" width="18" customWidth="1"/>
    <col min="7" max="7" width="16.42578125" bestFit="1" customWidth="1"/>
    <col min="8" max="8" width="14.28515625" bestFit="1" customWidth="1"/>
  </cols>
  <sheetData>
    <row r="1" spans="1:6" ht="15.75" thickBot="1">
      <c r="A1" s="878" t="s">
        <v>312</v>
      </c>
    </row>
    <row r="2" spans="1:6" s="141" customFormat="1" ht="30">
      <c r="A2" s="891" t="s">
        <v>313</v>
      </c>
      <c r="B2" s="892" t="s">
        <v>11</v>
      </c>
      <c r="C2" s="892" t="s">
        <v>314</v>
      </c>
      <c r="D2" s="892" t="s">
        <v>315</v>
      </c>
      <c r="E2" s="892" t="s">
        <v>316</v>
      </c>
      <c r="F2" s="893" t="s">
        <v>317</v>
      </c>
    </row>
    <row r="3" spans="1:6">
      <c r="A3" s="887" t="s">
        <v>318</v>
      </c>
      <c r="B3" s="184">
        <f>SUM('2025 Consolidated S-FMNP'!J30, '2025 Consolidated S-FMNP'!J61)</f>
        <v>635855.7927799999</v>
      </c>
      <c r="C3" s="894">
        <f>(36.71+31.98)/2</f>
        <v>34.344999999999999</v>
      </c>
      <c r="D3" s="187">
        <f t="shared" ref="D3:D5" si="0">B3*C3</f>
        <v>21838467.203029096</v>
      </c>
      <c r="E3" s="187">
        <f t="shared" ref="E3:E5" si="1">D3*0.33</f>
        <v>7206694.1769996025</v>
      </c>
      <c r="F3" s="882">
        <f t="shared" ref="F3:F5" si="2">SUM(D3:E3)</f>
        <v>29045161.380028699</v>
      </c>
    </row>
    <row r="4" spans="1:6">
      <c r="A4" s="887" t="s">
        <v>319</v>
      </c>
      <c r="B4" s="184">
        <f>SUM('2025 Consolidated S-FMNP'!J38:J40,'2025 Consolidated S-FMNP'!J42:J45)</f>
        <v>579178.87950000004</v>
      </c>
      <c r="C4" s="894">
        <v>21.27</v>
      </c>
      <c r="D4" s="187">
        <f t="shared" si="0"/>
        <v>12319134.766965</v>
      </c>
      <c r="E4" s="187">
        <f t="shared" si="1"/>
        <v>4065314.4730984503</v>
      </c>
      <c r="F4" s="882">
        <f t="shared" si="2"/>
        <v>16384449.240063451</v>
      </c>
    </row>
    <row r="5" spans="1:6">
      <c r="A5" s="887" t="s">
        <v>320</v>
      </c>
      <c r="B5" s="184">
        <f>'2025 Consolidated S-FMNP'!J37</f>
        <v>659.4</v>
      </c>
      <c r="C5" s="894">
        <v>20.46</v>
      </c>
      <c r="D5" s="187">
        <f t="shared" si="0"/>
        <v>13491.324000000001</v>
      </c>
      <c r="E5" s="187">
        <f t="shared" si="1"/>
        <v>4452.1369200000008</v>
      </c>
      <c r="F5" s="882">
        <f t="shared" si="2"/>
        <v>17943.460920000001</v>
      </c>
    </row>
    <row r="6" spans="1:6">
      <c r="A6" s="887" t="s">
        <v>321</v>
      </c>
      <c r="B6" s="184">
        <f>'2025 Consolidated S-FMNP'!J35</f>
        <v>567602.978</v>
      </c>
      <c r="C6" s="894">
        <v>7.25</v>
      </c>
      <c r="D6" s="187">
        <f>B6*C6</f>
        <v>4115121.5904999999</v>
      </c>
      <c r="E6" s="187">
        <f>D6*0.33</f>
        <v>1357990.1248650001</v>
      </c>
      <c r="F6" s="882">
        <f>SUM(D6:E6)</f>
        <v>5473111.7153650001</v>
      </c>
    </row>
    <row r="7" spans="1:6" ht="15.75" thickBot="1">
      <c r="A7" s="889" t="s">
        <v>322</v>
      </c>
      <c r="B7" s="895">
        <f>SUM(B3:B6)</f>
        <v>1783297.0502800001</v>
      </c>
      <c r="C7" s="896"/>
      <c r="D7" s="896">
        <f t="shared" ref="D7:F7" si="3">SUM(D3:D6)</f>
        <v>38286214.884494096</v>
      </c>
      <c r="E7" s="896">
        <f t="shared" si="3"/>
        <v>12634450.911883052</v>
      </c>
      <c r="F7" s="890">
        <f t="shared" si="3"/>
        <v>50920665.796377152</v>
      </c>
    </row>
    <row r="10" spans="1:6" ht="15.75" thickBot="1">
      <c r="A10" s="878" t="s">
        <v>323</v>
      </c>
    </row>
    <row r="11" spans="1:6">
      <c r="A11" s="879" t="s">
        <v>324</v>
      </c>
      <c r="B11" s="897" t="s">
        <v>325</v>
      </c>
      <c r="C11" s="897" t="s">
        <v>326</v>
      </c>
      <c r="D11" s="897" t="s">
        <v>327</v>
      </c>
      <c r="E11" s="898" t="s">
        <v>328</v>
      </c>
    </row>
    <row r="12" spans="1:6">
      <c r="A12" s="887" t="s">
        <v>329</v>
      </c>
      <c r="B12">
        <v>3</v>
      </c>
      <c r="C12" s="187">
        <f>B12*E17</f>
        <v>268798.40000000008</v>
      </c>
      <c r="D12" s="187">
        <f>C12*0.33</f>
        <v>88703.472000000038</v>
      </c>
      <c r="E12" s="882">
        <f>SUM(C12:D12)</f>
        <v>357501.87200000009</v>
      </c>
    </row>
    <row r="13" spans="1:6">
      <c r="A13" s="887" t="s">
        <v>330</v>
      </c>
      <c r="B13">
        <v>7</v>
      </c>
      <c r="C13" s="187">
        <f>B13*E17</f>
        <v>627196.26666666684</v>
      </c>
      <c r="D13" s="187">
        <f>C13*0.33</f>
        <v>206974.76800000007</v>
      </c>
      <c r="E13" s="882">
        <f>SUM(C13:D13)</f>
        <v>834171.03466666688</v>
      </c>
    </row>
    <row r="14" spans="1:6" ht="15.75" thickBot="1">
      <c r="A14" s="889" t="s">
        <v>331</v>
      </c>
      <c r="B14" s="899"/>
      <c r="C14" s="900">
        <f>SUM(C12:C13)</f>
        <v>895994.66666666698</v>
      </c>
      <c r="D14" s="900">
        <f t="shared" ref="D14:E14" si="4">SUM(D12:D13)</f>
        <v>295678.24000000011</v>
      </c>
      <c r="E14" s="903">
        <f t="shared" si="4"/>
        <v>1191672.906666667</v>
      </c>
    </row>
    <row r="16" spans="1:6" ht="15.75" thickBot="1">
      <c r="A16" s="141" t="s">
        <v>332</v>
      </c>
    </row>
    <row r="17" spans="1:5">
      <c r="A17" s="885" t="s">
        <v>333</v>
      </c>
      <c r="B17" s="886">
        <v>35.659999999999997</v>
      </c>
      <c r="D17" s="879" t="s">
        <v>334</v>
      </c>
      <c r="E17" s="880">
        <f>B20*40*52</f>
        <v>89599.466666666689</v>
      </c>
    </row>
    <row r="18" spans="1:5">
      <c r="A18" s="887" t="s">
        <v>335</v>
      </c>
      <c r="B18" s="888">
        <v>42.74</v>
      </c>
      <c r="D18" s="881" t="s">
        <v>336</v>
      </c>
      <c r="E18" s="882">
        <f>E17*0.33</f>
        <v>29567.824000000008</v>
      </c>
    </row>
    <row r="19" spans="1:5" ht="15.75" thickBot="1">
      <c r="A19" s="887" t="s">
        <v>337</v>
      </c>
      <c r="B19" s="888">
        <v>50.83</v>
      </c>
      <c r="D19" s="883" t="s">
        <v>338</v>
      </c>
      <c r="E19" s="884">
        <f>SUM(E17:E18)</f>
        <v>119167.2906666667</v>
      </c>
    </row>
    <row r="20" spans="1:5" ht="15.75" thickBot="1">
      <c r="A20" s="901" t="s">
        <v>339</v>
      </c>
      <c r="B20" s="902">
        <f>AVERAGE(B17:B19)</f>
        <v>43.076666666666675</v>
      </c>
    </row>
    <row r="22" spans="1:5">
      <c r="A22" t="s">
        <v>340</v>
      </c>
    </row>
    <row r="23" spans="1:5">
      <c r="A23" t="s">
        <v>341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2A25B-39D2-44F1-995E-8987D26E9005}">
  <sheetPr>
    <tabColor theme="8" tint="0.79998168889431442"/>
  </sheetPr>
  <dimension ref="A1:CT78"/>
  <sheetViews>
    <sheetView zoomScale="110" zoomScaleNormal="110" workbookViewId="0">
      <pane ySplit="3" topLeftCell="A4" activePane="bottomLeft" state="frozen"/>
      <selection pane="bottomLeft" activeCell="A48" sqref="A48:XFD48"/>
    </sheetView>
  </sheetViews>
  <sheetFormatPr defaultColWidth="9.140625" defaultRowHeight="15"/>
  <cols>
    <col min="1" max="1" width="21.5703125" style="208" customWidth="1"/>
    <col min="2" max="2" width="37" style="206" customWidth="1"/>
    <col min="3" max="3" width="15.140625" style="206" bestFit="1" customWidth="1"/>
    <col min="4" max="12" width="14.7109375" style="206" customWidth="1"/>
    <col min="13" max="13" width="28.140625" style="206" customWidth="1"/>
    <col min="14" max="14" width="3.140625" customWidth="1"/>
    <col min="15" max="15" width="12.85546875" bestFit="1" customWidth="1"/>
    <col min="16" max="16" width="18.85546875" bestFit="1" customWidth="1"/>
    <col min="17" max="17" width="14" bestFit="1" customWidth="1"/>
    <col min="18" max="18" width="14.5703125" bestFit="1" customWidth="1"/>
    <col min="19" max="20" width="15.5703125" bestFit="1" customWidth="1"/>
  </cols>
  <sheetData>
    <row r="1" spans="1:13" ht="30.6" customHeight="1">
      <c r="A1" s="1058" t="s">
        <v>342</v>
      </c>
      <c r="B1" s="1058"/>
      <c r="C1" s="1058"/>
      <c r="D1" s="1058"/>
      <c r="E1" s="1058"/>
      <c r="F1" s="1058"/>
      <c r="G1" s="1058"/>
      <c r="H1" s="1058"/>
      <c r="I1" s="1058"/>
      <c r="J1" s="1058"/>
      <c r="K1" s="1058"/>
      <c r="L1" s="1058"/>
      <c r="M1" s="1058"/>
    </row>
    <row r="2" spans="1:13" s="108" customFormat="1" ht="18">
      <c r="A2" s="1059" t="s">
        <v>1</v>
      </c>
      <c r="B2" s="1059"/>
      <c r="C2" s="1059"/>
      <c r="D2" s="1059"/>
      <c r="E2" s="1059"/>
      <c r="F2" s="1059"/>
      <c r="G2" s="1059"/>
      <c r="H2" s="1059"/>
      <c r="I2" s="1059"/>
      <c r="J2" s="1059"/>
      <c r="K2" s="1059"/>
      <c r="L2" s="1059"/>
      <c r="M2" s="1059"/>
    </row>
    <row r="3" spans="1:13" s="108" customFormat="1" ht="51.75" thickBot="1">
      <c r="A3" s="109" t="s">
        <v>178</v>
      </c>
      <c r="B3" s="109" t="s">
        <v>5</v>
      </c>
      <c r="C3" s="110" t="s">
        <v>6</v>
      </c>
      <c r="D3" s="109" t="s">
        <v>7</v>
      </c>
      <c r="E3" s="109" t="s">
        <v>8</v>
      </c>
      <c r="F3" s="111" t="s">
        <v>9</v>
      </c>
      <c r="G3" s="109" t="s">
        <v>10</v>
      </c>
      <c r="H3" s="111" t="s">
        <v>11</v>
      </c>
      <c r="I3" s="109" t="s">
        <v>179</v>
      </c>
      <c r="J3" s="109" t="s">
        <v>180</v>
      </c>
      <c r="K3" s="109" t="s">
        <v>181</v>
      </c>
      <c r="L3" s="109" t="s">
        <v>182</v>
      </c>
      <c r="M3" s="109" t="s">
        <v>343</v>
      </c>
    </row>
    <row r="4" spans="1:13" s="108" customFormat="1">
      <c r="A4" s="1060" t="s">
        <v>20</v>
      </c>
      <c r="B4" s="1061"/>
      <c r="C4" s="1061"/>
      <c r="D4" s="1061"/>
      <c r="E4" s="1061"/>
      <c r="F4" s="1061"/>
      <c r="G4" s="1061"/>
      <c r="H4" s="1061"/>
      <c r="I4" s="1061"/>
      <c r="J4" s="1061"/>
      <c r="K4" s="1061"/>
      <c r="L4" s="1061"/>
      <c r="M4" s="1062"/>
    </row>
    <row r="5" spans="1:13" s="108" customFormat="1">
      <c r="A5" s="1063" t="s">
        <v>344</v>
      </c>
      <c r="B5" s="1063"/>
      <c r="C5" s="1063"/>
      <c r="D5" s="1063"/>
      <c r="E5" s="1063"/>
      <c r="F5" s="1063"/>
      <c r="G5" s="1063"/>
      <c r="H5" s="1063"/>
      <c r="I5" s="1063"/>
      <c r="J5" s="1063"/>
      <c r="K5" s="1063"/>
      <c r="L5" s="1063"/>
      <c r="M5" s="1063"/>
    </row>
    <row r="6" spans="1:13" ht="26.45" customHeight="1">
      <c r="A6" s="112" t="s">
        <v>22</v>
      </c>
      <c r="B6" s="113" t="s">
        <v>345</v>
      </c>
      <c r="C6" s="114"/>
      <c r="D6" s="115">
        <f>1098*0.7</f>
        <v>768.59999999999991</v>
      </c>
      <c r="E6" s="116">
        <v>0.5</v>
      </c>
      <c r="F6" s="117">
        <f>D6*E6</f>
        <v>384.29999999999995</v>
      </c>
      <c r="G6" s="116">
        <v>2</v>
      </c>
      <c r="H6" s="117">
        <f>F6*G6</f>
        <v>768.59999999999991</v>
      </c>
      <c r="I6" s="116">
        <v>695.8</v>
      </c>
      <c r="J6" s="116">
        <f>H6-I6</f>
        <v>72.799999999999955</v>
      </c>
      <c r="K6" s="116">
        <v>0</v>
      </c>
      <c r="L6" s="116">
        <f>J6+K6</f>
        <v>72.799999999999955</v>
      </c>
      <c r="M6" s="16" t="s">
        <v>346</v>
      </c>
    </row>
    <row r="7" spans="1:13" ht="26.45" customHeight="1">
      <c r="A7" s="118">
        <v>248.4</v>
      </c>
      <c r="B7" s="119" t="s">
        <v>26</v>
      </c>
      <c r="C7" s="120" t="s">
        <v>347</v>
      </c>
      <c r="D7" s="116">
        <v>51</v>
      </c>
      <c r="E7" s="116">
        <v>1</v>
      </c>
      <c r="F7" s="117">
        <f t="shared" ref="F7:F28" si="0">D7*E7</f>
        <v>51</v>
      </c>
      <c r="G7" s="116">
        <v>40</v>
      </c>
      <c r="H7" s="117">
        <f t="shared" ref="H7:H28" si="1">F7*G7</f>
        <v>2040</v>
      </c>
      <c r="I7" s="116">
        <v>1960</v>
      </c>
      <c r="J7" s="116">
        <f>H7-I7</f>
        <v>80</v>
      </c>
      <c r="K7" s="116">
        <v>0</v>
      </c>
      <c r="L7" s="116">
        <f t="shared" ref="L7:L28" si="2">J7+K7</f>
        <v>80</v>
      </c>
      <c r="M7" s="16" t="s">
        <v>348</v>
      </c>
    </row>
    <row r="8" spans="1:13" ht="25.5">
      <c r="A8" s="112" t="s">
        <v>29</v>
      </c>
      <c r="B8" s="119" t="s">
        <v>349</v>
      </c>
      <c r="C8" s="114"/>
      <c r="D8" s="116">
        <v>51</v>
      </c>
      <c r="E8" s="116">
        <f>1330746/51</f>
        <v>26093.058823529413</v>
      </c>
      <c r="F8" s="117">
        <f t="shared" si="0"/>
        <v>1330746</v>
      </c>
      <c r="G8" s="116">
        <v>0.25</v>
      </c>
      <c r="H8" s="117">
        <f t="shared" si="1"/>
        <v>332686.5</v>
      </c>
      <c r="I8" s="116">
        <v>390118.75</v>
      </c>
      <c r="J8" s="116">
        <f>H8-I8</f>
        <v>-57432.25</v>
      </c>
      <c r="K8" s="116">
        <v>0</v>
      </c>
      <c r="L8" s="116">
        <f t="shared" si="2"/>
        <v>-57432.25</v>
      </c>
      <c r="M8" s="16" t="s">
        <v>350</v>
      </c>
    </row>
    <row r="9" spans="1:13" ht="51">
      <c r="A9" s="121" t="s">
        <v>188</v>
      </c>
      <c r="B9" s="940" t="s">
        <v>351</v>
      </c>
      <c r="C9" s="122"/>
      <c r="D9" s="115">
        <v>51</v>
      </c>
      <c r="E9" s="115">
        <f>((19597/2)/51)</f>
        <v>192.12745098039215</v>
      </c>
      <c r="F9" s="117">
        <f t="shared" si="0"/>
        <v>9798.5</v>
      </c>
      <c r="G9" s="115">
        <v>0.25</v>
      </c>
      <c r="H9" s="117">
        <f t="shared" si="1"/>
        <v>2449.625</v>
      </c>
      <c r="I9" s="116">
        <v>9942</v>
      </c>
      <c r="J9" s="116">
        <f>H9-I9</f>
        <v>-7492.375</v>
      </c>
      <c r="K9" s="116">
        <v>0</v>
      </c>
      <c r="L9" s="116">
        <f>J9+K9</f>
        <v>-7492.375</v>
      </c>
      <c r="M9" s="16" t="s">
        <v>352</v>
      </c>
    </row>
    <row r="10" spans="1:13" ht="26.45" customHeight="1">
      <c r="A10" s="123" t="s">
        <v>190</v>
      </c>
      <c r="B10" s="941" t="s">
        <v>41</v>
      </c>
      <c r="C10" s="122"/>
      <c r="D10" s="115">
        <v>51</v>
      </c>
      <c r="E10" s="115">
        <v>1</v>
      </c>
      <c r="F10" s="117">
        <f t="shared" si="0"/>
        <v>51</v>
      </c>
      <c r="G10" s="115">
        <v>8</v>
      </c>
      <c r="H10" s="117">
        <f t="shared" si="1"/>
        <v>408</v>
      </c>
      <c r="I10" s="116">
        <v>392</v>
      </c>
      <c r="J10" s="116">
        <f t="shared" ref="J10:J28" si="3">H10-I10</f>
        <v>16</v>
      </c>
      <c r="K10" s="116">
        <v>0</v>
      </c>
      <c r="L10" s="116">
        <f t="shared" si="2"/>
        <v>16</v>
      </c>
      <c r="M10" s="16" t="s">
        <v>348</v>
      </c>
    </row>
    <row r="11" spans="1:13" ht="26.45" customHeight="1">
      <c r="A11" s="123" t="s">
        <v>190</v>
      </c>
      <c r="B11" s="940" t="s">
        <v>44</v>
      </c>
      <c r="C11" s="122"/>
      <c r="D11" s="115">
        <v>51</v>
      </c>
      <c r="E11" s="115">
        <v>15</v>
      </c>
      <c r="F11" s="117">
        <f t="shared" si="0"/>
        <v>765</v>
      </c>
      <c r="G11" s="115">
        <v>2</v>
      </c>
      <c r="H11" s="117">
        <f t="shared" si="1"/>
        <v>1530</v>
      </c>
      <c r="I11" s="116">
        <v>1470</v>
      </c>
      <c r="J11" s="116">
        <f t="shared" si="3"/>
        <v>60</v>
      </c>
      <c r="K11" s="116">
        <v>0</v>
      </c>
      <c r="L11" s="116">
        <f t="shared" si="2"/>
        <v>60</v>
      </c>
      <c r="M11" s="16" t="s">
        <v>348</v>
      </c>
    </row>
    <row r="12" spans="1:13" ht="26.45" customHeight="1">
      <c r="A12" s="123" t="s">
        <v>45</v>
      </c>
      <c r="B12" s="941" t="s">
        <v>47</v>
      </c>
      <c r="C12" s="122"/>
      <c r="D12" s="115">
        <v>5</v>
      </c>
      <c r="E12" s="115">
        <v>1</v>
      </c>
      <c r="F12" s="117">
        <f t="shared" si="0"/>
        <v>5</v>
      </c>
      <c r="G12" s="115">
        <v>8.3500000000000005E-2</v>
      </c>
      <c r="H12" s="117">
        <f t="shared" si="1"/>
        <v>0.41750000000000004</v>
      </c>
      <c r="I12" s="116">
        <v>0.41750000000000004</v>
      </c>
      <c r="J12" s="116">
        <f t="shared" si="3"/>
        <v>0</v>
      </c>
      <c r="K12" s="116">
        <v>0</v>
      </c>
      <c r="L12" s="116">
        <f t="shared" si="2"/>
        <v>0</v>
      </c>
      <c r="M12" s="124" t="s">
        <v>28</v>
      </c>
    </row>
    <row r="13" spans="1:13" ht="26.45" customHeight="1">
      <c r="A13" s="123" t="s">
        <v>49</v>
      </c>
      <c r="B13" s="941" t="s">
        <v>353</v>
      </c>
      <c r="C13" s="122"/>
      <c r="D13" s="115">
        <v>51</v>
      </c>
      <c r="E13" s="115">
        <v>1</v>
      </c>
      <c r="F13" s="117">
        <f t="shared" si="0"/>
        <v>51</v>
      </c>
      <c r="G13" s="115">
        <v>8</v>
      </c>
      <c r="H13" s="117">
        <f t="shared" si="1"/>
        <v>408</v>
      </c>
      <c r="I13" s="116">
        <v>392</v>
      </c>
      <c r="J13" s="116">
        <f t="shared" si="3"/>
        <v>16</v>
      </c>
      <c r="K13" s="116">
        <v>0</v>
      </c>
      <c r="L13" s="116">
        <f t="shared" si="2"/>
        <v>16</v>
      </c>
      <c r="M13" s="16" t="s">
        <v>348</v>
      </c>
    </row>
    <row r="14" spans="1:13" ht="26.45" customHeight="1">
      <c r="A14" s="123" t="s">
        <v>49</v>
      </c>
      <c r="B14" s="941" t="s">
        <v>192</v>
      </c>
      <c r="C14" s="122"/>
      <c r="D14" s="115">
        <v>51</v>
      </c>
      <c r="E14" s="115">
        <v>15</v>
      </c>
      <c r="F14" s="117">
        <f t="shared" si="0"/>
        <v>765</v>
      </c>
      <c r="G14" s="115">
        <v>2</v>
      </c>
      <c r="H14" s="117">
        <f t="shared" si="1"/>
        <v>1530</v>
      </c>
      <c r="I14" s="116">
        <v>1470</v>
      </c>
      <c r="J14" s="116">
        <f t="shared" si="3"/>
        <v>60</v>
      </c>
      <c r="K14" s="116">
        <v>0</v>
      </c>
      <c r="L14" s="116">
        <f t="shared" si="2"/>
        <v>60</v>
      </c>
      <c r="M14" s="16" t="s">
        <v>348</v>
      </c>
    </row>
    <row r="15" spans="1:13" ht="25.5">
      <c r="A15" s="123" t="s">
        <v>55</v>
      </c>
      <c r="B15" s="941" t="s">
        <v>57</v>
      </c>
      <c r="C15" s="125"/>
      <c r="D15" s="126">
        <v>51</v>
      </c>
      <c r="E15" s="126">
        <f>(19597*0.1)/51</f>
        <v>38.425490196078435</v>
      </c>
      <c r="F15" s="117">
        <f t="shared" si="0"/>
        <v>1959.7000000000003</v>
      </c>
      <c r="G15" s="126">
        <v>1.5</v>
      </c>
      <c r="H15" s="117">
        <f t="shared" si="1"/>
        <v>2939.55</v>
      </c>
      <c r="I15" s="116">
        <v>2982.6</v>
      </c>
      <c r="J15" s="116">
        <f t="shared" si="3"/>
        <v>-43.049999999999727</v>
      </c>
      <c r="K15" s="116">
        <v>0</v>
      </c>
      <c r="L15" s="116">
        <f t="shared" si="2"/>
        <v>-43.049999999999727</v>
      </c>
      <c r="M15" s="16" t="s">
        <v>205</v>
      </c>
    </row>
    <row r="16" spans="1:13" ht="25.5">
      <c r="A16" s="123" t="s">
        <v>147</v>
      </c>
      <c r="B16" s="941" t="s">
        <v>61</v>
      </c>
      <c r="C16" s="125"/>
      <c r="D16" s="126">
        <v>51</v>
      </c>
      <c r="E16" s="115">
        <f>(1098*0.5)/51</f>
        <v>10.764705882352942</v>
      </c>
      <c r="F16" s="117">
        <f>D16*E16</f>
        <v>549</v>
      </c>
      <c r="G16" s="126">
        <v>2</v>
      </c>
      <c r="H16" s="117">
        <f t="shared" si="1"/>
        <v>1098</v>
      </c>
      <c r="I16" s="116">
        <v>994</v>
      </c>
      <c r="J16" s="116">
        <f t="shared" si="3"/>
        <v>104</v>
      </c>
      <c r="K16" s="116">
        <v>0</v>
      </c>
      <c r="L16" s="116">
        <f t="shared" si="2"/>
        <v>104</v>
      </c>
      <c r="M16" s="16" t="s">
        <v>346</v>
      </c>
    </row>
    <row r="17" spans="1:15" ht="26.45" customHeight="1">
      <c r="A17" s="121" t="s">
        <v>63</v>
      </c>
      <c r="B17" s="127" t="s">
        <v>195</v>
      </c>
      <c r="C17" s="128"/>
      <c r="D17" s="116">
        <v>51</v>
      </c>
      <c r="E17" s="116">
        <v>1</v>
      </c>
      <c r="F17" s="117">
        <f t="shared" si="0"/>
        <v>51</v>
      </c>
      <c r="G17" s="115">
        <v>5</v>
      </c>
      <c r="H17" s="117">
        <f t="shared" si="1"/>
        <v>255</v>
      </c>
      <c r="I17" s="116">
        <v>245</v>
      </c>
      <c r="J17" s="116">
        <f t="shared" si="3"/>
        <v>10</v>
      </c>
      <c r="K17" s="116">
        <v>0</v>
      </c>
      <c r="L17" s="116">
        <f t="shared" si="2"/>
        <v>10</v>
      </c>
      <c r="M17" s="16" t="s">
        <v>348</v>
      </c>
    </row>
    <row r="18" spans="1:15">
      <c r="A18" s="129" t="s">
        <v>66</v>
      </c>
      <c r="B18" s="130" t="s">
        <v>196</v>
      </c>
      <c r="C18" s="131"/>
      <c r="D18" s="132"/>
      <c r="E18" s="132"/>
      <c r="F18" s="133"/>
      <c r="G18" s="134"/>
      <c r="H18" s="133">
        <f>SUM(H19:H20)</f>
        <v>115.5</v>
      </c>
      <c r="I18" s="132">
        <f>SUM(I19:I20)</f>
        <v>147</v>
      </c>
      <c r="J18" s="132">
        <f>SUM(J19:J20)</f>
        <v>6</v>
      </c>
      <c r="K18" s="132">
        <f>SUM(K19:K20)</f>
        <v>-37.5</v>
      </c>
      <c r="L18" s="132">
        <f>SUM(L19:L20)</f>
        <v>-31.5</v>
      </c>
      <c r="M18" s="1012" t="s">
        <v>354</v>
      </c>
    </row>
    <row r="19" spans="1:15" ht="26.45" customHeight="1">
      <c r="A19" s="135" t="s">
        <v>66</v>
      </c>
      <c r="B19" s="136" t="s">
        <v>71</v>
      </c>
      <c r="C19" s="128"/>
      <c r="D19" s="116">
        <f>51-25</f>
        <v>26</v>
      </c>
      <c r="E19" s="116">
        <v>1</v>
      </c>
      <c r="F19" s="117">
        <f t="shared" si="0"/>
        <v>26</v>
      </c>
      <c r="G19" s="115">
        <v>3</v>
      </c>
      <c r="H19" s="117">
        <f t="shared" si="1"/>
        <v>78</v>
      </c>
      <c r="I19" s="116">
        <v>147</v>
      </c>
      <c r="J19" s="116">
        <v>6</v>
      </c>
      <c r="K19" s="116">
        <f>H19-I19-J19</f>
        <v>-75</v>
      </c>
      <c r="L19" s="116">
        <f>J19+K19</f>
        <v>-69</v>
      </c>
      <c r="M19" s="1013"/>
      <c r="O19" s="137"/>
    </row>
    <row r="20" spans="1:15" ht="26.45" customHeight="1">
      <c r="A20" s="135" t="s">
        <v>66</v>
      </c>
      <c r="B20" s="136" t="s">
        <v>73</v>
      </c>
      <c r="C20" s="128"/>
      <c r="D20" s="116">
        <v>25</v>
      </c>
      <c r="E20" s="116">
        <v>1</v>
      </c>
      <c r="F20" s="117">
        <f t="shared" si="0"/>
        <v>25</v>
      </c>
      <c r="G20" s="115">
        <v>1.5</v>
      </c>
      <c r="H20" s="117">
        <f t="shared" si="1"/>
        <v>37.5</v>
      </c>
      <c r="I20" s="116">
        <v>0</v>
      </c>
      <c r="J20" s="116">
        <v>0</v>
      </c>
      <c r="K20" s="116">
        <f>H20-I20-J20</f>
        <v>37.5</v>
      </c>
      <c r="L20" s="116">
        <f t="shared" si="2"/>
        <v>37.5</v>
      </c>
      <c r="M20" s="1014"/>
    </row>
    <row r="21" spans="1:15" ht="25.5">
      <c r="A21" s="123" t="s">
        <v>74</v>
      </c>
      <c r="B21" s="941" t="s">
        <v>355</v>
      </c>
      <c r="C21" s="128"/>
      <c r="D21" s="116">
        <v>51</v>
      </c>
      <c r="E21" s="115">
        <f>493/51</f>
        <v>9.6666666666666661</v>
      </c>
      <c r="F21" s="117">
        <f>D21*E21</f>
        <v>492.99999999999994</v>
      </c>
      <c r="G21" s="116">
        <v>1</v>
      </c>
      <c r="H21" s="117">
        <f>F21*G21</f>
        <v>492.99999999999994</v>
      </c>
      <c r="I21" s="116">
        <v>500</v>
      </c>
      <c r="J21" s="116">
        <f t="shared" si="3"/>
        <v>-7.0000000000000568</v>
      </c>
      <c r="K21" s="116">
        <v>0</v>
      </c>
      <c r="L21" s="116">
        <f t="shared" si="2"/>
        <v>-7.0000000000000568</v>
      </c>
      <c r="M21" s="16" t="s">
        <v>205</v>
      </c>
    </row>
    <row r="22" spans="1:15" ht="25.5">
      <c r="A22" s="123" t="s">
        <v>78</v>
      </c>
      <c r="B22" s="138" t="s">
        <v>356</v>
      </c>
      <c r="C22" s="128"/>
      <c r="D22" s="116">
        <v>51</v>
      </c>
      <c r="E22" s="116">
        <f>(19597*0.02)/51</f>
        <v>7.6850980392156858</v>
      </c>
      <c r="F22" s="117">
        <f>D22*E22</f>
        <v>391.94</v>
      </c>
      <c r="G22" s="116">
        <v>8.3500000000000005E-2</v>
      </c>
      <c r="H22" s="117">
        <f>F22*G22</f>
        <v>32.726990000000001</v>
      </c>
      <c r="I22" s="116">
        <v>33.20628</v>
      </c>
      <c r="J22" s="116">
        <f t="shared" si="3"/>
        <v>-0.47928999999999888</v>
      </c>
      <c r="K22" s="116">
        <v>0</v>
      </c>
      <c r="L22" s="116">
        <f t="shared" si="2"/>
        <v>-0.47928999999999888</v>
      </c>
      <c r="M22" s="16" t="s">
        <v>205</v>
      </c>
    </row>
    <row r="23" spans="1:15" ht="26.45" customHeight="1">
      <c r="A23" s="121" t="s">
        <v>82</v>
      </c>
      <c r="B23" s="139" t="s">
        <v>200</v>
      </c>
      <c r="C23" s="140"/>
      <c r="D23" s="116">
        <v>51</v>
      </c>
      <c r="E23" s="116">
        <v>1</v>
      </c>
      <c r="F23" s="117">
        <f t="shared" si="0"/>
        <v>51</v>
      </c>
      <c r="G23" s="116">
        <v>10</v>
      </c>
      <c r="H23" s="117">
        <f t="shared" si="1"/>
        <v>510</v>
      </c>
      <c r="I23" s="116">
        <v>490</v>
      </c>
      <c r="J23" s="116">
        <f t="shared" si="3"/>
        <v>20</v>
      </c>
      <c r="K23" s="116">
        <v>0</v>
      </c>
      <c r="L23" s="116">
        <f t="shared" si="2"/>
        <v>20</v>
      </c>
      <c r="M23" s="16" t="s">
        <v>348</v>
      </c>
    </row>
    <row r="24" spans="1:15" ht="38.25">
      <c r="A24" s="121" t="s">
        <v>84</v>
      </c>
      <c r="B24" s="940" t="s">
        <v>357</v>
      </c>
      <c r="C24" s="140"/>
      <c r="D24" s="116">
        <v>5</v>
      </c>
      <c r="E24" s="116">
        <v>1</v>
      </c>
      <c r="F24" s="117">
        <f t="shared" si="0"/>
        <v>5</v>
      </c>
      <c r="G24" s="116">
        <v>40</v>
      </c>
      <c r="H24" s="117">
        <f t="shared" si="1"/>
        <v>200</v>
      </c>
      <c r="I24" s="116">
        <v>0</v>
      </c>
      <c r="J24" s="116">
        <v>0</v>
      </c>
      <c r="K24" s="116">
        <f>H24-I24</f>
        <v>200</v>
      </c>
      <c r="L24" s="116">
        <f t="shared" si="2"/>
        <v>200</v>
      </c>
      <c r="M24" s="16" t="s">
        <v>358</v>
      </c>
    </row>
    <row r="25" spans="1:15" ht="26.45" customHeight="1">
      <c r="A25" s="121" t="s">
        <v>87</v>
      </c>
      <c r="B25" s="39" t="s">
        <v>359</v>
      </c>
      <c r="C25" s="127"/>
      <c r="D25" s="116">
        <v>1</v>
      </c>
      <c r="E25" s="116">
        <v>1</v>
      </c>
      <c r="F25" s="117">
        <f>D25*E25</f>
        <v>1</v>
      </c>
      <c r="G25" s="116">
        <v>24</v>
      </c>
      <c r="H25" s="117">
        <f t="shared" si="1"/>
        <v>24</v>
      </c>
      <c r="I25" s="116">
        <v>24</v>
      </c>
      <c r="J25" s="116">
        <f t="shared" si="3"/>
        <v>0</v>
      </c>
      <c r="K25" s="116">
        <v>0</v>
      </c>
      <c r="L25" s="116">
        <f>J25+K25</f>
        <v>0</v>
      </c>
      <c r="M25" s="16" t="s">
        <v>28</v>
      </c>
    </row>
    <row r="26" spans="1:15" ht="26.45" customHeight="1">
      <c r="A26" s="121" t="s">
        <v>90</v>
      </c>
      <c r="B26" s="127" t="s">
        <v>201</v>
      </c>
      <c r="C26" s="127"/>
      <c r="D26" s="116">
        <v>7</v>
      </c>
      <c r="E26" s="116">
        <v>1</v>
      </c>
      <c r="F26" s="117">
        <f t="shared" si="0"/>
        <v>7</v>
      </c>
      <c r="G26" s="116">
        <v>10</v>
      </c>
      <c r="H26" s="117">
        <f t="shared" si="1"/>
        <v>70</v>
      </c>
      <c r="I26" s="116">
        <v>70</v>
      </c>
      <c r="J26" s="116">
        <f t="shared" si="3"/>
        <v>0</v>
      </c>
      <c r="K26" s="116">
        <v>0</v>
      </c>
      <c r="L26" s="116">
        <f t="shared" si="2"/>
        <v>0</v>
      </c>
      <c r="M26" s="16" t="s">
        <v>28</v>
      </c>
    </row>
    <row r="27" spans="1:15" ht="26.45" customHeight="1">
      <c r="A27" s="121" t="s">
        <v>94</v>
      </c>
      <c r="B27" s="39" t="s">
        <v>96</v>
      </c>
      <c r="C27" s="127"/>
      <c r="D27" s="116">
        <v>2</v>
      </c>
      <c r="E27" s="116">
        <v>1</v>
      </c>
      <c r="F27" s="117">
        <f t="shared" si="0"/>
        <v>2</v>
      </c>
      <c r="G27" s="116">
        <v>10</v>
      </c>
      <c r="H27" s="117">
        <f t="shared" si="1"/>
        <v>20</v>
      </c>
      <c r="I27" s="116">
        <v>20</v>
      </c>
      <c r="J27" s="116">
        <f t="shared" si="3"/>
        <v>0</v>
      </c>
      <c r="K27" s="116">
        <v>0</v>
      </c>
      <c r="L27" s="116">
        <f t="shared" si="2"/>
        <v>0</v>
      </c>
      <c r="M27" s="16" t="s">
        <v>28</v>
      </c>
    </row>
    <row r="28" spans="1:15" s="141" customFormat="1" ht="26.45" customHeight="1">
      <c r="A28" s="121" t="s">
        <v>97</v>
      </c>
      <c r="B28" s="127" t="s">
        <v>99</v>
      </c>
      <c r="C28" s="128"/>
      <c r="D28" s="116">
        <v>1</v>
      </c>
      <c r="E28" s="116">
        <v>1</v>
      </c>
      <c r="F28" s="117">
        <f t="shared" si="0"/>
        <v>1</v>
      </c>
      <c r="G28" s="116">
        <v>15</v>
      </c>
      <c r="H28" s="117">
        <f t="shared" si="1"/>
        <v>15</v>
      </c>
      <c r="I28" s="116">
        <v>15</v>
      </c>
      <c r="J28" s="116">
        <f t="shared" si="3"/>
        <v>0</v>
      </c>
      <c r="K28" s="116">
        <v>0</v>
      </c>
      <c r="L28" s="116">
        <f t="shared" si="2"/>
        <v>0</v>
      </c>
      <c r="M28" s="16" t="s">
        <v>28</v>
      </c>
    </row>
    <row r="29" spans="1:15" ht="26.1" customHeight="1">
      <c r="A29" s="1050" t="s">
        <v>100</v>
      </c>
      <c r="B29" s="1051"/>
      <c r="C29" s="142"/>
      <c r="D29" s="143">
        <f>51+D6</f>
        <v>819.59999999999991</v>
      </c>
      <c r="E29" s="143">
        <f>+F29/D29</f>
        <v>1642.4834553440703</v>
      </c>
      <c r="F29" s="143">
        <f>SUM(F6:F17,F19:F28)</f>
        <v>1346179.44</v>
      </c>
      <c r="G29" s="143">
        <f>+H29/F29</f>
        <v>0.25820771671419968</v>
      </c>
      <c r="H29" s="143">
        <f>SUM(H6:H17, H19:H28)</f>
        <v>347593.91948999994</v>
      </c>
      <c r="I29" s="143">
        <f>SUM(I6:I17, I19:I28)</f>
        <v>411961.77377999993</v>
      </c>
      <c r="J29" s="143">
        <f>SUM(J6:J17, J19:J28)</f>
        <v>-64530.354290000003</v>
      </c>
      <c r="K29" s="143">
        <f>SUM(K6:K17, K19:K28)</f>
        <v>162.5</v>
      </c>
      <c r="L29" s="143">
        <f>SUM(L6:L17, L19:L28)</f>
        <v>-64367.854290000003</v>
      </c>
      <c r="M29" s="144"/>
      <c r="O29" s="145"/>
    </row>
    <row r="30" spans="1:15">
      <c r="A30" s="1047" t="s">
        <v>360</v>
      </c>
      <c r="B30" s="1048"/>
      <c r="C30" s="1048"/>
      <c r="D30" s="1048"/>
      <c r="E30" s="1048"/>
      <c r="F30" s="1048"/>
      <c r="G30" s="1048"/>
      <c r="H30" s="1048"/>
      <c r="I30" s="1048"/>
      <c r="J30" s="1048"/>
      <c r="K30" s="1048"/>
      <c r="L30" s="1048"/>
      <c r="M30" s="1049"/>
      <c r="O30" s="145"/>
    </row>
    <row r="31" spans="1:15" ht="26.45" customHeight="1">
      <c r="A31" s="146" t="s">
        <v>29</v>
      </c>
      <c r="B31" s="138" t="s">
        <v>349</v>
      </c>
      <c r="C31" s="139"/>
      <c r="D31" s="116">
        <v>1330746</v>
      </c>
      <c r="E31" s="116">
        <v>1</v>
      </c>
      <c r="F31" s="117">
        <f>D31*E31</f>
        <v>1330746</v>
      </c>
      <c r="G31" s="116">
        <v>5.0099999999999999E-2</v>
      </c>
      <c r="H31" s="117">
        <f>F31*G31</f>
        <v>66670.374599999996</v>
      </c>
      <c r="I31" s="116">
        <v>78179.797500000001</v>
      </c>
      <c r="J31" s="147">
        <f>H31-I31</f>
        <v>-11509.422900000005</v>
      </c>
      <c r="K31" s="116">
        <v>0</v>
      </c>
      <c r="L31" s="148">
        <f>J31+K31</f>
        <v>-11509.422900000005</v>
      </c>
      <c r="M31" s="35" t="s">
        <v>350</v>
      </c>
    </row>
    <row r="32" spans="1:15" ht="26.45" customHeight="1">
      <c r="A32" s="1050" t="s">
        <v>109</v>
      </c>
      <c r="B32" s="1051"/>
      <c r="C32" s="144"/>
      <c r="D32" s="143">
        <f>D31</f>
        <v>1330746</v>
      </c>
      <c r="E32" s="143">
        <f>+F32/D32</f>
        <v>1</v>
      </c>
      <c r="F32" s="143">
        <f>F31</f>
        <v>1330746</v>
      </c>
      <c r="G32" s="143">
        <f>+H32/F32</f>
        <v>5.0099999999999999E-2</v>
      </c>
      <c r="H32" s="143">
        <f>H31</f>
        <v>66670.374599999996</v>
      </c>
      <c r="I32" s="143">
        <f>I31</f>
        <v>78179.797500000001</v>
      </c>
      <c r="J32" s="143">
        <f>J31</f>
        <v>-11509.422900000005</v>
      </c>
      <c r="K32" s="143">
        <f>K31</f>
        <v>0</v>
      </c>
      <c r="L32" s="149">
        <f>J32+K32</f>
        <v>-11509.422900000005</v>
      </c>
      <c r="M32" s="144"/>
    </row>
    <row r="33" spans="1:98">
      <c r="A33" s="1052" t="s">
        <v>361</v>
      </c>
      <c r="B33" s="1053"/>
      <c r="C33" s="1053"/>
      <c r="D33" s="1053"/>
      <c r="E33" s="1053"/>
      <c r="F33" s="1053"/>
      <c r="G33" s="1053"/>
      <c r="H33" s="1053"/>
      <c r="I33" s="1053"/>
      <c r="J33" s="1053"/>
      <c r="K33" s="1053"/>
      <c r="L33" s="1053"/>
      <c r="M33" s="1054"/>
    </row>
    <row r="34" spans="1:98" ht="26.1" customHeight="1">
      <c r="A34" s="150" t="s">
        <v>22</v>
      </c>
      <c r="B34" s="151" t="s">
        <v>362</v>
      </c>
      <c r="C34" s="152"/>
      <c r="D34" s="153">
        <f>1098*0.3</f>
        <v>329.4</v>
      </c>
      <c r="E34" s="154">
        <v>0.5</v>
      </c>
      <c r="F34" s="155">
        <f t="shared" ref="F34:F41" si="4">D34*E34</f>
        <v>164.7</v>
      </c>
      <c r="G34" s="154">
        <v>2</v>
      </c>
      <c r="H34" s="155">
        <f t="shared" ref="H34:H41" si="5">F34*G34</f>
        <v>329.4</v>
      </c>
      <c r="I34" s="156">
        <v>298.2</v>
      </c>
      <c r="J34" s="147">
        <f>H34-I34</f>
        <v>31.199999999999989</v>
      </c>
      <c r="K34" s="157">
        <v>0</v>
      </c>
      <c r="L34" s="158">
        <f>J34+K34</f>
        <v>31.199999999999989</v>
      </c>
      <c r="M34" s="159" t="s">
        <v>346</v>
      </c>
    </row>
    <row r="35" spans="1:98" ht="26.1" customHeight="1">
      <c r="A35" s="160" t="s">
        <v>190</v>
      </c>
      <c r="B35" s="161" t="s">
        <v>44</v>
      </c>
      <c r="C35" s="162"/>
      <c r="D35" s="163">
        <f>19597*0.1</f>
        <v>1959.7</v>
      </c>
      <c r="E35" s="163">
        <v>1</v>
      </c>
      <c r="F35" s="155">
        <f t="shared" si="4"/>
        <v>1959.7</v>
      </c>
      <c r="G35" s="163">
        <v>2</v>
      </c>
      <c r="H35" s="164">
        <f t="shared" si="5"/>
        <v>3919.4</v>
      </c>
      <c r="I35" s="156">
        <v>3976.8</v>
      </c>
      <c r="J35" s="147">
        <f t="shared" ref="J35:J38" si="6">H35-I35</f>
        <v>-57.400000000000091</v>
      </c>
      <c r="K35" s="157">
        <v>0</v>
      </c>
      <c r="L35" s="158">
        <f t="shared" ref="L35:L42" si="7">J35+K35</f>
        <v>-57.400000000000091</v>
      </c>
      <c r="M35" s="165" t="s">
        <v>205</v>
      </c>
    </row>
    <row r="36" spans="1:98" s="141" customFormat="1" ht="26.1" customHeight="1">
      <c r="A36" s="166" t="s">
        <v>113</v>
      </c>
      <c r="B36" s="161" t="s">
        <v>115</v>
      </c>
      <c r="C36" s="167"/>
      <c r="D36" s="168">
        <f>19597/2</f>
        <v>9798.5</v>
      </c>
      <c r="E36" s="169">
        <v>1</v>
      </c>
      <c r="F36" s="155">
        <f t="shared" si="4"/>
        <v>9798.5</v>
      </c>
      <c r="G36" s="168">
        <v>8.3500000000000005E-2</v>
      </c>
      <c r="H36" s="170">
        <f t="shared" si="5"/>
        <v>818.17475000000002</v>
      </c>
      <c r="I36" s="156">
        <v>830.15700000000004</v>
      </c>
      <c r="J36" s="147">
        <f t="shared" si="6"/>
        <v>-11.982250000000022</v>
      </c>
      <c r="K36" s="157">
        <v>0</v>
      </c>
      <c r="L36" s="158">
        <f t="shared" si="7"/>
        <v>-11.982250000000022</v>
      </c>
      <c r="M36" s="171" t="s">
        <v>205</v>
      </c>
    </row>
    <row r="37" spans="1:98" s="141" customFormat="1" ht="26.1" customHeight="1">
      <c r="A37" s="172" t="s">
        <v>45</v>
      </c>
      <c r="B37" s="937" t="s">
        <v>107</v>
      </c>
      <c r="C37" s="32"/>
      <c r="D37" s="154">
        <f>19597*0.02*0.02</f>
        <v>7.8388</v>
      </c>
      <c r="E37" s="153">
        <v>1</v>
      </c>
      <c r="F37" s="155">
        <f t="shared" si="4"/>
        <v>7.8388</v>
      </c>
      <c r="G37" s="153">
        <v>2</v>
      </c>
      <c r="H37" s="155">
        <f t="shared" si="5"/>
        <v>15.6776</v>
      </c>
      <c r="I37" s="156">
        <v>15.907200000000001</v>
      </c>
      <c r="J37" s="147">
        <f t="shared" si="6"/>
        <v>-0.22960000000000136</v>
      </c>
      <c r="K37" s="157">
        <v>0</v>
      </c>
      <c r="L37" s="158">
        <f t="shared" si="7"/>
        <v>-0.22960000000000136</v>
      </c>
      <c r="M37" s="165" t="s">
        <v>205</v>
      </c>
    </row>
    <row r="38" spans="1:98" s="174" customFormat="1" ht="26.1" customHeight="1">
      <c r="A38" s="123" t="s">
        <v>49</v>
      </c>
      <c r="B38" s="941" t="s">
        <v>192</v>
      </c>
      <c r="C38" s="152"/>
      <c r="D38" s="154">
        <f>19597*0.9</f>
        <v>17637.3</v>
      </c>
      <c r="E38" s="153">
        <v>1</v>
      </c>
      <c r="F38" s="155">
        <f t="shared" si="4"/>
        <v>17637.3</v>
      </c>
      <c r="G38" s="153">
        <v>2</v>
      </c>
      <c r="H38" s="155">
        <f t="shared" si="5"/>
        <v>35274.6</v>
      </c>
      <c r="I38" s="156">
        <v>35791.200000000004</v>
      </c>
      <c r="J38" s="147">
        <f t="shared" si="6"/>
        <v>-516.60000000000582</v>
      </c>
      <c r="K38" s="157">
        <v>0</v>
      </c>
      <c r="L38" s="158">
        <f t="shared" si="7"/>
        <v>-516.60000000000582</v>
      </c>
      <c r="M38" s="165" t="s">
        <v>205</v>
      </c>
      <c r="N38" s="141"/>
      <c r="O38" s="141"/>
      <c r="P38" s="141"/>
      <c r="Q38" s="141"/>
      <c r="R38" s="141"/>
      <c r="S38" s="141"/>
      <c r="T38" s="141"/>
      <c r="U38" s="141"/>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row>
    <row r="39" spans="1:98">
      <c r="A39" s="175" t="s">
        <v>120</v>
      </c>
      <c r="B39" s="176" t="s">
        <v>122</v>
      </c>
      <c r="C39" s="177"/>
      <c r="D39" s="178"/>
      <c r="E39" s="178"/>
      <c r="F39" s="179"/>
      <c r="G39" s="178"/>
      <c r="H39" s="179">
        <f>SUM(H40:H42)</f>
        <v>384639.15686274506</v>
      </c>
      <c r="I39" s="180">
        <f>SUM(I40:I42)</f>
        <v>715824</v>
      </c>
      <c r="J39" s="181">
        <f>SUM(J40:J42)</f>
        <v>-10332</v>
      </c>
      <c r="K39" s="181">
        <f>SUM(K40:K42)</f>
        <v>-320852.84313725494</v>
      </c>
      <c r="L39" s="181">
        <f>SUM(L40:L42)</f>
        <v>-331184.84313725494</v>
      </c>
      <c r="M39" s="1055" t="s">
        <v>363</v>
      </c>
    </row>
    <row r="40" spans="1:98" ht="26.1" customHeight="1">
      <c r="A40" s="182" t="s">
        <v>120</v>
      </c>
      <c r="B40" s="183" t="s">
        <v>125</v>
      </c>
      <c r="C40" s="16"/>
      <c r="D40" s="153">
        <f>19597*((26+1)/51)</f>
        <v>10374.882352941177</v>
      </c>
      <c r="E40" s="153">
        <v>9</v>
      </c>
      <c r="F40" s="155">
        <f t="shared" si="4"/>
        <v>93373.941176470587</v>
      </c>
      <c r="G40" s="153">
        <v>4</v>
      </c>
      <c r="H40" s="155">
        <f t="shared" si="5"/>
        <v>373495.76470588235</v>
      </c>
      <c r="I40" s="156">
        <v>715824</v>
      </c>
      <c r="J40" s="147">
        <f>(19597-19884)*9*4</f>
        <v>-10332</v>
      </c>
      <c r="K40" s="157">
        <f>H40-I40-J40</f>
        <v>-331996.23529411765</v>
      </c>
      <c r="L40" s="158">
        <f t="shared" si="7"/>
        <v>-342328.23529411765</v>
      </c>
      <c r="M40" s="1056"/>
      <c r="O40" s="184"/>
    </row>
    <row r="41" spans="1:98" ht="26.1" customHeight="1">
      <c r="A41" s="182" t="s">
        <v>120</v>
      </c>
      <c r="B41" s="183" t="s">
        <v>127</v>
      </c>
      <c r="C41" s="16"/>
      <c r="D41" s="153">
        <f>19597*(2/51)</f>
        <v>768.50980392156862</v>
      </c>
      <c r="E41" s="153">
        <v>9</v>
      </c>
      <c r="F41" s="155">
        <f t="shared" si="4"/>
        <v>6916.5882352941171</v>
      </c>
      <c r="G41" s="153">
        <v>1</v>
      </c>
      <c r="H41" s="155">
        <f t="shared" si="5"/>
        <v>6916.5882352941171</v>
      </c>
      <c r="I41" s="156">
        <v>0</v>
      </c>
      <c r="J41" s="147">
        <v>0</v>
      </c>
      <c r="K41" s="157">
        <f t="shared" ref="K41:K42" si="8">H41-I41-J41</f>
        <v>6916.5882352941171</v>
      </c>
      <c r="L41" s="158">
        <f t="shared" si="7"/>
        <v>6916.5882352941171</v>
      </c>
      <c r="M41" s="1056"/>
      <c r="O41" s="185"/>
      <c r="Q41" s="145"/>
      <c r="S41" s="186"/>
      <c r="T41" s="187"/>
    </row>
    <row r="42" spans="1:98" ht="26.1" customHeight="1">
      <c r="A42" s="182" t="s">
        <v>120</v>
      </c>
      <c r="B42" s="183" t="s">
        <v>129</v>
      </c>
      <c r="C42" s="16"/>
      <c r="D42" s="153">
        <f>19597*(22/51)</f>
        <v>8453.6078431372553</v>
      </c>
      <c r="E42" s="153">
        <v>1</v>
      </c>
      <c r="F42" s="155">
        <f>D42*E42</f>
        <v>8453.6078431372553</v>
      </c>
      <c r="G42" s="153">
        <v>0.5</v>
      </c>
      <c r="H42" s="155">
        <f>F42*G42</f>
        <v>4226.8039215686276</v>
      </c>
      <c r="I42" s="156">
        <v>0</v>
      </c>
      <c r="J42" s="147">
        <v>0</v>
      </c>
      <c r="K42" s="157">
        <f t="shared" si="8"/>
        <v>4226.8039215686276</v>
      </c>
      <c r="L42" s="158">
        <f t="shared" si="7"/>
        <v>4226.8039215686276</v>
      </c>
      <c r="M42" s="1057"/>
      <c r="Q42" s="184"/>
      <c r="S42" s="186"/>
      <c r="T42" s="187"/>
    </row>
    <row r="43" spans="1:98" s="141" customFormat="1" ht="26.1" customHeight="1">
      <c r="A43" s="188" t="s">
        <v>74</v>
      </c>
      <c r="B43" s="189" t="s">
        <v>364</v>
      </c>
      <c r="C43" s="162"/>
      <c r="D43" s="190">
        <v>493</v>
      </c>
      <c r="E43" s="163">
        <v>1</v>
      </c>
      <c r="F43" s="155">
        <f>D43*E43</f>
        <v>493</v>
      </c>
      <c r="G43" s="163">
        <v>0.5</v>
      </c>
      <c r="H43" s="164">
        <f>F43*G43</f>
        <v>246.5</v>
      </c>
      <c r="I43" s="156">
        <v>250</v>
      </c>
      <c r="J43" s="147">
        <f>H43-I43</f>
        <v>-3.5</v>
      </c>
      <c r="K43" s="157">
        <v>0</v>
      </c>
      <c r="L43" s="158">
        <f>J43+K43</f>
        <v>-3.5</v>
      </c>
      <c r="M43" s="165" t="s">
        <v>205</v>
      </c>
      <c r="P43"/>
      <c r="Q43" s="185"/>
      <c r="R43"/>
      <c r="S43" s="186"/>
      <c r="T43" s="187"/>
    </row>
    <row r="44" spans="1:98" ht="26.1" customHeight="1">
      <c r="A44" s="1050" t="s">
        <v>365</v>
      </c>
      <c r="B44" s="1051"/>
      <c r="C44" s="144"/>
      <c r="D44" s="143">
        <f>19597+D34</f>
        <v>19926.400000000001</v>
      </c>
      <c r="E44" s="143">
        <f>+F44/D44</f>
        <v>6.9658932900524899</v>
      </c>
      <c r="F44" s="143">
        <f>SUM(F34:F38,F40:F43)</f>
        <v>138805.17605490194</v>
      </c>
      <c r="G44" s="143">
        <f>+H44/F44</f>
        <v>3.0635954745992162</v>
      </c>
      <c r="H44" s="143">
        <f>SUM(H34:H38,H40:H43)</f>
        <v>425242.90921274509</v>
      </c>
      <c r="I44" s="143">
        <f>SUM(I34:I38,I40:I43)</f>
        <v>756986.26419999998</v>
      </c>
      <c r="J44" s="143">
        <f>SUM(J34:J38,J40:J43)</f>
        <v>-10890.511850000006</v>
      </c>
      <c r="K44" s="143">
        <f>SUM(K34:K38,K40:K43)</f>
        <v>-320852.84313725494</v>
      </c>
      <c r="L44" s="143">
        <f>SUM(L34:L38,L40:L43)</f>
        <v>-331743.35498725495</v>
      </c>
      <c r="M44" s="191"/>
      <c r="Q44" s="145"/>
      <c r="S44" s="186"/>
      <c r="T44" s="187"/>
    </row>
    <row r="45" spans="1:98" ht="26.1" customHeight="1">
      <c r="A45" s="1045" t="s">
        <v>133</v>
      </c>
      <c r="B45" s="1046"/>
      <c r="C45" s="192"/>
      <c r="D45" s="193">
        <f>SUM(D29+D32+D44)</f>
        <v>1351492</v>
      </c>
      <c r="E45" s="193">
        <f>F45/D45</f>
        <v>2.0834238131301568</v>
      </c>
      <c r="F45" s="193">
        <f>SUM(F29+F32+F44)</f>
        <v>2815730.6160549019</v>
      </c>
      <c r="G45" s="193">
        <f>+H45/F45</f>
        <v>0.29814897721962197</v>
      </c>
      <c r="H45" s="193">
        <f>SUM(H29+H32+H44)</f>
        <v>839507.20330274501</v>
      </c>
      <c r="I45" s="193">
        <f>SUM(I29+I32+I44)</f>
        <v>1247127.8354799999</v>
      </c>
      <c r="J45" s="193">
        <f>SUM(J29+J32+J44)</f>
        <v>-86930.289040000018</v>
      </c>
      <c r="K45" s="193">
        <f>SUM(K44+K32+K29)</f>
        <v>-320690.34313725494</v>
      </c>
      <c r="L45" s="193">
        <f>L44+L32+L29</f>
        <v>-407620.63217725494</v>
      </c>
      <c r="M45" s="194"/>
      <c r="T45" s="187"/>
    </row>
    <row r="46" spans="1:98" ht="14.45" customHeight="1">
      <c r="A46" s="1039" t="s">
        <v>134</v>
      </c>
      <c r="B46" s="1040"/>
      <c r="C46" s="1040"/>
      <c r="D46" s="1040"/>
      <c r="E46" s="1040"/>
      <c r="F46" s="1040"/>
      <c r="G46" s="1040"/>
      <c r="H46" s="1040"/>
      <c r="I46" s="1040"/>
      <c r="J46" s="1040"/>
      <c r="K46" s="1040"/>
      <c r="L46" s="1040"/>
      <c r="M46" s="1041"/>
    </row>
    <row r="47" spans="1:98">
      <c r="A47" s="1042" t="s">
        <v>366</v>
      </c>
      <c r="B47" s="1043"/>
      <c r="C47" s="1043"/>
      <c r="D47" s="1043"/>
      <c r="E47" s="1043"/>
      <c r="F47" s="1043"/>
      <c r="G47" s="1043"/>
      <c r="H47" s="1043"/>
      <c r="I47" s="1043"/>
      <c r="J47" s="1043"/>
      <c r="K47" s="1043"/>
      <c r="L47" s="1043"/>
      <c r="M47" s="1044"/>
      <c r="O47" s="145"/>
      <c r="P47" s="195"/>
    </row>
    <row r="48" spans="1:98" ht="26.45" customHeight="1">
      <c r="A48" s="196" t="s">
        <v>135</v>
      </c>
      <c r="B48" s="197" t="s">
        <v>137</v>
      </c>
      <c r="C48" s="120" t="s">
        <v>347</v>
      </c>
      <c r="D48" s="198">
        <v>51</v>
      </c>
      <c r="E48" s="198">
        <v>1</v>
      </c>
      <c r="F48" s="117">
        <f>D48*E48</f>
        <v>51</v>
      </c>
      <c r="G48" s="198">
        <v>0.16700000000000001</v>
      </c>
      <c r="H48" s="117">
        <f>F48*G48</f>
        <v>8.5170000000000012</v>
      </c>
      <c r="I48" s="116">
        <v>8.1829999999999998</v>
      </c>
      <c r="J48" s="147">
        <f>H48-I48</f>
        <v>0.33400000000000141</v>
      </c>
      <c r="K48" s="199">
        <v>0</v>
      </c>
      <c r="L48" s="198">
        <f>J48+K48</f>
        <v>0.33400000000000141</v>
      </c>
      <c r="M48" s="152" t="s">
        <v>348</v>
      </c>
    </row>
    <row r="49" spans="1:13" ht="25.5">
      <c r="A49" s="112">
        <v>248.9</v>
      </c>
      <c r="B49" s="200" t="s">
        <v>367</v>
      </c>
      <c r="C49" s="200"/>
      <c r="D49" s="126">
        <v>51</v>
      </c>
      <c r="E49" s="126">
        <f>1330746/51</f>
        <v>26093.058823529413</v>
      </c>
      <c r="F49" s="117">
        <f t="shared" ref="F49:F58" si="9">D49*E49</f>
        <v>1330746</v>
      </c>
      <c r="G49" s="126">
        <v>0.25</v>
      </c>
      <c r="H49" s="117">
        <f t="shared" ref="H49:H58" si="10">F49*G49</f>
        <v>332686.5</v>
      </c>
      <c r="I49" s="116">
        <v>390118.75</v>
      </c>
      <c r="J49" s="147">
        <f t="shared" ref="J49:J58" si="11">H49-I49</f>
        <v>-57432.25</v>
      </c>
      <c r="K49" s="199">
        <v>0</v>
      </c>
      <c r="L49" s="198">
        <f t="shared" ref="L49:L58" si="12">J49+K49</f>
        <v>-57432.25</v>
      </c>
      <c r="M49" s="152" t="s">
        <v>350</v>
      </c>
    </row>
    <row r="50" spans="1:13" ht="26.45" customHeight="1">
      <c r="A50" s="112" t="s">
        <v>40</v>
      </c>
      <c r="B50" s="200" t="s">
        <v>368</v>
      </c>
      <c r="C50" s="200"/>
      <c r="D50" s="126">
        <v>51</v>
      </c>
      <c r="E50" s="126">
        <v>1</v>
      </c>
      <c r="F50" s="117">
        <f t="shared" si="9"/>
        <v>51</v>
      </c>
      <c r="G50" s="126">
        <v>2</v>
      </c>
      <c r="H50" s="117">
        <f t="shared" si="10"/>
        <v>102</v>
      </c>
      <c r="I50" s="116">
        <v>98</v>
      </c>
      <c r="J50" s="147">
        <f t="shared" si="11"/>
        <v>4</v>
      </c>
      <c r="K50" s="199">
        <v>0</v>
      </c>
      <c r="L50" s="198">
        <f t="shared" si="12"/>
        <v>4</v>
      </c>
      <c r="M50" s="152" t="s">
        <v>348</v>
      </c>
    </row>
    <row r="51" spans="1:13" ht="26.45" customHeight="1">
      <c r="A51" s="112" t="s">
        <v>113</v>
      </c>
      <c r="B51" s="200" t="s">
        <v>115</v>
      </c>
      <c r="C51" s="201"/>
      <c r="D51" s="116">
        <v>51</v>
      </c>
      <c r="E51" s="116">
        <v>1</v>
      </c>
      <c r="F51" s="117">
        <f t="shared" si="9"/>
        <v>51</v>
      </c>
      <c r="G51" s="116">
        <v>2</v>
      </c>
      <c r="H51" s="117">
        <f t="shared" si="10"/>
        <v>102</v>
      </c>
      <c r="I51" s="116">
        <v>98</v>
      </c>
      <c r="J51" s="147">
        <f t="shared" si="11"/>
        <v>4</v>
      </c>
      <c r="K51" s="199">
        <v>0</v>
      </c>
      <c r="L51" s="198">
        <f t="shared" si="12"/>
        <v>4</v>
      </c>
      <c r="M51" s="152" t="s">
        <v>348</v>
      </c>
    </row>
    <row r="52" spans="1:13" ht="26.45" customHeight="1">
      <c r="A52" s="112" t="s">
        <v>45</v>
      </c>
      <c r="B52" s="202" t="s">
        <v>143</v>
      </c>
      <c r="C52" s="201"/>
      <c r="D52" s="116">
        <v>51</v>
      </c>
      <c r="E52" s="116">
        <v>1</v>
      </c>
      <c r="F52" s="117">
        <f t="shared" si="9"/>
        <v>51</v>
      </c>
      <c r="G52" s="116">
        <v>0.16700000000000001</v>
      </c>
      <c r="H52" s="117">
        <f t="shared" si="10"/>
        <v>8.5170000000000012</v>
      </c>
      <c r="I52" s="116">
        <v>8.1829999999999998</v>
      </c>
      <c r="J52" s="147">
        <f t="shared" si="11"/>
        <v>0.33400000000000141</v>
      </c>
      <c r="K52" s="199">
        <v>0</v>
      </c>
      <c r="L52" s="198">
        <f t="shared" si="12"/>
        <v>0.33400000000000141</v>
      </c>
      <c r="M52" s="152" t="s">
        <v>348</v>
      </c>
    </row>
    <row r="53" spans="1:13" ht="25.5">
      <c r="A53" s="112" t="s">
        <v>211</v>
      </c>
      <c r="B53" s="202" t="s">
        <v>369</v>
      </c>
      <c r="C53" s="139"/>
      <c r="D53" s="116">
        <v>51</v>
      </c>
      <c r="E53" s="116">
        <f>(19597/51)*0.1</f>
        <v>38.425490196078435</v>
      </c>
      <c r="F53" s="117">
        <f t="shared" si="9"/>
        <v>1959.7000000000003</v>
      </c>
      <c r="G53" s="116">
        <v>0.5</v>
      </c>
      <c r="H53" s="117">
        <f t="shared" si="10"/>
        <v>979.85000000000014</v>
      </c>
      <c r="I53" s="116">
        <v>994.19999999999993</v>
      </c>
      <c r="J53" s="147">
        <f t="shared" si="11"/>
        <v>-14.349999999999795</v>
      </c>
      <c r="K53" s="199">
        <v>0</v>
      </c>
      <c r="L53" s="198">
        <f t="shared" si="12"/>
        <v>-14.349999999999795</v>
      </c>
      <c r="M53" s="152" t="s">
        <v>205</v>
      </c>
    </row>
    <row r="54" spans="1:13" ht="25.5">
      <c r="A54" s="112" t="s">
        <v>147</v>
      </c>
      <c r="B54" s="113" t="s">
        <v>61</v>
      </c>
      <c r="C54" s="139"/>
      <c r="D54" s="116">
        <v>51</v>
      </c>
      <c r="E54" s="115">
        <f>(1098*0.5)/51</f>
        <v>10.764705882352942</v>
      </c>
      <c r="F54" s="117">
        <f t="shared" si="9"/>
        <v>549</v>
      </c>
      <c r="G54" s="116">
        <v>0.5</v>
      </c>
      <c r="H54" s="117">
        <f t="shared" si="10"/>
        <v>274.5</v>
      </c>
      <c r="I54" s="116">
        <v>248.5</v>
      </c>
      <c r="J54" s="147">
        <f>H54-I54</f>
        <v>26</v>
      </c>
      <c r="K54" s="199">
        <v>0</v>
      </c>
      <c r="L54" s="198">
        <f t="shared" si="12"/>
        <v>26</v>
      </c>
      <c r="M54" s="159" t="s">
        <v>346</v>
      </c>
    </row>
    <row r="55" spans="1:13" ht="26.45" customHeight="1">
      <c r="A55" s="118" t="s">
        <v>149</v>
      </c>
      <c r="B55" s="201" t="s">
        <v>151</v>
      </c>
      <c r="C55" s="120" t="s">
        <v>212</v>
      </c>
      <c r="D55" s="116">
        <v>51</v>
      </c>
      <c r="E55" s="116">
        <v>1</v>
      </c>
      <c r="F55" s="117">
        <f t="shared" si="9"/>
        <v>51</v>
      </c>
      <c r="G55" s="116">
        <v>2</v>
      </c>
      <c r="H55" s="117">
        <f t="shared" si="10"/>
        <v>102</v>
      </c>
      <c r="I55" s="116">
        <v>98</v>
      </c>
      <c r="J55" s="147">
        <f t="shared" si="11"/>
        <v>4</v>
      </c>
      <c r="K55" s="199">
        <v>0</v>
      </c>
      <c r="L55" s="198">
        <f t="shared" si="12"/>
        <v>4</v>
      </c>
      <c r="M55" s="152" t="s">
        <v>348</v>
      </c>
    </row>
    <row r="56" spans="1:13" ht="26.45" customHeight="1">
      <c r="A56" s="118" t="s">
        <v>153</v>
      </c>
      <c r="B56" s="201" t="s">
        <v>155</v>
      </c>
      <c r="C56" s="139"/>
      <c r="D56" s="116">
        <v>51</v>
      </c>
      <c r="E56" s="116">
        <v>1</v>
      </c>
      <c r="F56" s="117">
        <f t="shared" si="9"/>
        <v>51</v>
      </c>
      <c r="G56" s="116">
        <v>1</v>
      </c>
      <c r="H56" s="117">
        <f t="shared" si="10"/>
        <v>51</v>
      </c>
      <c r="I56" s="116">
        <v>49</v>
      </c>
      <c r="J56" s="147">
        <f t="shared" si="11"/>
        <v>2</v>
      </c>
      <c r="K56" s="199">
        <v>0</v>
      </c>
      <c r="L56" s="198">
        <f t="shared" si="12"/>
        <v>2</v>
      </c>
      <c r="M56" s="152" t="s">
        <v>348</v>
      </c>
    </row>
    <row r="57" spans="1:13" ht="26.45" customHeight="1">
      <c r="A57" s="118" t="s">
        <v>87</v>
      </c>
      <c r="B57" s="201" t="s">
        <v>156</v>
      </c>
      <c r="C57" s="139"/>
      <c r="D57" s="116">
        <v>51</v>
      </c>
      <c r="E57" s="116">
        <v>1</v>
      </c>
      <c r="F57" s="117">
        <f t="shared" si="9"/>
        <v>51</v>
      </c>
      <c r="G57" s="116">
        <v>2</v>
      </c>
      <c r="H57" s="117">
        <f t="shared" si="10"/>
        <v>102</v>
      </c>
      <c r="I57" s="116">
        <v>98</v>
      </c>
      <c r="J57" s="147">
        <f t="shared" si="11"/>
        <v>4</v>
      </c>
      <c r="K57" s="199">
        <v>0</v>
      </c>
      <c r="L57" s="198">
        <f t="shared" si="12"/>
        <v>4</v>
      </c>
      <c r="M57" s="152" t="s">
        <v>348</v>
      </c>
    </row>
    <row r="58" spans="1:13" ht="26.45" customHeight="1">
      <c r="A58" s="118" t="s">
        <v>157</v>
      </c>
      <c r="B58" s="201" t="s">
        <v>370</v>
      </c>
      <c r="C58" s="139"/>
      <c r="D58" s="116">
        <v>51</v>
      </c>
      <c r="E58" s="116">
        <v>1</v>
      </c>
      <c r="F58" s="203">
        <f t="shared" si="9"/>
        <v>51</v>
      </c>
      <c r="G58" s="116">
        <v>40</v>
      </c>
      <c r="H58" s="117">
        <f t="shared" si="10"/>
        <v>2040</v>
      </c>
      <c r="I58" s="116">
        <v>1960</v>
      </c>
      <c r="J58" s="147">
        <f t="shared" si="11"/>
        <v>80</v>
      </c>
      <c r="K58" s="199">
        <v>0</v>
      </c>
      <c r="L58" s="198">
        <f t="shared" si="12"/>
        <v>80</v>
      </c>
      <c r="M58" s="152" t="s">
        <v>348</v>
      </c>
    </row>
    <row r="59" spans="1:13" ht="26.45" customHeight="1">
      <c r="A59" s="1045" t="s">
        <v>160</v>
      </c>
      <c r="B59" s="1046"/>
      <c r="C59" s="192"/>
      <c r="D59" s="204">
        <v>51</v>
      </c>
      <c r="E59" s="204">
        <f>+F59/D59</f>
        <v>26150.249019607843</v>
      </c>
      <c r="F59" s="204">
        <f>SUM(F48:F58)</f>
        <v>1333662.7</v>
      </c>
      <c r="G59" s="204">
        <f>+H59/F59</f>
        <v>0.25228034344815969</v>
      </c>
      <c r="H59" s="204">
        <f>SUM(H48:H58)</f>
        <v>336456.88399999996</v>
      </c>
      <c r="I59" s="204">
        <f>SUM(I48:I58)</f>
        <v>393778.81600000005</v>
      </c>
      <c r="J59" s="204">
        <f>SUM(J48:J58)</f>
        <v>-57321.931999999993</v>
      </c>
      <c r="K59" s="204">
        <f>SUM(K48:K58)</f>
        <v>0</v>
      </c>
      <c r="L59" s="204">
        <f>SUM(L48:L58)</f>
        <v>-57321.931999999993</v>
      </c>
      <c r="M59" s="194"/>
    </row>
    <row r="60" spans="1:13" ht="26.45" customHeight="1">
      <c r="A60" s="1045" t="s">
        <v>371</v>
      </c>
      <c r="B60" s="1046"/>
      <c r="C60" s="192"/>
      <c r="D60" s="204">
        <f>D45</f>
        <v>1351492</v>
      </c>
      <c r="E60" s="204">
        <f>F60/D60</f>
        <v>3.070231504185672</v>
      </c>
      <c r="F60" s="204">
        <f>SUM(F45+F59)</f>
        <v>4149393.316054902</v>
      </c>
      <c r="G60" s="204">
        <f>H60/F60</f>
        <v>0.28340627116563882</v>
      </c>
      <c r="H60" s="204">
        <f>SUM(H45+H59)</f>
        <v>1175964.0873027449</v>
      </c>
      <c r="I60" s="204">
        <f>SUM(I45+I59)</f>
        <v>1640906.65148</v>
      </c>
      <c r="J60" s="204">
        <f>SUM(J59+J45)</f>
        <v>-144252.22104</v>
      </c>
      <c r="K60" s="204">
        <f>SUM(K45+K59)</f>
        <v>-320690.34313725494</v>
      </c>
      <c r="L60" s="204">
        <f>SUM(L45+L59)</f>
        <v>-464942.56417725491</v>
      </c>
      <c r="M60" s="194"/>
    </row>
    <row r="61" spans="1:13">
      <c r="A61" s="205" t="s">
        <v>214</v>
      </c>
      <c r="D61" s="207"/>
    </row>
    <row r="62" spans="1:13" ht="15.75" thickBot="1">
      <c r="D62" s="209"/>
      <c r="E62" s="210"/>
      <c r="F62" s="209"/>
      <c r="G62" s="210"/>
      <c r="H62" s="209"/>
      <c r="I62" s="209"/>
      <c r="J62" s="209"/>
      <c r="K62" s="209"/>
      <c r="L62" s="209"/>
    </row>
    <row r="63" spans="1:13" ht="39" thickBot="1">
      <c r="B63" s="211" t="s">
        <v>163</v>
      </c>
      <c r="C63" s="212" t="s">
        <v>164</v>
      </c>
      <c r="D63" s="212" t="s">
        <v>165</v>
      </c>
      <c r="E63" s="212" t="s">
        <v>215</v>
      </c>
      <c r="F63" s="213" t="s">
        <v>167</v>
      </c>
      <c r="G63" s="214" t="s">
        <v>168</v>
      </c>
      <c r="I63" s="215"/>
      <c r="J63" s="216"/>
    </row>
    <row r="64" spans="1:13">
      <c r="B64" s="217" t="s">
        <v>169</v>
      </c>
      <c r="C64" s="218">
        <f>+D45</f>
        <v>1351492</v>
      </c>
      <c r="D64" s="219">
        <f>+E64/C64</f>
        <v>2.0834238131301568</v>
      </c>
      <c r="E64" s="218">
        <f>+F45</f>
        <v>2815730.6160549019</v>
      </c>
      <c r="F64" s="219">
        <f>+G64/E64</f>
        <v>0.29814897721962197</v>
      </c>
      <c r="G64" s="220">
        <f>+H45</f>
        <v>839507.20330274501</v>
      </c>
      <c r="J64" s="221"/>
    </row>
    <row r="65" spans="1:14" ht="15.75" thickBot="1">
      <c r="B65" s="222" t="s">
        <v>170</v>
      </c>
      <c r="C65" s="223">
        <f>+D59</f>
        <v>51</v>
      </c>
      <c r="D65" s="224">
        <f>+E65/C65</f>
        <v>26150.249019607843</v>
      </c>
      <c r="E65" s="225">
        <f>+F59</f>
        <v>1333662.7</v>
      </c>
      <c r="F65" s="226">
        <f>+G65/E65</f>
        <v>0.25228034344815969</v>
      </c>
      <c r="G65" s="227">
        <f>+H59</f>
        <v>336456.88399999996</v>
      </c>
      <c r="J65" s="221"/>
    </row>
    <row r="66" spans="1:14" ht="15.75" thickBot="1">
      <c r="B66" s="228" t="s">
        <v>171</v>
      </c>
      <c r="C66" s="229">
        <f>D60</f>
        <v>1351492</v>
      </c>
      <c r="D66" s="230">
        <f>+E66/C66</f>
        <v>3.070231504185672</v>
      </c>
      <c r="E66" s="229">
        <f>SUM(E64:E65)</f>
        <v>4149393.316054902</v>
      </c>
      <c r="F66" s="231">
        <f>+G66/E66</f>
        <v>0.28340627116563882</v>
      </c>
      <c r="G66" s="232">
        <f>SUM(G64:G65)</f>
        <v>1175964.0873027449</v>
      </c>
      <c r="J66" s="209"/>
    </row>
    <row r="67" spans="1:14" ht="15.75" thickBot="1">
      <c r="B67" s="92"/>
      <c r="C67" s="233"/>
      <c r="D67" s="234"/>
      <c r="E67" s="235"/>
      <c r="F67" s="236"/>
      <c r="G67" s="235"/>
      <c r="J67" s="237"/>
    </row>
    <row r="68" spans="1:14" ht="15.75" thickBot="1">
      <c r="B68" s="238"/>
      <c r="C68" s="212" t="s">
        <v>172</v>
      </c>
      <c r="D68" s="239" t="s">
        <v>173</v>
      </c>
    </row>
    <row r="69" spans="1:14">
      <c r="B69" s="97" t="s">
        <v>174</v>
      </c>
      <c r="C69" s="240">
        <v>4909194.4336000001</v>
      </c>
      <c r="D69" s="99">
        <v>1640906.65148</v>
      </c>
      <c r="E69" s="241"/>
      <c r="F69" s="242"/>
      <c r="G69" s="243"/>
    </row>
    <row r="70" spans="1:14">
      <c r="B70" s="103" t="s">
        <v>175</v>
      </c>
      <c r="C70" s="244">
        <f>+E66</f>
        <v>4149393.316054902</v>
      </c>
      <c r="D70" s="245">
        <f>+G66</f>
        <v>1175964.0873027449</v>
      </c>
      <c r="E70" s="241"/>
      <c r="F70" s="242"/>
      <c r="G70" s="246"/>
    </row>
    <row r="71" spans="1:14" ht="15.75" thickBot="1">
      <c r="B71" s="104" t="s">
        <v>176</v>
      </c>
      <c r="C71" s="105">
        <f>+C70-C69</f>
        <v>-759801.11754509807</v>
      </c>
      <c r="D71" s="106">
        <f>D70-D69</f>
        <v>-464942.56417725515</v>
      </c>
      <c r="E71" s="241"/>
      <c r="F71" s="242"/>
      <c r="G71" s="241"/>
    </row>
    <row r="72" spans="1:14">
      <c r="I72" s="207"/>
    </row>
    <row r="73" spans="1:14">
      <c r="N73" s="247"/>
    </row>
    <row r="74" spans="1:14">
      <c r="I74" s="248"/>
      <c r="J74" s="248"/>
      <c r="N74" s="247"/>
    </row>
    <row r="75" spans="1:14">
      <c r="A75"/>
      <c r="C75" s="249"/>
      <c r="E75" s="248"/>
      <c r="F75" s="250"/>
      <c r="N75" s="247"/>
    </row>
    <row r="76" spans="1:14">
      <c r="E76" s="248"/>
      <c r="F76" s="250"/>
      <c r="N76" s="247"/>
    </row>
    <row r="77" spans="1:14">
      <c r="E77" s="248"/>
      <c r="F77" s="250"/>
    </row>
    <row r="78" spans="1:14">
      <c r="C78" s="207"/>
      <c r="E78" s="248"/>
      <c r="F78" s="250"/>
    </row>
  </sheetData>
  <mergeCells count="16">
    <mergeCell ref="A29:B29"/>
    <mergeCell ref="A1:M1"/>
    <mergeCell ref="A2:M2"/>
    <mergeCell ref="A4:M4"/>
    <mergeCell ref="A5:M5"/>
    <mergeCell ref="M18:M20"/>
    <mergeCell ref="A46:M46"/>
    <mergeCell ref="A47:M47"/>
    <mergeCell ref="A59:B59"/>
    <mergeCell ref="A60:B60"/>
    <mergeCell ref="A30:M30"/>
    <mergeCell ref="A32:B32"/>
    <mergeCell ref="A33:M33"/>
    <mergeCell ref="M39:M42"/>
    <mergeCell ref="A44:B44"/>
    <mergeCell ref="A45:B4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72b1dd-36d6-4fb7-b7de-e44952ab14bb">
      <Terms xmlns="http://schemas.microsoft.com/office/infopath/2007/PartnerControls"/>
    </lcf76f155ced4ddcb4097134ff3c332f>
    <Program_x0028_s_x0029_ xmlns="1772b1dd-36d6-4fb7-b7de-e44952ab14bb" xsi:nil="true"/>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6B1C2C8A44644CAB3955E295114B19" ma:contentTypeVersion="11" ma:contentTypeDescription="Create a new document." ma:contentTypeScope="" ma:versionID="cb9321806eb542ee9d46c53aaacd13c0">
  <xsd:schema xmlns:xsd="http://www.w3.org/2001/XMLSchema" xmlns:xs="http://www.w3.org/2001/XMLSchema" xmlns:p="http://schemas.microsoft.com/office/2006/metadata/properties" xmlns:ns2="1772b1dd-36d6-4fb7-b7de-e44952ab14bb" xmlns:ns3="73fb875a-8af9-4255-b008-0995492d31cd" targetNamespace="http://schemas.microsoft.com/office/2006/metadata/properties" ma:root="true" ma:fieldsID="081e167b8b8f40cf92e9ccfd0f2ccfc7" ns2:_="" ns3:_="">
    <xsd:import namespace="1772b1dd-36d6-4fb7-b7de-e44952ab14bb"/>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Program_x0028_s_x0029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72b1dd-36d6-4fb7-b7de-e44952ab1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Program_x0028_s_x0029_" ma:index="11" nillable="true" ma:displayName="Program(s)" ma:description="Which program(s) does this file relate to?" ma:format="Dropdown" ma:internalName="Program_x0028_s_x0029_">
      <xsd:complexType>
        <xsd:complexContent>
          <xsd:extension base="dms:MultiChoice">
            <xsd:sequence>
              <xsd:element name="Value" maxOccurs="unbounded" minOccurs="0" nillable="true">
                <xsd:simpleType>
                  <xsd:restriction base="dms:Choice">
                    <xsd:enumeration value="FMNP"/>
                    <xsd:enumeration value="SFMNP"/>
                    <xsd:enumeration value="WIC"/>
                  </xsd:restriction>
                </xsd:simpleType>
              </xsd:element>
            </xsd:sequence>
          </xsd:extension>
        </xsd:complexContent>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39d2472-4343-4717-b837-7d293b89b168}" ma:internalName="TaxCatchAll" ma:showField="CatchAllData" ma:web="3323e635-b63f-4e4b-b8b4-98b05fe66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8576C1-40DB-412D-B5C2-A21926508C4E}">
  <ds:schemaRefs>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73fb875a-8af9-4255-b008-0995492d31cd"/>
    <ds:schemaRef ds:uri="1772b1dd-36d6-4fb7-b7de-e44952ab14b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D09ED8C-B1EE-4F6F-942A-5097D55B7BD9}">
  <ds:schemaRefs>
    <ds:schemaRef ds:uri="http://schemas.microsoft.com/sharepoint/v3/contenttype/forms"/>
  </ds:schemaRefs>
</ds:datastoreItem>
</file>

<file path=customXml/itemProps3.xml><?xml version="1.0" encoding="utf-8"?>
<ds:datastoreItem xmlns:ds="http://schemas.openxmlformats.org/officeDocument/2006/customXml" ds:itemID="{6FA2B27B-37EE-43CC-9F54-4D4DD0E95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72b1dd-36d6-4fb7-b7de-e44952ab14bb"/>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2025 Consolidated S-FMNP</vt:lpstr>
      <vt:lpstr>2025 WIC FMNP Only</vt:lpstr>
      <vt:lpstr>SFMNP 2026</vt:lpstr>
      <vt:lpstr>FMNP Data</vt:lpstr>
      <vt:lpstr>SFMNP Data</vt:lpstr>
      <vt:lpstr>SFMNP Annualized Cost</vt:lpstr>
      <vt:lpstr>A3 and A5</vt:lpstr>
      <vt:lpstr>Estimated Annualized Cost</vt:lpstr>
      <vt:lpstr>WIC FMNP 2024</vt:lpstr>
      <vt:lpstr>WIC FMNP 2021</vt:lpstr>
      <vt:lpstr>WIC FMNP 2018</vt:lpstr>
      <vt:lpstr>WIC FMNP 2014</vt:lpstr>
      <vt:lpstr>SFMNP 2022</vt:lpstr>
      <vt:lpstr>SFMNP 2019</vt:lpstr>
      <vt:lpstr>SFMNP 2013</vt:lpstr>
      <vt:lpstr>SFMNP 2010</vt:lpstr>
      <vt:lpstr>Consolidated_Outlets</vt:lpstr>
      <vt:lpstr>Consolidated_SAs</vt:lpstr>
      <vt:lpstr>F_auto</vt:lpstr>
      <vt:lpstr>F_hybrid</vt:lpstr>
      <vt:lpstr>F_mail</vt:lpstr>
      <vt:lpstr>FMNP_eSol</vt:lpstr>
      <vt:lpstr>FMNP_LAs</vt:lpstr>
      <vt:lpstr>FMNP_Outlet_Complaints</vt:lpstr>
      <vt:lpstr>FMNP_outlets</vt:lpstr>
      <vt:lpstr>FMNP_paper</vt:lpstr>
      <vt:lpstr>FMNP_participants</vt:lpstr>
      <vt:lpstr>FMNP_SAs</vt:lpstr>
      <vt:lpstr>Prev_FMNP_outlets</vt:lpstr>
      <vt:lpstr>Prev_SFMNP_outlets</vt:lpstr>
      <vt:lpstr>Prev_SFMNP_participants</vt:lpstr>
      <vt:lpstr>S_auto</vt:lpstr>
      <vt:lpstr>S_hybrid</vt:lpstr>
      <vt:lpstr>S_mail</vt:lpstr>
      <vt:lpstr>SFMNP_eSol</vt:lpstr>
      <vt:lpstr>SFMNP_LAs</vt:lpstr>
      <vt:lpstr>SFMNP_Outlet_Complaints</vt:lpstr>
      <vt:lpstr>SFMNP_outlets</vt:lpstr>
      <vt:lpstr>SFMNP_paper</vt:lpstr>
      <vt:lpstr>SFMNP_Participant_Complaints</vt:lpstr>
      <vt:lpstr>SFMNP_participants</vt:lpstr>
      <vt:lpstr>SFMNP_SAs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Ragland-Greene, Rachelle - OCIO-OCIO, DC</dc:creator>
  <cp:keywords/>
  <dc:description/>
  <cp:lastModifiedBy>Clark, Lauren - FNS</cp:lastModifiedBy>
  <cp:revision/>
  <dcterms:created xsi:type="dcterms:W3CDTF">2025-03-03T17:07:50Z</dcterms:created>
  <dcterms:modified xsi:type="dcterms:W3CDTF">2026-06-01T12:44:15Z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0x010100276B1C2C8A44644CAB3955E295114B19</vt:lpwstr>
  </property>
  <property fmtid="{D5CDD505-2E9C-101B-9397-08002B2CF9AE}" pid="3" name="MediaServiceImageTags">
    <vt:lpwstr/>
  </property>
  <property fmtid="{D5CDD505-2E9C-101B-9397-08002B2CF9AE}" pid="4" name="EmailDraft">
    <vt:bool>true</vt:bool>
  </property>
  <property fmtid="{D5CDD505-2E9C-101B-9397-08002B2CF9AE}" pid="5" name="Cleared">
    <vt:bool>true</vt:bool>
  </property>
</Properties>
</file>