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codeName="{899C9086-67A9-5B14-2C2D-5A8001700F7D}"/>
  <workbookPr codeName="ThisWorkbook"/>
  <mc:AlternateContent xmlns:mc="http://schemas.openxmlformats.org/markup-compatibility/2006">
    <mc:Choice Requires="x15">
      <x15ac:absPath xmlns:x15ac="http://schemas.microsoft.com/office/spreadsheetml/2010/11/ac" url="H:\CCD\ICR\ICR 0783.66 (Tier 3 2025 renewal)\Second FR Notice\forms\Forms\"/>
    </mc:Choice>
  </mc:AlternateContent>
  <xr:revisionPtr revIDLastSave="0" documentId="13_ncr:1_{A63773B7-C10F-4022-B76F-1CAAB315282E}" xr6:coauthVersionLast="47" xr6:coauthVersionMax="47" xr10:uidLastSave="{00000000-0000-0000-0000-000000000000}"/>
  <bookViews>
    <workbookView xWindow="-108" yWindow="-108" windowWidth="23256" windowHeight="12456" xr2:uid="{00000000-000D-0000-FFFF-FFFF00000000}"/>
  </bookViews>
  <sheets>
    <sheet name="Instructions" sheetId="5" r:id="rId1"/>
    <sheet name="Version Notes" sheetId="1" r:id="rId2"/>
    <sheet name="Label Inputs" sheetId="2" r:id="rId3"/>
    <sheet name="PHEV Calculator" sheetId="3" r:id="rId4"/>
  </sheets>
  <functionGroups builtInGroupCount="19"/>
  <definedNames>
    <definedName name="_xleta.ABS" hidden="1" xlm="1">#NAME?</definedName>
    <definedName name="_xlnm.Print_Titles" localSheetId="2">'Label Inputs'!$2:$3</definedName>
    <definedName name="_xlnm.Print_Titles" localSheetId="1">'Version Notes'!$1:$1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14" i="2" l="1"/>
  <c r="AD113" i="2"/>
  <c r="AD112" i="2"/>
  <c r="AD111" i="2"/>
  <c r="AD110" i="2"/>
  <c r="AD109" i="2"/>
  <c r="AD108" i="2"/>
  <c r="AD107" i="2"/>
  <c r="AD106" i="2"/>
  <c r="J26" i="3"/>
  <c r="J25" i="3"/>
  <c r="J24" i="3"/>
  <c r="J23" i="3"/>
  <c r="J22" i="3" a="1"/>
  <c r="J22" i="3" s="1"/>
  <c r="J31" i="3"/>
  <c r="J30" i="3"/>
  <c r="J29" i="3"/>
  <c r="O136" i="3" l="1"/>
  <c r="O87" i="3"/>
  <c r="O38" i="3"/>
  <c r="J34" i="3"/>
  <c r="J33" i="3"/>
  <c r="J32" i="3"/>
  <c r="P140" i="3"/>
  <c r="O140" i="3"/>
  <c r="P91" i="3"/>
  <c r="O91" i="3"/>
  <c r="P42" i="3"/>
  <c r="O42" i="3"/>
  <c r="D24" i="3"/>
  <c r="E20" i="3"/>
  <c r="D20" i="3"/>
  <c r="E19" i="3"/>
  <c r="D19" i="3"/>
  <c r="F66" i="3" a="1"/>
  <c r="F97" i="3" a="1"/>
  <c r="Y79" i="3" a="1"/>
  <c r="F48" i="3" a="1"/>
  <c r="F65" i="3" a="1"/>
  <c r="F53" i="3" a="1"/>
  <c r="F64" i="3" a="1"/>
  <c r="X128" i="3" a="1"/>
  <c r="F89" i="3" a="1"/>
  <c r="F96" i="3" a="1"/>
  <c r="F62" i="3" a="1"/>
  <c r="F82" i="3" a="1"/>
  <c r="X30" i="3" a="1"/>
  <c r="F55" i="3" a="1"/>
  <c r="Y30" i="3" a="1"/>
  <c r="F56" i="3" a="1"/>
  <c r="Y128" i="3" a="1"/>
  <c r="F60" i="3" a="1"/>
  <c r="E75" i="3" a="1"/>
  <c r="F88" i="3" a="1"/>
  <c r="F76" i="3" a="1"/>
  <c r="F61" i="3" a="1"/>
  <c r="E76" i="3" a="1"/>
  <c r="F51" i="3" a="1"/>
  <c r="F52" i="3" a="1"/>
  <c r="F84" i="3" a="1"/>
  <c r="F50" i="3" a="1"/>
  <c r="F19" i="3" a="1"/>
  <c r="F54" i="3" a="1"/>
  <c r="D22" i="3" a="1"/>
  <c r="E22" i="3" a="1"/>
  <c r="F90" i="3" a="1"/>
  <c r="E23" i="3" a="1"/>
  <c r="D23" i="3" a="1"/>
  <c r="F92" i="3" a="1"/>
  <c r="F85" i="3" a="1"/>
  <c r="F93" i="3" a="1"/>
  <c r="F83" i="3" a="1"/>
  <c r="F58" i="3" a="1"/>
  <c r="F100" i="3" a="1"/>
  <c r="F87" i="3" a="1"/>
  <c r="F20" i="3" a="1"/>
  <c r="X79" i="3" a="1"/>
  <c r="F49" i="3" a="1"/>
  <c r="F101" i="3" a="1"/>
  <c r="F59" i="3" a="1"/>
  <c r="F63" i="3" a="1"/>
  <c r="F75" i="3" a="1"/>
  <c r="F86" i="3" a="1"/>
  <c r="X128" i="3" l="1"/>
  <c r="Y128" i="3"/>
  <c r="X79" i="3"/>
  <c r="Y79" i="3"/>
  <c r="Y30" i="3"/>
  <c r="X30" i="3"/>
  <c r="F87" i="3"/>
  <c r="F86" i="3"/>
  <c r="F85" i="3"/>
  <c r="F90" i="3"/>
  <c r="F89" i="3"/>
  <c r="F88" i="3"/>
  <c r="F84" i="3"/>
  <c r="F83" i="3"/>
  <c r="F82" i="3"/>
  <c r="F101" i="3"/>
  <c r="F100" i="3"/>
  <c r="F97" i="3"/>
  <c r="F96" i="3"/>
  <c r="F93" i="3"/>
  <c r="F92" i="3"/>
  <c r="F76" i="3"/>
  <c r="F75" i="3"/>
  <c r="E76" i="3"/>
  <c r="E75" i="3"/>
  <c r="F63" i="3"/>
  <c r="F62" i="3"/>
  <c r="F61" i="3"/>
  <c r="F60" i="3"/>
  <c r="F59" i="3"/>
  <c r="F58" i="3"/>
  <c r="F66" i="3"/>
  <c r="F65" i="3"/>
  <c r="F64" i="3"/>
  <c r="F56" i="3"/>
  <c r="F55" i="3"/>
  <c r="F54" i="3"/>
  <c r="F53" i="3"/>
  <c r="F52" i="3"/>
  <c r="F51" i="3"/>
  <c r="F50" i="3"/>
  <c r="F49" i="3"/>
  <c r="F48" i="3"/>
  <c r="E23" i="3"/>
  <c r="D23" i="3"/>
  <c r="E22" i="3"/>
  <c r="D22" i="3"/>
  <c r="F20" i="3"/>
  <c r="F98" i="3" s="1"/>
  <c r="F19" i="3"/>
  <c r="F94" i="3" s="1"/>
  <c r="X129" i="3" a="1"/>
  <c r="E73" i="3"/>
  <c r="F22" i="3" a="1"/>
  <c r="F102" i="3" a="1"/>
  <c r="F72" i="3"/>
  <c r="Y129" i="3" a="1"/>
  <c r="E72" i="3"/>
  <c r="F78" i="3"/>
  <c r="E78" i="3"/>
  <c r="F79" i="3"/>
  <c r="F73" i="3"/>
  <c r="E79" i="3"/>
  <c r="Y80" i="3" a="1"/>
  <c r="Y31" i="3" a="1"/>
  <c r="X80" i="3" a="1"/>
  <c r="E80" i="3"/>
  <c r="X31" i="3" a="1"/>
  <c r="F77" i="3"/>
  <c r="F22" i="3" l="1"/>
  <c r="Y31" i="3"/>
  <c r="X31" i="3"/>
  <c r="Y129" i="3"/>
  <c r="X129" i="3"/>
  <c r="Y80" i="3"/>
  <c r="X80" i="3"/>
  <c r="F102" i="3"/>
  <c r="X101" i="3"/>
  <c r="X52" i="3"/>
  <c r="P137" i="3"/>
  <c r="O137" i="3"/>
  <c r="P88" i="3"/>
  <c r="O88" i="3"/>
  <c r="P39" i="3"/>
  <c r="O39" i="3"/>
  <c r="F80" i="3"/>
  <c r="E12" i="3" a="1"/>
  <c r="F23" i="3" a="1"/>
  <c r="E77" i="3"/>
  <c r="Z31" i="3" a="1"/>
  <c r="Z80" i="3" a="1"/>
  <c r="D12" i="3" a="1"/>
  <c r="P138" i="3" l="1"/>
  <c r="P141" i="3" s="1"/>
  <c r="U135" i="3" s="1" a="1"/>
  <c r="P89" i="3"/>
  <c r="P92" i="3" s="1"/>
  <c r="U86" i="3" s="1" a="1"/>
  <c r="Z31" i="3"/>
  <c r="Z80" i="3"/>
  <c r="F74" i="3"/>
  <c r="F23" i="3"/>
  <c r="E74" i="3" s="1"/>
  <c r="E12" i="3"/>
  <c r="D12" i="3"/>
  <c r="Z129" i="3" a="1"/>
  <c r="U135" i="3" l="1"/>
  <c r="U86" i="3"/>
  <c r="Z129" i="3"/>
  <c r="F10" i="3"/>
  <c r="F12" i="3"/>
  <c r="O138" i="3"/>
  <c r="O141" i="3" s="1"/>
  <c r="T135" i="3" s="1" a="1"/>
  <c r="O89" i="3"/>
  <c r="O92" i="3" s="1"/>
  <c r="T86" i="3" s="1" a="1"/>
  <c r="U134" i="3" a="1"/>
  <c r="U146" i="3" a="1"/>
  <c r="U139" i="3" a="1"/>
  <c r="U140" i="3" a="1"/>
  <c r="U142" i="3" a="1"/>
  <c r="U145" i="3" a="1"/>
  <c r="U91" i="3" a="1"/>
  <c r="U90" i="3" a="1"/>
  <c r="U96" i="3" a="1"/>
  <c r="U97" i="3" a="1"/>
  <c r="U93" i="3" a="1"/>
  <c r="U85" i="3" a="1"/>
  <c r="T135" i="3" l="1"/>
  <c r="T86" i="3"/>
  <c r="U146" i="3"/>
  <c r="U145" i="3"/>
  <c r="U97" i="3"/>
  <c r="U96" i="3"/>
  <c r="U85" i="3"/>
  <c r="U134" i="3"/>
  <c r="U142" i="3"/>
  <c r="U140" i="3"/>
  <c r="U139" i="3"/>
  <c r="U91" i="3"/>
  <c r="U90" i="3"/>
  <c r="U93" i="3"/>
  <c r="U137" i="3" a="1"/>
  <c r="U141" i="3" a="1"/>
  <c r="T140" i="3" a="1"/>
  <c r="T142" i="3" a="1"/>
  <c r="T134" i="3" a="1"/>
  <c r="T145" i="3" a="1"/>
  <c r="T139" i="3" a="1"/>
  <c r="T146" i="3" a="1"/>
  <c r="T90" i="3" a="1"/>
  <c r="T93" i="3" a="1"/>
  <c r="T85" i="3" a="1"/>
  <c r="T91" i="3" a="1"/>
  <c r="T97" i="3" a="1"/>
  <c r="T96" i="3" a="1"/>
  <c r="U88" i="3" a="1"/>
  <c r="U92" i="3" a="1"/>
  <c r="T146" i="3" l="1"/>
  <c r="T145" i="3"/>
  <c r="U88" i="3"/>
  <c r="T97" i="3"/>
  <c r="T96" i="3"/>
  <c r="T142" i="3"/>
  <c r="U137" i="3"/>
  <c r="T134" i="3"/>
  <c r="T139" i="3"/>
  <c r="T140" i="3"/>
  <c r="U141" i="3"/>
  <c r="U92" i="3"/>
  <c r="T93" i="3"/>
  <c r="T85" i="3"/>
  <c r="T90" i="3"/>
  <c r="T91" i="3"/>
  <c r="U143" i="3" a="1"/>
  <c r="T137" i="3" a="1"/>
  <c r="T88" i="3" a="1"/>
  <c r="U94" i="3" a="1"/>
  <c r="U143" i="3" l="1"/>
  <c r="P143" i="3" s="1"/>
  <c r="P144" i="3" s="1"/>
  <c r="Y120" i="3" s="1" a="1"/>
  <c r="T137" i="3"/>
  <c r="U94" i="3"/>
  <c r="P94" i="3" s="1"/>
  <c r="P95" i="3" s="1"/>
  <c r="T88" i="3"/>
  <c r="X3" i="3"/>
  <c r="T141" i="3" a="1"/>
  <c r="T92" i="3" a="1"/>
  <c r="Y131" i="3" l="1"/>
  <c r="Y82" i="3"/>
  <c r="Y120" i="3"/>
  <c r="T141" i="3"/>
  <c r="T92" i="3"/>
  <c r="P40" i="3"/>
  <c r="P43" i="3" s="1"/>
  <c r="U47" i="3" s="1" a="1"/>
  <c r="O40" i="3"/>
  <c r="O43" i="3" s="1"/>
  <c r="T37" i="3" s="1" a="1"/>
  <c r="U101" i="3"/>
  <c r="U52" i="3"/>
  <c r="U3" i="3"/>
  <c r="Y104" i="3" a="1"/>
  <c r="Y110" i="3" a="1"/>
  <c r="Y105" i="3" a="1"/>
  <c r="Y135" i="3" a="1"/>
  <c r="Y109" i="3" a="1"/>
  <c r="Y134" i="3" a="1"/>
  <c r="Y107" i="3" a="1"/>
  <c r="T143" i="3" a="1"/>
  <c r="Y60" i="3" a="1"/>
  <c r="Y56" i="3" a="1"/>
  <c r="Y55" i="3" a="1"/>
  <c r="Y58" i="3" a="1"/>
  <c r="Y61" i="3" a="1"/>
  <c r="T94" i="3" a="1"/>
  <c r="Y71" i="3" a="1"/>
  <c r="Y86" i="3" a="1"/>
  <c r="Y121" i="3" a="1"/>
  <c r="Y134" i="3" l="1"/>
  <c r="Y135" i="3"/>
  <c r="Y86" i="3"/>
  <c r="Y71" i="3"/>
  <c r="T37" i="3"/>
  <c r="Y105" i="3"/>
  <c r="Y110" i="3"/>
  <c r="Y104" i="3"/>
  <c r="Y107" i="3"/>
  <c r="Y132" i="3" s="1"/>
  <c r="Y109" i="3"/>
  <c r="Y121" i="3"/>
  <c r="Y58" i="3"/>
  <c r="Y83" i="3" s="1"/>
  <c r="Y55" i="3"/>
  <c r="Y56" i="3"/>
  <c r="Y60" i="3"/>
  <c r="Y61" i="3"/>
  <c r="U47" i="3"/>
  <c r="T143" i="3"/>
  <c r="T94" i="3"/>
  <c r="O94" i="3" s="1"/>
  <c r="O95" i="3" s="1"/>
  <c r="X71" i="3" s="1" a="1"/>
  <c r="Y133" i="3" a="1"/>
  <c r="Y84" i="3" a="1"/>
  <c r="Y85" i="3" a="1"/>
  <c r="U41" i="3" a="1"/>
  <c r="U44" i="3" a="1"/>
  <c r="U36" i="3" a="1"/>
  <c r="T48" i="3" a="1"/>
  <c r="T44" i="3" a="1"/>
  <c r="U48" i="3" a="1"/>
  <c r="T42" i="3" a="1"/>
  <c r="U37" i="3" a="1"/>
  <c r="T41" i="3" a="1"/>
  <c r="U42" i="3" a="1"/>
  <c r="T36" i="3" a="1"/>
  <c r="T47" i="3" a="1"/>
  <c r="Y72" i="3" a="1"/>
  <c r="F68" i="3" a="1"/>
  <c r="E31" i="3" a="1"/>
  <c r="U37" i="3" l="1"/>
  <c r="T47" i="3"/>
  <c r="Y133" i="3"/>
  <c r="Y84" i="3"/>
  <c r="Y85" i="3"/>
  <c r="Y72" i="3"/>
  <c r="F68" i="3"/>
  <c r="X82" i="3"/>
  <c r="U48" i="3"/>
  <c r="E32" i="3" s="1"/>
  <c r="T41" i="3"/>
  <c r="T48" i="3"/>
  <c r="D32" i="3" s="1"/>
  <c r="U41" i="3"/>
  <c r="X71" i="3"/>
  <c r="E31" i="3"/>
  <c r="U42" i="3"/>
  <c r="U44" i="3"/>
  <c r="T44" i="3"/>
  <c r="T42" i="3"/>
  <c r="U36" i="3"/>
  <c r="T36" i="3"/>
  <c r="Z76" i="3" a="1"/>
  <c r="X85" i="3" a="1"/>
  <c r="X61" i="3" a="1"/>
  <c r="T43" i="3" a="1"/>
  <c r="Z65" i="3" a="1"/>
  <c r="Z77" i="3" a="1"/>
  <c r="X58" i="3" a="1"/>
  <c r="X60" i="3" a="1"/>
  <c r="X55" i="3" a="1"/>
  <c r="Z71" i="3" a="1"/>
  <c r="U39" i="3" a="1"/>
  <c r="X56" i="3" a="1"/>
  <c r="Z69" i="3" a="1"/>
  <c r="Z74" i="3" a="1"/>
  <c r="Z67" i="3" a="1"/>
  <c r="Z64" i="3" a="1"/>
  <c r="Z68" i="3" a="1"/>
  <c r="T39" i="3" a="1"/>
  <c r="U43" i="3" a="1"/>
  <c r="F105" i="3" a="1"/>
  <c r="F109" i="3" a="1"/>
  <c r="D31" i="3" a="1"/>
  <c r="F104" i="3" a="1"/>
  <c r="F69" i="3" a="1"/>
  <c r="F32" i="3" a="1"/>
  <c r="D31" i="3" l="1"/>
  <c r="X85" i="3"/>
  <c r="F105" i="3"/>
  <c r="F104" i="3"/>
  <c r="F32" i="3"/>
  <c r="F33" i="3" s="1" a="1"/>
  <c r="F33" i="3" s="1"/>
  <c r="F69" i="3"/>
  <c r="F109" i="3"/>
  <c r="Z65" i="3"/>
  <c r="Z76" i="3"/>
  <c r="Z77" i="3"/>
  <c r="Z74" i="3"/>
  <c r="Z75" i="3" s="1"/>
  <c r="Z64" i="3"/>
  <c r="Z66" i="3" s="1" a="1"/>
  <c r="Z69" i="3"/>
  <c r="Z67" i="3"/>
  <c r="Z68" i="3"/>
  <c r="X58" i="3"/>
  <c r="X83" i="3" s="1"/>
  <c r="X61" i="3"/>
  <c r="X56" i="3"/>
  <c r="X55" i="3"/>
  <c r="X60" i="3"/>
  <c r="Z71" i="3"/>
  <c r="Z72" i="3" s="1" a="1"/>
  <c r="T43" i="3"/>
  <c r="U43" i="3"/>
  <c r="T39" i="3"/>
  <c r="U39" i="3"/>
  <c r="X84" i="3" a="1"/>
  <c r="X86" i="3" a="1"/>
  <c r="T45" i="3" a="1"/>
  <c r="U45" i="3" a="1"/>
  <c r="F108" i="3" a="1"/>
  <c r="Z60" i="3" a="1"/>
  <c r="X72" i="3" a="1"/>
  <c r="F70" i="3" a="1"/>
  <c r="Z56" i="3" a="1"/>
  <c r="Z55" i="3" a="1"/>
  <c r="F31" i="3" a="1"/>
  <c r="Z61" i="3" a="1"/>
  <c r="X86" i="3" l="1"/>
  <c r="F106" i="3"/>
  <c r="F108" i="3"/>
  <c r="X84" i="3"/>
  <c r="X72" i="3"/>
  <c r="F70" i="3"/>
  <c r="F31" i="3"/>
  <c r="F34" i="3" s="1" a="1"/>
  <c r="F34" i="3" s="1"/>
  <c r="Z66" i="3"/>
  <c r="Z60" i="3"/>
  <c r="Z55" i="3"/>
  <c r="Z56" i="3"/>
  <c r="Z61" i="3"/>
  <c r="Z72" i="3"/>
  <c r="T45" i="3"/>
  <c r="U45" i="3"/>
  <c r="P45" i="3" s="1"/>
  <c r="P46" i="3" s="1"/>
  <c r="Y22" i="3" s="1" a="1"/>
  <c r="Z58" i="3" a="1"/>
  <c r="Z58" i="3" l="1"/>
  <c r="F110" i="3"/>
  <c r="Y33" i="3"/>
  <c r="O45" i="3"/>
  <c r="O46" i="3" s="1"/>
  <c r="Y22" i="3"/>
  <c r="Y11" i="3" a="1"/>
  <c r="Y12" i="3" a="1"/>
  <c r="Y9" i="3" a="1"/>
  <c r="Y6" i="3" a="1"/>
  <c r="Y7" i="3" a="1"/>
  <c r="Y37" i="3" a="1"/>
  <c r="F29" i="3" a="1"/>
  <c r="E38" i="3" a="1"/>
  <c r="Y23" i="3" a="1"/>
  <c r="F29" i="3" l="1"/>
  <c r="F30" i="3" s="1"/>
  <c r="Y37" i="3"/>
  <c r="X33" i="3"/>
  <c r="Y6" i="3"/>
  <c r="E6" i="3" s="1"/>
  <c r="E38" i="3"/>
  <c r="Y23" i="3"/>
  <c r="E27" i="3" s="1"/>
  <c r="E26" i="3"/>
  <c r="Y7" i="3"/>
  <c r="E7" i="3" s="1"/>
  <c r="Y9" i="3"/>
  <c r="Y11" i="3"/>
  <c r="Y12" i="3"/>
  <c r="E44" i="3"/>
  <c r="X6" i="3" a="1"/>
  <c r="Z15" i="3" a="1"/>
  <c r="X36" i="3" a="1"/>
  <c r="Z28" i="3" a="1"/>
  <c r="Z20" i="3" a="1"/>
  <c r="Z27" i="3" a="1"/>
  <c r="X9" i="3" a="1"/>
  <c r="Z25" i="3" a="1"/>
  <c r="Z16" i="3" a="1"/>
  <c r="X12" i="3" a="1"/>
  <c r="X11" i="3" a="1"/>
  <c r="Y35" i="3" a="1"/>
  <c r="X22" i="3" a="1"/>
  <c r="Y36" i="3" a="1"/>
  <c r="Z19" i="3" a="1"/>
  <c r="X7" i="3" a="1"/>
  <c r="Z18" i="3" a="1"/>
  <c r="E16" i="3" a="1"/>
  <c r="E15" i="3" a="1"/>
  <c r="Y36" i="3" l="1"/>
  <c r="Y35" i="3"/>
  <c r="E9" i="3"/>
  <c r="Y34" i="3"/>
  <c r="X36" i="3"/>
  <c r="Z28" i="3"/>
  <c r="Z20" i="3"/>
  <c r="X6" i="3"/>
  <c r="Z27" i="3"/>
  <c r="X9" i="3"/>
  <c r="X34" i="3" s="1"/>
  <c r="X7" i="3"/>
  <c r="Z25" i="3"/>
  <c r="Z26" i="3" s="1"/>
  <c r="Z19" i="3"/>
  <c r="X11" i="3"/>
  <c r="Z15" i="3"/>
  <c r="Z17" i="3" s="1" a="1"/>
  <c r="X22" i="3"/>
  <c r="Z16" i="3"/>
  <c r="X12" i="3"/>
  <c r="Z18" i="3"/>
  <c r="E16" i="3"/>
  <c r="E15" i="3"/>
  <c r="X37" i="3" a="1"/>
  <c r="X35" i="3" a="1"/>
  <c r="Z12" i="3" a="1"/>
  <c r="E42" i="3" a="1"/>
  <c r="Z7" i="3" a="1"/>
  <c r="E41" i="3" a="1"/>
  <c r="E40" i="3" a="1"/>
  <c r="E39" i="3" a="1"/>
  <c r="Z6" i="3" a="1"/>
  <c r="X23" i="3" a="1"/>
  <c r="X37" i="3" l="1"/>
  <c r="E41" i="3"/>
  <c r="X35" i="3"/>
  <c r="X23" i="3"/>
  <c r="Z17" i="3"/>
  <c r="E45" i="3"/>
  <c r="E40" i="3"/>
  <c r="E42" i="3"/>
  <c r="E39" i="3"/>
  <c r="Z12" i="3"/>
  <c r="Z7" i="3"/>
  <c r="Z6" i="3"/>
  <c r="Z22" i="3" a="1"/>
  <c r="Z11" i="3" a="1"/>
  <c r="Z9" i="3" a="1"/>
  <c r="Z9" i="3" l="1"/>
  <c r="Z22" i="3"/>
  <c r="Z23" i="3" s="1" a="1"/>
  <c r="Z11" i="3"/>
  <c r="O143" i="3"/>
  <c r="O144" i="3" s="1"/>
  <c r="X120" i="3" s="1" a="1"/>
  <c r="X131" i="3" l="1"/>
  <c r="Z23" i="3"/>
  <c r="X120" i="3"/>
  <c r="D26" i="3" s="1"/>
  <c r="Z116" i="3" a="1"/>
  <c r="Z125" i="3" a="1"/>
  <c r="Z114" i="3" a="1"/>
  <c r="Z126" i="3" a="1"/>
  <c r="Z118" i="3" a="1"/>
  <c r="Z113" i="3" a="1"/>
  <c r="Z123" i="3" a="1"/>
  <c r="Z117" i="3" a="1"/>
  <c r="X135" i="3" a="1"/>
  <c r="X107" i="3" a="1"/>
  <c r="X105" i="3" a="1"/>
  <c r="X110" i="3" a="1"/>
  <c r="X104" i="3" a="1"/>
  <c r="X109" i="3" a="1"/>
  <c r="X134" i="3" a="1"/>
  <c r="F26" i="3" a="1"/>
  <c r="D38" i="3" a="1"/>
  <c r="X134" i="3" l="1"/>
  <c r="X135" i="3"/>
  <c r="D38" i="3"/>
  <c r="X107" i="3"/>
  <c r="X104" i="3"/>
  <c r="D6" i="3" s="1"/>
  <c r="X105" i="3"/>
  <c r="D7" i="3" s="1"/>
  <c r="X110" i="3"/>
  <c r="X109" i="3"/>
  <c r="F26" i="3"/>
  <c r="D44" i="3"/>
  <c r="Z113" i="3"/>
  <c r="Z115" i="3" s="1" a="1"/>
  <c r="Z126" i="3"/>
  <c r="Z116" i="3"/>
  <c r="Z118" i="3"/>
  <c r="E24" i="3" s="1"/>
  <c r="Z117" i="3"/>
  <c r="Z125" i="3"/>
  <c r="Z123" i="3"/>
  <c r="Z124" i="3" s="1"/>
  <c r="Z114" i="3"/>
  <c r="X133" i="3" a="1"/>
  <c r="D16" i="3" a="1"/>
  <c r="X121" i="3" a="1"/>
  <c r="D15" i="3" a="1"/>
  <c r="F27" i="3" a="1"/>
  <c r="F6" i="3" a="1"/>
  <c r="Z110" i="3" a="1"/>
  <c r="F7" i="3" a="1"/>
  <c r="F24" i="3" a="1"/>
  <c r="X121" i="3" l="1"/>
  <c r="D27" i="3" s="1"/>
  <c r="X133" i="3"/>
  <c r="D9" i="3"/>
  <c r="X132" i="3"/>
  <c r="Z110" i="3"/>
  <c r="D16" i="3"/>
  <c r="F7" i="3"/>
  <c r="D15" i="3"/>
  <c r="F6" i="3"/>
  <c r="F27" i="3"/>
  <c r="F24" i="3"/>
  <c r="Z115" i="3"/>
  <c r="Z120" i="3" a="1"/>
  <c r="F16" i="3" a="1"/>
  <c r="F15" i="3" a="1"/>
  <c r="Z107" i="3" a="1"/>
  <c r="D40" i="3" a="1"/>
  <c r="F9" i="3" a="1"/>
  <c r="D42" i="3" a="1"/>
  <c r="Z109" i="3" a="1"/>
  <c r="D39" i="3" a="1"/>
  <c r="Z105" i="3" a="1"/>
  <c r="Z104" i="3" a="1"/>
  <c r="F21" i="3" a="1"/>
  <c r="F21" i="3" l="1"/>
  <c r="F112" i="3" s="1"/>
  <c r="F9" i="3"/>
  <c r="D40" i="3"/>
  <c r="D39" i="3"/>
  <c r="D42" i="3"/>
  <c r="Z105" i="3"/>
  <c r="Z104" i="3"/>
  <c r="F15" i="3"/>
  <c r="F16" i="3"/>
  <c r="Z120" i="3"/>
  <c r="Z121" i="3" s="1" a="1"/>
  <c r="Z109" i="3"/>
  <c r="Z107" i="3"/>
  <c r="D41" i="3" a="1"/>
  <c r="D41" i="3" l="1"/>
  <c r="D45" i="3"/>
  <c r="F45" i="3" s="1"/>
  <c r="Z12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French, Roberts</author>
    <author>ctsuser</author>
    <author>Roberts French</author>
    <author>Peavyhouse, Robert</author>
  </authors>
  <commentList>
    <comment ref="C5" authorId="0" shapeId="0" xr:uid="{8AE93065-AD4D-44D5-84D8-3EDC49295A5B}">
      <text>
        <r>
          <rPr>
            <sz val="9"/>
            <color indexed="81"/>
            <rFont val="Tahoma"/>
            <family val="2"/>
          </rPr>
          <t>To access alternative fuel credits, a PHEV must (1) be as efficient on electricity as on gasoline, (2) for passenger cars, meet or exceed the minimum all-electric range criteria of 7.5 miles on the UDDS and 110.2 miles on the HFET, each started with fully charged battery. See 49 U.S.C. 32901 and 32905.</t>
        </r>
      </text>
    </comment>
    <comment ref="F5" authorId="0" shapeId="0" xr:uid="{2266CA43-FD8C-41F6-B177-56706FDB036A}">
      <text>
        <r>
          <rPr>
            <sz val="9"/>
            <color indexed="81"/>
            <rFont val="Tahoma"/>
            <family val="2"/>
          </rPr>
          <t>Combined values are not used in calculations and are provided only for informational purposes. These values reflect a 55% and 45% weighting of City and Highway, respectively.</t>
        </r>
      </text>
    </comment>
    <comment ref="Z5" authorId="0" shapeId="0" xr:uid="{71596538-8F97-49FD-9461-96596F2257A7}">
      <text>
        <r>
          <rPr>
            <sz val="9"/>
            <color indexed="81"/>
            <rFont val="Tahoma"/>
            <family val="2"/>
          </rPr>
          <t>Combined values are not used in calculations and are provided only for informational purposes. These values reflect a 55% and 45% weighting of City and Highway, respectively.</t>
        </r>
      </text>
    </comment>
    <comment ref="C6" authorId="0" shapeId="0" xr:uid="{FF3E0348-2F13-4940-814A-5D2BF27AF661}">
      <text>
        <r>
          <rPr>
            <sz val="9"/>
            <color indexed="81"/>
            <rFont val="Tahoma"/>
            <family val="2"/>
          </rPr>
          <t>As required by 49 U.S.C. 32905(e), the results of this calculation will be used unless, for 2016 and later models,  the manufacturer requests the alternative utility factor based calculation.</t>
        </r>
      </text>
    </comment>
    <comment ref="F6" authorId="0" shapeId="0" xr:uid="{B19EF89B-6FA6-4627-AC7E-7672CDD6DE38}">
      <text>
        <r>
          <rPr>
            <sz val="9"/>
            <color indexed="81"/>
            <rFont val="Tahoma"/>
            <family val="2"/>
          </rPr>
          <t xml:space="preserve">Combined value is shown for informational purposes only, and is based on unrounded City and Highway values. Provide the rounded City and Highway values to EPA for CAFE calculations. </t>
        </r>
      </text>
    </comment>
    <comment ref="C7" authorId="0" shapeId="0" xr:uid="{B5D991E1-D772-4BD3-8820-193A7ED02F40}">
      <text>
        <r>
          <rPr>
            <sz val="9"/>
            <color indexed="81"/>
            <rFont val="Tahoma"/>
            <family val="2"/>
          </rPr>
          <t xml:space="preserve">Under the requirements of 49 U.S.C. 32905(e), for 2016 and later model years only, this utility factor calculation may be used  upon the request of the manufacturer. </t>
        </r>
      </text>
    </comment>
    <comment ref="F7" authorId="0" shapeId="0" xr:uid="{A124E0D0-5B8A-4D52-B9A4-27A79F95C7F2}">
      <text>
        <r>
          <rPr>
            <sz val="9"/>
            <color indexed="81"/>
            <rFont val="Tahoma"/>
            <family val="2"/>
          </rPr>
          <t xml:space="preserve">Combined value is shown for informational purposes only, and is based on unrounded City and Highway values. Provide the rounded City and Highway values to EPA for CAFE calculations. </t>
        </r>
      </text>
    </comment>
    <comment ref="C8" authorId="0" shapeId="0" xr:uid="{E18C9B2B-DFBF-49D6-9DE7-316840B4FE31}">
      <text>
        <r>
          <rPr>
            <sz val="9"/>
            <color indexed="81"/>
            <rFont val="Tahoma"/>
            <family val="2"/>
          </rPr>
          <t>To access alternative fuel credits, a PHEV must (1) be as efficient on electricity as on gasoline, (2) meet or exceed the minimum all-electric range criteria of 1 UDDS and 1 HFET, each started with fully charged battery. See 49 U.S.C. 32901 and 32905.</t>
        </r>
      </text>
    </comment>
    <comment ref="F8" authorId="0" shapeId="0" xr:uid="{6F7580A3-58B6-4BDD-BF92-BB9DDD1E3671}">
      <text>
        <r>
          <rPr>
            <sz val="9"/>
            <color indexed="81"/>
            <rFont val="Tahoma"/>
            <family val="2"/>
          </rPr>
          <t>Combined values are not used in calculations and are provided only for informational purposes. These values reflect a 55% and 45% weighting of City and Highway, respectively.</t>
        </r>
      </text>
    </comment>
    <comment ref="C9" authorId="0" shapeId="0" xr:uid="{5E5EEE16-7FFC-4A3E-BBFF-4EFB32C267BC}">
      <text>
        <r>
          <rPr>
            <sz val="9"/>
            <color indexed="81"/>
            <rFont val="Tahoma"/>
            <family val="2"/>
          </rPr>
          <t>This is a standard utility factor calculation. Unlike A.2 above, which weights electricity and gasoline efficiency using utility factors, this method weights charge-depleting and charge-sustaining operation efficiencies, where charge-depleting efficiency is combined electricity and gasoline. Does not use DOE Petroleum Equivalence Factor or include any alternative fuel credits.</t>
        </r>
      </text>
    </comment>
    <comment ref="F9" authorId="0" shapeId="0" xr:uid="{58D0E716-EC94-4BEE-A44E-AD507A5156E1}">
      <text>
        <r>
          <rPr>
            <sz val="9"/>
            <color indexed="81"/>
            <rFont val="Tahoma"/>
            <family val="2"/>
          </rPr>
          <t xml:space="preserve">Combined value is shown for informational purposes only, and is based on unrounded City and Highway values. Provide the rounded City and Highway values to EPA for CAFE calculations. </t>
        </r>
      </text>
    </comment>
    <comment ref="F10" authorId="0" shapeId="0" xr:uid="{CA9D628C-3C47-4EE7-A88F-884A0D0BFEF9}">
      <text>
        <r>
          <rPr>
            <sz val="9"/>
            <color indexed="81"/>
            <rFont val="Tahoma"/>
            <family val="2"/>
          </rPr>
          <t xml:space="preserve">Note that this test of all-electric range applies only to passenger cars, not to light trucks. See 49 U.S.C. 32901 (a)(9)(D). </t>
        </r>
        <r>
          <rPr>
            <sz val="9"/>
            <color indexed="81"/>
            <rFont val="Tahoma"/>
            <family val="2"/>
          </rPr>
          <t xml:space="preserve">
</t>
        </r>
      </text>
    </comment>
    <comment ref="F14" authorId="0" shapeId="0" xr:uid="{14DF0C04-5B4B-4BCC-84FC-F0F83334233F}">
      <text>
        <r>
          <rPr>
            <sz val="9"/>
            <color indexed="81"/>
            <rFont val="Tahoma"/>
            <family val="2"/>
          </rPr>
          <t>Combined values are not used in calculations and are provided only for informational purposes. These values reflect a 55% and 45% weighting of City and Highway, respectively.</t>
        </r>
      </text>
    </comment>
    <comment ref="C15" authorId="1" shapeId="0" xr:uid="{9F93864D-EDCE-48E9-AFFC-F0390AF0054A}">
      <text>
        <r>
          <rPr>
            <sz val="9"/>
            <color indexed="81"/>
            <rFont val="Tahoma"/>
            <family val="2"/>
          </rPr>
          <t>CREE values calculated without DFs are not used in any other calculation.  They are used ONLY in the Trends Report.</t>
        </r>
      </text>
    </comment>
    <comment ref="J18" authorId="2" shapeId="0" xr:uid="{B731360C-E12B-45C6-AE11-872D012E901E}">
      <text>
        <r>
          <rPr>
            <sz val="9"/>
            <color indexed="81"/>
            <rFont val="Tahoma"/>
            <family val="2"/>
          </rPr>
          <t>A City DF is required.
Additive DFs can use max 6 decimal places.
They must be &gt;= 0
Multiplicative DFs can use max 3 decimal places.
They must be &gt;= 1</t>
        </r>
      </text>
    </comment>
    <comment ref="J19" authorId="2" shapeId="0" xr:uid="{8AE054DB-9B67-4C78-A361-C54CD469BAD8}">
      <text>
        <r>
          <rPr>
            <sz val="9"/>
            <color indexed="81"/>
            <rFont val="Tahoma"/>
            <family val="2"/>
          </rPr>
          <t>A Highway DF is required.
Additive DFs can use max 6 decimal places.
They must be &gt;= 0
Multiplicative DFs can use max 3 decimal places.
They must be &gt;= 1</t>
        </r>
      </text>
    </comment>
    <comment ref="I22" authorId="3" shapeId="0" xr:uid="{95D8F41E-FD63-48E9-A129-63B9B10E8FA0}">
      <text>
        <r>
          <rPr>
            <sz val="9"/>
            <color indexed="81"/>
            <rFont val="Tahoma"/>
            <family val="2"/>
          </rPr>
          <t>DOE Regulation:  10 CFR 474.3 
Petroleum-equivalent fuel economy calculation
(Watt-hours per gallon)
2026 = 82,049  (and prior years)
2027 = 79,989
2028 = 50,427
2029 = 36,820
2030 = 28,996 (and later years)</t>
        </r>
      </text>
    </comment>
    <comment ref="C37" authorId="0" shapeId="0" xr:uid="{BD667F67-C737-417A-A19E-575B4CC23C72}">
      <text>
        <r>
          <rPr>
            <sz val="9"/>
            <color indexed="81"/>
            <rFont val="Tahoma"/>
            <family val="2"/>
          </rPr>
          <t xml:space="preserve">These values are prepared for use in EPA's annual Light-Duty Vehicle Fuel Economy &amp; Technology Trends Report. See http://www3.epa.gov/otaq/fetrends.htm. </t>
        </r>
      </text>
    </comment>
    <comment ref="C38" authorId="0" shapeId="0" xr:uid="{AC4B71D4-7F0B-44A5-8C3A-07D1D32DD079}">
      <text>
        <r>
          <rPr>
            <sz val="9"/>
            <color indexed="81"/>
            <rFont val="Tahoma"/>
            <family val="2"/>
          </rPr>
          <t>Fleet Utility Factor with 43/57 city/highway weighting as used in EPA Trends Report calculations. From SAE J2841.</t>
        </r>
      </text>
    </comment>
    <comment ref="C39" authorId="0" shapeId="0" xr:uid="{CB89EE64-F3F0-4023-9A3B-DB4B6653723E}">
      <text>
        <r>
          <rPr>
            <sz val="9"/>
            <color indexed="81"/>
            <rFont val="Tahoma"/>
            <family val="2"/>
          </rPr>
          <t xml:space="preserve">Unadjusted MPG, using 55/45 fleet utility factor from SAE J2841, and calculated using SAE recommended fractional utility factor method. Does not use DOE petroleum equivalence factor or contain any alternative fuel credits. Unadjusted combined city/highway values in Trends Report are calculated using 55/45 city/highway weighting. </t>
        </r>
      </text>
    </comment>
    <comment ref="C40" authorId="0" shapeId="0" xr:uid="{595D67FA-AC5D-462E-8719-0F51988F2079}">
      <text>
        <r>
          <rPr>
            <sz val="9"/>
            <color indexed="81"/>
            <rFont val="Tahoma"/>
            <family val="2"/>
          </rPr>
          <t xml:space="preserve">Unadjusted CREE using 55/45 fleet utility factor from SAE J2841, and calculated using SAE recommended fractional utility factor method. Does not use DOE petroleum equivalence factor or contain any alternative fuel credits. Unadjusted combined city/highway values in Trends Report are calculated using 55/45 city/highway weighting. </t>
        </r>
      </text>
    </comment>
    <comment ref="C41" authorId="0" shapeId="0" xr:uid="{919AF59B-4FC3-471E-8FD0-196362855772}">
      <text>
        <r>
          <rPr>
            <sz val="9"/>
            <color indexed="81"/>
            <rFont val="Tahoma"/>
            <family val="2"/>
          </rPr>
          <t xml:space="preserve">Adjusted MPG, using 43/57 fleet utility factor from SAE J2841, and calculated using SAE recommended fractional utility factor method. Does not use DOE petroleum equivalence factor or contain any alternative fuel credits. Adjusted combined city/highway values in Trends Report are calculated using 43/57 city/highway weighting. </t>
        </r>
      </text>
    </comment>
    <comment ref="C42" authorId="0" shapeId="0" xr:uid="{1D70A57D-C54E-41A0-BE44-7A9D1D2593D1}">
      <text>
        <r>
          <rPr>
            <sz val="9"/>
            <color indexed="81"/>
            <rFont val="Tahoma"/>
            <family val="2"/>
          </rPr>
          <t xml:space="preserve">Adjusted CREE using 43/57 fleet utility factor from SAE J2841, and calculated using SAE recommended fractional utility factor method. Does not use DOE petroleum equivalence factor or contain any alternative fuel credits. Adjusted combined city/highway values in Trends Report are calculated using 43/57 city/highway weighting. </t>
        </r>
      </text>
    </comment>
    <comment ref="C43" authorId="0" shapeId="0" xr:uid="{AC555890-3907-480E-9B58-36E2D4D91079}">
      <text>
        <r>
          <rPr>
            <sz val="9"/>
            <color indexed="81"/>
            <rFont val="Tahoma"/>
            <family val="2"/>
          </rPr>
          <t>These values are calculated with a specific methodology required to support state requirements regarding vehicle eligibility for ruse of high-occupancy vehicle (HOV) langes.</t>
        </r>
      </text>
    </comment>
    <comment ref="C44" authorId="0" shapeId="0" xr:uid="{F1F16258-5BF5-426E-8FDD-C98732535A22}">
      <text>
        <r>
          <rPr>
            <sz val="9"/>
            <color indexed="81"/>
            <rFont val="Tahoma"/>
            <family val="2"/>
          </rPr>
          <t>Multi-day individual utility factor from SAE J2841, based on the unadjusted charge-depleting driving range.</t>
        </r>
      </text>
    </comment>
    <comment ref="C46" authorId="2" shapeId="0" xr:uid="{D05718F5-4980-48EE-98E0-65284ED7353A}">
      <text>
        <r>
          <rPr>
            <sz val="9"/>
            <color indexed="81"/>
            <rFont val="Tahoma"/>
            <family val="2"/>
          </rPr>
          <t xml:space="preserve">These values are used to populate the downloadable EPA data files available for each model year on the fueleconomy.gov website. </t>
        </r>
      </text>
    </comment>
    <comment ref="Z54" authorId="0" shapeId="0" xr:uid="{BBFF1E42-980E-4A0D-854F-EEB4D029708A}">
      <text>
        <r>
          <rPr>
            <sz val="9"/>
            <color indexed="81"/>
            <rFont val="Tahoma"/>
            <family val="2"/>
          </rPr>
          <t>Combined values are not used in calculations and are provided only for informational purposes. These values reflect a 55% and 45% weighting of City and Highway, respectively.</t>
        </r>
      </text>
    </comment>
    <comment ref="Z103" authorId="0" shapeId="0" xr:uid="{A07E9C07-C15C-47F0-A8BF-44E6C3269686}">
      <text>
        <r>
          <rPr>
            <sz val="9"/>
            <color indexed="81"/>
            <rFont val="Tahoma"/>
            <family val="2"/>
          </rPr>
          <t>Combined values are not used in calculations and are provided only for informational purposes. These values reflect a 55% and 45% weighting of City and Highway, respectively.</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<sst xmlns="http://schemas.openxmlformats.org/spreadsheetml/2006/main" count="751" uniqueCount="338">
  <si>
    <t>Version No.</t>
  </si>
  <si>
    <t>Release Date</t>
  </si>
  <si>
    <t>Comments</t>
  </si>
  <si>
    <t>Same calculations as version 22. 
Expanded data input range to allow up to 30 charge-depleting cycles. 
Updated label inputs (fuel prices, ratings scales, etc.) for 2018 model year based on EPA guidance. Some text changes to improve clarity.</t>
  </si>
  <si>
    <t xml:space="preserve">Found an error in some of the calculations for multiple test sets. These calculations referenced the transition cycle for the first test set, instead of the current test set. This would only impact the unusual situation where the transition cycle differed across test sets. </t>
  </si>
  <si>
    <t>26a</t>
  </si>
  <si>
    <t>26b</t>
  </si>
  <si>
    <t xml:space="preserve">Changed release date of v26a above from "TBD" to May 31, 2019. 
Added cell borders to charge-sustaining input section. 
Amended formulae for "CD AC electricity consumption rate (Rcda), adjusted" to round the kW-hr input to 4 decimal places; was previously rounded to 1 decimal. 
Changed cell F23 (combind CD electricity consumption) to be rounded to 4 decimal places. Was prevoiusly rounded to one decimal. 
Correct an error in cells D23 and E23. Values need to be multiplied by 100. </t>
  </si>
  <si>
    <t xml:space="preserve">Corrected cell references in cells D15 and E15. </t>
  </si>
  <si>
    <t xml:space="preserve">Changed the rounding of label cit and highway Killowatt-hours per 100 miles to 3 decimal places. Previously was rounded to 4 decimals. </t>
  </si>
  <si>
    <t>26c</t>
  </si>
  <si>
    <t xml:space="preserve">Added 2020 model year label inputs. See guidance document CD-18-13, 12/17/2018. </t>
  </si>
  <si>
    <t xml:space="preserve">Revised these version notes to reflect the current state of the calculator. </t>
  </si>
  <si>
    <t xml:space="preserve">Removed values from the blank version of the template. </t>
  </si>
  <si>
    <t>26d</t>
  </si>
  <si>
    <t xml:space="preserve">Added 2021 model year label inputs. See guidance document CD-19-13 (Dec. 16, 2019). </t>
  </si>
  <si>
    <t>26e</t>
  </si>
  <si>
    <t xml:space="preserve">Changed fleet utility factor calculations such that each individual calculated FUF is not rounded. Continue to round the incremental fractional FUF (i.e., FUF(n) - FUF(n-1) ) to 3 decimals. This fix was applied both the 55/44 and 43/57 utility factors.
The Highway calculations in column BY were found to apply slightly different rounding than the UDDS calculations in column AX. The UDDS calculations are correct, and Highway calculations were fixed to match, rounding to a whole number after the calculation. </t>
  </si>
  <si>
    <t>26f</t>
  </si>
  <si>
    <t>Added 2022 model year label inputs. See EPA Guidance Letter CD-2020-20 (Dec. 28, 2020). Added the following comments:
     - Added a comment in cells S10, S58, S106, AA10, AA58, AA106 "Please enter a positive amp-hour value when current is flowing out of the battery and a negative amp-hour value when current is flowing into the battery."  This change is needed in order to help determine whether the cycle is CD or CS based on NEC 1% Tolerance (in columns BR and CS). 
     - Added a comment in cells T10, T58, T106, AB10, AB58, AB106 "Ref. SAE J1711 (June 2010); Section 6.3."
     - Revised terms in cells C53 to C117 to be more consistent with the terms used in EPA's EV-CIS (formerly Verify) database.</t>
  </si>
  <si>
    <t>Fuel properties (CWF, Specific Gravity, Net Heating Value), HC-Total, and CO added to charge-depleting data tables.  Fuel economy and CREE are now calculated by PHEV calculator.  These values are now used in the remainder of the intermediate calculations.  Values of fuel economy and CREE entered by mfr are only included for comparison.  No support for Opt-CREE, there were no Opt-CREE GHG submissions by any manufacturer for 2020.
Transition cycle is no longer calculated automatically.  Manufacturers are now required to enter it for each CD test.
Recharge energy (AC kilowatt-hours) fields were changed from 3 decimal to 4 decimal to match calculations in EV-CIS.  This was a pre-existing field for electric only vehicles prior to PHEV implementation.  The rounding in all formulas prior to using these values was changed from ASTM(x,3) to ASTM(x,4).
Support for model years prior to 2017 has been removed.
'Average Recharge Time of Test Vehicles' calculation for both CD_UDDS and CD_Hwy added.  Combined recharge time using a 55/45 weighting and a 50/50 weighting of those values has also been added.  These new calculations were requested by manufacturers.
Data validation and conditional formatting added for most/all input fields including main CD data input tables.  Incorrect values will be highlighted in orange.
New table added for entering CD and CS test numbers.  CS conditional formating  based on the number of EV-CIS test numbers entered.
New macro for importing data from an EV-CIS validated xml file (from Request Database Report).  Can also be used to compare calculator data to xml file data and highlight differences.  To run macro: select the 'blank calculator v27' tab and select one of the cells labeled 'Miles [3]' (one of the headers of largest input tables) and type: &lt;Alt-t&gt;,m,m.  Select the desired macro.  Main macro can also be ran by clicking the button included in the spreadsheet.  Additional macros included for clearing a single CD test or all user data.  
Custom 'D5C' function added to perform Derived 5-cycle FE and CO2 calculations for gasoline vehicles (2017+ coefficients only).  New function can only be used in cells for charge-sustaining adjusted FE and adjusted CO2.  These cells are in the block labeled "ENTER CHARGE-SUSTAINING TEST RESULTS HERE".  See "Sample EPA data" tab for examples on this function.  No function available for modified or full 5-cycle labels.
CREE DF calculations corrected to add the DF for each CD/CS combination rather than after all tests have been combined. 
For questions specifically about the changes to the V27 release, contact Robert Peavyhouse at Peavyhouse.Robert@epa.gov.</t>
  </si>
  <si>
    <t>27a</t>
  </si>
  <si>
    <t>Added 2023 model year label inputs. See EPA Guidance Letter CD-2022-01, January 3, 2022.</t>
  </si>
  <si>
    <t>27b</t>
  </si>
  <si>
    <t xml:space="preserve">Added support for HD 2b/3, where calculations are based on CO2 instead of CREE.  When 2b/3 is selected for 'Vehicle Category', many calculations will be disabled, and others modified to use CO2 instead of CREE.  For example: Fuel economy calculations in columns Z and AL will be disabled, and CREE calculations in columns AA and AM will be set to their corresponding CO2 values.  When 2b/3 is selected all fuel economy, 5-cycle adjusted, and CAFE values will be set to N/A.  Cell formatting will be enforced to require the CREE inputs in columns N and O to be set equal to their corresponding CO2 values in the same columns.  </t>
  </si>
  <si>
    <t>27c</t>
  </si>
  <si>
    <t>Added 2024 model year label inputs. See EPA Guidance Letter CD-2022-16, December 26, 2022.</t>
  </si>
  <si>
    <t>27d</t>
  </si>
  <si>
    <t>LABEL INPUTS: FROM EPA GUIDANCE LETTERS APPLICABLE TO THE APPROPRIATE MODEL YEAR</t>
  </si>
  <si>
    <t>Fuel Prices</t>
  </si>
  <si>
    <t>Average New Vehicle Fuel Economy</t>
  </si>
  <si>
    <t>Average New Vehicle 5-Year Fuel Cost</t>
  </si>
  <si>
    <t>MPG Rating</t>
  </si>
  <si>
    <t>GHG Rating</t>
  </si>
  <si>
    <t>Model Year</t>
  </si>
  <si>
    <t>Regular Unleaded</t>
  </si>
  <si>
    <t>Mid-Grade Unleaded</t>
  </si>
  <si>
    <t>Premium Unleaded</t>
  </si>
  <si>
    <t>Diesel</t>
  </si>
  <si>
    <t>E85</t>
  </si>
  <si>
    <t>LPG</t>
  </si>
  <si>
    <t>CNG</t>
  </si>
  <si>
    <t>Electricity</t>
  </si>
  <si>
    <t>Hydrogen</t>
  </si>
  <si>
    <t>MPG</t>
  </si>
  <si>
    <t>5-Year Cost</t>
  </si>
  <si>
    <t>Min</t>
  </si>
  <si>
    <t>Max</t>
  </si>
  <si>
    <t>Rating</t>
  </si>
  <si>
    <t>NA</t>
  </si>
  <si>
    <t>Test Set #1</t>
  </si>
  <si>
    <t>Test Set name (e.g., Eco, Power):</t>
  </si>
  <si>
    <t>Production Volume (projected or actual):</t>
  </si>
  <si>
    <t>City</t>
  </si>
  <si>
    <t>Highway</t>
  </si>
  <si>
    <t>Fuel Economy, Unadjusted (MPG):</t>
  </si>
  <si>
    <t>Fuel Economy, 5-Cycle Adjusted (MPG):</t>
  </si>
  <si>
    <t>CREE (g/mi):</t>
  </si>
  <si>
    <t>CO2, Unadjusted (g/mi):</t>
  </si>
  <si>
    <t>CO2, 5-Cycle Adjusted (g/mi):</t>
  </si>
  <si>
    <t>Test Number</t>
  </si>
  <si>
    <t>Charge-Sustaining Test (Optional):</t>
  </si>
  <si>
    <t>Test Set #2</t>
  </si>
  <si>
    <t>Test Set #3</t>
  </si>
  <si>
    <t>INTERMEDIATE CALCULATIONS AND INPUTS</t>
  </si>
  <si>
    <t>Test Set #1:</t>
  </si>
  <si>
    <t>Charge-Depleting (CD) Test Results</t>
  </si>
  <si>
    <t>DRIVING DISTANCE VALUES</t>
  </si>
  <si>
    <t>CITY</t>
  </si>
  <si>
    <t>HIGHWAY</t>
  </si>
  <si>
    <t>CD driving distance (Rcda), unadjusted (miles) [3]</t>
  </si>
  <si>
    <t>CD driving distance (Rcda), adjusted (miles) [3]</t>
  </si>
  <si>
    <t>CD all-electric driving distance, unadjusted (miles) [3]</t>
  </si>
  <si>
    <t>CD All-Electric Range, adjusted (mi) [3]</t>
  </si>
  <si>
    <t>FUEL CONSUMPTION &amp; ECONOMY VALUES</t>
  </si>
  <si>
    <t>CD AC electricity consumption (Rcdc), unadjusted (Watt-hours) [1]</t>
  </si>
  <si>
    <t>CD AC electricity consumption rate (Rcda), adjusted  (kW-hr/100mi) [3]</t>
  </si>
  <si>
    <t>CD test total DC energy consumed, unadjusted (Watt-hours) [1]</t>
  </si>
  <si>
    <t>CD Rcda total fuel consumption (Rcda), unadjusted (gal equiv) [4]</t>
  </si>
  <si>
    <t>CD utilitized total fuel consumption rate (55/45 FUF, Rcdc), unadjusted (gal-equiv/mile) [6]</t>
  </si>
  <si>
    <t>CD utilitized total fuel consumption rate (43/57 FUF, Rcdc), adjusted (gal-equiv/mile) [6]</t>
  </si>
  <si>
    <t>CD utilitized total fuel consumption rate (MDIUF, Rcdc), adjusted (gal-equiv/mile) [6]</t>
  </si>
  <si>
    <t>CD gasoline consumption (Rcda), unadjusted (gal) [1]</t>
  </si>
  <si>
    <t>CD fuel economy (Rcda), adjusted (MPGe) [4]</t>
  </si>
  <si>
    <t>CD gasoline consumption rate (Rcda), adjusted (gal/100mi) [4]</t>
  </si>
  <si>
    <t>CD fuel economy (Rcda), unadjusted (MPGe) [4]</t>
  </si>
  <si>
    <t>CD AC electricity consumption rate (Rcda), unadjusted  (kW-hr/100mi) [3]</t>
  </si>
  <si>
    <t>GHG EMISSIONS VALUES</t>
  </si>
  <si>
    <t>CD CO2 emissions rate (Rcda), unadjusted (g/mi) [1]</t>
  </si>
  <si>
    <t>CD CO2 emissions rate (Rcda), adjusted (g/mi) [1]</t>
  </si>
  <si>
    <t>CD utilitized CO2 (MDIUF, Rcdc), adjusted (g/mi) [1]</t>
  </si>
  <si>
    <t>CD utilitized CREE (55/45 FUF, Rcdc), unadjusted (g/mi) [1]</t>
  </si>
  <si>
    <t>CD utilitized CREE (43/57 FUF, Rcdc), adjusted (g/mi) [1]</t>
  </si>
  <si>
    <t>UTILITY FACTORS &amp; OTHER METRICS</t>
  </si>
  <si>
    <t>CD 55/45 Fleet Utility Factor (FUF) for Rcdc [3]</t>
  </si>
  <si>
    <t>MDIUF based on adjusted Rcda [3]</t>
  </si>
  <si>
    <t>MDIUF based on adjusted Rcdc [3]</t>
  </si>
  <si>
    <t>Intermediate Results Requiring Charge-Sustaining (CS) Test Results or Other Inputs</t>
  </si>
  <si>
    <t>CD Equivalent All-Electric Range (EAER), Unadjusted (mi) [3]</t>
  </si>
  <si>
    <t>Charge-sustaining driving range, adjusted (mi) [3]</t>
  </si>
  <si>
    <t>CD 55/45 Fleet Utility Factor (FUF) for EAER [3]</t>
  </si>
  <si>
    <t>FUEL COSTS: PROCESS FOR DERIVING A COMPOSITE CD/CS COST PER MILE</t>
  </si>
  <si>
    <t>CD cost per mile - electricity ($/mi) [3]</t>
  </si>
  <si>
    <t>CD cost per mile - gasoline ($/mi) [3]</t>
  </si>
  <si>
    <t>CD total cost per mile ($/mi) [3]</t>
  </si>
  <si>
    <t>CS cost per mile ($/mi) [3]</t>
  </si>
  <si>
    <t>Composite CD/CS cost ($/mi) [3]</t>
  </si>
  <si>
    <t>COMPOSITE CD/CS FUEL ECONOMY AND CO2 VALUES, ADJUSTED</t>
  </si>
  <si>
    <t>Composite CD/CS CO2, adjusted (g/mi) [1]</t>
  </si>
  <si>
    <t>Composite CD/CS Fuel Economy, adjusted (MPG) [4]</t>
  </si>
  <si>
    <t>Test Set #2:</t>
  </si>
  <si>
    <t>Test Set #3:</t>
  </si>
  <si>
    <t>ENTER BASIC VEHICLE INFORMATION HERE</t>
  </si>
  <si>
    <t>EV-CIS Model Type Information</t>
  </si>
  <si>
    <t>Model year:</t>
  </si>
  <si>
    <t>Manufacturer Code (3 Capital Alpha Char):</t>
  </si>
  <si>
    <t>Model type index (Max 3 digits):</t>
  </si>
  <si>
    <t>Vehicle Information</t>
  </si>
  <si>
    <t>Vehicle category:</t>
  </si>
  <si>
    <t>Manufacturer name:</t>
  </si>
  <si>
    <t>Model name:</t>
  </si>
  <si>
    <t>Liquid fuel type:</t>
  </si>
  <si>
    <t>Additional descriptors as needed:</t>
  </si>
  <si>
    <t>Fuel tank size (U.S. gallons):</t>
  </si>
  <si>
    <t>Deterioration Factors for GHG (CREE) Values (All 3 Required)</t>
  </si>
  <si>
    <t>Select DF type:</t>
  </si>
  <si>
    <t>City DF:</t>
  </si>
  <si>
    <t>Highway DF:</t>
  </si>
  <si>
    <t>Gasoline cost ($/gallon)</t>
  </si>
  <si>
    <t>Electricity cost ($/kW-hour)</t>
  </si>
  <si>
    <t>Average vehicle 5-year cost ($)</t>
  </si>
  <si>
    <t>Average vehicle MPG</t>
  </si>
  <si>
    <t>Label Constants Based on Model Year and Fuel Type</t>
  </si>
  <si>
    <t>Results from Test Set #1:</t>
  </si>
  <si>
    <t>CAFE Values</t>
  </si>
  <si>
    <t>A. PHEV meets dual fuel criteria:</t>
  </si>
  <si>
    <t>Combined</t>
  </si>
  <si>
    <t xml:space="preserve"> 1. Default 50/50 Composite MPGe [4]</t>
  </si>
  <si>
    <t xml:space="preserve"> 2. Optional Utility Factor Composite MPGe [4]</t>
  </si>
  <si>
    <t>B. PHEV does NOT meet dual fuel criteria:</t>
  </si>
  <si>
    <t xml:space="preserve">  1. Utility Factor Composite MPGe [4]</t>
  </si>
  <si>
    <t>GHG Values</t>
  </si>
  <si>
    <t>Composite CREE no DF, (g/mi) [1]</t>
  </si>
  <si>
    <t>Composite CREE w/DF, (g/mi) [1]</t>
  </si>
  <si>
    <t>Label Values (5-Cycle Adjusted)</t>
  </si>
  <si>
    <t>Charge-Depleting</t>
  </si>
  <si>
    <t>CD range, adjusted (miles) [0]</t>
  </si>
  <si>
    <t>CD All-Electric Range, adjusted (mi) [0]</t>
  </si>
  <si>
    <t>Total Driving Range (Miles) [0]</t>
  </si>
  <si>
    <t>CD Fuel Economy (MPGe) [0]</t>
  </si>
  <si>
    <t>CD Electricity Consumption  (kW-hr/100mi) [0]</t>
  </si>
  <si>
    <t>CD Gasoline Consumption (gal/100mi) [0]</t>
  </si>
  <si>
    <t>Charge-Sustaining</t>
  </si>
  <si>
    <t>CS Fuel Economy (MPG) [0]</t>
  </si>
  <si>
    <t>CS Fuel Consumption (gal/100mi) [1]</t>
  </si>
  <si>
    <t>Composite CD/CS</t>
  </si>
  <si>
    <t>Annual Fuel Cost ($/year) [0]</t>
  </si>
  <si>
    <t>5-Year Fuel Savings Value ($/5 years) [0]</t>
  </si>
  <si>
    <t>Composite CO2 (g/mi) [0]</t>
  </si>
  <si>
    <t>Composite Fuel Economy (MPG) [0]</t>
  </si>
  <si>
    <t>HOV Lane Values</t>
  </si>
  <si>
    <t>MDIUF based on unadjusted Rcda [3]</t>
  </si>
  <si>
    <t>Composite CD/CS Fuel Economy (MPGe) [4]</t>
  </si>
  <si>
    <t>Trends Report Values</t>
  </si>
  <si>
    <t>Fleet Utility Factor (43/57) [3]</t>
  </si>
  <si>
    <t>Unadjusted Fuel Economy (MPG) [4]</t>
  </si>
  <si>
    <t>Unadjusted GHG (g/mi) [1]</t>
  </si>
  <si>
    <t>Adjusted Fuel Economy (MPG) [4]</t>
  </si>
  <si>
    <t>Adjusted GHG (g/mi) [1]</t>
  </si>
  <si>
    <t>Data Validation CS</t>
  </si>
  <si>
    <t>Data Validation Intermediate CD</t>
  </si>
  <si>
    <t>Data Validation Intermediate CS</t>
  </si>
  <si>
    <t>(cumulative)</t>
  </si>
  <si>
    <t>CD 43/57 Fleet Utility Factor (FUF) [3]</t>
  </si>
  <si>
    <t>Data Validation Vehicle Info</t>
  </si>
  <si>
    <t>IMPORT CHARGE-DEPLETING TEST XML DATA</t>
  </si>
  <si>
    <t>IMPORT CHARGE-SUSTAINING XML DATA</t>
  </si>
  <si>
    <t>MACRO CALCULATED CHARGE-SUSTAINING TEST RESULTS</t>
  </si>
  <si>
    <t>Charge-Sustaining Test (Required): =====&gt;</t>
  </si>
  <si>
    <t>Vehicle ID/Cfg</t>
  </si>
  <si>
    <t>Charge-Depleting Test (Required):</t>
  </si>
  <si>
    <t xml:space="preserve">Test Number </t>
  </si>
  <si>
    <t>CD Procedure</t>
  </si>
  <si>
    <t>CS Procedure</t>
  </si>
  <si>
    <t>CS City</t>
  </si>
  <si>
    <t>CS Highway</t>
  </si>
  <si>
    <t>CD City</t>
  </si>
  <si>
    <t>CD Hwy</t>
  </si>
  <si>
    <t>Calc Type</t>
  </si>
  <si>
    <t>Petroleum Equivalency Factor</t>
  </si>
  <si>
    <t>ü</t>
  </si>
  <si>
    <t>→</t>
  </si>
  <si>
    <t>←</t>
  </si>
  <si>
    <t xml:space="preserve"> 2. Optional Utility Factor Composite MPGe</t>
  </si>
  <si>
    <t>þ</t>
  </si>
  <si>
    <t>Based on the all-electric range, is this PHEV a dual fuel vehicle for CAFE?</t>
  </si>
  <si>
    <t>All-Electric Range (miles, unadjusted)</t>
  </si>
  <si>
    <t>Composite CREE, with DF (g/mi)</t>
  </si>
  <si>
    <t>Charge-depleting Range (Miles)</t>
  </si>
  <si>
    <t xml:space="preserve"> All-Electric Range (Miles)</t>
  </si>
  <si>
    <t>Total Driving Range (Miles)</t>
  </si>
  <si>
    <t>CD Fuel Economy (MPGe)</t>
  </si>
  <si>
    <t>CD Electricity Consumption  (kW-hr/100mi)</t>
  </si>
  <si>
    <t>CD Gasoline Consumption (gal/100mi)</t>
  </si>
  <si>
    <t>CS Fuel Consumption (gal/100mi)</t>
  </si>
  <si>
    <t>Annual Fuel Cost ($/year)</t>
  </si>
  <si>
    <t>5-Year Fuel Savings Value ($/5 years)</t>
  </si>
  <si>
    <t>Composite CO2 (g/mi)</t>
  </si>
  <si>
    <t>Composite Fuel Economy (MPG)</t>
  </si>
  <si>
    <t>MPG Rating (on scale of 1-10)</t>
  </si>
  <si>
    <t>GHG Rating (on scale of 1-10)</t>
  </si>
  <si>
    <t>Model
Year</t>
  </si>
  <si>
    <t>THE FOLLOWING VALUES ARE USED FOR OTHER EPA PUBLICATIONS OR PROGRAMS</t>
  </si>
  <si>
    <t>Fleet Utility Factor (43/57)</t>
  </si>
  <si>
    <t>Unadjusted Fuel Economy (MPG)</t>
  </si>
  <si>
    <t>Unadjusted GHG (g/mi)</t>
  </si>
  <si>
    <t>Adjusted Fuel Economy (MPG)</t>
  </si>
  <si>
    <t>Adjusted GHG (g/mi)</t>
  </si>
  <si>
    <t>Composite CD/CS Fuel Economy (MPGe)</t>
  </si>
  <si>
    <t>Fueleconomy.gov Values</t>
  </si>
  <si>
    <t>Charge-sustaining Efficiency</t>
  </si>
  <si>
    <t>City Rounded Adjusted FE (Guide) - Conventional Fuel</t>
  </si>
  <si>
    <t>Hwy Rounded Adjusted FE (Guide) - Conventional Fuel</t>
  </si>
  <si>
    <t>Combined Rounded Adjusted  FE (Guide) - Conventional Fuel</t>
  </si>
  <si>
    <t>City Unrounded Unadjusted FE - Conventional Fuel</t>
  </si>
  <si>
    <t>Hwy Unrounded Unadjusted  FE - Conventional Fuel</t>
  </si>
  <si>
    <t>Combined Unrounded Unadjusted  FE - Conventional Fuel</t>
  </si>
  <si>
    <t>City Unrounded Adjusted FE - Conventional Fuel</t>
  </si>
  <si>
    <t>Hwy Unrounded Adjusted FE - Conventional Fuel</t>
  </si>
  <si>
    <t>Combined Unrounded Adjusted FE - Conventional Fuel</t>
  </si>
  <si>
    <t>Charge-sustaining CO2</t>
  </si>
  <si>
    <t>g/mi</t>
  </si>
  <si>
    <t>City CO2 Rounded Adjusted</t>
  </si>
  <si>
    <t>Hwy CO2 Rounded Adjusted</t>
  </si>
  <si>
    <t>Combined CO2 Rounded Adjusted</t>
  </si>
  <si>
    <t xml:space="preserve">*City CO2 Unrounded Unadjusted </t>
  </si>
  <si>
    <t xml:space="preserve">*Hwy CO2 Unrounded Unadjusted </t>
  </si>
  <si>
    <t xml:space="preserve">*Combined CO2 Unrounded Unadjusted </t>
  </si>
  <si>
    <t xml:space="preserve">*City CO2 Unrounded Adjusted </t>
  </si>
  <si>
    <t xml:space="preserve">*Hwy CO2 Unrounded Adjusted </t>
  </si>
  <si>
    <t xml:space="preserve">*Combined CO2 Unrounded Adjusted </t>
  </si>
  <si>
    <t>Charge-sustaining Driving Range (Adjusted)</t>
  </si>
  <si>
    <t>*Range1 - Model Type Driving Range - Conventional Fuel - City</t>
  </si>
  <si>
    <t>*Range1 - Model Type Driving Range - Conventional Fuel - Hwy</t>
  </si>
  <si>
    <t>Range1 - Model Type Driving Range - Conventional Fuel - Comb</t>
  </si>
  <si>
    <t>Charge-depleting Efficiency</t>
  </si>
  <si>
    <t>kW-hr/100mi</t>
  </si>
  <si>
    <t>MPGe</t>
  </si>
  <si>
    <t>Charge-depleting CO2</t>
  </si>
  <si>
    <t>Comb CO2 Rounded Adjusted</t>
  </si>
  <si>
    <t xml:space="preserve">*Comb CO2 Unrounded Unadjusted </t>
  </si>
  <si>
    <t>*City CO2 Unrounded Adjusted</t>
  </si>
  <si>
    <t>*Hwy CO2 Unrounded Adjusted</t>
  </si>
  <si>
    <t>*Combined CO2 Unrounded Adjusted</t>
  </si>
  <si>
    <t>Charge-depleting Driving Range (Adjusted)</t>
  </si>
  <si>
    <t>miles</t>
  </si>
  <si>
    <t>City Range on Electricity (miles)</t>
  </si>
  <si>
    <t>Hwy Range on Electricity (miles)</t>
  </si>
  <si>
    <t>Combined Range on Electricity as shown on FE Label (miles)</t>
  </si>
  <si>
    <t>All-Electric Driving Range (Adjusted)</t>
  </si>
  <si>
    <t>City All-Electric Range</t>
  </si>
  <si>
    <t>Hwy All-Electric Range</t>
  </si>
  <si>
    <t>Combined All-Electric Range as shown on FE Label (miles)</t>
  </si>
  <si>
    <t>Charge-depleting Utility Factors</t>
  </si>
  <si>
    <t>UF</t>
  </si>
  <si>
    <t>City Utility Factor (MDIUF)</t>
  </si>
  <si>
    <t>Hwy Utility Factor (MDIUF)</t>
  </si>
  <si>
    <t>Combined Utility Factor (MDIUF)</t>
  </si>
  <si>
    <t>Composite Efficiency (Adjusted)</t>
  </si>
  <si>
    <t>City PHEV Composite MPGe</t>
  </si>
  <si>
    <t>Hwy PHEV Composite MPGe</t>
  </si>
  <si>
    <t>Combined PHEV Composite MPGe</t>
  </si>
  <si>
    <t>Composite CO2 (Adjusted)</t>
  </si>
  <si>
    <t>City CO2-PHEV Composite Rounded Adjusted CO2</t>
  </si>
  <si>
    <t>Hwy CO2-PHEV Composite Rounded Adjusted CO2</t>
  </si>
  <si>
    <t>CO2-PHEV Composite Rounded Adjusted CO2</t>
  </si>
  <si>
    <t>PHEV Total Driving Range (Adjusted)</t>
  </si>
  <si>
    <t>City2 Rounded Adjusted FE (Guide) - Alt Fuel</t>
  </si>
  <si>
    <t>Hwy2 Rounded Adjusted Fuel FE (Guide) - Alt Fuel</t>
  </si>
  <si>
    <t>Comb2 Rounded Adjusted Fuel FE (Guide) - Alt Fuel</t>
  </si>
  <si>
    <t>City2 Unrounded Unadjusted FE - Alt Fuel</t>
  </si>
  <si>
    <t>Hwy2 Unrounded Unadjusted  FE - Alt Fuel</t>
  </si>
  <si>
    <t>Comb2 Unrounded Unadjusted FE - Alt Fuel</t>
  </si>
  <si>
    <t>City2 Unrounded Adjusted FE - Alt Fuel</t>
  </si>
  <si>
    <t>Hwy2 Unrounded Adjusted FE - Alt Fuel</t>
  </si>
  <si>
    <t>Cmb2 Unrounded Adjusted  FE - Alt Fuel</t>
  </si>
  <si>
    <t>Data Submission Revision (start at 1)</t>
  </si>
  <si>
    <t>Dataset #1 status:</t>
  </si>
  <si>
    <t>Dataset #2 status:</t>
  </si>
  <si>
    <t>Dataset #3 status:</t>
  </si>
  <si>
    <t>Dataset #1 Production Volume</t>
  </si>
  <si>
    <t>Dataset Summary</t>
  </si>
  <si>
    <t>Dataset #2 Production Volume</t>
  </si>
  <si>
    <t>Dataset #3 Production Volume</t>
  </si>
  <si>
    <t>(City &gt;= 7.5, and Highway &gt;=10.2)</t>
  </si>
  <si>
    <t>CD_Hwy fuel economy calculation for datasets 2 and 3 were using fuel properties for dataset 1.</t>
  </si>
  <si>
    <t>Added 2025 model year label inputs.
Removed intermediate charge-depleting calculations already performed by the EV-CIS test module.  All test data including both charge-depleting and charge-sustaining tests are now imported directly from validated EV-CIS xml files.  Charge-sustaining derived 5-cycle, modified 5-cycle, and vehicle specific 5-cycle calculations are performed by macro.  When the macro asks to select a Charge-Depleting test, select ONE test.  When the macro asks to select Charge-Sustaining tests, select ALL of the corresponding tests.  For this reason, all Charge-Sustaining tests should be located within the same directory.
Validated xml files can be exported from EV-CIS by using the "Request Database Report" option in the Test Information Module.
Any questions about this PHEV Calculator should be directed to "Peavyhouse.Robert@epa.gov".</t>
  </si>
  <si>
    <t>28a</t>
  </si>
  <si>
    <t>28b</t>
  </si>
  <si>
    <t>Corrected code that was too specific.  FTP 21 worked, but didn’t allow other FTP procedures.  All FTP test procedures now ok (21, 25, 31, 35).</t>
  </si>
  <si>
    <t>Added 2026 model year label inputs.  They include the corrected five-year fuel costs from IACD-2025-03 (Revised).
Locked workbook structure changes to prevent renaming sheets and to prevent multiple PHEV calc sheets in same workbook.
Corrected formula in cells O87 and O136 that was preventing validation of vehicle data in datasets #2 and #3.
Corrected formula in cell F22 from arithmetic weighted averaging to harmonic weighted averaging.</t>
  </si>
  <si>
    <t>PHEV Calculator Version 28c</t>
  </si>
  <si>
    <t>28c</t>
  </si>
  <si>
    <t>Five year savings changed from ABS() to display negative sign.  Minor VBA macro logic change to detect Null data when importing CD xml data.
Occasionally it would detect a zero as null data and reject the file.</t>
  </si>
  <si>
    <t>OMB Control #</t>
  </si>
  <si>
    <t>2060-0104</t>
  </si>
  <si>
    <t>Form #</t>
  </si>
  <si>
    <t>Column J under the heading "ENTER BASIC VEHICLE INFORMATION HERE".  The required fields (13 total)</t>
  </si>
  <si>
    <t>have a background color of orange.  Many have a pre-populated drop down to select from.</t>
  </si>
  <si>
    <t>Once the requied fields are complete, click on the "Import CD XML File" and "Import CS XML File(s)"</t>
  </si>
  <si>
    <t>buttons to import the EV-CIS exported XML files for the corresponding PHEV label.  There are 3 sets</t>
  </si>
  <si>
    <t>of buttons to allow the user to import up to 3 different data sets.</t>
  </si>
  <si>
    <t xml:space="preserve">Plug-In Hybrid Electric Vehicle (PHEV)
Calculator </t>
  </si>
  <si>
    <t>PFN-3420</t>
  </si>
  <si>
    <t>Expires MM/DD/YYYY</t>
  </si>
  <si>
    <t xml:space="preserve">Paperwork Redcution Act Burden Statement </t>
  </si>
  <si>
    <t>Fixed an error where the 5-cycle adjustment (0.7 or derived 5-cycle result) was incompletely propogated throughout the charge-depleting calculations. The impact on label values should be none to very minor, affecting only those vehicles that would have been able to use an adjustment for the transition cycle that differs from 0.7. This does not happen often. 
Fixed an error in the calculation of the unadjusted highway electricity Kw-Hr/100 miles, where the calculation was referencing the charge-depleting fraction from the city schedule. This does not affect any label values, only values put on the web in the online spreadsheets. 
Revised the calculation of all-electric range. Previous versions summed the distances of all-electric cycles without attention to whether the first cycle was all-electric. Thus PHEVs with no all-electric range could have appeared to have an all-electric range. You should, of course, continue to override this estimate with the actual range recorded from the test, if available.
Improved the ability to look at all-electric range and determine whether or not a PHEV is eligible for Corporate Average Fuel Economy (CAFE) dual fuel vehicle calculations. 
Corrected an error in the Average New Vehicle 5-Year Fuel Cost for model year 2018. The correct value is $6,750, per EPA guidance CD-16-18. 
Added label inputs - fuel prices, ratings scales, etc. - for the 2019 model year. From EPA guidance letter cd-17-18.
Added error-checking where Carbon Related Exhaust Emissions (CREE) will not be calculated without both charge-depleting and charge-sustaining CREE data.
Fixed some cell references in Test Set #2 and #3 cost per mile calculations where formulae inadvertently referred to Test Set #1 test data.</t>
  </si>
  <si>
    <t>Charge-Depleting (CD)</t>
  </si>
  <si>
    <t xml:space="preserve"> 1. Default 50/50 Composite Miles Per Gallon Equivalent (MPGe)</t>
  </si>
  <si>
    <t>This collection of information is approved by OMB under the Paperwork Reduction Act, 44 U.S.C. 3501 et seq. (OMB Control No. 2060-0104).  Responses to this collection of information are voluntary.  An agency may not conduct or sponsor, and a person is not required to respond to, a collection of information unless it displays a currently valid OMB control number. The public reporting and recordkeeping burden for this collection of information is estimated to range from 5 to 30 minutes per response.  Send comments on the Agency’s need for this information, the accuracy of the provided burden estimates and any suggested methods for minimizing respondent burden to the Information Engagement Division Director, U.S. Environmental Protection Agency (2821T), 1200 Pennsylvania Ave., NW, Washington, D.C. 20460. Include the OMB control number in any correspondence.  Do not send the completed form to this address.</t>
  </si>
  <si>
    <t>Authorities and References</t>
  </si>
  <si>
    <t>40 CFR 600.002</t>
  </si>
  <si>
    <t>Definitions</t>
  </si>
  <si>
    <t xml:space="preserve">Guidance </t>
  </si>
  <si>
    <t>IACD-2025-07</t>
  </si>
  <si>
    <t>CALCULATED Corporate Average Fuel Economy (CAFE), Greenhose Gas (GHG), AND LABEL VALUES</t>
  </si>
  <si>
    <t>Charge-Sustaining (CS)</t>
  </si>
  <si>
    <t xml:space="preserve">  1. Utility Factor Composity Miles Per Gallon equivalent (MPG)e</t>
  </si>
  <si>
    <t>Composite Carbon Related Exhaust Emissions (CREE), without DF (g/mi)</t>
  </si>
  <si>
    <t>High Occumpancy Vehicle (HOV) Lane Values</t>
  </si>
  <si>
    <t>CS Fuel Economy (Miles Per Gallon (MPG))</t>
  </si>
  <si>
    <t>Multi-day Individual Utility Factors (MDIUF) based on unadjusted Actual Charge Depleting Range (Rcda)</t>
  </si>
  <si>
    <t>Instructions for Completing  PHEV Calculator Tab</t>
  </si>
  <si>
    <r>
      <rPr>
        <sz val="11"/>
        <rFont val="Calibri"/>
        <family val="2"/>
        <scheme val="minor"/>
      </rPr>
      <t xml:space="preserve">The purpose of this form is to provide manufacturers with a uniform way to submit PHEV data to EPA that will allow manufacturer's fuel economy information to be posted posted on www.fueleconomy.gov. The completed form should be emailed to </t>
    </r>
    <r>
      <rPr>
        <u/>
        <sz val="11"/>
        <color theme="10"/>
        <rFont val="Calibri"/>
        <family val="2"/>
        <scheme val="minor"/>
      </rPr>
      <t xml:space="preserve">complianceinfo@epa.gov </t>
    </r>
    <r>
      <rPr>
        <sz val="11"/>
        <rFont val="Calibri"/>
        <family val="2"/>
        <scheme val="minor"/>
      </rPr>
      <t>per guidance document IACD-2025-07.</t>
    </r>
  </si>
  <si>
    <t xml:space="preserve">Added some conditional formatting to visualize non-default values entered by users. For example, fuel density and heating value.
Corrected the equation in cell F84, for Hwy2 Unadj FE - Alternative Fuel. There was a cell referencing error that could possible affect vehilces with multiple highway tests. This does not affect CAFE, GHG, or label values.
Added the capability to use Deterioration Factors (DF) for CREE values. Because City and HIghway values are submitted via a table in Verify, at this point a DF must be applied separately to each value, thus adjusting each value with a DF. The user may enter different City and Highway DFs. 
Equations were changed to perform rounding consistent with Engines and Vehicles Compliance Information System (EV-CIS) rounding.
Superfluous values were removed.
Default method for calculating Zn is now using Amp-hours, per the regulations. This is also designed into the EV-CIS calculations.
Calculated intermediate values were rearranged to consolidate those values calculated specifically and solely from charge-depleting test data. Those values requiring charge-sustaining or other inputs are grouped separately. Similar metrics are now grouped together. 
Increased the number of charge-depleting cycles accommodated by the calculator tp 35.
Explanetory comments have been added to many of the inputs and calculated parameters. </t>
  </si>
  <si>
    <t>Fuel Economy Regulations</t>
  </si>
  <si>
    <t>40 CFR Part 600</t>
  </si>
  <si>
    <t xml:space="preserve">The data that is needed to complete this this calculator is on the 'PHEV Calculator' tab.  All data fields are 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</si>
</sst>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44" formatCode="_(&quot;$&quot;* #,##0.00_);_(&quot;$&quot;* \(#,##0.00\);_(&quot;$&quot;* &quot;-&quot;??_);_(@_)"/>
    <numFmt numFmtId="43" formatCode="_(* #,##0.00_);_(* \(#,##0.00\);_(* &quot;-&quot;??_);_(@_)"/>
    <numFmt numFmtId="164" formatCode="0.000"/>
    <numFmt numFmtId="165" formatCode="0.0000"/>
    <numFmt numFmtId="166" formatCode="0.0"/>
    <numFmt numFmtId="167" formatCode="_-&quot;$&quot;* #,##0.00_-;\-&quot;$&quot;* #,##0.00_-;_-&quot;$&quot;* &quot;-&quot;??_-;_-@_-"/>
    <numFmt numFmtId="168" formatCode="_-* #,##0.00&quot; DM&quot;_-;\-* #,##0.00&quot; DM&quot;_-;_-* &quot;-&quot;??&quot; DM&quot;_-;_-@_-"/>
    <numFmt numFmtId="169" formatCode="0.000000"/>
    <numFmt numFmtId="170" formatCode="&quot;$&quot;#,##0;[Red]&quot;$&quot;#,##0"/>
    <numFmt numFmtId="171" formatCode="&quot;$&quot;#,##0.00;[Red]&quot;$&quot;#,##0.00"/>
    <numFmt numFmtId="172" formatCode="&quot;$&quot;#,##0.000"/>
    <numFmt numFmtId="173" formatCode="_(* #,##0.0000_);_(* \(#,##0.0000\);_(* &quot;-&quot;??_);_(@_)"/>
    <numFmt numFmtId="174" formatCode="&quot;$&quot;#,##0"/>
    <numFmt numFmtId="175" formatCode="#,##0.0000_);\(#,##0.0000\)"/>
    <numFmt numFmtId="176" formatCode="0.00_);\(0.00\)"/>
  </numFmts>
  <fonts count="67">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theme="1"/>
      <name val="NewsGoth for Porsche Com"/>
      <family val="2"/>
    </font>
    <font>
      <b/>
      <sz val="18"/>
      <color theme="3"/>
      <name val="Calibri Light"/>
      <family val="2"/>
      <scheme val="major"/>
    </font>
    <font>
      <sz val="11"/>
      <color rgb="FF9C6500"/>
      <name val="Calibri"/>
      <family val="2"/>
      <scheme val="minor"/>
    </font>
    <font>
      <sz val="11"/>
      <name val="Arial"/>
      <family val="2"/>
    </font>
    <font>
      <sz val="10"/>
      <color theme="1"/>
      <name val="Arial"/>
      <family val="2"/>
    </font>
    <font>
      <sz val="11"/>
      <name val="ＭＳ Ｐゴシック"/>
      <family val="3"/>
      <charset val="128"/>
    </font>
    <font>
      <sz val="11"/>
      <name val="Calibri"/>
      <family val="2"/>
      <scheme val="minor"/>
    </font>
    <font>
      <sz val="12"/>
      <color theme="1"/>
      <name val="GM Sans Regular"/>
      <family val="2"/>
    </font>
    <font>
      <b/>
      <sz val="18"/>
      <name val="Times New Roman"/>
      <family val="1"/>
    </font>
    <font>
      <sz val="10"/>
      <name val="Geneva"/>
    </font>
    <font>
      <u/>
      <sz val="10"/>
      <color indexed="12"/>
      <name val="Geneva"/>
    </font>
    <font>
      <i/>
      <sz val="10"/>
      <color indexed="10"/>
      <name val="Arial"/>
      <family val="2"/>
    </font>
    <font>
      <sz val="10"/>
      <color indexed="19"/>
      <name val="Arial"/>
      <family val="2"/>
    </font>
    <font>
      <i/>
      <sz val="10"/>
      <color indexed="12"/>
      <name val="Arial"/>
      <family val="2"/>
    </font>
    <font>
      <i/>
      <sz val="10"/>
      <color indexed="11"/>
      <name val="Arial"/>
      <family val="2"/>
    </font>
    <font>
      <sz val="10"/>
      <color indexed="8"/>
      <name val="Arial"/>
      <family val="2"/>
    </font>
    <font>
      <u/>
      <sz val="10"/>
      <color indexed="12"/>
      <name val="Arial"/>
      <family val="2"/>
    </font>
    <font>
      <u/>
      <sz val="10"/>
      <color indexed="36"/>
      <name val="Arial"/>
      <family val="2"/>
    </font>
    <font>
      <sz val="8"/>
      <name val="Helv"/>
    </font>
    <font>
      <sz val="10"/>
      <color indexed="17"/>
      <name val="Arial"/>
      <family val="2"/>
    </font>
    <font>
      <i/>
      <sz val="10"/>
      <color indexed="23"/>
      <name val="Arial"/>
      <family val="2"/>
    </font>
    <font>
      <sz val="10"/>
      <color indexed="18"/>
      <name val="Arial"/>
      <family val="2"/>
    </font>
    <font>
      <i/>
      <sz val="10"/>
      <color indexed="8"/>
      <name val="Arial"/>
      <family val="2"/>
    </font>
    <font>
      <sz val="10.5"/>
      <name val="ＭＳ ゴシック"/>
      <family val="3"/>
      <charset val="128"/>
    </font>
    <font>
      <sz val="10"/>
      <name val="MS Sans Serif"/>
      <family val="2"/>
    </font>
    <font>
      <b/>
      <sz val="11"/>
      <name val="Calibri"/>
      <family val="2"/>
      <scheme val="minor"/>
    </font>
    <font>
      <b/>
      <u/>
      <sz val="11"/>
      <color theme="1"/>
      <name val="Calibri"/>
      <family val="2"/>
      <scheme val="minor"/>
    </font>
    <font>
      <b/>
      <sz val="11"/>
      <color theme="4" tint="-0.499984740745262"/>
      <name val="Calibri"/>
      <family val="2"/>
      <scheme val="minor"/>
    </font>
    <font>
      <sz val="9"/>
      <color indexed="81"/>
      <name val="Tahoma"/>
      <family val="2"/>
    </font>
    <font>
      <b/>
      <sz val="11"/>
      <color rgb="FFC00000"/>
      <name val="Calibri"/>
      <family val="2"/>
      <scheme val="minor"/>
    </font>
    <font>
      <b/>
      <sz val="11"/>
      <color rgb="FFFF0000"/>
      <name val="Calibri"/>
      <family val="2"/>
      <scheme val="minor"/>
    </font>
    <font>
      <sz val="48"/>
      <color theme="1"/>
      <name val="Calibri"/>
      <family val="2"/>
      <scheme val="minor"/>
    </font>
    <font>
      <sz val="10"/>
      <color theme="1"/>
      <name val="Calibri"/>
      <family val="2"/>
      <scheme val="minor"/>
    </font>
    <font>
      <b/>
      <sz val="14"/>
      <color theme="3" tint="-0.499984740745262"/>
      <name val="Calibri"/>
      <family val="2"/>
      <scheme val="minor"/>
    </font>
    <font>
      <b/>
      <sz val="16"/>
      <color theme="3" tint="-0.499984740745262"/>
      <name val="Calibri"/>
      <family val="2"/>
      <scheme val="minor"/>
    </font>
    <font>
      <sz val="10"/>
      <color theme="0"/>
      <name val="Calibri"/>
      <family val="2"/>
      <scheme val="minor"/>
    </font>
    <font>
      <b/>
      <sz val="12"/>
      <color theme="0"/>
      <name val="Calibri"/>
      <family val="2"/>
      <scheme val="minor"/>
    </font>
    <font>
      <b/>
      <sz val="18"/>
      <color theme="9" tint="0.79998168889431442"/>
      <name val="Wingdings"/>
      <charset val="2"/>
    </font>
    <font>
      <b/>
      <sz val="14"/>
      <color theme="9" tint="0.79998168889431442"/>
      <name val="Calibri"/>
      <family val="2"/>
    </font>
    <font>
      <sz val="11"/>
      <color theme="9" tint="0.79998168889431442"/>
      <name val="Calibri"/>
      <family val="2"/>
      <scheme val="minor"/>
    </font>
    <font>
      <sz val="18"/>
      <color theme="9" tint="0.79998168889431442"/>
      <name val="Wingdings"/>
      <charset val="2"/>
    </font>
    <font>
      <b/>
      <sz val="12"/>
      <color theme="1"/>
      <name val="Calibri"/>
      <family val="2"/>
      <scheme val="minor"/>
    </font>
    <font>
      <u/>
      <sz val="11"/>
      <color theme="1"/>
      <name val="Calibri"/>
      <family val="2"/>
      <scheme val="minor"/>
    </font>
    <font>
      <b/>
      <sz val="12"/>
      <color theme="3"/>
      <name val="Calibri"/>
      <family val="2"/>
      <scheme val="minor"/>
    </font>
    <font>
      <sz val="9"/>
      <color theme="1"/>
      <name val="Calibri"/>
      <family val="2"/>
      <scheme val="minor"/>
    </font>
    <font>
      <b/>
      <sz val="12"/>
      <color rgb="FFC00000"/>
      <name val="Calibri"/>
      <family val="2"/>
      <scheme val="minor"/>
    </font>
    <font>
      <sz val="12"/>
      <color theme="1"/>
      <name val="Calibri"/>
      <family val="2"/>
      <scheme val="minor"/>
    </font>
    <font>
      <sz val="24"/>
      <color theme="0"/>
      <name val="Calibri"/>
      <family val="2"/>
      <scheme val="minor"/>
    </font>
    <font>
      <sz val="11"/>
      <color rgb="FF000000"/>
      <name val="Calibri"/>
      <family val="2"/>
    </font>
    <font>
      <u/>
      <sz val="11"/>
      <color theme="10"/>
      <name val="Calibri"/>
      <family val="2"/>
      <scheme val="minor"/>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9998168889431442"/>
        <bgColor indexed="64"/>
      </patternFill>
    </fill>
    <fill>
      <patternFill patternType="solid">
        <fgColor theme="8" tint="0.59999389629810485"/>
        <bgColor indexed="64"/>
      </patternFill>
    </fill>
    <fill>
      <patternFill patternType="solid">
        <fgColor rgb="FF99FF99"/>
        <bgColor indexed="64"/>
      </patternFill>
    </fill>
    <fill>
      <patternFill patternType="solid">
        <fgColor theme="0"/>
        <bgColor indexed="64"/>
      </patternFill>
    </fill>
    <fill>
      <patternFill patternType="solid">
        <fgColor indexed="22"/>
      </patternFill>
    </fill>
    <fill>
      <patternFill patternType="solid">
        <fgColor rgb="FFFFC000"/>
        <bgColor indexed="64"/>
      </patternFill>
    </fill>
    <fill>
      <patternFill patternType="solid">
        <fgColor theme="8" tint="0.79998168889431442"/>
        <bgColor indexed="64"/>
      </patternFill>
    </fill>
    <fill>
      <patternFill patternType="solid">
        <fgColor theme="3"/>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002060"/>
        <bgColor indexed="64"/>
      </patternFill>
    </fill>
    <fill>
      <patternFill patternType="solid">
        <fgColor rgb="FFFFFF00"/>
        <bgColor indexed="64"/>
      </patternFill>
    </fill>
    <fill>
      <patternFill patternType="solid">
        <fgColor theme="4" tint="-0.499984740745262"/>
        <bgColor indexed="64"/>
      </patternFill>
    </fill>
    <fill>
      <patternFill patternType="solid">
        <fgColor theme="9" tint="0.79998168889431442"/>
        <bgColor indexed="64"/>
      </patternFill>
    </fill>
    <fill>
      <patternFill patternType="solid">
        <fgColor theme="6" tint="0.59999389629810485"/>
        <bgColor indexed="64"/>
      </patternFill>
    </fill>
  </fills>
  <borders count="6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thin">
        <color auto="1"/>
      </bottom>
      <diagonal/>
    </border>
    <border>
      <left/>
      <right/>
      <top/>
      <bottom style="thin">
        <color auto="1"/>
      </bottom>
      <diagonal/>
    </border>
    <border>
      <left/>
      <right style="medium">
        <color indexed="64"/>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bottom style="thin">
        <color indexed="64"/>
      </bottom>
      <diagonal/>
    </border>
    <border>
      <left style="thin">
        <color auto="1"/>
      </left>
      <right style="thin">
        <color auto="1"/>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bottom style="medium">
        <color indexed="64"/>
      </bottom>
      <diagonal/>
    </border>
    <border>
      <left style="thin">
        <color auto="1"/>
      </left>
      <right style="medium">
        <color auto="1"/>
      </right>
      <top/>
      <bottom style="medium">
        <color auto="1"/>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medium">
        <color indexed="64"/>
      </right>
      <top style="thin">
        <color auto="1"/>
      </top>
      <bottom style="medium">
        <color indexed="64"/>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bottom style="medium">
        <color indexed="64"/>
      </bottom>
      <diagonal/>
    </border>
  </borders>
  <cellStyleXfs count="135">
    <xf numFmtId="0" fontId="0" fillId="0" borderId="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5" borderId="4" applyNumberFormat="0" applyAlignment="0" applyProtection="0"/>
    <xf numFmtId="0" fontId="8" fillId="6" borderId="5" applyNumberFormat="0" applyAlignment="0" applyProtection="0"/>
    <xf numFmtId="0" fontId="9" fillId="6" borderId="4" applyNumberFormat="0" applyAlignment="0" applyProtection="0"/>
    <xf numFmtId="0" fontId="10" fillId="0" borderId="6" applyNumberFormat="0" applyFill="0" applyAlignment="0" applyProtection="0"/>
    <xf numFmtId="0" fontId="11" fillId="7" borderId="7" applyNumberFormat="0" applyAlignment="0" applyProtection="0"/>
    <xf numFmtId="0" fontId="12" fillId="0" borderId="0" applyNumberFormat="0" applyFill="0" applyBorder="0" applyAlignment="0" applyProtection="0"/>
    <xf numFmtId="0" fontId="1" fillId="8" borderId="8" applyNumberFormat="0" applyFont="0" applyAlignment="0" applyProtection="0"/>
    <xf numFmtId="0" fontId="13" fillId="0" borderId="0" applyNumberFormat="0" applyFill="0" applyBorder="0" applyAlignment="0" applyProtection="0"/>
    <xf numFmtId="0" fontId="14" fillId="0" borderId="9" applyNumberFormat="0" applyFill="0" applyAlignment="0" applyProtection="0"/>
    <xf numFmtId="0" fontId="15"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1" fillId="0" borderId="0" applyFont="0" applyFill="0" applyBorder="0" applyAlignment="0" applyProtection="0"/>
    <xf numFmtId="0" fontId="16" fillId="0" borderId="0"/>
    <xf numFmtId="0" fontId="17" fillId="0" borderId="0"/>
    <xf numFmtId="0" fontId="1" fillId="0" borderId="0"/>
    <xf numFmtId="0" fontId="18" fillId="0" borderId="0" applyNumberFormat="0" applyFill="0" applyBorder="0" applyAlignment="0" applyProtection="0"/>
    <xf numFmtId="0" fontId="19" fillId="4"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43" fontId="1" fillId="0" borderId="0" applyFont="0" applyFill="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20" fillId="0" borderId="0">
      <alignment vertical="center"/>
    </xf>
    <xf numFmtId="0" fontId="21" fillId="0" borderId="0"/>
    <xf numFmtId="0" fontId="22"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4" fillId="0" borderId="0"/>
    <xf numFmtId="0" fontId="24" fillId="0" borderId="0"/>
    <xf numFmtId="0" fontId="1" fillId="0" borderId="0"/>
    <xf numFmtId="0" fontId="1" fillId="0" borderId="0"/>
    <xf numFmtId="0" fontId="1" fillId="0" borderId="0"/>
    <xf numFmtId="0" fontId="16" fillId="0" borderId="0"/>
    <xf numFmtId="43" fontId="16" fillId="0" borderId="0" applyFont="0" applyFill="0" applyBorder="0" applyAlignment="0" applyProtection="0"/>
    <xf numFmtId="44" fontId="16" fillId="0" borderId="0" applyFont="0" applyFill="0" applyBorder="0" applyAlignment="0" applyProtection="0"/>
    <xf numFmtId="0" fontId="1" fillId="0" borderId="0"/>
    <xf numFmtId="0" fontId="16" fillId="0" borderId="0"/>
    <xf numFmtId="167" fontId="16" fillId="0" borderId="0" applyFont="0" applyFill="0" applyBorder="0" applyAlignment="0" applyProtection="0"/>
    <xf numFmtId="0" fontId="25" fillId="0" borderId="11">
      <alignment horizontal="centerContinuous" vertical="center"/>
    </xf>
    <xf numFmtId="0" fontId="25" fillId="0" borderId="11">
      <alignment horizontal="centerContinuous" vertical="center"/>
    </xf>
    <xf numFmtId="0" fontId="25" fillId="0" borderId="11">
      <alignment horizontal="centerContinuous" vertical="center"/>
    </xf>
    <xf numFmtId="0" fontId="25" fillId="0" borderId="11">
      <alignment horizontal="centerContinuous" vertical="center"/>
    </xf>
    <xf numFmtId="44" fontId="1" fillId="0" borderId="0" applyFont="0" applyFill="0" applyBorder="0" applyAlignment="0" applyProtection="0"/>
    <xf numFmtId="44" fontId="16" fillId="0" borderId="0" applyFont="0" applyFill="0" applyBorder="0" applyAlignment="0" applyProtection="0"/>
    <xf numFmtId="0" fontId="22" fillId="0" borderId="0">
      <alignment vertical="center"/>
    </xf>
    <xf numFmtId="0" fontId="26"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28" fillId="0" borderId="0" applyNumberFormat="0" applyFill="0" applyBorder="0" applyProtection="0">
      <alignment horizontal="right"/>
    </xf>
    <xf numFmtId="38" fontId="26" fillId="0" borderId="0" applyFont="0" applyFill="0" applyBorder="0" applyAlignment="0" applyProtection="0"/>
    <xf numFmtId="6" fontId="26" fillId="0" borderId="0" applyFont="0" applyFill="0" applyBorder="0" applyAlignment="0" applyProtection="0"/>
    <xf numFmtId="0" fontId="29" fillId="0" borderId="0" applyNumberFormat="0" applyFill="0" applyBorder="0" applyProtection="0">
      <alignment horizontal="left"/>
    </xf>
    <xf numFmtId="0" fontId="30" fillId="0" borderId="0" applyNumberFormat="0" applyFill="0" applyBorder="0" applyProtection="0">
      <alignment horizontal="right"/>
    </xf>
    <xf numFmtId="0" fontId="31" fillId="0" borderId="0" applyNumberFormat="0" applyFill="0" applyBorder="0" applyProtection="0">
      <alignment horizontal="right"/>
    </xf>
    <xf numFmtId="0" fontId="27" fillId="0" borderId="0" applyNumberFormat="0" applyFill="0" applyBorder="0" applyAlignment="0" applyProtection="0">
      <alignment vertical="top"/>
      <protection locked="0"/>
    </xf>
    <xf numFmtId="0" fontId="32" fillId="0" borderId="0" applyNumberFormat="0" applyFill="0" applyBorder="0" applyProtection="0">
      <alignment horizontal="left"/>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37" borderId="0" applyNumberFormat="0" applyFont="0" applyBorder="0" applyAlignment="0" applyProtection="0">
      <alignment horizontal="left"/>
    </xf>
    <xf numFmtId="0" fontId="36" fillId="0" borderId="0" applyNumberFormat="0" applyFill="0" applyBorder="0" applyProtection="0">
      <alignment horizontal="left"/>
    </xf>
    <xf numFmtId="0" fontId="37" fillId="0" borderId="0" applyNumberFormat="0" applyFill="0" applyBorder="0" applyProtection="0">
      <alignment horizontal="right"/>
    </xf>
    <xf numFmtId="4" fontId="16" fillId="0" borderId="0" applyFont="0" applyFill="0" applyBorder="0" applyProtection="0">
      <alignment horizontal="right"/>
    </xf>
    <xf numFmtId="9" fontId="16" fillId="0" borderId="0" applyFont="0" applyFill="0" applyBorder="0" applyAlignment="0" applyProtection="0"/>
    <xf numFmtId="0" fontId="16" fillId="0" borderId="0"/>
    <xf numFmtId="0" fontId="16" fillId="0" borderId="0"/>
    <xf numFmtId="0" fontId="16" fillId="0" borderId="0"/>
    <xf numFmtId="0" fontId="1" fillId="0" borderId="0"/>
    <xf numFmtId="0" fontId="1" fillId="0" borderId="0"/>
    <xf numFmtId="0" fontId="32" fillId="0" borderId="0" applyNumberFormat="0" applyFill="0" applyBorder="0" applyProtection="0">
      <alignment horizontal="left"/>
    </xf>
    <xf numFmtId="0" fontId="16" fillId="0" borderId="0"/>
    <xf numFmtId="0" fontId="38" fillId="0" borderId="0" applyNumberFormat="0" applyFill="0" applyBorder="0" applyAlignment="0" applyProtection="0"/>
    <xf numFmtId="0" fontId="39" fillId="0" borderId="0" applyNumberFormat="0" applyFill="0" applyBorder="0" applyProtection="0">
      <alignment horizontal="right"/>
    </xf>
    <xf numFmtId="168" fontId="26" fillId="0" borderId="0" applyFont="0" applyFill="0" applyBorder="0" applyAlignment="0" applyProtection="0"/>
    <xf numFmtId="0" fontId="40" fillId="0" borderId="0"/>
    <xf numFmtId="0" fontId="16" fillId="0" borderId="0"/>
    <xf numFmtId="9" fontId="21" fillId="0" borderId="0" applyFont="0" applyFill="0" applyBorder="0" applyAlignment="0" applyProtection="0"/>
    <xf numFmtId="0" fontId="16" fillId="0" borderId="0"/>
    <xf numFmtId="0" fontId="16"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66" fillId="0" borderId="0" applyNumberFormat="0" applyFill="0" applyBorder="0" applyAlignment="0" applyProtection="0"/>
  </cellStyleXfs>
  <cellXfs count="498">
    <xf numFmtId="0" fontId="0" fillId="0" borderId="0" xfId="0"/>
    <xf numFmtId="0" fontId="0" fillId="0" borderId="0" xfId="0" applyFont="1" applyBorder="1" applyProtection="1"/>
    <xf numFmtId="0" fontId="0" fillId="0" borderId="0" xfId="0" applyFont="1" applyFill="1" applyBorder="1" applyProtection="1"/>
    <xf numFmtId="0" fontId="14" fillId="41" borderId="0" xfId="0" applyFont="1" applyFill="1" applyBorder="1" applyAlignment="1" applyProtection="1">
      <alignment horizontal="left"/>
    </xf>
    <xf numFmtId="0" fontId="14" fillId="41" borderId="0" xfId="0" applyFont="1" applyFill="1" applyBorder="1" applyProtection="1"/>
    <xf numFmtId="0" fontId="14" fillId="41" borderId="28" xfId="0" applyFont="1" applyFill="1" applyBorder="1" applyProtection="1"/>
    <xf numFmtId="0" fontId="14" fillId="41" borderId="0" xfId="0" applyFont="1" applyFill="1" applyBorder="1" applyAlignment="1" applyProtection="1">
      <alignment horizontal="center"/>
    </xf>
    <xf numFmtId="0" fontId="14" fillId="0" borderId="0" xfId="0" applyFont="1" applyBorder="1" applyAlignment="1" applyProtection="1">
      <alignment horizontal="center" wrapText="1"/>
    </xf>
    <xf numFmtId="0" fontId="14" fillId="0" borderId="0" xfId="0" applyFont="1" applyBorder="1" applyAlignment="1" applyProtection="1">
      <alignment horizontal="center"/>
    </xf>
    <xf numFmtId="0" fontId="14" fillId="0" borderId="33" xfId="0" applyFont="1" applyBorder="1" applyAlignment="1" applyProtection="1">
      <alignment horizontal="center"/>
    </xf>
    <xf numFmtId="0" fontId="14" fillId="0" borderId="12" xfId="0" applyFont="1" applyBorder="1" applyAlignment="1" applyProtection="1">
      <alignment horizontal="center" wrapText="1"/>
    </xf>
    <xf numFmtId="0" fontId="0" fillId="41" borderId="0" xfId="0" applyFill="1" applyBorder="1" applyProtection="1"/>
    <xf numFmtId="0" fontId="0" fillId="0" borderId="0" xfId="0" applyBorder="1" applyProtection="1"/>
    <xf numFmtId="0" fontId="0" fillId="0" borderId="33" xfId="0" applyBorder="1" applyProtection="1"/>
    <xf numFmtId="0" fontId="0" fillId="0" borderId="14" xfId="0" applyBorder="1" applyProtection="1"/>
    <xf numFmtId="0" fontId="0" fillId="41" borderId="14" xfId="0" applyFill="1" applyBorder="1" applyProtection="1"/>
    <xf numFmtId="0" fontId="0" fillId="0" borderId="34" xfId="0" applyBorder="1" applyProtection="1"/>
    <xf numFmtId="0" fontId="0" fillId="0" borderId="12" xfId="0" applyFont="1" applyFill="1" applyBorder="1" applyProtection="1"/>
    <xf numFmtId="0" fontId="0" fillId="34" borderId="20" xfId="0" applyFont="1" applyFill="1" applyBorder="1" applyProtection="1"/>
    <xf numFmtId="0" fontId="14" fillId="34" borderId="24" xfId="0" applyFont="1" applyFill="1" applyBorder="1" applyAlignment="1" applyProtection="1">
      <alignment horizontal="center"/>
    </xf>
    <xf numFmtId="0" fontId="14" fillId="0" borderId="25" xfId="0" applyFont="1" applyFill="1" applyBorder="1" applyAlignment="1" applyProtection="1"/>
    <xf numFmtId="0" fontId="14" fillId="0" borderId="26" xfId="0" applyFont="1" applyFill="1" applyBorder="1" applyAlignment="1" applyProtection="1"/>
    <xf numFmtId="0" fontId="0" fillId="33" borderId="32" xfId="0" applyFont="1" applyFill="1" applyBorder="1" applyAlignment="1" applyProtection="1"/>
    <xf numFmtId="0" fontId="0" fillId="33" borderId="32" xfId="0" applyFont="1" applyFill="1" applyBorder="1" applyProtection="1"/>
    <xf numFmtId="0" fontId="0" fillId="0" borderId="0" xfId="0" applyFont="1" applyFill="1" applyBorder="1" applyAlignment="1" applyProtection="1">
      <alignment horizontal="center"/>
    </xf>
    <xf numFmtId="0" fontId="0" fillId="0" borderId="14" xfId="0" applyFont="1" applyFill="1" applyBorder="1" applyAlignment="1" applyProtection="1">
      <alignment horizontal="center"/>
    </xf>
    <xf numFmtId="0" fontId="0" fillId="0" borderId="33" xfId="0" applyFont="1" applyFill="1" applyBorder="1" applyAlignment="1" applyProtection="1">
      <alignment horizontal="center"/>
    </xf>
    <xf numFmtId="0" fontId="0" fillId="0" borderId="34" xfId="0" applyFont="1" applyFill="1" applyBorder="1" applyAlignment="1" applyProtection="1">
      <alignment horizontal="center"/>
    </xf>
    <xf numFmtId="0" fontId="44" fillId="36" borderId="16" xfId="0" applyFont="1" applyFill="1" applyBorder="1" applyAlignment="1" applyProtection="1">
      <alignment horizontal="left" vertical="center"/>
    </xf>
    <xf numFmtId="0" fontId="14" fillId="0" borderId="31" xfId="0" applyFont="1" applyFill="1" applyBorder="1" applyAlignment="1" applyProtection="1">
      <alignment horizontal="center"/>
    </xf>
    <xf numFmtId="164" fontId="0" fillId="0" borderId="0" xfId="0" applyNumberFormat="1" applyFont="1" applyFill="1" applyBorder="1" applyAlignment="1" applyProtection="1">
      <alignment horizontal="center"/>
    </xf>
    <xf numFmtId="164" fontId="0" fillId="0" borderId="14" xfId="0" applyNumberFormat="1" applyFont="1" applyFill="1" applyBorder="1" applyAlignment="1" applyProtection="1">
      <alignment horizontal="center"/>
    </xf>
    <xf numFmtId="166" fontId="0" fillId="0" borderId="0" xfId="0" applyNumberFormat="1" applyFont="1" applyFill="1" applyBorder="1" applyAlignment="1" applyProtection="1">
      <alignment horizontal="center"/>
    </xf>
    <xf numFmtId="165" fontId="0" fillId="0" borderId="0" xfId="0" applyNumberFormat="1" applyFont="1" applyFill="1" applyBorder="1" applyAlignment="1" applyProtection="1">
      <alignment horizontal="center"/>
    </xf>
    <xf numFmtId="169" fontId="0" fillId="0" borderId="0" xfId="0" applyNumberFormat="1" applyFont="1" applyFill="1" applyBorder="1" applyAlignment="1" applyProtection="1">
      <alignment horizontal="center"/>
    </xf>
    <xf numFmtId="169" fontId="0" fillId="42" borderId="10" xfId="0" applyNumberFormat="1" applyFont="1" applyFill="1" applyBorder="1" applyAlignment="1" applyProtection="1">
      <alignment horizontal="center"/>
    </xf>
    <xf numFmtId="0" fontId="14" fillId="0" borderId="32" xfId="0" applyFont="1" applyFill="1" applyBorder="1" applyAlignment="1" applyProtection="1">
      <alignment horizontal="center"/>
    </xf>
    <xf numFmtId="164" fontId="0" fillId="0" borderId="33" xfId="0" applyNumberFormat="1" applyFont="1" applyFill="1" applyBorder="1" applyAlignment="1" applyProtection="1">
      <alignment horizontal="center"/>
    </xf>
    <xf numFmtId="166" fontId="0" fillId="0" borderId="33" xfId="0" applyNumberFormat="1" applyFont="1" applyFill="1" applyBorder="1" applyAlignment="1" applyProtection="1">
      <alignment horizontal="center"/>
    </xf>
    <xf numFmtId="166" fontId="0" fillId="42" borderId="36" xfId="0" applyNumberFormat="1" applyFont="1" applyFill="1" applyBorder="1" applyAlignment="1" applyProtection="1">
      <alignment horizontal="center"/>
    </xf>
    <xf numFmtId="166" fontId="0" fillId="42" borderId="19" xfId="0" applyNumberFormat="1" applyFont="1" applyFill="1" applyBorder="1" applyAlignment="1" applyProtection="1">
      <alignment horizontal="center"/>
    </xf>
    <xf numFmtId="165" fontId="0" fillId="0" borderId="33" xfId="0" applyNumberFormat="1" applyFont="1" applyFill="1" applyBorder="1" applyAlignment="1" applyProtection="1">
      <alignment horizontal="center"/>
    </xf>
    <xf numFmtId="169" fontId="0" fillId="0" borderId="33" xfId="0" applyNumberFormat="1" applyFont="1" applyFill="1" applyBorder="1" applyAlignment="1" applyProtection="1">
      <alignment horizontal="center"/>
    </xf>
    <xf numFmtId="169" fontId="0" fillId="42" borderId="18" xfId="0" applyNumberFormat="1" applyFont="1" applyFill="1" applyBorder="1" applyAlignment="1" applyProtection="1">
      <alignment horizontal="center"/>
    </xf>
    <xf numFmtId="164" fontId="0" fillId="0" borderId="34" xfId="0" applyNumberFormat="1" applyFont="1" applyFill="1" applyBorder="1" applyAlignment="1" applyProtection="1">
      <alignment horizontal="center"/>
    </xf>
    <xf numFmtId="164" fontId="0" fillId="0" borderId="14" xfId="50" applyNumberFormat="1" applyFont="1" applyFill="1" applyBorder="1" applyAlignment="1" applyProtection="1">
      <alignment horizontal="center"/>
    </xf>
    <xf numFmtId="164" fontId="0" fillId="0" borderId="34" xfId="50" applyNumberFormat="1" applyFont="1" applyFill="1" applyBorder="1" applyAlignment="1" applyProtection="1">
      <alignment horizontal="center"/>
    </xf>
    <xf numFmtId="0" fontId="44" fillId="36" borderId="37" xfId="0" applyFont="1" applyFill="1" applyBorder="1" applyAlignment="1" applyProtection="1">
      <alignment horizontal="left" vertical="center"/>
    </xf>
    <xf numFmtId="172" fontId="0" fillId="0" borderId="0" xfId="126" applyNumberFormat="1" applyFont="1" applyFill="1" applyBorder="1" applyAlignment="1" applyProtection="1">
      <alignment horizontal="center"/>
    </xf>
    <xf numFmtId="172" fontId="0" fillId="0" borderId="33" xfId="126" applyNumberFormat="1" applyFont="1" applyFill="1" applyBorder="1" applyAlignment="1" applyProtection="1">
      <alignment horizontal="center"/>
    </xf>
    <xf numFmtId="173" fontId="0" fillId="39" borderId="0" xfId="50" applyNumberFormat="1" applyFont="1" applyFill="1" applyBorder="1" applyAlignment="1" applyProtection="1">
      <alignment horizontal="center"/>
    </xf>
    <xf numFmtId="0" fontId="14" fillId="39" borderId="33" xfId="50" applyNumberFormat="1" applyFont="1" applyFill="1" applyBorder="1" applyAlignment="1" applyProtection="1">
      <alignment horizontal="center"/>
    </xf>
    <xf numFmtId="1" fontId="14" fillId="39" borderId="33" xfId="50" applyNumberFormat="1" applyFont="1" applyFill="1" applyBorder="1" applyAlignment="1" applyProtection="1">
      <alignment horizontal="center"/>
    </xf>
    <xf numFmtId="0" fontId="0" fillId="0" borderId="38" xfId="0" applyFont="1" applyBorder="1" applyProtection="1"/>
    <xf numFmtId="0" fontId="0" fillId="0" borderId="39" xfId="0" applyFont="1" applyBorder="1" applyProtection="1"/>
    <xf numFmtId="0" fontId="0" fillId="0" borderId="42" xfId="0" applyFont="1" applyBorder="1" applyProtection="1"/>
    <xf numFmtId="0" fontId="14" fillId="0" borderId="42" xfId="0" applyFont="1" applyFill="1" applyBorder="1" applyAlignment="1" applyProtection="1">
      <alignment vertical="center"/>
    </xf>
    <xf numFmtId="0" fontId="0" fillId="0" borderId="40" xfId="0" applyFont="1" applyFill="1" applyBorder="1" applyProtection="1"/>
    <xf numFmtId="0" fontId="0" fillId="0" borderId="41" xfId="0" applyFont="1" applyFill="1" applyBorder="1" applyProtection="1"/>
    <xf numFmtId="165" fontId="0" fillId="39" borderId="33" xfId="50" applyNumberFormat="1" applyFont="1" applyFill="1" applyBorder="1" applyAlignment="1" applyProtection="1">
      <alignment horizontal="center"/>
    </xf>
    <xf numFmtId="1" fontId="42" fillId="39" borderId="33" xfId="6" applyNumberFormat="1" applyFont="1" applyFill="1" applyBorder="1" applyAlignment="1" applyProtection="1">
      <alignment horizontal="center"/>
    </xf>
    <xf numFmtId="0" fontId="42" fillId="39" borderId="33" xfId="6" applyNumberFormat="1" applyFont="1" applyFill="1" applyBorder="1" applyAlignment="1" applyProtection="1">
      <alignment horizontal="center"/>
    </xf>
    <xf numFmtId="174" fontId="42" fillId="39" borderId="33" xfId="6" applyNumberFormat="1" applyFont="1" applyFill="1" applyBorder="1" applyAlignment="1" applyProtection="1">
      <alignment horizontal="center"/>
    </xf>
    <xf numFmtId="0" fontId="0" fillId="0" borderId="13" xfId="0" applyFont="1" applyFill="1" applyBorder="1" applyProtection="1"/>
    <xf numFmtId="0" fontId="0" fillId="0" borderId="12" xfId="0" applyFont="1" applyFill="1" applyBorder="1" applyAlignment="1" applyProtection="1">
      <alignment horizontal="left"/>
    </xf>
    <xf numFmtId="0" fontId="0" fillId="0" borderId="13" xfId="0" applyFont="1" applyFill="1" applyBorder="1" applyAlignment="1" applyProtection="1">
      <alignment horizontal="left"/>
    </xf>
    <xf numFmtId="0" fontId="11" fillId="40" borderId="15" xfId="0" applyFont="1" applyFill="1" applyBorder="1" applyAlignment="1" applyProtection="1">
      <alignment horizontal="left"/>
    </xf>
    <xf numFmtId="0" fontId="4" fillId="39" borderId="15" xfId="0" applyFont="1" applyFill="1" applyBorder="1" applyAlignment="1" applyProtection="1"/>
    <xf numFmtId="0" fontId="4" fillId="39" borderId="16" xfId="0" applyFont="1" applyFill="1" applyBorder="1" applyAlignment="1" applyProtection="1"/>
    <xf numFmtId="0" fontId="4" fillId="39" borderId="17" xfId="0" applyFont="1" applyFill="1" applyBorder="1" applyAlignment="1" applyProtection="1"/>
    <xf numFmtId="0" fontId="14" fillId="0" borderId="30" xfId="0" applyFont="1" applyFill="1" applyBorder="1" applyProtection="1"/>
    <xf numFmtId="0" fontId="14" fillId="0" borderId="12" xfId="0" applyFont="1" applyFill="1" applyBorder="1" applyProtection="1"/>
    <xf numFmtId="0" fontId="4" fillId="33" borderId="30" xfId="0" applyFont="1" applyFill="1" applyBorder="1" applyAlignment="1" applyProtection="1">
      <alignment horizontal="left" vertical="center"/>
    </xf>
    <xf numFmtId="0" fontId="0" fillId="35" borderId="18" xfId="0" applyFont="1" applyFill="1" applyBorder="1" applyAlignment="1" applyProtection="1">
      <alignment horizontal="center"/>
      <protection locked="0"/>
    </xf>
    <xf numFmtId="0" fontId="14" fillId="34" borderId="21" xfId="0" applyFont="1" applyFill="1" applyBorder="1" applyAlignment="1" applyProtection="1">
      <alignment horizontal="center"/>
    </xf>
    <xf numFmtId="0" fontId="0" fillId="35" borderId="19" xfId="0" applyFont="1" applyFill="1" applyBorder="1" applyAlignment="1" applyProtection="1">
      <alignment horizontal="center"/>
      <protection locked="0"/>
    </xf>
    <xf numFmtId="0" fontId="0" fillId="39" borderId="32" xfId="0" applyFont="1" applyFill="1" applyBorder="1" applyProtection="1">
      <protection locked="0"/>
    </xf>
    <xf numFmtId="169" fontId="0" fillId="35" borderId="18" xfId="0" applyNumberFormat="1" applyFont="1" applyFill="1" applyBorder="1" applyAlignment="1" applyProtection="1">
      <alignment horizontal="center"/>
      <protection locked="0"/>
    </xf>
    <xf numFmtId="169" fontId="0" fillId="35" borderId="19" xfId="0" applyNumberFormat="1" applyFont="1" applyFill="1" applyBorder="1" applyAlignment="1" applyProtection="1">
      <alignment horizontal="center"/>
      <protection locked="0"/>
    </xf>
    <xf numFmtId="0" fontId="14" fillId="0" borderId="44" xfId="0" applyFont="1" applyFill="1" applyBorder="1" applyAlignment="1" applyProtection="1"/>
    <xf numFmtId="0" fontId="14" fillId="0" borderId="26" xfId="0" applyFont="1" applyFill="1" applyBorder="1" applyAlignment="1" applyProtection="1">
      <alignment horizontal="left" vertical="center"/>
    </xf>
    <xf numFmtId="0" fontId="0" fillId="0" borderId="36" xfId="0" applyFont="1" applyBorder="1" applyProtection="1"/>
    <xf numFmtId="0" fontId="0" fillId="0" borderId="19" xfId="0" applyFont="1" applyBorder="1" applyProtection="1"/>
    <xf numFmtId="0" fontId="14" fillId="34" borderId="28" xfId="0" applyFont="1" applyFill="1" applyBorder="1" applyAlignment="1" applyProtection="1">
      <alignment horizontal="center"/>
    </xf>
    <xf numFmtId="0" fontId="14" fillId="34" borderId="35" xfId="0" applyFont="1" applyFill="1" applyBorder="1" applyAlignment="1" applyProtection="1">
      <alignment horizontal="center"/>
    </xf>
    <xf numFmtId="0" fontId="14" fillId="34" borderId="0" xfId="0" applyFont="1" applyFill="1" applyBorder="1" applyAlignment="1" applyProtection="1">
      <alignment horizontal="center"/>
    </xf>
    <xf numFmtId="0" fontId="14" fillId="34" borderId="33" xfId="0" applyFont="1" applyFill="1" applyBorder="1" applyAlignment="1" applyProtection="1">
      <alignment horizontal="center"/>
    </xf>
    <xf numFmtId="0" fontId="0" fillId="34" borderId="12" xfId="0" applyFont="1" applyFill="1" applyBorder="1" applyProtection="1"/>
    <xf numFmtId="0" fontId="42" fillId="0" borderId="25" xfId="0" applyFont="1" applyBorder="1" applyAlignment="1" applyProtection="1">
      <alignment horizontal="left"/>
    </xf>
    <xf numFmtId="0" fontId="14" fillId="0" borderId="26" xfId="0" applyFont="1" applyBorder="1" applyAlignment="1" applyProtection="1">
      <alignment horizontal="left"/>
    </xf>
    <xf numFmtId="0" fontId="0" fillId="43" borderId="0" xfId="0" applyFont="1" applyFill="1" applyBorder="1" applyProtection="1"/>
    <xf numFmtId="0" fontId="0" fillId="33" borderId="31" xfId="0" applyFont="1" applyFill="1" applyBorder="1" applyAlignment="1" applyProtection="1"/>
    <xf numFmtId="0" fontId="0" fillId="34" borderId="30" xfId="0" applyFont="1" applyFill="1" applyBorder="1" applyProtection="1"/>
    <xf numFmtId="0" fontId="14" fillId="34" borderId="31" xfId="0" applyFont="1" applyFill="1" applyBorder="1" applyAlignment="1" applyProtection="1">
      <alignment horizontal="center"/>
    </xf>
    <xf numFmtId="0" fontId="14" fillId="34" borderId="32" xfId="0" applyFont="1" applyFill="1" applyBorder="1" applyAlignment="1" applyProtection="1">
      <alignment horizontal="center"/>
    </xf>
    <xf numFmtId="0" fontId="0" fillId="33" borderId="31" xfId="0" applyFont="1" applyFill="1" applyBorder="1" applyProtection="1"/>
    <xf numFmtId="173" fontId="0" fillId="46" borderId="0" xfId="50" applyNumberFormat="1" applyFont="1" applyFill="1" applyBorder="1" applyAlignment="1" applyProtection="1">
      <alignment horizontal="center"/>
    </xf>
    <xf numFmtId="175" fontId="0" fillId="46" borderId="0" xfId="50" applyNumberFormat="1" applyFont="1" applyFill="1" applyBorder="1" applyAlignment="1" applyProtection="1">
      <alignment horizontal="center"/>
    </xf>
    <xf numFmtId="0" fontId="14" fillId="46" borderId="0" xfId="50" applyNumberFormat="1" applyFont="1" applyFill="1" applyBorder="1" applyAlignment="1" applyProtection="1">
      <alignment horizontal="center"/>
    </xf>
    <xf numFmtId="1" fontId="14" fillId="46" borderId="0" xfId="50" applyNumberFormat="1" applyFont="1" applyFill="1" applyBorder="1" applyAlignment="1" applyProtection="1">
      <alignment horizontal="center"/>
    </xf>
    <xf numFmtId="165" fontId="14" fillId="46" borderId="0" xfId="50" applyNumberFormat="1" applyFont="1" applyFill="1" applyBorder="1" applyAlignment="1" applyProtection="1">
      <alignment horizontal="center"/>
    </xf>
    <xf numFmtId="166" fontId="14" fillId="46" borderId="0" xfId="50" applyNumberFormat="1" applyFont="1" applyFill="1" applyBorder="1" applyAlignment="1" applyProtection="1">
      <alignment horizontal="center"/>
    </xf>
    <xf numFmtId="1" fontId="0" fillId="0" borderId="0" xfId="0" applyNumberFormat="1" applyBorder="1" applyAlignment="1" applyProtection="1">
      <alignment horizontal="center"/>
    </xf>
    <xf numFmtId="1" fontId="0" fillId="0" borderId="0" xfId="51" applyNumberFormat="1" applyFont="1" applyBorder="1" applyAlignment="1" applyProtection="1">
      <alignment horizontal="center"/>
    </xf>
    <xf numFmtId="0" fontId="14" fillId="46" borderId="14" xfId="50" applyNumberFormat="1" applyFont="1" applyFill="1" applyBorder="1" applyAlignment="1" applyProtection="1">
      <alignment horizontal="center"/>
    </xf>
    <xf numFmtId="5" fontId="14" fillId="46" borderId="0" xfId="126" applyNumberFormat="1" applyFont="1" applyFill="1" applyBorder="1" applyAlignment="1" applyProtection="1">
      <alignment horizontal="center"/>
    </xf>
    <xf numFmtId="1" fontId="0" fillId="34" borderId="0" xfId="133" applyNumberFormat="1" applyFont="1" applyFill="1" applyBorder="1" applyAlignment="1" applyProtection="1">
      <alignment horizontal="center"/>
    </xf>
    <xf numFmtId="0" fontId="0" fillId="35" borderId="55" xfId="0" applyFont="1" applyFill="1" applyBorder="1" applyAlignment="1" applyProtection="1">
      <alignment horizontal="center"/>
      <protection locked="0"/>
    </xf>
    <xf numFmtId="0" fontId="47" fillId="39" borderId="33" xfId="0" applyFont="1" applyFill="1" applyBorder="1" applyAlignment="1" applyProtection="1">
      <alignment horizontal="center"/>
      <protection locked="0"/>
    </xf>
    <xf numFmtId="0" fontId="0" fillId="0" borderId="10" xfId="0" applyNumberFormat="1" applyFont="1" applyFill="1" applyBorder="1" applyAlignment="1" applyProtection="1">
      <alignment horizontal="center"/>
    </xf>
    <xf numFmtId="0" fontId="0" fillId="0" borderId="18" xfId="0" applyNumberFormat="1" applyFont="1" applyFill="1" applyBorder="1" applyAlignment="1" applyProtection="1">
      <alignment horizontal="center"/>
    </xf>
    <xf numFmtId="0" fontId="0" fillId="0" borderId="36" xfId="0" applyFont="1" applyBorder="1" applyAlignment="1" applyProtection="1">
      <alignment horizontal="center"/>
    </xf>
    <xf numFmtId="0" fontId="0" fillId="0" borderId="19" xfId="0" applyFont="1" applyBorder="1" applyAlignment="1" applyProtection="1">
      <alignment horizontal="center"/>
    </xf>
    <xf numFmtId="0" fontId="0" fillId="0" borderId="0" xfId="0" applyFont="1" applyProtection="1"/>
    <xf numFmtId="0" fontId="0" fillId="0" borderId="0" xfId="0" applyFont="1" applyAlignment="1" applyProtection="1">
      <alignment horizontal="center"/>
    </xf>
    <xf numFmtId="0" fontId="0" fillId="43" borderId="0" xfId="0" applyFont="1" applyFill="1" applyProtection="1"/>
    <xf numFmtId="0" fontId="0" fillId="0" borderId="0" xfId="0" applyProtection="1"/>
    <xf numFmtId="0" fontId="50" fillId="36" borderId="15" xfId="0" applyFont="1" applyFill="1" applyBorder="1" applyAlignment="1" applyProtection="1">
      <alignment vertical="center"/>
    </xf>
    <xf numFmtId="0" fontId="51" fillId="36" borderId="16" xfId="0" applyFont="1" applyFill="1" applyBorder="1" applyAlignment="1" applyProtection="1">
      <alignment vertical="center"/>
    </xf>
    <xf numFmtId="0" fontId="51" fillId="36" borderId="17" xfId="0" applyFont="1" applyFill="1" applyBorder="1" applyAlignment="1" applyProtection="1">
      <alignment vertical="center"/>
    </xf>
    <xf numFmtId="0" fontId="14" fillId="38" borderId="30" xfId="0" applyFont="1" applyFill="1" applyBorder="1" applyAlignment="1" applyProtection="1">
      <alignment vertical="center"/>
    </xf>
    <xf numFmtId="0" fontId="14" fillId="38" borderId="32" xfId="0" applyFont="1" applyFill="1" applyBorder="1" applyAlignment="1" applyProtection="1">
      <alignment vertical="center"/>
    </xf>
    <xf numFmtId="0" fontId="0" fillId="43" borderId="0" xfId="0" applyFill="1" applyProtection="1"/>
    <xf numFmtId="0" fontId="11" fillId="40" borderId="16" xfId="0" applyFont="1" applyFill="1" applyBorder="1" applyAlignment="1" applyProtection="1">
      <alignment horizontal="left"/>
    </xf>
    <xf numFmtId="0" fontId="11" fillId="40" borderId="16" xfId="0" applyFont="1" applyFill="1" applyBorder="1" applyProtection="1"/>
    <xf numFmtId="0" fontId="11" fillId="40" borderId="17" xfId="0" applyFont="1" applyFill="1" applyBorder="1" applyProtection="1"/>
    <xf numFmtId="0" fontId="52" fillId="45" borderId="15" xfId="0" applyFont="1" applyFill="1" applyBorder="1" applyProtection="1"/>
    <xf numFmtId="0" fontId="53" fillId="45" borderId="16" xfId="0" applyFont="1" applyFill="1" applyBorder="1" applyAlignment="1" applyProtection="1">
      <alignment horizontal="left" vertical="center"/>
    </xf>
    <xf numFmtId="0" fontId="15" fillId="45" borderId="16" xfId="0" applyFont="1" applyFill="1" applyBorder="1" applyAlignment="1" applyProtection="1">
      <alignment horizontal="left" vertical="center" wrapText="1"/>
    </xf>
    <xf numFmtId="0" fontId="15" fillId="45" borderId="17" xfId="0" applyFont="1" applyFill="1" applyBorder="1" applyAlignment="1" applyProtection="1">
      <alignment horizontal="left" vertical="center" wrapText="1"/>
    </xf>
    <xf numFmtId="0" fontId="46" fillId="39" borderId="30" xfId="0" applyFont="1" applyFill="1" applyBorder="1" applyAlignment="1" applyProtection="1">
      <alignment horizontal="left" vertical="center"/>
    </xf>
    <xf numFmtId="0" fontId="47" fillId="39" borderId="32" xfId="0" applyFont="1" applyFill="1" applyBorder="1" applyAlignment="1" applyProtection="1">
      <alignment horizontal="center"/>
    </xf>
    <xf numFmtId="0" fontId="42" fillId="39" borderId="15" xfId="0" applyFont="1" applyFill="1" applyBorder="1" applyAlignment="1" applyProtection="1">
      <alignment horizontal="left"/>
    </xf>
    <xf numFmtId="0" fontId="23" fillId="39" borderId="16" xfId="0" applyFont="1" applyFill="1" applyBorder="1" applyAlignment="1" applyProtection="1">
      <alignment horizontal="left" vertical="center" wrapText="1"/>
    </xf>
    <xf numFmtId="0" fontId="23" fillId="39" borderId="17" xfId="0" applyFont="1" applyFill="1" applyBorder="1" applyAlignment="1" applyProtection="1">
      <alignment horizontal="left" vertical="center" wrapText="1"/>
    </xf>
    <xf numFmtId="0" fontId="0" fillId="0" borderId="0" xfId="0" applyFont="1" applyAlignment="1" applyProtection="1">
      <alignment vertical="center"/>
    </xf>
    <xf numFmtId="0" fontId="54" fillId="46" borderId="30" xfId="0" applyFont="1" applyFill="1" applyBorder="1" applyAlignment="1" applyProtection="1">
      <alignment horizontal="right" vertical="center"/>
    </xf>
    <xf numFmtId="0" fontId="23" fillId="46" borderId="31" xfId="0" applyFont="1" applyFill="1" applyBorder="1" applyAlignment="1" applyProtection="1">
      <alignment horizontal="left"/>
    </xf>
    <xf numFmtId="0" fontId="23" fillId="46" borderId="31" xfId="0" applyFont="1" applyFill="1" applyBorder="1" applyAlignment="1" applyProtection="1">
      <alignment horizontal="center"/>
    </xf>
    <xf numFmtId="0" fontId="0" fillId="46" borderId="32" xfId="0" applyFill="1" applyBorder="1" applyAlignment="1" applyProtection="1">
      <alignment vertical="center"/>
    </xf>
    <xf numFmtId="0" fontId="14" fillId="0" borderId="25" xfId="0" applyFont="1" applyBorder="1" applyAlignment="1" applyProtection="1">
      <alignment horizontal="left" vertical="top"/>
    </xf>
    <xf numFmtId="0" fontId="42" fillId="39" borderId="30" xfId="0" applyFont="1" applyFill="1" applyBorder="1" applyAlignment="1" applyProtection="1">
      <alignment horizontal="left"/>
    </xf>
    <xf numFmtId="0" fontId="42" fillId="39" borderId="31" xfId="0" applyFont="1" applyFill="1" applyBorder="1" applyAlignment="1" applyProtection="1">
      <alignment horizontal="center"/>
    </xf>
    <xf numFmtId="165" fontId="42" fillId="39" borderId="32" xfId="0" applyNumberFormat="1" applyFont="1" applyFill="1" applyBorder="1" applyAlignment="1" applyProtection="1">
      <alignment horizontal="center"/>
    </xf>
    <xf numFmtId="0" fontId="55" fillId="46" borderId="12" xfId="0" applyFont="1" applyFill="1" applyBorder="1" applyAlignment="1" applyProtection="1">
      <alignment horizontal="right" vertical="center"/>
    </xf>
    <xf numFmtId="0" fontId="0" fillId="46" borderId="0" xfId="0" applyFill="1" applyBorder="1" applyAlignment="1" applyProtection="1">
      <alignment horizontal="left"/>
    </xf>
    <xf numFmtId="0" fontId="55" fillId="46" borderId="33" xfId="0" applyFont="1" applyFill="1" applyBorder="1" applyAlignment="1" applyProtection="1">
      <alignment horizontal="left" vertical="center"/>
    </xf>
    <xf numFmtId="0" fontId="0" fillId="39" borderId="12" xfId="0" applyFont="1" applyFill="1" applyBorder="1" applyAlignment="1" applyProtection="1">
      <alignment horizontal="left"/>
    </xf>
    <xf numFmtId="0" fontId="14" fillId="0" borderId="54" xfId="0" applyFont="1" applyBorder="1" applyAlignment="1" applyProtection="1">
      <alignment horizontal="left" vertical="top"/>
    </xf>
    <xf numFmtId="0" fontId="57" fillId="46" borderId="12" xfId="0" applyFont="1" applyFill="1" applyBorder="1" applyAlignment="1" applyProtection="1">
      <alignment horizontal="center" vertical="center"/>
    </xf>
    <xf numFmtId="0" fontId="0" fillId="46" borderId="0" xfId="0" applyFill="1" applyBorder="1" applyAlignment="1" applyProtection="1">
      <alignment horizontal="center"/>
    </xf>
    <xf numFmtId="0" fontId="56" fillId="46" borderId="33" xfId="0" applyFont="1" applyFill="1" applyBorder="1" applyAlignment="1" applyProtection="1">
      <alignment vertical="center"/>
    </xf>
    <xf numFmtId="0" fontId="14" fillId="0" borderId="26" xfId="0" applyFont="1" applyBorder="1" applyProtection="1"/>
    <xf numFmtId="0" fontId="14" fillId="39" borderId="12" xfId="0" applyFont="1" applyFill="1" applyBorder="1" applyAlignment="1" applyProtection="1">
      <alignment horizontal="left"/>
    </xf>
    <xf numFmtId="0" fontId="14" fillId="39" borderId="0" xfId="0" applyFont="1" applyFill="1" applyAlignment="1" applyProtection="1">
      <alignment horizontal="center"/>
    </xf>
    <xf numFmtId="165" fontId="14" fillId="39" borderId="33" xfId="0" applyNumberFormat="1" applyFont="1" applyFill="1" applyBorder="1" applyAlignment="1" applyProtection="1">
      <alignment horizontal="center"/>
    </xf>
    <xf numFmtId="0" fontId="0" fillId="46" borderId="0" xfId="0" applyFill="1" applyBorder="1" applyProtection="1"/>
    <xf numFmtId="0" fontId="46" fillId="39" borderId="12" xfId="0" applyFont="1" applyFill="1" applyBorder="1" applyAlignment="1" applyProtection="1">
      <alignment horizontal="left" vertical="center"/>
    </xf>
    <xf numFmtId="0" fontId="0" fillId="39" borderId="12" xfId="0" applyFont="1" applyFill="1" applyBorder="1" applyProtection="1"/>
    <xf numFmtId="0" fontId="49" fillId="46" borderId="12" xfId="0" applyFont="1" applyFill="1" applyBorder="1" applyAlignment="1" applyProtection="1">
      <alignment horizontal="left"/>
    </xf>
    <xf numFmtId="0" fontId="14" fillId="36" borderId="51" xfId="0" applyFont="1" applyFill="1" applyBorder="1" applyProtection="1"/>
    <xf numFmtId="0" fontId="49" fillId="36" borderId="52" xfId="0" applyFont="1" applyFill="1" applyBorder="1" applyProtection="1"/>
    <xf numFmtId="0" fontId="58" fillId="36" borderId="53" xfId="0" applyFont="1" applyFill="1" applyBorder="1" applyAlignment="1" applyProtection="1">
      <alignment horizontal="center"/>
    </xf>
    <xf numFmtId="0" fontId="49" fillId="46" borderId="33" xfId="0" applyFont="1" applyFill="1" applyBorder="1" applyProtection="1"/>
    <xf numFmtId="0" fontId="42" fillId="39" borderId="15" xfId="0" applyFont="1" applyFill="1" applyBorder="1" applyAlignment="1" applyProtection="1">
      <alignment horizontal="left" vertical="center"/>
    </xf>
    <xf numFmtId="0" fontId="14" fillId="39" borderId="16" xfId="0" applyFont="1" applyFill="1" applyBorder="1" applyAlignment="1" applyProtection="1">
      <alignment horizontal="center" vertical="center"/>
    </xf>
    <xf numFmtId="0" fontId="14" fillId="39" borderId="17" xfId="0" applyFont="1" applyFill="1" applyBorder="1" applyAlignment="1" applyProtection="1">
      <alignment horizontal="center" vertical="center"/>
    </xf>
    <xf numFmtId="0" fontId="49" fillId="46" borderId="12" xfId="0" applyFont="1" applyFill="1" applyBorder="1" applyProtection="1"/>
    <xf numFmtId="0" fontId="59" fillId="36" borderId="0" xfId="0" applyFont="1" applyFill="1" applyBorder="1" applyAlignment="1" applyProtection="1">
      <alignment horizontal="center"/>
    </xf>
    <xf numFmtId="0" fontId="59" fillId="36" borderId="33" xfId="0" applyFont="1" applyFill="1" applyBorder="1" applyAlignment="1" applyProtection="1">
      <alignment horizontal="center"/>
    </xf>
    <xf numFmtId="0" fontId="0" fillId="46" borderId="33" xfId="0" applyFill="1" applyBorder="1" applyProtection="1"/>
    <xf numFmtId="166" fontId="0" fillId="39" borderId="0" xfId="0" applyNumberFormat="1" applyFont="1" applyFill="1" applyAlignment="1" applyProtection="1">
      <alignment horizontal="center"/>
    </xf>
    <xf numFmtId="166" fontId="0" fillId="39" borderId="33" xfId="0" applyNumberFormat="1" applyFont="1" applyFill="1" applyBorder="1" applyAlignment="1" applyProtection="1">
      <alignment horizontal="center"/>
    </xf>
    <xf numFmtId="0" fontId="0" fillId="36" borderId="13" xfId="0" applyFill="1" applyBorder="1" applyProtection="1"/>
    <xf numFmtId="2" fontId="0" fillId="36" borderId="14" xfId="0" applyNumberFormat="1" applyFill="1" applyBorder="1" applyAlignment="1" applyProtection="1">
      <alignment horizontal="center"/>
    </xf>
    <xf numFmtId="166" fontId="0" fillId="36" borderId="34" xfId="0" applyNumberFormat="1" applyFill="1" applyBorder="1" applyAlignment="1" applyProtection="1">
      <alignment horizontal="center"/>
    </xf>
    <xf numFmtId="0" fontId="49" fillId="46" borderId="13" xfId="0" applyFont="1" applyFill="1" applyBorder="1" applyProtection="1"/>
    <xf numFmtId="0" fontId="0" fillId="46" borderId="14" xfId="0" applyFill="1" applyBorder="1" applyProtection="1"/>
    <xf numFmtId="0" fontId="0" fillId="46" borderId="14" xfId="0" applyFill="1" applyBorder="1" applyAlignment="1" applyProtection="1">
      <alignment horizontal="center"/>
    </xf>
    <xf numFmtId="0" fontId="0" fillId="46" borderId="34" xfId="0" applyFill="1" applyBorder="1" applyProtection="1"/>
    <xf numFmtId="0" fontId="53" fillId="45" borderId="16" xfId="0" applyFont="1" applyFill="1" applyBorder="1" applyAlignment="1" applyProtection="1">
      <alignment horizontal="center" vertical="center"/>
    </xf>
    <xf numFmtId="0" fontId="52" fillId="45" borderId="17" xfId="0" applyFont="1" applyFill="1" applyBorder="1" applyProtection="1"/>
    <xf numFmtId="0" fontId="4" fillId="39" borderId="12" xfId="0" applyFont="1" applyFill="1" applyBorder="1" applyProtection="1"/>
    <xf numFmtId="0" fontId="4" fillId="39" borderId="0" xfId="0" applyFont="1" applyFill="1" applyAlignment="1" applyProtection="1">
      <alignment horizontal="center"/>
    </xf>
    <xf numFmtId="0" fontId="4" fillId="39" borderId="33" xfId="0" applyFont="1" applyFill="1" applyBorder="1" applyAlignment="1" applyProtection="1">
      <alignment horizontal="center"/>
    </xf>
    <xf numFmtId="166" fontId="0" fillId="46" borderId="0" xfId="0" applyNumberFormat="1" applyFill="1" applyBorder="1" applyAlignment="1" applyProtection="1">
      <alignment horizontal="center"/>
    </xf>
    <xf numFmtId="0" fontId="14" fillId="0" borderId="26" xfId="0" applyFont="1" applyBorder="1" applyAlignment="1" applyProtection="1">
      <alignment horizontal="left" vertical="top"/>
    </xf>
    <xf numFmtId="0" fontId="0" fillId="39" borderId="0" xfId="0" applyFont="1" applyFill="1" applyAlignment="1" applyProtection="1">
      <alignment horizontal="center"/>
    </xf>
    <xf numFmtId="0" fontId="49" fillId="44" borderId="12" xfId="0" applyFont="1" applyFill="1" applyBorder="1" applyProtection="1"/>
    <xf numFmtId="0" fontId="42" fillId="44" borderId="0" xfId="0" applyFont="1" applyFill="1" applyBorder="1" applyProtection="1"/>
    <xf numFmtId="166" fontId="14" fillId="44" borderId="0" xfId="0" applyNumberFormat="1" applyFont="1" applyFill="1" applyBorder="1" applyAlignment="1" applyProtection="1">
      <alignment horizontal="center"/>
    </xf>
    <xf numFmtId="0" fontId="49" fillId="44" borderId="33" xfId="0" applyFont="1" applyFill="1" applyBorder="1" applyProtection="1"/>
    <xf numFmtId="0" fontId="0" fillId="39" borderId="32" xfId="0" applyFont="1" applyFill="1" applyBorder="1" applyProtection="1"/>
    <xf numFmtId="0" fontId="0" fillId="0" borderId="10" xfId="0" applyBorder="1" applyAlignment="1" applyProtection="1">
      <alignment horizontal="center"/>
    </xf>
    <xf numFmtId="0" fontId="0" fillId="0" borderId="18" xfId="0" applyBorder="1" applyAlignment="1" applyProtection="1">
      <alignment horizontal="center"/>
    </xf>
    <xf numFmtId="0" fontId="60" fillId="46" borderId="0" xfId="0" applyFont="1" applyFill="1" applyBorder="1" applyProtection="1"/>
    <xf numFmtId="0" fontId="4" fillId="46" borderId="0" xfId="0" applyFont="1" applyFill="1" applyBorder="1" applyAlignment="1" applyProtection="1">
      <alignment horizontal="center"/>
    </xf>
    <xf numFmtId="0" fontId="14" fillId="39" borderId="33" xfId="0" applyFont="1" applyFill="1" applyBorder="1" applyAlignment="1" applyProtection="1">
      <alignment horizontal="center"/>
    </xf>
    <xf numFmtId="2" fontId="0" fillId="46" borderId="0" xfId="0" applyNumberFormat="1" applyFill="1" applyBorder="1" applyAlignment="1" applyProtection="1">
      <alignment horizontal="center"/>
    </xf>
    <xf numFmtId="0" fontId="49" fillId="46" borderId="0" xfId="0" applyFont="1" applyFill="1" applyBorder="1" applyProtection="1"/>
    <xf numFmtId="165" fontId="0" fillId="46" borderId="0" xfId="0" applyNumberFormat="1" applyFill="1" applyBorder="1" applyAlignment="1" applyProtection="1">
      <alignment horizontal="center"/>
    </xf>
    <xf numFmtId="0" fontId="0" fillId="0" borderId="25" xfId="0" applyFont="1" applyFill="1" applyBorder="1" applyAlignment="1" applyProtection="1">
      <alignment horizontal="left" vertical="top"/>
    </xf>
    <xf numFmtId="0" fontId="0" fillId="0" borderId="18" xfId="0" applyFont="1" applyBorder="1" applyAlignment="1" applyProtection="1">
      <alignment horizontal="center"/>
    </xf>
    <xf numFmtId="171" fontId="0" fillId="0" borderId="0" xfId="0" applyNumberFormat="1" applyFont="1" applyBorder="1" applyAlignment="1" applyProtection="1">
      <alignment horizontal="center"/>
    </xf>
    <xf numFmtId="165" fontId="0" fillId="39" borderId="0" xfId="0" applyNumberFormat="1" applyFont="1" applyFill="1" applyAlignment="1" applyProtection="1">
      <alignment horizontal="center"/>
    </xf>
    <xf numFmtId="165" fontId="23" fillId="46" borderId="0" xfId="0" applyNumberFormat="1" applyFont="1" applyFill="1" applyBorder="1" applyAlignment="1" applyProtection="1">
      <alignment horizontal="center"/>
    </xf>
    <xf numFmtId="171" fontId="0" fillId="0" borderId="18" xfId="0" applyNumberFormat="1" applyFont="1" applyBorder="1" applyAlignment="1" applyProtection="1">
      <alignment horizontal="center"/>
    </xf>
    <xf numFmtId="170" fontId="0" fillId="0" borderId="0" xfId="0" applyNumberFormat="1" applyFont="1" applyBorder="1" applyAlignment="1" applyProtection="1">
      <alignment horizontal="center"/>
    </xf>
    <xf numFmtId="0" fontId="0" fillId="0" borderId="25" xfId="0" applyFont="1" applyBorder="1" applyProtection="1"/>
    <xf numFmtId="1" fontId="0" fillId="0" borderId="0" xfId="0" applyNumberFormat="1" applyFont="1" applyBorder="1" applyAlignment="1" applyProtection="1">
      <alignment horizontal="center"/>
    </xf>
    <xf numFmtId="0" fontId="42" fillId="39" borderId="33" xfId="0" applyFont="1" applyFill="1" applyBorder="1" applyAlignment="1" applyProtection="1">
      <alignment horizontal="center"/>
    </xf>
    <xf numFmtId="170" fontId="0" fillId="0" borderId="18" xfId="0" applyNumberFormat="1" applyFont="1" applyBorder="1" applyAlignment="1" applyProtection="1">
      <alignment horizontal="center"/>
    </xf>
    <xf numFmtId="1" fontId="14" fillId="46" borderId="0" xfId="0" applyNumberFormat="1" applyFont="1" applyFill="1" applyBorder="1" applyAlignment="1" applyProtection="1">
      <alignment horizontal="center"/>
    </xf>
    <xf numFmtId="0" fontId="0" fillId="0" borderId="26" xfId="0" applyFont="1" applyBorder="1" applyProtection="1"/>
    <xf numFmtId="1" fontId="0" fillId="0" borderId="19" xfId="0" applyNumberFormat="1" applyFont="1" applyBorder="1" applyAlignment="1" applyProtection="1">
      <alignment horizontal="center"/>
    </xf>
    <xf numFmtId="166" fontId="14" fillId="46" borderId="0" xfId="0" applyNumberFormat="1" applyFont="1" applyFill="1" applyBorder="1" applyAlignment="1" applyProtection="1">
      <alignment horizontal="center"/>
    </xf>
    <xf numFmtId="0" fontId="0" fillId="0" borderId="36" xfId="0" applyBorder="1" applyAlignment="1" applyProtection="1">
      <alignment horizontal="center"/>
    </xf>
    <xf numFmtId="0" fontId="0" fillId="0" borderId="19" xfId="0" applyBorder="1" applyAlignment="1" applyProtection="1">
      <alignment horizontal="center"/>
    </xf>
    <xf numFmtId="0" fontId="42" fillId="39" borderId="15" xfId="0" applyFont="1" applyFill="1" applyBorder="1" applyAlignment="1" applyProtection="1">
      <alignment vertical="center"/>
    </xf>
    <xf numFmtId="0" fontId="61" fillId="46" borderId="0" xfId="0" applyFont="1" applyFill="1" applyBorder="1" applyAlignment="1" applyProtection="1">
      <alignment horizontal="right"/>
    </xf>
    <xf numFmtId="0" fontId="14" fillId="34" borderId="48" xfId="0" applyFont="1" applyFill="1" applyBorder="1" applyAlignment="1" applyProtection="1">
      <alignment horizontal="center"/>
    </xf>
    <xf numFmtId="164" fontId="0" fillId="39" borderId="0" xfId="0" applyNumberFormat="1" applyFont="1" applyFill="1" applyAlignment="1" applyProtection="1">
      <alignment horizontal="center"/>
    </xf>
    <xf numFmtId="0" fontId="0" fillId="39" borderId="33" xfId="0" applyFont="1" applyFill="1" applyBorder="1" applyAlignment="1" applyProtection="1">
      <alignment horizontal="center"/>
    </xf>
    <xf numFmtId="0" fontId="14" fillId="46" borderId="0" xfId="0" applyFont="1" applyFill="1" applyBorder="1" applyAlignment="1" applyProtection="1">
      <alignment horizontal="center"/>
    </xf>
    <xf numFmtId="165" fontId="23" fillId="0" borderId="10" xfId="52" applyNumberFormat="1" applyFont="1" applyFill="1" applyBorder="1" applyAlignment="1" applyProtection="1">
      <alignment horizontal="center"/>
    </xf>
    <xf numFmtId="165" fontId="23" fillId="0" borderId="18" xfId="52" applyNumberFormat="1" applyFont="1" applyFill="1" applyBorder="1" applyAlignment="1" applyProtection="1">
      <alignment horizontal="center"/>
    </xf>
    <xf numFmtId="0" fontId="0" fillId="0" borderId="50" xfId="0" applyBorder="1" applyAlignment="1" applyProtection="1">
      <alignment horizontal="center"/>
    </xf>
    <xf numFmtId="164" fontId="0" fillId="42" borderId="10" xfId="0" applyNumberFormat="1" applyFont="1" applyFill="1" applyBorder="1" applyAlignment="1" applyProtection="1">
      <alignment horizontal="center"/>
    </xf>
    <xf numFmtId="164" fontId="0" fillId="42" borderId="18" xfId="0" applyNumberFormat="1" applyFont="1" applyFill="1" applyBorder="1" applyAlignment="1" applyProtection="1">
      <alignment horizontal="center"/>
    </xf>
    <xf numFmtId="0" fontId="0" fillId="39" borderId="13" xfId="0" applyFont="1" applyFill="1" applyBorder="1" applyProtection="1"/>
    <xf numFmtId="165" fontId="0" fillId="39" borderId="14" xfId="0" applyNumberFormat="1" applyFont="1" applyFill="1" applyBorder="1" applyAlignment="1" applyProtection="1">
      <alignment horizontal="center"/>
    </xf>
    <xf numFmtId="165" fontId="0" fillId="39" borderId="34" xfId="0" applyNumberFormat="1" applyFont="1" applyFill="1" applyBorder="1" applyAlignment="1" applyProtection="1">
      <alignment horizontal="center"/>
    </xf>
    <xf numFmtId="0" fontId="0" fillId="0" borderId="49" xfId="0" applyBorder="1" applyAlignment="1" applyProtection="1">
      <alignment horizontal="center"/>
    </xf>
    <xf numFmtId="0" fontId="42" fillId="39" borderId="30" xfId="0" applyFont="1" applyFill="1" applyBorder="1" applyAlignment="1" applyProtection="1">
      <alignment vertical="center"/>
    </xf>
    <xf numFmtId="0" fontId="14" fillId="39" borderId="31" xfId="0" applyFont="1" applyFill="1" applyBorder="1" applyAlignment="1" applyProtection="1">
      <alignment horizontal="center" vertical="center"/>
    </xf>
    <xf numFmtId="0" fontId="14" fillId="39" borderId="32" xfId="0" applyFont="1" applyFill="1" applyBorder="1" applyAlignment="1" applyProtection="1">
      <alignment horizontal="center" vertical="center"/>
    </xf>
    <xf numFmtId="166" fontId="23" fillId="0" borderId="0" xfId="52" applyNumberFormat="1" applyFont="1" applyFill="1" applyBorder="1" applyAlignment="1" applyProtection="1">
      <alignment horizontal="center"/>
    </xf>
    <xf numFmtId="166" fontId="23" fillId="0" borderId="10" xfId="52" applyNumberFormat="1" applyFont="1" applyFill="1" applyBorder="1" applyAlignment="1" applyProtection="1">
      <alignment horizontal="center"/>
    </xf>
    <xf numFmtId="166" fontId="23" fillId="0" borderId="18" xfId="52" applyNumberFormat="1" applyFont="1" applyFill="1" applyBorder="1" applyAlignment="1" applyProtection="1">
      <alignment horizontal="center"/>
    </xf>
    <xf numFmtId="0" fontId="0" fillId="39" borderId="30" xfId="0" applyFont="1" applyFill="1" applyBorder="1" applyProtection="1"/>
    <xf numFmtId="164" fontId="0" fillId="39" borderId="31" xfId="0" applyNumberFormat="1" applyFont="1" applyFill="1" applyBorder="1" applyAlignment="1" applyProtection="1">
      <alignment horizontal="center"/>
    </xf>
    <xf numFmtId="165" fontId="0" fillId="39" borderId="32" xfId="0" applyNumberFormat="1" applyFont="1" applyFill="1" applyBorder="1" applyAlignment="1" applyProtection="1">
      <alignment horizontal="center"/>
    </xf>
    <xf numFmtId="0" fontId="0" fillId="39" borderId="31" xfId="0" applyFont="1" applyFill="1" applyBorder="1" applyProtection="1"/>
    <xf numFmtId="165" fontId="0" fillId="39" borderId="0" xfId="0" applyNumberFormat="1" applyFont="1" applyFill="1" applyBorder="1" applyAlignment="1" applyProtection="1">
      <alignment horizontal="center"/>
    </xf>
    <xf numFmtId="165" fontId="0" fillId="39" borderId="33" xfId="0" applyNumberFormat="1" applyFont="1" applyFill="1" applyBorder="1" applyAlignment="1" applyProtection="1">
      <alignment horizontal="center"/>
    </xf>
    <xf numFmtId="166" fontId="23" fillId="0" borderId="36" xfId="52" applyNumberFormat="1" applyFont="1" applyFill="1" applyBorder="1" applyAlignment="1" applyProtection="1">
      <alignment horizontal="center"/>
    </xf>
    <xf numFmtId="166" fontId="23" fillId="0" borderId="19" xfId="52" applyNumberFormat="1" applyFont="1" applyFill="1" applyBorder="1" applyAlignment="1" applyProtection="1">
      <alignment horizontal="center"/>
    </xf>
    <xf numFmtId="0" fontId="14" fillId="0" borderId="31" xfId="0" applyFont="1" applyBorder="1" applyAlignment="1" applyProtection="1">
      <alignment horizontal="center"/>
    </xf>
    <xf numFmtId="0" fontId="14" fillId="0" borderId="32" xfId="0" applyFont="1" applyBorder="1" applyAlignment="1" applyProtection="1">
      <alignment horizontal="center"/>
    </xf>
    <xf numFmtId="166" fontId="0" fillId="39" borderId="0" xfId="0" applyNumberFormat="1" applyFont="1" applyFill="1" applyBorder="1" applyAlignment="1" applyProtection="1">
      <alignment horizontal="center"/>
    </xf>
    <xf numFmtId="0" fontId="58" fillId="0" borderId="0" xfId="0" applyFont="1" applyProtection="1"/>
    <xf numFmtId="0" fontId="0" fillId="0" borderId="0" xfId="0" applyAlignment="1" applyProtection="1">
      <alignment horizontal="center"/>
    </xf>
    <xf numFmtId="164" fontId="0" fillId="0" borderId="0" xfId="0" applyNumberFormat="1" applyFont="1" applyBorder="1" applyAlignment="1" applyProtection="1">
      <alignment horizontal="center"/>
    </xf>
    <xf numFmtId="164" fontId="0" fillId="0" borderId="33" xfId="0" applyNumberFormat="1" applyFont="1" applyBorder="1" applyAlignment="1" applyProtection="1">
      <alignment horizontal="center"/>
    </xf>
    <xf numFmtId="0" fontId="49" fillId="47" borderId="15" xfId="0" applyFont="1" applyFill="1" applyBorder="1" applyProtection="1"/>
    <xf numFmtId="0" fontId="62" fillId="47" borderId="16" xfId="0" applyFont="1" applyFill="1" applyBorder="1" applyAlignment="1" applyProtection="1">
      <alignment vertical="center"/>
    </xf>
    <xf numFmtId="0" fontId="58" fillId="47" borderId="16" xfId="0" applyFont="1" applyFill="1" applyBorder="1" applyAlignment="1" applyProtection="1">
      <alignment horizontal="center" vertical="center"/>
    </xf>
    <xf numFmtId="0" fontId="0" fillId="47" borderId="17" xfId="0" applyFill="1" applyBorder="1" applyAlignment="1" applyProtection="1">
      <alignment horizontal="left"/>
    </xf>
    <xf numFmtId="0" fontId="14" fillId="0" borderId="0" xfId="0" applyFont="1" applyAlignment="1" applyProtection="1">
      <alignment horizontal="center"/>
    </xf>
    <xf numFmtId="0" fontId="0" fillId="0" borderId="0" xfId="0" applyFont="1" applyBorder="1" applyAlignment="1" applyProtection="1">
      <alignment horizontal="center"/>
    </xf>
    <xf numFmtId="166" fontId="0" fillId="39" borderId="14" xfId="0" applyNumberFormat="1" applyFont="1" applyFill="1" applyBorder="1" applyAlignment="1" applyProtection="1">
      <alignment horizontal="center"/>
    </xf>
    <xf numFmtId="166" fontId="0" fillId="39" borderId="34" xfId="0" applyNumberFormat="1" applyFont="1" applyFill="1" applyBorder="1" applyAlignment="1" applyProtection="1">
      <alignment horizontal="center"/>
    </xf>
    <xf numFmtId="0" fontId="49" fillId="47" borderId="30" xfId="0" applyFont="1" applyFill="1" applyBorder="1" applyProtection="1"/>
    <xf numFmtId="0" fontId="0" fillId="47" borderId="31" xfId="0" applyFill="1" applyBorder="1" applyProtection="1"/>
    <xf numFmtId="165" fontId="0" fillId="47" borderId="31" xfId="0" applyNumberFormat="1" applyFill="1" applyBorder="1" applyAlignment="1" applyProtection="1">
      <alignment horizontal="center"/>
    </xf>
    <xf numFmtId="165" fontId="0" fillId="47" borderId="31" xfId="0" applyNumberFormat="1" applyFill="1" applyBorder="1" applyProtection="1"/>
    <xf numFmtId="0" fontId="0" fillId="47" borderId="32" xfId="0" applyFill="1" applyBorder="1" applyAlignment="1" applyProtection="1">
      <alignment horizontal="left"/>
    </xf>
    <xf numFmtId="0" fontId="49" fillId="47" borderId="12" xfId="0" applyFont="1" applyFill="1" applyBorder="1" applyProtection="1"/>
    <xf numFmtId="0" fontId="0" fillId="47" borderId="0" xfId="0" applyFill="1" applyProtection="1"/>
    <xf numFmtId="165" fontId="0" fillId="47" borderId="0" xfId="0" applyNumberFormat="1" applyFill="1" applyAlignment="1" applyProtection="1">
      <alignment horizontal="center"/>
    </xf>
    <xf numFmtId="165" fontId="0" fillId="47" borderId="0" xfId="0" applyNumberFormat="1" applyFill="1" applyProtection="1"/>
    <xf numFmtId="0" fontId="49" fillId="47" borderId="33" xfId="0" applyFont="1" applyFill="1" applyBorder="1" applyProtection="1"/>
    <xf numFmtId="166" fontId="0" fillId="47" borderId="0" xfId="0" applyNumberFormat="1" applyFill="1" applyAlignment="1" applyProtection="1">
      <alignment horizontal="center"/>
    </xf>
    <xf numFmtId="0" fontId="0" fillId="0" borderId="0" xfId="0" applyFont="1" applyAlignment="1" applyProtection="1">
      <alignment horizontal="right"/>
    </xf>
    <xf numFmtId="0" fontId="0" fillId="0" borderId="43" xfId="0" applyFont="1" applyBorder="1" applyProtection="1"/>
    <xf numFmtId="0" fontId="0" fillId="47" borderId="33" xfId="0" applyFill="1" applyBorder="1" applyAlignment="1" applyProtection="1">
      <alignment horizontal="left"/>
    </xf>
    <xf numFmtId="172" fontId="0" fillId="0" borderId="0" xfId="0" applyNumberFormat="1" applyFont="1" applyBorder="1" applyAlignment="1" applyProtection="1">
      <alignment horizontal="center"/>
    </xf>
    <xf numFmtId="172" fontId="0" fillId="0" borderId="33" xfId="0" applyNumberFormat="1" applyFont="1" applyBorder="1" applyAlignment="1" applyProtection="1">
      <alignment horizontal="center"/>
    </xf>
    <xf numFmtId="0" fontId="49" fillId="47" borderId="13" xfId="0" applyFont="1" applyFill="1" applyBorder="1" applyProtection="1"/>
    <xf numFmtId="0" fontId="0" fillId="47" borderId="14" xfId="0" applyFill="1" applyBorder="1" applyProtection="1"/>
    <xf numFmtId="166" fontId="0" fillId="47" borderId="14" xfId="0" applyNumberFormat="1" applyFill="1" applyBorder="1" applyProtection="1"/>
    <xf numFmtId="0" fontId="0" fillId="47" borderId="34" xfId="0" applyFill="1" applyBorder="1" applyAlignment="1" applyProtection="1">
      <alignment horizontal="left"/>
    </xf>
    <xf numFmtId="0" fontId="0" fillId="47" borderId="17" xfId="0" applyFill="1" applyBorder="1" applyProtection="1"/>
    <xf numFmtId="0" fontId="0" fillId="47" borderId="33" xfId="0" applyFill="1" applyBorder="1" applyProtection="1"/>
    <xf numFmtId="172" fontId="0" fillId="0" borderId="0" xfId="0" applyNumberFormat="1" applyFont="1" applyFill="1" applyBorder="1" applyAlignment="1" applyProtection="1">
      <alignment horizontal="center"/>
    </xf>
    <xf numFmtId="172" fontId="0" fillId="0" borderId="33" xfId="0" applyNumberFormat="1" applyFont="1" applyFill="1" applyBorder="1" applyAlignment="1" applyProtection="1">
      <alignment horizontal="center"/>
    </xf>
    <xf numFmtId="172" fontId="0" fillId="0" borderId="14" xfId="0" applyNumberFormat="1" applyFont="1" applyFill="1" applyBorder="1" applyAlignment="1" applyProtection="1">
      <alignment horizontal="center"/>
    </xf>
    <xf numFmtId="172" fontId="0" fillId="0" borderId="34" xfId="0" applyNumberFormat="1" applyFont="1" applyFill="1" applyBorder="1" applyAlignment="1" applyProtection="1">
      <alignment horizontal="center"/>
    </xf>
    <xf numFmtId="0" fontId="49" fillId="34" borderId="15" xfId="0" applyFont="1" applyFill="1" applyBorder="1" applyProtection="1"/>
    <xf numFmtId="0" fontId="62" fillId="34" borderId="16" xfId="0" applyFont="1" applyFill="1" applyBorder="1" applyAlignment="1" applyProtection="1">
      <alignment vertical="center"/>
    </xf>
    <xf numFmtId="0" fontId="58" fillId="34" borderId="16" xfId="0" applyFont="1" applyFill="1" applyBorder="1" applyAlignment="1" applyProtection="1">
      <alignment horizontal="center" vertical="center"/>
    </xf>
    <xf numFmtId="0" fontId="0" fillId="34" borderId="17" xfId="0" applyFill="1" applyBorder="1" applyAlignment="1" applyProtection="1">
      <alignment horizontal="left"/>
    </xf>
    <xf numFmtId="0" fontId="4" fillId="34" borderId="16" xfId="0" applyFont="1" applyFill="1" applyBorder="1" applyProtection="1"/>
    <xf numFmtId="0" fontId="0" fillId="34" borderId="16" xfId="0" applyFill="1" applyBorder="1" applyAlignment="1" applyProtection="1">
      <alignment horizontal="center"/>
    </xf>
    <xf numFmtId="0" fontId="0" fillId="34" borderId="16" xfId="0" applyFill="1" applyBorder="1" applyProtection="1"/>
    <xf numFmtId="0" fontId="4" fillId="34" borderId="16" xfId="0" applyFont="1" applyFill="1" applyBorder="1" applyAlignment="1" applyProtection="1">
      <alignment horizontal="center"/>
    </xf>
    <xf numFmtId="0" fontId="0" fillId="34" borderId="17" xfId="0" applyFill="1" applyBorder="1" applyProtection="1"/>
    <xf numFmtId="0" fontId="49" fillId="34" borderId="30" xfId="0" applyFont="1" applyFill="1" applyBorder="1" applyProtection="1"/>
    <xf numFmtId="0" fontId="23" fillId="34" borderId="31" xfId="0" applyFont="1" applyFill="1" applyBorder="1" applyProtection="1"/>
    <xf numFmtId="0" fontId="0" fillId="34" borderId="31" xfId="0" applyFill="1" applyBorder="1" applyAlignment="1" applyProtection="1">
      <alignment horizontal="center"/>
    </xf>
    <xf numFmtId="0" fontId="0" fillId="34" borderId="31" xfId="0" applyFill="1" applyBorder="1" applyProtection="1"/>
    <xf numFmtId="1" fontId="0" fillId="34" borderId="31" xfId="0" applyNumberFormat="1" applyFill="1" applyBorder="1" applyAlignment="1" applyProtection="1">
      <alignment horizontal="center"/>
    </xf>
    <xf numFmtId="1" fontId="0" fillId="34" borderId="32" xfId="0" applyNumberFormat="1" applyFill="1" applyBorder="1" applyAlignment="1" applyProtection="1">
      <alignment horizontal="right"/>
    </xf>
    <xf numFmtId="165" fontId="0" fillId="0" borderId="14" xfId="0" applyNumberFormat="1" applyFont="1" applyFill="1" applyBorder="1" applyAlignment="1" applyProtection="1">
      <alignment horizontal="center"/>
    </xf>
    <xf numFmtId="165" fontId="0" fillId="0" borderId="34" xfId="0" applyNumberFormat="1" applyFont="1" applyFill="1" applyBorder="1" applyAlignment="1" applyProtection="1">
      <alignment horizontal="center"/>
    </xf>
    <xf numFmtId="0" fontId="49" fillId="34" borderId="12" xfId="0" applyFont="1" applyFill="1" applyBorder="1" applyProtection="1"/>
    <xf numFmtId="0" fontId="23" fillId="34" borderId="0" xfId="0" applyFont="1" applyFill="1" applyBorder="1" applyProtection="1"/>
    <xf numFmtId="0" fontId="0" fillId="34" borderId="0" xfId="0" applyFill="1" applyBorder="1" applyAlignment="1" applyProtection="1">
      <alignment horizontal="center"/>
    </xf>
    <xf numFmtId="0" fontId="0" fillId="34" borderId="0" xfId="0" applyFill="1" applyBorder="1" applyProtection="1"/>
    <xf numFmtId="1" fontId="0" fillId="34" borderId="0" xfId="0" applyNumberFormat="1" applyFill="1" applyBorder="1" applyAlignment="1" applyProtection="1">
      <alignment horizontal="center"/>
    </xf>
    <xf numFmtId="0" fontId="0" fillId="34" borderId="33" xfId="0" applyFill="1" applyBorder="1" applyProtection="1"/>
    <xf numFmtId="0" fontId="0" fillId="43" borderId="0" xfId="0" applyFont="1" applyFill="1" applyBorder="1" applyAlignment="1" applyProtection="1">
      <alignment horizontal="center"/>
    </xf>
    <xf numFmtId="0" fontId="63" fillId="34" borderId="12" xfId="0" applyFont="1" applyFill="1" applyBorder="1" applyProtection="1"/>
    <xf numFmtId="0" fontId="63" fillId="34" borderId="0" xfId="0" applyFont="1" applyFill="1" applyBorder="1" applyProtection="1"/>
    <xf numFmtId="166" fontId="0" fillId="34" borderId="0" xfId="0" applyNumberFormat="1" applyFill="1" applyBorder="1" applyAlignment="1" applyProtection="1">
      <alignment horizontal="center"/>
    </xf>
    <xf numFmtId="166" fontId="0" fillId="34" borderId="33" xfId="0" applyNumberFormat="1" applyFill="1" applyBorder="1" applyAlignment="1" applyProtection="1">
      <alignment horizontal="right"/>
    </xf>
    <xf numFmtId="165" fontId="0" fillId="34" borderId="0" xfId="0" applyNumberFormat="1" applyFill="1" applyBorder="1" applyAlignment="1" applyProtection="1">
      <alignment horizontal="center"/>
    </xf>
    <xf numFmtId="0" fontId="49" fillId="34" borderId="13" xfId="0" applyFont="1" applyFill="1" applyBorder="1" applyProtection="1"/>
    <xf numFmtId="0" fontId="23" fillId="34" borderId="14" xfId="0" applyFont="1" applyFill="1" applyBorder="1" applyProtection="1"/>
    <xf numFmtId="0" fontId="0" fillId="34" borderId="14" xfId="0" applyFill="1" applyBorder="1" applyAlignment="1" applyProtection="1">
      <alignment horizontal="center"/>
    </xf>
    <xf numFmtId="0" fontId="0" fillId="34" borderId="14" xfId="0" applyFill="1" applyBorder="1" applyProtection="1"/>
    <xf numFmtId="165" fontId="0" fillId="34" borderId="14" xfId="0" applyNumberFormat="1" applyFill="1" applyBorder="1" applyAlignment="1" applyProtection="1">
      <alignment horizontal="center"/>
    </xf>
    <xf numFmtId="0" fontId="0" fillId="34" borderId="34" xfId="0" applyFill="1" applyBorder="1" applyProtection="1"/>
    <xf numFmtId="0" fontId="14" fillId="34" borderId="31" xfId="0" applyFont="1" applyFill="1" applyBorder="1" applyProtection="1"/>
    <xf numFmtId="165" fontId="0" fillId="34" borderId="32" xfId="0" applyNumberFormat="1" applyFill="1" applyBorder="1" applyProtection="1"/>
    <xf numFmtId="166" fontId="0" fillId="34" borderId="33" xfId="0" applyNumberFormat="1" applyFill="1" applyBorder="1" applyProtection="1"/>
    <xf numFmtId="166" fontId="0" fillId="34" borderId="14" xfId="0" applyNumberFormat="1" applyFill="1" applyBorder="1" applyAlignment="1" applyProtection="1">
      <alignment horizontal="center"/>
    </xf>
    <xf numFmtId="165" fontId="0" fillId="34" borderId="32" xfId="0" applyNumberFormat="1" applyFill="1" applyBorder="1" applyAlignment="1" applyProtection="1">
      <alignment horizontal="center"/>
    </xf>
    <xf numFmtId="1" fontId="0" fillId="34" borderId="14" xfId="0" applyNumberFormat="1" applyFill="1" applyBorder="1" applyAlignment="1" applyProtection="1">
      <alignment horizontal="center"/>
    </xf>
    <xf numFmtId="0" fontId="4" fillId="34" borderId="31" xfId="0" applyFont="1" applyFill="1" applyBorder="1" applyProtection="1"/>
    <xf numFmtId="0" fontId="4" fillId="34" borderId="31" xfId="0" applyFont="1" applyFill="1" applyBorder="1" applyAlignment="1" applyProtection="1">
      <alignment horizontal="center"/>
    </xf>
    <xf numFmtId="0" fontId="0" fillId="34" borderId="32" xfId="0" applyFill="1" applyBorder="1" applyProtection="1"/>
    <xf numFmtId="1" fontId="23" fillId="34" borderId="0" xfId="0" applyNumberFormat="1" applyFont="1" applyFill="1" applyBorder="1" applyAlignment="1" applyProtection="1">
      <alignment horizontal="center"/>
    </xf>
    <xf numFmtId="166" fontId="23" fillId="34" borderId="0" xfId="0" applyNumberFormat="1" applyFont="1" applyFill="1" applyBorder="1" applyAlignment="1" applyProtection="1">
      <alignment horizontal="center"/>
    </xf>
    <xf numFmtId="166" fontId="23" fillId="34" borderId="33" xfId="0" applyNumberFormat="1" applyFont="1" applyFill="1" applyBorder="1" applyAlignment="1" applyProtection="1">
      <alignment horizontal="center"/>
    </xf>
    <xf numFmtId="165" fontId="23" fillId="34" borderId="0" xfId="0" applyNumberFormat="1" applyFont="1" applyFill="1" applyBorder="1" applyAlignment="1" applyProtection="1">
      <alignment horizontal="center"/>
    </xf>
    <xf numFmtId="0" fontId="23" fillId="34" borderId="0" xfId="0" applyFont="1" applyFill="1" applyBorder="1" applyAlignment="1" applyProtection="1">
      <alignment horizontal="center"/>
    </xf>
    <xf numFmtId="165" fontId="23" fillId="34" borderId="14" xfId="0" applyNumberFormat="1" applyFont="1" applyFill="1" applyBorder="1" applyAlignment="1" applyProtection="1">
      <alignment horizontal="center"/>
    </xf>
    <xf numFmtId="0" fontId="23" fillId="34" borderId="14" xfId="0" applyFont="1" applyFill="1" applyBorder="1" applyAlignment="1" applyProtection="1">
      <alignment horizontal="center"/>
    </xf>
    <xf numFmtId="0" fontId="0" fillId="42" borderId="10" xfId="0" applyFont="1" applyFill="1" applyBorder="1" applyAlignment="1" applyProtection="1">
      <alignment horizontal="center"/>
    </xf>
    <xf numFmtId="0" fontId="0" fillId="42" borderId="18" xfId="0" applyFont="1" applyFill="1" applyBorder="1" applyAlignment="1" applyProtection="1">
      <alignment horizontal="center"/>
    </xf>
    <xf numFmtId="0" fontId="4" fillId="34" borderId="0" xfId="0" applyFont="1" applyFill="1" applyBorder="1" applyProtection="1"/>
    <xf numFmtId="0" fontId="4" fillId="34" borderId="0" xfId="0" applyFont="1" applyFill="1" applyBorder="1" applyAlignment="1" applyProtection="1">
      <alignment horizontal="center"/>
    </xf>
    <xf numFmtId="0" fontId="0" fillId="34" borderId="32" xfId="0" applyFill="1" applyBorder="1" applyAlignment="1" applyProtection="1">
      <alignment horizontal="center"/>
    </xf>
    <xf numFmtId="0" fontId="0" fillId="34" borderId="33" xfId="0" applyFill="1" applyBorder="1" applyAlignment="1" applyProtection="1">
      <alignment horizontal="center"/>
    </xf>
    <xf numFmtId="164" fontId="0" fillId="0" borderId="14" xfId="0" applyNumberFormat="1" applyFont="1" applyBorder="1" applyAlignment="1" applyProtection="1">
      <alignment horizontal="center"/>
    </xf>
    <xf numFmtId="164" fontId="0" fillId="0" borderId="34" xfId="0" applyNumberFormat="1" applyFont="1" applyBorder="1" applyAlignment="1" applyProtection="1">
      <alignment horizontal="center"/>
    </xf>
    <xf numFmtId="0" fontId="4" fillId="34" borderId="14" xfId="0" applyFont="1" applyFill="1" applyBorder="1" applyProtection="1"/>
    <xf numFmtId="0" fontId="4" fillId="34" borderId="14" xfId="0" applyFont="1" applyFill="1" applyBorder="1" applyAlignment="1" applyProtection="1">
      <alignment horizontal="center"/>
    </xf>
    <xf numFmtId="0" fontId="0" fillId="34" borderId="0" xfId="0" applyFill="1" applyProtection="1"/>
    <xf numFmtId="0" fontId="0" fillId="34" borderId="0" xfId="0" applyFill="1" applyAlignment="1" applyProtection="1">
      <alignment horizontal="center"/>
    </xf>
    <xf numFmtId="2" fontId="0" fillId="34" borderId="0" xfId="0" applyNumberFormat="1" applyFill="1" applyAlignment="1" applyProtection="1">
      <alignment horizontal="center"/>
    </xf>
    <xf numFmtId="172" fontId="0" fillId="0" borderId="14" xfId="0" applyNumberFormat="1" applyFont="1" applyBorder="1" applyAlignment="1" applyProtection="1">
      <alignment horizontal="center"/>
    </xf>
    <xf numFmtId="172" fontId="0" fillId="0" borderId="34" xfId="0" applyNumberFormat="1" applyFont="1" applyBorder="1" applyAlignment="1" applyProtection="1">
      <alignment horizontal="center"/>
    </xf>
    <xf numFmtId="166" fontId="0" fillId="0" borderId="0" xfId="0" applyNumberFormat="1" applyFont="1" applyBorder="1" applyAlignment="1" applyProtection="1">
      <alignment horizontal="center"/>
    </xf>
    <xf numFmtId="166" fontId="0" fillId="0" borderId="33" xfId="0" applyNumberFormat="1" applyFont="1" applyBorder="1" applyAlignment="1" applyProtection="1">
      <alignment horizontal="center"/>
    </xf>
    <xf numFmtId="165" fontId="0" fillId="0" borderId="14" xfId="0" applyNumberFormat="1" applyFont="1" applyBorder="1" applyAlignment="1" applyProtection="1">
      <alignment horizontal="center"/>
    </xf>
    <xf numFmtId="165" fontId="0" fillId="0" borderId="34" xfId="0" applyNumberFormat="1" applyFont="1" applyBorder="1" applyAlignment="1" applyProtection="1">
      <alignment horizontal="center"/>
    </xf>
    <xf numFmtId="166" fontId="0" fillId="34" borderId="0" xfId="0" applyNumberFormat="1" applyFill="1" applyAlignment="1" applyProtection="1">
      <alignment horizontal="center"/>
    </xf>
    <xf numFmtId="0" fontId="4" fillId="34" borderId="16" xfId="0" applyFont="1" applyFill="1" applyBorder="1" applyAlignment="1" applyProtection="1">
      <alignment horizontal="right"/>
    </xf>
    <xf numFmtId="164" fontId="0" fillId="34" borderId="0" xfId="0" applyNumberFormat="1" applyFill="1" applyAlignment="1" applyProtection="1">
      <alignment horizontal="center"/>
    </xf>
    <xf numFmtId="1" fontId="0" fillId="34" borderId="0" xfId="0" applyNumberFormat="1" applyFill="1" applyAlignment="1" applyProtection="1">
      <alignment horizontal="center"/>
    </xf>
    <xf numFmtId="1" fontId="23" fillId="34" borderId="0" xfId="0" applyNumberFormat="1" applyFont="1" applyFill="1" applyAlignment="1" applyProtection="1">
      <alignment horizontal="center"/>
    </xf>
    <xf numFmtId="0" fontId="0" fillId="34" borderId="31" xfId="0" applyFont="1" applyFill="1" applyBorder="1" applyProtection="1"/>
    <xf numFmtId="0" fontId="0" fillId="34" borderId="0" xfId="0" applyFont="1" applyFill="1" applyAlignment="1" applyProtection="1">
      <alignment horizontal="center"/>
    </xf>
    <xf numFmtId="0" fontId="0" fillId="34" borderId="0" xfId="0" applyFont="1" applyFill="1" applyProtection="1"/>
    <xf numFmtId="0" fontId="14" fillId="0" borderId="25" xfId="0" applyFont="1" applyBorder="1" applyAlignment="1" applyProtection="1">
      <alignment horizontal="left"/>
    </xf>
    <xf numFmtId="166" fontId="42" fillId="0" borderId="25" xfId="52" applyNumberFormat="1" applyFont="1" applyFill="1" applyBorder="1" applyAlignment="1" applyProtection="1">
      <alignment horizontal="left"/>
    </xf>
    <xf numFmtId="3" fontId="0" fillId="0" borderId="18" xfId="0" applyNumberFormat="1" applyFont="1" applyBorder="1" applyAlignment="1" applyProtection="1">
      <alignment horizontal="center"/>
    </xf>
    <xf numFmtId="3" fontId="23" fillId="0" borderId="18" xfId="52" applyNumberFormat="1" applyFont="1" applyFill="1" applyBorder="1" applyAlignment="1" applyProtection="1">
      <alignment horizontal="center"/>
    </xf>
    <xf numFmtId="165" fontId="42" fillId="0" borderId="25" xfId="52" quotePrefix="1" applyNumberFormat="1" applyFont="1" applyFill="1" applyBorder="1" applyAlignment="1" applyProtection="1">
      <alignment horizontal="left"/>
    </xf>
    <xf numFmtId="166" fontId="42" fillId="0" borderId="26" xfId="52" applyNumberFormat="1" applyFont="1" applyFill="1" applyBorder="1" applyAlignment="1" applyProtection="1">
      <alignment horizontal="left"/>
    </xf>
    <xf numFmtId="3" fontId="23" fillId="0" borderId="19" xfId="52" applyNumberFormat="1" applyFont="1" applyFill="1" applyBorder="1" applyAlignment="1" applyProtection="1">
      <alignment horizontal="center"/>
    </xf>
    <xf numFmtId="0" fontId="0" fillId="36" borderId="12" xfId="0" applyFill="1" applyBorder="1" applyAlignment="1" applyProtection="1">
      <alignment horizontal="center"/>
    </xf>
    <xf numFmtId="1" fontId="14" fillId="0" borderId="12" xfId="0" applyNumberFormat="1" applyFont="1" applyBorder="1" applyAlignment="1" applyProtection="1">
      <alignment horizontal="center" wrapText="1"/>
    </xf>
    <xf numFmtId="1" fontId="14" fillId="0" borderId="0" xfId="0" applyNumberFormat="1" applyFont="1" applyBorder="1" applyAlignment="1" applyProtection="1">
      <alignment horizontal="center"/>
    </xf>
    <xf numFmtId="1" fontId="14" fillId="0" borderId="33" xfId="0" applyNumberFormat="1" applyFont="1" applyBorder="1" applyAlignment="1" applyProtection="1">
      <alignment horizontal="center"/>
    </xf>
    <xf numFmtId="1" fontId="0" fillId="0" borderId="33" xfId="0" applyNumberFormat="1" applyFont="1" applyFill="1" applyBorder="1" applyAlignment="1" applyProtection="1">
      <alignment horizontal="center"/>
    </xf>
    <xf numFmtId="1" fontId="0" fillId="0" borderId="34" xfId="0" applyNumberFormat="1" applyFont="1" applyFill="1" applyBorder="1" applyAlignment="1" applyProtection="1">
      <alignment horizontal="center"/>
    </xf>
    <xf numFmtId="1" fontId="14" fillId="41" borderId="0" xfId="0" applyNumberFormat="1" applyFont="1" applyFill="1" applyBorder="1" applyAlignment="1" applyProtection="1">
      <alignment horizontal="center"/>
    </xf>
    <xf numFmtId="1" fontId="0" fillId="0" borderId="30" xfId="0" applyNumberFormat="1" applyBorder="1" applyAlignment="1" applyProtection="1">
      <alignment horizontal="center"/>
    </xf>
    <xf numFmtId="1" fontId="0" fillId="0" borderId="31" xfId="0" applyNumberFormat="1" applyBorder="1" applyAlignment="1" applyProtection="1">
      <alignment horizontal="center"/>
    </xf>
    <xf numFmtId="1" fontId="0" fillId="0" borderId="32" xfId="0" applyNumberFormat="1" applyBorder="1" applyAlignment="1" applyProtection="1">
      <alignment horizontal="center"/>
    </xf>
    <xf numFmtId="1" fontId="14" fillId="41" borderId="0" xfId="0" applyNumberFormat="1" applyFont="1" applyFill="1" applyAlignment="1" applyProtection="1">
      <alignment horizontal="center"/>
    </xf>
    <xf numFmtId="1" fontId="0" fillId="0" borderId="12" xfId="0" applyNumberFormat="1" applyBorder="1" applyAlignment="1" applyProtection="1">
      <alignment horizontal="center"/>
    </xf>
    <xf numFmtId="1" fontId="0" fillId="0" borderId="0" xfId="0" applyNumberFormat="1" applyFont="1" applyFill="1" applyBorder="1" applyAlignment="1" applyProtection="1">
      <alignment horizontal="center"/>
    </xf>
    <xf numFmtId="1" fontId="0" fillId="0" borderId="13" xfId="0" applyNumberFormat="1" applyBorder="1" applyAlignment="1" applyProtection="1">
      <alignment horizontal="center"/>
    </xf>
    <xf numFmtId="1" fontId="0" fillId="0" borderId="14" xfId="0" applyNumberFormat="1" applyFont="1" applyBorder="1" applyAlignment="1" applyProtection="1">
      <alignment horizontal="center"/>
    </xf>
    <xf numFmtId="1" fontId="0" fillId="0" borderId="14" xfId="0" applyNumberFormat="1" applyFont="1" applyFill="1" applyBorder="1" applyAlignment="1" applyProtection="1">
      <alignment horizontal="center"/>
    </xf>
    <xf numFmtId="1" fontId="0" fillId="0" borderId="14" xfId="0" applyNumberFormat="1" applyBorder="1" applyAlignment="1" applyProtection="1">
      <alignment horizontal="center"/>
    </xf>
    <xf numFmtId="176" fontId="0" fillId="0" borderId="0" xfId="127" applyNumberFormat="1" applyFont="1" applyBorder="1" applyAlignment="1" applyProtection="1">
      <alignment horizontal="center"/>
    </xf>
    <xf numFmtId="3" fontId="0" fillId="0" borderId="0" xfId="0" applyNumberFormat="1" applyBorder="1" applyAlignment="1" applyProtection="1">
      <alignment horizontal="center"/>
    </xf>
    <xf numFmtId="3" fontId="0" fillId="0" borderId="0" xfId="127" applyNumberFormat="1" applyFont="1" applyBorder="1" applyAlignment="1" applyProtection="1">
      <alignment horizontal="center"/>
    </xf>
    <xf numFmtId="1" fontId="0" fillId="0" borderId="0" xfId="0" applyNumberFormat="1" applyAlignment="1" applyProtection="1">
      <alignment horizontal="center"/>
    </xf>
    <xf numFmtId="0" fontId="14" fillId="0" borderId="0" xfId="0" applyFont="1" applyFill="1" applyBorder="1" applyAlignment="1" applyProtection="1">
      <alignment horizontal="center"/>
    </xf>
    <xf numFmtId="0" fontId="0" fillId="0" borderId="29" xfId="0" applyBorder="1" applyAlignment="1" applyProtection="1">
      <alignment horizontal="center"/>
    </xf>
    <xf numFmtId="0" fontId="0" fillId="0" borderId="56" xfId="0" applyBorder="1" applyAlignment="1" applyProtection="1">
      <alignment horizontal="center"/>
    </xf>
    <xf numFmtId="0" fontId="43" fillId="0" borderId="28" xfId="0" applyFont="1" applyBorder="1" applyAlignment="1" applyProtection="1">
      <alignment horizontal="center" wrapText="1"/>
    </xf>
    <xf numFmtId="14" fontId="43" fillId="0" borderId="28" xfId="0" applyNumberFormat="1" applyFont="1" applyBorder="1" applyAlignment="1" applyProtection="1">
      <alignment horizontal="center" wrapText="1"/>
    </xf>
    <xf numFmtId="0" fontId="43" fillId="0" borderId="28" xfId="0" applyFont="1" applyBorder="1" applyAlignment="1" applyProtection="1">
      <alignment wrapText="1"/>
    </xf>
    <xf numFmtId="0" fontId="0" fillId="0" borderId="23" xfId="0" applyFont="1" applyBorder="1" applyAlignment="1" applyProtection="1">
      <alignment horizontal="center" vertical="center"/>
    </xf>
    <xf numFmtId="14" fontId="0" fillId="0" borderId="23" xfId="0" applyNumberFormat="1" applyFont="1" applyBorder="1" applyAlignment="1" applyProtection="1">
      <alignment horizontal="center" vertical="center"/>
    </xf>
    <xf numFmtId="0" fontId="0" fillId="0" borderId="23" xfId="0" applyFont="1" applyBorder="1" applyAlignment="1" applyProtection="1">
      <alignment vertical="top" wrapText="1"/>
    </xf>
    <xf numFmtId="0" fontId="0" fillId="0" borderId="0" xfId="0" applyFont="1" applyAlignment="1" applyProtection="1">
      <alignment horizontal="center" vertical="center"/>
    </xf>
    <xf numFmtId="14" fontId="0" fillId="0" borderId="0" xfId="0" applyNumberFormat="1" applyFont="1" applyAlignment="1" applyProtection="1">
      <alignment horizontal="center" vertical="center"/>
    </xf>
    <xf numFmtId="0" fontId="0" fillId="0" borderId="0" xfId="0" applyFont="1" applyFill="1" applyBorder="1" applyAlignment="1" applyProtection="1">
      <alignment vertical="top" wrapText="1"/>
    </xf>
    <xf numFmtId="14" fontId="0" fillId="0" borderId="0" xfId="0" applyNumberFormat="1" applyFont="1" applyAlignment="1" applyProtection="1">
      <alignment horizontal="center"/>
    </xf>
    <xf numFmtId="0" fontId="0" fillId="0" borderId="0" xfId="0" applyFont="1" applyAlignment="1" applyProtection="1">
      <alignment wrapText="1"/>
    </xf>
    <xf numFmtId="14" fontId="0" fillId="0" borderId="0" xfId="0" applyNumberFormat="1" applyFont="1" applyProtection="1"/>
    <xf numFmtId="2" fontId="0" fillId="0" borderId="14" xfId="0" applyNumberFormat="1" applyBorder="1" applyProtection="1"/>
    <xf numFmtId="176" fontId="0" fillId="0" borderId="14" xfId="127" applyNumberFormat="1" applyFont="1" applyBorder="1" applyAlignment="1" applyProtection="1">
      <alignment horizontal="center"/>
    </xf>
    <xf numFmtId="1" fontId="0" fillId="0" borderId="14" xfId="51" applyNumberFormat="1" applyFont="1" applyBorder="1" applyAlignment="1" applyProtection="1">
      <alignment horizontal="center"/>
    </xf>
    <xf numFmtId="3" fontId="0" fillId="0" borderId="14" xfId="127" applyNumberFormat="1" applyFont="1" applyBorder="1" applyAlignment="1" applyProtection="1">
      <alignment horizontal="center"/>
    </xf>
    <xf numFmtId="2" fontId="0" fillId="0" borderId="0" xfId="0" applyNumberFormat="1" applyBorder="1" applyProtection="1"/>
    <xf numFmtId="14" fontId="0" fillId="0" borderId="0" xfId="0" applyNumberFormat="1"/>
    <xf numFmtId="1" fontId="0" fillId="0" borderId="32" xfId="0" applyNumberFormat="1" applyFont="1" applyFill="1" applyBorder="1" applyAlignment="1" applyProtection="1">
      <alignment horizontal="center"/>
    </xf>
    <xf numFmtId="0" fontId="0" fillId="0" borderId="0" xfId="0" applyFont="1" applyProtection="1">
      <protection locked="0"/>
    </xf>
    <xf numFmtId="0" fontId="16" fillId="0" borderId="12" xfId="0" applyFont="1" applyBorder="1" applyAlignment="1">
      <alignment vertical="top" wrapText="1"/>
    </xf>
    <xf numFmtId="0" fontId="16" fillId="0" borderId="33" xfId="0" applyFont="1" applyBorder="1" applyAlignment="1">
      <alignment vertical="top" wrapText="1"/>
    </xf>
    <xf numFmtId="0" fontId="66" fillId="0" borderId="0" xfId="134" applyBorder="1" applyProtection="1"/>
    <xf numFmtId="0" fontId="0" fillId="0" borderId="30" xfId="0" applyBorder="1"/>
    <xf numFmtId="0" fontId="0" fillId="0" borderId="31" xfId="0" applyBorder="1"/>
    <xf numFmtId="0" fontId="0" fillId="0" borderId="12" xfId="0" applyBorder="1"/>
    <xf numFmtId="0" fontId="0" fillId="0" borderId="33" xfId="0" applyBorder="1"/>
    <xf numFmtId="0" fontId="16" fillId="0" borderId="0" xfId="0" applyFont="1" applyAlignment="1">
      <alignment vertical="top" wrapText="1"/>
    </xf>
    <xf numFmtId="0" fontId="14" fillId="0" borderId="0" xfId="0" applyFont="1"/>
    <xf numFmtId="0" fontId="0" fillId="0" borderId="32" xfId="0" applyBorder="1"/>
    <xf numFmtId="0" fontId="14" fillId="0" borderId="30" xfId="0" applyFont="1" applyBorder="1"/>
    <xf numFmtId="0" fontId="14" fillId="0" borderId="31" xfId="0" applyFont="1" applyBorder="1" applyAlignment="1">
      <alignment vertical="center"/>
    </xf>
    <xf numFmtId="0" fontId="0" fillId="0" borderId="13" xfId="0" applyBorder="1"/>
    <xf numFmtId="0" fontId="0" fillId="0" borderId="14" xfId="0" applyBorder="1"/>
    <xf numFmtId="0" fontId="0" fillId="0" borderId="34" xfId="0" applyBorder="1"/>
    <xf numFmtId="0" fontId="14" fillId="0" borderId="12" xfId="0" applyFont="1" applyBorder="1"/>
    <xf numFmtId="0" fontId="66" fillId="0" borderId="0" xfId="134" applyBorder="1"/>
    <xf numFmtId="0" fontId="0" fillId="0" borderId="0" xfId="0" applyBorder="1"/>
    <xf numFmtId="0" fontId="14" fillId="0" borderId="0" xfId="0" applyFont="1" applyBorder="1"/>
    <xf numFmtId="0" fontId="42" fillId="0" borderId="0" xfId="0" applyFont="1" applyBorder="1"/>
    <xf numFmtId="0" fontId="0" fillId="0" borderId="0" xfId="0" applyAlignment="1">
      <alignment vertical="center"/>
    </xf>
    <xf numFmtId="0" fontId="14" fillId="0" borderId="13" xfId="0" applyFont="1" applyBorder="1" applyAlignment="1">
      <alignment horizontal="center"/>
    </xf>
    <xf numFmtId="0" fontId="14" fillId="0" borderId="30" xfId="0" applyFont="1" applyBorder="1" applyAlignment="1">
      <alignment horizontal="center" vertical="center" wrapText="1"/>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34" xfId="0" applyFont="1" applyBorder="1" applyAlignment="1">
      <alignment horizontal="center" vertical="center"/>
    </xf>
    <xf numFmtId="0" fontId="14" fillId="0" borderId="30" xfId="0" applyFont="1" applyBorder="1" applyAlignment="1">
      <alignment horizontal="center"/>
    </xf>
    <xf numFmtId="0" fontId="14" fillId="0" borderId="32" xfId="0" applyFont="1" applyBorder="1" applyAlignment="1">
      <alignment horizontal="center"/>
    </xf>
    <xf numFmtId="0" fontId="14" fillId="0" borderId="12" xfId="0" applyFont="1" applyBorder="1" applyAlignment="1">
      <alignment horizontal="center"/>
    </xf>
    <xf numFmtId="0" fontId="14" fillId="0" borderId="33" xfId="0" applyFont="1" applyBorder="1" applyAlignment="1">
      <alignment horizontal="center"/>
    </xf>
    <xf numFmtId="0" fontId="0" fillId="0" borderId="13" xfId="0" applyBorder="1" applyAlignment="1">
      <alignment horizontal="center"/>
    </xf>
    <xf numFmtId="0" fontId="0" fillId="0" borderId="34" xfId="0" applyBorder="1" applyAlignment="1">
      <alignment horizontal="center"/>
    </xf>
    <xf numFmtId="0" fontId="0" fillId="0" borderId="12" xfId="0" applyBorder="1" applyAlignment="1">
      <alignment horizontal="left" wrapText="1"/>
    </xf>
    <xf numFmtId="0" fontId="0" fillId="0" borderId="0" xfId="0" applyAlignment="1">
      <alignment horizontal="left" wrapText="1"/>
    </xf>
    <xf numFmtId="0" fontId="0" fillId="0" borderId="33" xfId="0" applyBorder="1" applyAlignment="1">
      <alignment horizontal="left" wrapText="1"/>
    </xf>
    <xf numFmtId="0" fontId="66" fillId="0" borderId="30" xfId="134" applyFill="1" applyBorder="1" applyAlignment="1">
      <alignment wrapText="1"/>
    </xf>
    <xf numFmtId="0" fontId="66" fillId="0" borderId="31" xfId="134" applyFill="1" applyBorder="1" applyAlignment="1">
      <alignment wrapText="1"/>
    </xf>
    <xf numFmtId="0" fontId="66" fillId="0" borderId="32" xfId="134" applyFill="1" applyBorder="1" applyAlignment="1">
      <alignment wrapText="1"/>
    </xf>
    <xf numFmtId="0" fontId="66" fillId="0" borderId="12" xfId="134" applyFill="1" applyBorder="1" applyAlignment="1">
      <alignment wrapText="1"/>
    </xf>
    <xf numFmtId="0" fontId="66" fillId="0" borderId="0" xfId="134" applyFill="1" applyBorder="1" applyAlignment="1">
      <alignment wrapText="1"/>
    </xf>
    <xf numFmtId="0" fontId="66" fillId="0" borderId="33" xfId="134" applyFill="1" applyBorder="1" applyAlignment="1">
      <alignment wrapText="1"/>
    </xf>
    <xf numFmtId="0" fontId="66" fillId="0" borderId="13" xfId="134" applyFill="1" applyBorder="1" applyAlignment="1">
      <alignment wrapText="1"/>
    </xf>
    <xf numFmtId="0" fontId="66" fillId="0" borderId="14" xfId="134" applyFill="1" applyBorder="1" applyAlignment="1">
      <alignment wrapText="1"/>
    </xf>
    <xf numFmtId="0" fontId="66" fillId="0" borderId="34" xfId="134" applyFill="1" applyBorder="1" applyAlignment="1">
      <alignment wrapText="1"/>
    </xf>
    <xf numFmtId="1" fontId="14" fillId="0" borderId="22" xfId="0" applyNumberFormat="1" applyFont="1" applyBorder="1" applyAlignment="1" applyProtection="1">
      <alignment horizontal="center"/>
    </xf>
    <xf numFmtId="1" fontId="14" fillId="0" borderId="23" xfId="0" applyNumberFormat="1" applyFont="1" applyBorder="1" applyAlignment="1" applyProtection="1">
      <alignment horizontal="center"/>
    </xf>
    <xf numFmtId="1" fontId="14" fillId="0" borderId="29" xfId="0" applyNumberFormat="1" applyFont="1" applyBorder="1" applyAlignment="1" applyProtection="1">
      <alignment horizontal="center"/>
    </xf>
    <xf numFmtId="0" fontId="14" fillId="0" borderId="28" xfId="0" applyFont="1" applyBorder="1" applyAlignment="1" applyProtection="1">
      <alignment horizontal="center"/>
    </xf>
    <xf numFmtId="0" fontId="14" fillId="0" borderId="35" xfId="0" applyFont="1" applyBorder="1" applyAlignment="1" applyProtection="1">
      <alignment horizontal="center"/>
    </xf>
    <xf numFmtId="0" fontId="14" fillId="0" borderId="20" xfId="0" applyFont="1" applyBorder="1" applyAlignment="1" applyProtection="1">
      <alignment horizontal="left"/>
    </xf>
    <xf numFmtId="0" fontId="14" fillId="0" borderId="21" xfId="0" applyFont="1" applyBorder="1" applyAlignment="1" applyProtection="1">
      <alignment horizontal="left"/>
    </xf>
    <xf numFmtId="0" fontId="14" fillId="0" borderId="24" xfId="0" applyFont="1" applyBorder="1" applyAlignment="1" applyProtection="1">
      <alignment horizontal="left"/>
    </xf>
    <xf numFmtId="0" fontId="14" fillId="0" borderId="27" xfId="0" applyFont="1" applyBorder="1" applyAlignment="1" applyProtection="1">
      <alignment horizontal="center"/>
    </xf>
    <xf numFmtId="0" fontId="64" fillId="45" borderId="0" xfId="0" applyFont="1" applyFill="1" applyAlignment="1" applyProtection="1">
      <alignment horizontal="center" vertical="center"/>
    </xf>
    <xf numFmtId="0" fontId="64" fillId="45" borderId="14" xfId="0" applyFont="1" applyFill="1" applyBorder="1" applyAlignment="1" applyProtection="1">
      <alignment horizontal="center" vertical="center"/>
    </xf>
    <xf numFmtId="0" fontId="48" fillId="33" borderId="32" xfId="0" applyFont="1" applyFill="1" applyBorder="1" applyAlignment="1" applyProtection="1">
      <alignment horizontal="center" vertical="center"/>
    </xf>
    <xf numFmtId="0" fontId="48" fillId="33" borderId="33" xfId="0" applyFont="1" applyFill="1" applyBorder="1" applyAlignment="1" applyProtection="1">
      <alignment horizontal="center" vertical="center"/>
    </xf>
    <xf numFmtId="0" fontId="48" fillId="33" borderId="34" xfId="0" applyFont="1" applyFill="1" applyBorder="1" applyAlignment="1" applyProtection="1">
      <alignment horizontal="center" vertical="center"/>
    </xf>
    <xf numFmtId="0" fontId="0" fillId="0" borderId="45" xfId="0" applyFont="1" applyBorder="1" applyAlignment="1" applyProtection="1">
      <alignment horizontal="center"/>
    </xf>
    <xf numFmtId="0" fontId="0" fillId="0" borderId="24" xfId="0" applyFont="1" applyBorder="1" applyAlignment="1" applyProtection="1">
      <alignment horizontal="center"/>
    </xf>
    <xf numFmtId="0" fontId="42" fillId="38" borderId="30" xfId="0" applyFont="1" applyFill="1" applyBorder="1" applyAlignment="1" applyProtection="1">
      <alignment horizontal="left" vertical="center"/>
    </xf>
    <xf numFmtId="0" fontId="42" fillId="38" borderId="31" xfId="0" applyFont="1" applyFill="1" applyBorder="1" applyAlignment="1" applyProtection="1">
      <alignment horizontal="left" vertical="center"/>
    </xf>
    <xf numFmtId="0" fontId="42" fillId="38" borderId="32" xfId="0" applyFont="1" applyFill="1" applyBorder="1" applyAlignment="1" applyProtection="1">
      <alignment horizontal="left" vertical="center"/>
    </xf>
    <xf numFmtId="0" fontId="42" fillId="38" borderId="13" xfId="0" applyFont="1" applyFill="1" applyBorder="1" applyAlignment="1" applyProtection="1">
      <alignment horizontal="left" vertical="center"/>
    </xf>
    <xf numFmtId="0" fontId="42" fillId="38" borderId="14" xfId="0" applyFont="1" applyFill="1" applyBorder="1" applyAlignment="1" applyProtection="1">
      <alignment horizontal="left" vertical="center"/>
    </xf>
    <xf numFmtId="0" fontId="42" fillId="38" borderId="34" xfId="0" applyFont="1" applyFill="1" applyBorder="1" applyAlignment="1" applyProtection="1">
      <alignment horizontal="left" vertical="center"/>
    </xf>
    <xf numFmtId="0" fontId="0" fillId="35" borderId="10" xfId="0" applyFont="1" applyFill="1" applyBorder="1" applyAlignment="1" applyProtection="1">
      <alignment horizontal="left"/>
      <protection locked="0"/>
    </xf>
    <xf numFmtId="0" fontId="0" fillId="35" borderId="18" xfId="0" applyFont="1" applyFill="1" applyBorder="1" applyAlignment="1" applyProtection="1">
      <alignment horizontal="left"/>
      <protection locked="0"/>
    </xf>
    <xf numFmtId="0" fontId="0" fillId="35" borderId="36" xfId="0" applyFont="1" applyFill="1" applyBorder="1" applyAlignment="1" applyProtection="1">
      <alignment horizontal="left"/>
      <protection locked="0"/>
    </xf>
    <xf numFmtId="0" fontId="0" fillId="35" borderId="19" xfId="0" applyFont="1" applyFill="1" applyBorder="1" applyAlignment="1" applyProtection="1">
      <alignment horizontal="left"/>
      <protection locked="0"/>
    </xf>
    <xf numFmtId="0" fontId="42" fillId="38" borderId="15" xfId="0" applyFont="1" applyFill="1" applyBorder="1" applyAlignment="1" applyProtection="1">
      <alignment horizontal="left" vertical="center"/>
    </xf>
    <xf numFmtId="0" fontId="42" fillId="38" borderId="16" xfId="0" applyFont="1" applyFill="1" applyBorder="1" applyAlignment="1" applyProtection="1">
      <alignment horizontal="left" vertical="center"/>
    </xf>
    <xf numFmtId="0" fontId="42" fillId="38" borderId="17" xfId="0" applyFont="1" applyFill="1" applyBorder="1" applyAlignment="1" applyProtection="1">
      <alignment horizontal="left" vertical="center"/>
    </xf>
    <xf numFmtId="0" fontId="48" fillId="33" borderId="46" xfId="0" applyFont="1" applyFill="1" applyBorder="1" applyAlignment="1" applyProtection="1">
      <alignment horizontal="center" vertical="center"/>
    </xf>
    <xf numFmtId="0" fontId="48" fillId="33" borderId="47" xfId="0" applyFont="1" applyFill="1" applyBorder="1" applyAlignment="1" applyProtection="1">
      <alignment horizontal="center" vertical="center"/>
    </xf>
    <xf numFmtId="0" fontId="48" fillId="33" borderId="43" xfId="0" applyFont="1" applyFill="1" applyBorder="1" applyAlignment="1" applyProtection="1">
      <alignment horizontal="center" vertical="center"/>
    </xf>
    <xf numFmtId="0" fontId="14" fillId="0" borderId="57" xfId="0" applyFont="1" applyBorder="1" applyAlignment="1">
      <alignment horizontal="center"/>
    </xf>
    <xf numFmtId="0" fontId="14" fillId="0" borderId="58" xfId="0" applyFont="1" applyBorder="1" applyAlignment="1">
      <alignment horizontal="center"/>
    </xf>
    <xf numFmtId="0" fontId="14" fillId="0" borderId="59" xfId="0" applyFont="1" applyBorder="1" applyAlignment="1">
      <alignment horizontal="center"/>
    </xf>
  </cellXfs>
  <cellStyles count="135">
    <cellStyle name="#.####" xfId="66" xr:uid="{F91A3F8E-63A5-43CF-8C35-4336EA988C93}"/>
    <cellStyle name="#0.0000" xfId="67" xr:uid="{F305A5D7-2373-4036-95B2-A71E33E3368B}"/>
    <cellStyle name="0.0000" xfId="68" xr:uid="{D71FF555-C538-474E-9192-13C55CA8830A}"/>
    <cellStyle name="00.0000" xfId="69" xr:uid="{AC03345F-A645-42A8-92B4-1CD73BB29C1E}"/>
    <cellStyle name="20% - Accent1" xfId="17" builtinId="30" customBuiltin="1"/>
    <cellStyle name="20% - Accent2" xfId="20" builtinId="34" customBuiltin="1"/>
    <cellStyle name="20% - Accent3" xfId="23" builtinId="38" customBuiltin="1"/>
    <cellStyle name="20% - Accent4" xfId="26" builtinId="42" customBuiltin="1"/>
    <cellStyle name="20% - Accent5" xfId="29" builtinId="46" customBuiltin="1"/>
    <cellStyle name="20% - Accent6" xfId="32" builtinId="50" customBuiltin="1"/>
    <cellStyle name="40% - Accent1" xfId="18" builtinId="31" customBuiltin="1"/>
    <cellStyle name="40% - Accent2" xfId="21" builtinId="35" customBuiltin="1"/>
    <cellStyle name="40% - Accent3" xfId="24" builtinId="39" customBuiltin="1"/>
    <cellStyle name="40% - Accent4" xfId="27" builtinId="43" customBuiltin="1"/>
    <cellStyle name="40% - Accent5" xfId="30" builtinId="47" customBuiltin="1"/>
    <cellStyle name="40% - Accent6" xfId="33" builtinId="51" customBuiltin="1"/>
    <cellStyle name="60% - Accent1 2" xfId="40" xr:uid="{319F188A-9578-490C-AA9C-B7DED60F9AED}"/>
    <cellStyle name="60% - Accent2 2" xfId="41" xr:uid="{56E337E6-99B8-44A2-B535-95DF94C88836}"/>
    <cellStyle name="60% - Accent3 2" xfId="43" xr:uid="{D5AABB2A-7087-407B-AACC-6DE78497C082}"/>
    <cellStyle name="60% - Accent4 2" xfId="44" xr:uid="{798E5E5E-F686-4A7C-803B-3829DF8A2FBE}"/>
    <cellStyle name="60% - Accent5 2" xfId="45" xr:uid="{3A9C69D6-451D-4FF1-A6EF-746A7E3BFCF8}"/>
    <cellStyle name="60% - Accent6 2" xfId="46" xr:uid="{E3FC1C06-7806-45EB-AA80-9B16D2EF0366}"/>
    <cellStyle name="Accent1" xfId="16" builtinId="29" customBuiltin="1"/>
    <cellStyle name="Accent2" xfId="19" builtinId="33" customBuiltin="1"/>
    <cellStyle name="Accent3" xfId="22" builtinId="37" customBuiltin="1"/>
    <cellStyle name="Accent4" xfId="25" builtinId="41" customBuiltin="1"/>
    <cellStyle name="Accent5" xfId="28" builtinId="45" customBuiltin="1"/>
    <cellStyle name="Accent6" xfId="31" builtinId="49" customBuiltin="1"/>
    <cellStyle name="Bad" xfId="6" builtinId="27" customBuiltin="1"/>
    <cellStyle name="Calculation" xfId="9" builtinId="22" customBuiltin="1"/>
    <cellStyle name="Check Cell" xfId="11" builtinId="23" customBuiltin="1"/>
    <cellStyle name="CombinedVol_Data" xfId="77" xr:uid="{D88DCBA6-D44A-4F4E-BD95-9E0F52CC5E08}"/>
    <cellStyle name="Comma" xfId="133" builtinId="3"/>
    <cellStyle name="Comma [0] 2" xfId="78" xr:uid="{40F757C3-3AD5-4880-BF53-CB62A9693C3C}"/>
    <cellStyle name="Comma 10" xfId="50" xr:uid="{91C40EE9-6098-4C5A-A4DD-0B68E4ACCF1D}"/>
    <cellStyle name="Comma 11" xfId="128" xr:uid="{AD2175DB-F105-42F0-ACC4-F425C0A1C57C}"/>
    <cellStyle name="Comma 2" xfId="61" xr:uid="{6BED3F27-47CE-439C-9E9A-4C5AFCB3BF95}"/>
    <cellStyle name="Comma 3" xfId="74" xr:uid="{0454253A-DB9F-4F99-8A6A-25097F3D7E65}"/>
    <cellStyle name="Comma 4" xfId="124" xr:uid="{29EE017B-BD88-46BD-8FD7-4692BA1F9F04}"/>
    <cellStyle name="Comma 5" xfId="42" xr:uid="{2B3A32FA-D2E8-45C4-9737-F8755625D6B1}"/>
    <cellStyle name="Comma 6" xfId="51" xr:uid="{B19F75AA-EEE0-4BDC-83BD-487B8D16D7A9}"/>
    <cellStyle name="Comma 7" xfId="53" xr:uid="{CBF74518-53D5-4D2E-90B1-FE26833E5A30}"/>
    <cellStyle name="Comma 8" xfId="52" xr:uid="{22E29760-4AA2-4B7C-A06E-B5F9396249D2}"/>
    <cellStyle name="Comma 9" xfId="54" xr:uid="{5B66D51A-1339-4AA7-A1DF-DE6036A857F4}"/>
    <cellStyle name="Currency [0] 2" xfId="79" xr:uid="{791892C5-0AE0-4336-BDBB-8D79B9CB2D3A}"/>
    <cellStyle name="Currency 10" xfId="126" xr:uid="{590DE28A-398F-42F2-A605-08BA3F60CF10}"/>
    <cellStyle name="Currency 11" xfId="129" xr:uid="{858C5EA1-5F4D-479D-AA71-C2B345993383}"/>
    <cellStyle name="Currency 12" xfId="130" xr:uid="{37A4A3AC-BBBC-46E6-BFAF-89DA90FE2A67}"/>
    <cellStyle name="Currency 13" xfId="131" xr:uid="{4CAA2648-FD99-4882-AB02-E0B295715269}"/>
    <cellStyle name="Currency 14" xfId="132" xr:uid="{4C986E46-AAFD-42A2-B2B7-FF02435BE5CB}"/>
    <cellStyle name="Currency 2" xfId="70" xr:uid="{438AA701-93E5-4C17-BAC2-5B69F0247C45}"/>
    <cellStyle name="Currency 3" xfId="65" xr:uid="{C4D42FEB-99B2-493B-B6F9-CBC89FD8BCA1}"/>
    <cellStyle name="Currency 4" xfId="71" xr:uid="{F8FE1D05-A588-4334-AFEB-8ACF82812E3E}"/>
    <cellStyle name="Currency 5" xfId="62" xr:uid="{479C753C-E5D8-4453-871F-5FC055BECC45}"/>
    <cellStyle name="Currency 6" xfId="34" xr:uid="{6068CEDE-039C-4E3B-838C-5D3571799F4D}"/>
    <cellStyle name="Currency 7" xfId="75" xr:uid="{03EC5CC5-DB0C-4F78-8975-030DCEC1DE03}"/>
    <cellStyle name="Currency 8" xfId="125" xr:uid="{567A03DE-BC40-41E9-B95F-6277B3D03DBD}"/>
    <cellStyle name="Currency 9" xfId="127" xr:uid="{5170E89D-7EBF-4956-9C8A-3C71C7FBBB43}"/>
    <cellStyle name="Edited_Data" xfId="80" xr:uid="{FDD678DA-02AB-446E-85CA-8CECC100B835}"/>
    <cellStyle name="Estimated_Data" xfId="81" xr:uid="{2A8E78EC-1C7D-4126-B455-4E7C50F7E545}"/>
    <cellStyle name="Explanatory Text" xfId="14" builtinId="53" customBuiltin="1"/>
    <cellStyle name="Forecast_Data" xfId="82" xr:uid="{E1815CC2-E51D-400E-94ED-85871FF5277C}"/>
    <cellStyle name="Good" xfId="5" builtinId="26" customBuiltin="1"/>
    <cellStyle name="Heading 1" xfId="1" builtinId="16" customBuiltin="1"/>
    <cellStyle name="Heading 2" xfId="2" builtinId="17" customBuiltin="1"/>
    <cellStyle name="Heading 3" xfId="3" builtinId="18" customBuiltin="1"/>
    <cellStyle name="Heading 4" xfId="4" builtinId="19" customBuiltin="1"/>
    <cellStyle name="Hyperlink" xfId="134" builtinId="8"/>
    <cellStyle name="Hyperlink 2" xfId="83" xr:uid="{1A8D5DB7-E53E-4BB8-9C94-D3E5CF33B53E}"/>
    <cellStyle name="Input" xfId="7" builtinId="20" customBuiltin="1"/>
    <cellStyle name="Item_Current" xfId="84" xr:uid="{D19ADE1D-A67A-49B4-8854-E968772C0413}"/>
    <cellStyle name="Lien hypertexte" xfId="85" xr:uid="{36BB5414-31F7-4FAF-A36B-6D76D7046D29}"/>
    <cellStyle name="Lien hypertexte visité" xfId="86" xr:uid="{EDCFFA4C-0717-4748-911A-1481138FDCD1}"/>
    <cellStyle name="Linked Cell" xfId="10" builtinId="24" customBuiltin="1"/>
    <cellStyle name="Muster" xfId="87" xr:uid="{A58A18E2-C802-4A38-BA60-7949CBBDC46C}"/>
    <cellStyle name="Neutral 2" xfId="39" xr:uid="{4F599B44-BA6E-40A6-87CF-F47DC747B510}"/>
    <cellStyle name="Normal" xfId="0" builtinId="0"/>
    <cellStyle name="Normal 10" xfId="113" xr:uid="{161576A9-9775-4DA0-9BC5-3813D274EC5C}"/>
    <cellStyle name="Normal 10 2" xfId="114" xr:uid="{B9E48C3E-A8C9-4C21-B6FA-8AE0952B9564}"/>
    <cellStyle name="Normal 11" xfId="115" xr:uid="{78DE8CFA-D694-4393-8A0B-727B9982FA86}"/>
    <cellStyle name="Normal 2" xfId="35" xr:uid="{8672ABA0-6816-445C-BDD8-77E5DB333AF5}"/>
    <cellStyle name="Normal 2 2" xfId="63" xr:uid="{7D3CB64B-60AE-48F1-A39C-43C73C380A8D}"/>
    <cellStyle name="Normal 2 2 2" xfId="116" xr:uid="{59C2896B-BB02-40F2-93B5-94A62B912A49}"/>
    <cellStyle name="Normal 2 3" xfId="112" xr:uid="{DBEDE38E-1A8D-4332-A049-D44C2FE8BFDC}"/>
    <cellStyle name="Normal 3" xfId="36" xr:uid="{4C31587E-C819-4560-B0D4-B522AD683F54}"/>
    <cellStyle name="Normal 3 2" xfId="48" xr:uid="{9407611D-4D6D-4E3B-B8C2-A07446E9ACD2}"/>
    <cellStyle name="Normal 3 3" xfId="64" xr:uid="{EFBB3173-BCF4-4462-9504-0C6FA7E5CDE7}"/>
    <cellStyle name="Normal 3 4" xfId="107" xr:uid="{BC25749F-E76F-471F-B472-269A52DD323B}"/>
    <cellStyle name="Normal 4" xfId="37" xr:uid="{D4E3FC92-FE5C-4494-8131-31B019FCB832}"/>
    <cellStyle name="Normal 4 2" xfId="57" xr:uid="{652B6969-CBA7-4DFE-89A9-15BCDB91835B}"/>
    <cellStyle name="Normal 4 2 2" xfId="59" xr:uid="{1405C9F1-3DB0-4B23-9A61-F5AE4A043D50}"/>
    <cellStyle name="Normal 4 3" xfId="58" xr:uid="{3F88F690-63B8-42A4-81D9-C74E8131BE67}"/>
    <cellStyle name="Normal 5" xfId="47" xr:uid="{AF0DFE7B-A945-455C-A50E-CC52F428AF36}"/>
    <cellStyle name="Normal 5 2" xfId="56" xr:uid="{A1091D9B-A83D-481B-A3A0-549374864977}"/>
    <cellStyle name="Normal 5 3" xfId="72" xr:uid="{6F3A8EE4-3207-46FC-A7B2-9D253D51925C}"/>
    <cellStyle name="Normal 6" xfId="49" xr:uid="{A905FDCD-8527-49AB-A00C-60B61263F2A4}"/>
    <cellStyle name="Normal 6 2" xfId="55" xr:uid="{A983FD99-F814-48C6-90EA-0793296D9773}"/>
    <cellStyle name="Normal 7" xfId="60" xr:uid="{A603868A-ACC5-45DC-8E99-3959E774B29E}"/>
    <cellStyle name="Normal 7 2" xfId="103" xr:uid="{41D8DD1E-D3C1-4E1D-849F-B1A0F262F589}"/>
    <cellStyle name="Normal 7 2 2" xfId="106" xr:uid="{776C3A0D-3F07-4A54-BBB2-3CBCE93EDBD0}"/>
    <cellStyle name="Normal 7 2 3" xfId="117" xr:uid="{46B9E17E-AB79-4C82-8571-B50CEDD01441}"/>
    <cellStyle name="Normal 7 3" xfId="105" xr:uid="{D20D9B7E-6C71-496F-88ED-922286E29DA9}"/>
    <cellStyle name="Normal 8" xfId="118" xr:uid="{DB942F3F-728D-4CC9-8903-46632F53DFAC}"/>
    <cellStyle name="Normal 8 2" xfId="119" xr:uid="{377C2EE8-64B4-4A1D-AB87-048394702007}"/>
    <cellStyle name="Normal 9" xfId="120" xr:uid="{75D6BB84-6F9C-413E-B6B8-88984565C3A5}"/>
    <cellStyle name="Normal 9 2" xfId="121" xr:uid="{9B13880E-E612-436B-AA6D-6F48F10D7350}"/>
    <cellStyle name="Note" xfId="13" builtinId="10" customBuiltin="1"/>
    <cellStyle name="Option_Contents" xfId="88" xr:uid="{B5C80A8F-4887-4DD9-A9D6-2F575A90CAA1}"/>
    <cellStyle name="Output" xfId="8" builtinId="21" customBuiltin="1"/>
    <cellStyle name="Percent 2" xfId="104" xr:uid="{8363036B-DF93-4008-AF5C-BA66C318F1D7}"/>
    <cellStyle name="Percent 2 2" xfId="111" xr:uid="{62E9FDCE-7024-432D-AB01-B0AF99F374B5}"/>
    <cellStyle name="Preliminary_Data" xfId="89" xr:uid="{83641B20-6C71-4910-A975-BFB39F71A68B}"/>
    <cellStyle name="Prices_Data" xfId="90" xr:uid="{1185D6E3-46F9-4F81-9182-CEF1EBC4ADAF}"/>
    <cellStyle name="Prozent 2" xfId="91" xr:uid="{73A97C12-3A56-4D07-9104-C9EAFCD6C4F9}"/>
    <cellStyle name="Standard 15" xfId="122" xr:uid="{37DB861B-6200-48D9-BFD7-11E4431FCE01}"/>
    <cellStyle name="Standard 2" xfId="73" xr:uid="{16CF3EA4-0DB9-4557-AD72-3396D36C6C30}"/>
    <cellStyle name="Standard 2 2" xfId="92" xr:uid="{2536DAAB-8428-484F-AB7B-A7C0EFD37437}"/>
    <cellStyle name="Standard 2 3" xfId="93" xr:uid="{5CE9BB4C-F557-46DC-909F-D2A40180C2F8}"/>
    <cellStyle name="Standard 3" xfId="94" xr:uid="{42939A8E-8730-4A39-BCBA-65DF88F5FA0B}"/>
    <cellStyle name="Standard 4" xfId="76" xr:uid="{2B929286-E712-4FF5-8F0D-46AD25D0A9F4}"/>
    <cellStyle name="Standard 4 2" xfId="95" xr:uid="{27CBCCE2-B3D1-4D32-AAB0-6BCA32FA47C3}"/>
    <cellStyle name="Standard 4 2 2" xfId="109" xr:uid="{465EE55D-BEA5-4BDB-9811-480D43AC4750}"/>
    <cellStyle name="Standard 4 3" xfId="108" xr:uid="{DBDCA352-B9DB-4155-B3D1-290687887004}"/>
    <cellStyle name="Standard 5" xfId="96" xr:uid="{9DC15F46-C484-47DE-B4FA-4FE948091277}"/>
    <cellStyle name="Standard 5 2" xfId="110" xr:uid="{E1E3BB39-FC3E-4A6E-9BEA-ED82AA8AA6D4}"/>
    <cellStyle name="Standard 8" xfId="123" xr:uid="{9EEDB41F-9A62-48AC-839B-F3E70807DD6B}"/>
    <cellStyle name="Title 2" xfId="97" xr:uid="{24504A05-C98C-42CB-A2D8-47485AB0B3C3}"/>
    <cellStyle name="Title 3" xfId="38" xr:uid="{92B7B303-753F-401F-92A3-CC91A242F566}"/>
    <cellStyle name="Total" xfId="15" builtinId="25" customBuiltin="1"/>
    <cellStyle name="Undefiniert" xfId="98" xr:uid="{1A322829-2C73-4AD4-94D7-497EFBE21CFB}"/>
    <cellStyle name="Vehicle_Benchmark" xfId="99" xr:uid="{A2D100A0-5FF3-475B-8B0D-05718DD75B20}"/>
    <cellStyle name="Volumes_Data" xfId="100" xr:uid="{A9A65474-E8AA-4DA1-9127-E57B38381332}"/>
    <cellStyle name="Währung 2" xfId="101" xr:uid="{F553BB00-A38D-4A50-AB81-B7ACDABA2977}"/>
    <cellStyle name="Warning Text" xfId="12" builtinId="11" customBuiltin="1"/>
    <cellStyle name="標準_CD32" xfId="102" xr:uid="{F4A9604D-CBFA-498E-9D6C-302B1A1F8FCB}"/>
  </cellStyles>
  <dxfs count="41">
    <dxf>
      <font>
        <b/>
        <i val="0"/>
      </font>
      <fill>
        <patternFill>
          <bgColor rgb="FFFFC000"/>
        </patternFill>
      </fill>
    </dxf>
    <dxf>
      <font>
        <b/>
        <i val="0"/>
      </font>
      <fill>
        <patternFill>
          <bgColor rgb="FFFFC000"/>
        </patternFill>
      </fill>
    </dxf>
    <dxf>
      <font>
        <b/>
        <i val="0"/>
      </font>
      <fill>
        <patternFill>
          <bgColor rgb="FFFFC000"/>
        </patternFill>
      </fill>
    </dxf>
    <dxf>
      <font>
        <b/>
        <i val="0"/>
        <strike val="0"/>
      </font>
      <fill>
        <patternFill>
          <bgColor rgb="FFFFC000"/>
        </patternFill>
      </fill>
    </dxf>
    <dxf>
      <numFmt numFmtId="165" formatCode="0.0000"/>
      <fill>
        <patternFill patternType="lightGray"/>
      </fill>
    </dxf>
    <dxf>
      <font>
        <color theme="0"/>
      </font>
      <fill>
        <patternFill>
          <bgColor rgb="FF0070C0"/>
        </patternFill>
      </fill>
    </dxf>
    <dxf>
      <font>
        <strike val="0"/>
        <color theme="0"/>
      </font>
      <fill>
        <patternFill>
          <bgColor rgb="FFFF0000"/>
        </patternFill>
      </fill>
    </dxf>
    <dxf>
      <font>
        <color theme="1" tint="0.24994659260841701"/>
      </font>
      <numFmt numFmtId="165" formatCode="0.0000"/>
      <fill>
        <patternFill patternType="lightGrid">
          <fgColor theme="0" tint="-0.34998626667073579"/>
          <bgColor auto="1"/>
        </patternFill>
      </fill>
    </dxf>
    <dxf>
      <font>
        <strike val="0"/>
        <color theme="1" tint="0.24994659260841701"/>
      </font>
      <numFmt numFmtId="165" formatCode="0.0000"/>
      <fill>
        <patternFill patternType="lightGrid">
          <fgColor theme="0" tint="-0.34998626667073579"/>
          <bgColor auto="1"/>
        </patternFill>
      </fill>
    </dxf>
    <dxf>
      <font>
        <color theme="9" tint="0.79998168889431442"/>
      </font>
      <numFmt numFmtId="165" formatCode="0.0000"/>
    </dxf>
    <dxf>
      <font>
        <color theme="9" tint="0.79998168889431442"/>
      </font>
      <numFmt numFmtId="165" formatCode="0.0000"/>
      <fill>
        <patternFill patternType="lightGrid">
          <fgColor theme="0" tint="-0.34998626667073579"/>
          <bgColor auto="1"/>
        </patternFill>
      </fill>
    </dxf>
    <dxf>
      <font>
        <color theme="9" tint="0.79998168889431442"/>
      </font>
      <numFmt numFmtId="165" formatCode="0.0000"/>
      <fill>
        <patternFill patternType="lightGrid">
          <fgColor theme="0" tint="-0.34998626667073579"/>
          <bgColor auto="1"/>
        </patternFill>
      </fill>
    </dxf>
    <dxf>
      <font>
        <b/>
        <i val="0"/>
        <color theme="1"/>
      </font>
      <numFmt numFmtId="165" formatCode="0.0000"/>
      <fill>
        <patternFill>
          <bgColor rgb="FFFFFF00"/>
        </patternFill>
      </fill>
    </dxf>
    <dxf>
      <font>
        <b/>
        <i val="0"/>
        <color theme="1"/>
      </font>
      <numFmt numFmtId="165" formatCode="0.0000"/>
      <fill>
        <patternFill>
          <bgColor rgb="FFFFFF00"/>
        </patternFill>
      </fill>
    </dxf>
    <dxf>
      <font>
        <strike val="0"/>
        <color theme="1" tint="0.24994659260841701"/>
      </font>
      <numFmt numFmtId="165" formatCode="0.0000"/>
      <fill>
        <patternFill patternType="lightGrid">
          <fgColor theme="0" tint="-0.34998626667073579"/>
          <bgColor auto="1"/>
        </patternFill>
      </fill>
    </dxf>
    <dxf>
      <font>
        <strike val="0"/>
        <color theme="1" tint="0.24994659260841701"/>
      </font>
      <numFmt numFmtId="165" formatCode="0.0000"/>
      <fill>
        <patternFill patternType="lightGrid">
          <fgColor theme="0" tint="-0.34998626667073579"/>
          <bgColor auto="1"/>
        </patternFill>
      </fill>
    </dxf>
    <dxf>
      <font>
        <color theme="9" tint="0.79998168889431442"/>
      </font>
      <numFmt numFmtId="165" formatCode="0.0000"/>
      <fill>
        <patternFill patternType="lightGrid">
          <fgColor theme="0" tint="-0.34998626667073579"/>
          <bgColor auto="1"/>
        </patternFill>
      </fill>
    </dxf>
    <dxf>
      <font>
        <b val="0"/>
        <i val="0"/>
        <color theme="9" tint="0.79998168889431442"/>
      </font>
      <numFmt numFmtId="165" formatCode="0.0000"/>
      <fill>
        <patternFill patternType="lightGrid">
          <fgColor theme="0" tint="-0.34998626667073579"/>
          <bgColor auto="1"/>
        </patternFill>
      </fill>
    </dxf>
    <dxf>
      <font>
        <b/>
        <i val="0"/>
        <color theme="1"/>
      </font>
      <numFmt numFmtId="165" formatCode="0.0000"/>
      <fill>
        <patternFill>
          <bgColor rgb="FFFFFF00"/>
        </patternFill>
      </fill>
    </dxf>
    <dxf>
      <font>
        <b/>
        <i val="0"/>
        <strike val="0"/>
        <color theme="1"/>
      </font>
      <numFmt numFmtId="165" formatCode="0.0000"/>
      <fill>
        <patternFill>
          <bgColor rgb="FFFFFF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strike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microsoft.com/office/2006/relationships/vbaProject" Target="vbaProject.bin"/><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tiff"/></Relationships>
</file>

<file path=xl/drawings/drawing1.xml><?xml version="1.0" encoding="utf-8"?>
<xdr:wsDr xmlns:xdr="http://schemas.openxmlformats.org/drawingml/2006/spreadsheetDrawing" xmlns:a="http://schemas.openxmlformats.org/drawingml/2006/main">
  <xdr:twoCellAnchor editAs="oneCell">
    <xdr:from>
      <xdr:col>1</xdr:col>
      <xdr:colOff>15240</xdr:colOff>
      <xdr:row>3</xdr:row>
      <xdr:rowOff>22860</xdr:rowOff>
    </xdr:from>
    <xdr:to>
      <xdr:col>2</xdr:col>
      <xdr:colOff>1217295</xdr:colOff>
      <xdr:row>5</xdr:row>
      <xdr:rowOff>38153</xdr:rowOff>
    </xdr:to>
    <xdr:pic>
      <xdr:nvPicPr>
        <xdr:cNvPr id="2" name="Picture 1">
          <a:extLst>
            <a:ext uri="{FF2B5EF4-FFF2-40B4-BE49-F238E27FC236}">
              <a16:creationId xmlns:a16="http://schemas.microsoft.com/office/drawing/2014/main" id="{874F28D6-6F9B-45DD-8301-D71637152D96}"/>
            </a:ext>
          </a:extLst>
        </xdr:cNvPr>
        <xdr:cNvPicPr>
          <a:picLocks noChangeAspect="1"/>
        </xdr:cNvPicPr>
      </xdr:nvPicPr>
      <xdr:blipFill>
        <a:blip xmlns:r="http://schemas.openxmlformats.org/officeDocument/2006/relationships" r:embed="rId1"/>
        <a:stretch>
          <a:fillRect/>
        </a:stretch>
      </xdr:blipFill>
      <xdr:spPr>
        <a:xfrm>
          <a:off x="624840" y="579120"/>
          <a:ext cx="1811655" cy="3810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381000</xdr:colOff>
          <xdr:row>6</xdr:row>
          <xdr:rowOff>68580</xdr:rowOff>
        </xdr:from>
        <xdr:to>
          <xdr:col>15</xdr:col>
          <xdr:colOff>670560</xdr:colOff>
          <xdr:row>7</xdr:row>
          <xdr:rowOff>137160</xdr:rowOff>
        </xdr:to>
        <xdr:sp macro="" textlink="">
          <xdr:nvSpPr>
            <xdr:cNvPr id="1172" name="Button 148" hidden="1">
              <a:extLst>
                <a:ext uri="{63B3BB69-23CF-44E3-9099-C40C66FF867C}">
                  <a14:compatExt spid="_x0000_s1172"/>
                </a:ext>
                <a:ext uri="{FF2B5EF4-FFF2-40B4-BE49-F238E27FC236}">
                  <a16:creationId xmlns:a16="http://schemas.microsoft.com/office/drawing/2014/main" id="{00000000-0008-0000-0300-000094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Import CD XML File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335280</xdr:colOff>
          <xdr:row>12</xdr:row>
          <xdr:rowOff>68580</xdr:rowOff>
        </xdr:from>
        <xdr:to>
          <xdr:col>15</xdr:col>
          <xdr:colOff>746760</xdr:colOff>
          <xdr:row>13</xdr:row>
          <xdr:rowOff>137160</xdr:rowOff>
        </xdr:to>
        <xdr:sp macro="" textlink="">
          <xdr:nvSpPr>
            <xdr:cNvPr id="1173" name="Button 149" hidden="1">
              <a:extLst>
                <a:ext uri="{63B3BB69-23CF-44E3-9099-C40C66FF867C}">
                  <a14:compatExt spid="_x0000_s1173"/>
                </a:ext>
                <a:ext uri="{FF2B5EF4-FFF2-40B4-BE49-F238E27FC236}">
                  <a16:creationId xmlns:a16="http://schemas.microsoft.com/office/drawing/2014/main" id="{00000000-0008-0000-0300-000095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Import CS XML File(s)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83820</xdr:colOff>
          <xdr:row>6</xdr:row>
          <xdr:rowOff>68580</xdr:rowOff>
        </xdr:from>
        <xdr:to>
          <xdr:col>16</xdr:col>
          <xdr:colOff>1013460</xdr:colOff>
          <xdr:row>7</xdr:row>
          <xdr:rowOff>137160</xdr:rowOff>
        </xdr:to>
        <xdr:sp macro="" textlink="">
          <xdr:nvSpPr>
            <xdr:cNvPr id="1244" name="Button 220" hidden="1">
              <a:extLst>
                <a:ext uri="{63B3BB69-23CF-44E3-9099-C40C66FF867C}">
                  <a14:compatExt spid="_x0000_s1244"/>
                </a:ext>
                <a:ext uri="{FF2B5EF4-FFF2-40B4-BE49-F238E27FC236}">
                  <a16:creationId xmlns:a16="http://schemas.microsoft.com/office/drawing/2014/main" id="{00000000-0008-0000-0300-0000DC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Clear CD</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121920</xdr:colOff>
          <xdr:row>55</xdr:row>
          <xdr:rowOff>60960</xdr:rowOff>
        </xdr:from>
        <xdr:to>
          <xdr:col>16</xdr:col>
          <xdr:colOff>1051560</xdr:colOff>
          <xdr:row>56</xdr:row>
          <xdr:rowOff>121920</xdr:rowOff>
        </xdr:to>
        <xdr:sp macro="" textlink="">
          <xdr:nvSpPr>
            <xdr:cNvPr id="1245" name="Button 221" hidden="1">
              <a:extLst>
                <a:ext uri="{63B3BB69-23CF-44E3-9099-C40C66FF867C}">
                  <a14:compatExt spid="_x0000_s1245"/>
                </a:ext>
                <a:ext uri="{FF2B5EF4-FFF2-40B4-BE49-F238E27FC236}">
                  <a16:creationId xmlns:a16="http://schemas.microsoft.com/office/drawing/2014/main" id="{00000000-0008-0000-0300-0000DD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Clear CD</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121920</xdr:colOff>
          <xdr:row>104</xdr:row>
          <xdr:rowOff>60960</xdr:rowOff>
        </xdr:from>
        <xdr:to>
          <xdr:col>16</xdr:col>
          <xdr:colOff>1051560</xdr:colOff>
          <xdr:row>105</xdr:row>
          <xdr:rowOff>121920</xdr:rowOff>
        </xdr:to>
        <xdr:sp macro="" textlink="">
          <xdr:nvSpPr>
            <xdr:cNvPr id="1247" name="Button 223" hidden="1">
              <a:extLst>
                <a:ext uri="{63B3BB69-23CF-44E3-9099-C40C66FF867C}">
                  <a14:compatExt spid="_x0000_s1247"/>
                </a:ext>
                <a:ext uri="{FF2B5EF4-FFF2-40B4-BE49-F238E27FC236}">
                  <a16:creationId xmlns:a16="http://schemas.microsoft.com/office/drawing/2014/main" id="{00000000-0008-0000-0300-0000DF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Clear CD</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137160</xdr:colOff>
          <xdr:row>110</xdr:row>
          <xdr:rowOff>60960</xdr:rowOff>
        </xdr:from>
        <xdr:to>
          <xdr:col>16</xdr:col>
          <xdr:colOff>1059180</xdr:colOff>
          <xdr:row>111</xdr:row>
          <xdr:rowOff>121920</xdr:rowOff>
        </xdr:to>
        <xdr:sp macro="" textlink="">
          <xdr:nvSpPr>
            <xdr:cNvPr id="1251" name="Button 227" hidden="1">
              <a:extLst>
                <a:ext uri="{63B3BB69-23CF-44E3-9099-C40C66FF867C}">
                  <a14:compatExt spid="_x0000_s1251"/>
                </a:ext>
                <a:ext uri="{FF2B5EF4-FFF2-40B4-BE49-F238E27FC236}">
                  <a16:creationId xmlns:a16="http://schemas.microsoft.com/office/drawing/2014/main" id="{00000000-0008-0000-0300-0000E3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Clear CS</a:t>
              </a:r>
            </a:p>
            <a:p>
              <a:pPr algn="ctr" rtl="0">
                <a:defRPr sz="1000"/>
              </a:pPr>
              <a:endParaRPr lang="en-US" sz="1100" b="0" i="0" u="none" strike="noStrike" baseline="0">
                <a:solidFill>
                  <a:srgbClr val="000000"/>
                </a:solidFill>
                <a:latin typeface="Calibri"/>
                <a:ea typeface="Calibri"/>
                <a:cs typeface="Calibri"/>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137160</xdr:colOff>
          <xdr:row>61</xdr:row>
          <xdr:rowOff>60960</xdr:rowOff>
        </xdr:from>
        <xdr:to>
          <xdr:col>16</xdr:col>
          <xdr:colOff>1059180</xdr:colOff>
          <xdr:row>62</xdr:row>
          <xdr:rowOff>121920</xdr:rowOff>
        </xdr:to>
        <xdr:sp macro="" textlink="">
          <xdr:nvSpPr>
            <xdr:cNvPr id="1252" name="Button 228" hidden="1">
              <a:extLst>
                <a:ext uri="{63B3BB69-23CF-44E3-9099-C40C66FF867C}">
                  <a14:compatExt spid="_x0000_s1252"/>
                </a:ext>
                <a:ext uri="{FF2B5EF4-FFF2-40B4-BE49-F238E27FC236}">
                  <a16:creationId xmlns:a16="http://schemas.microsoft.com/office/drawing/2014/main" id="{00000000-0008-0000-0300-0000E4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Clear CS</a:t>
              </a:r>
            </a:p>
            <a:p>
              <a:pPr algn="ctr" rtl="0">
                <a:defRPr sz="1000"/>
              </a:pPr>
              <a:endParaRPr lang="en-US" sz="1100" b="0" i="0" u="none" strike="noStrike" baseline="0">
                <a:solidFill>
                  <a:srgbClr val="000000"/>
                </a:solidFill>
                <a:latin typeface="Calibri"/>
                <a:ea typeface="Calibri"/>
                <a:cs typeface="Calibri"/>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99060</xdr:colOff>
          <xdr:row>12</xdr:row>
          <xdr:rowOff>60960</xdr:rowOff>
        </xdr:from>
        <xdr:to>
          <xdr:col>16</xdr:col>
          <xdr:colOff>1021080</xdr:colOff>
          <xdr:row>13</xdr:row>
          <xdr:rowOff>121920</xdr:rowOff>
        </xdr:to>
        <xdr:sp macro="" textlink="">
          <xdr:nvSpPr>
            <xdr:cNvPr id="1253" name="Button 229" hidden="1">
              <a:extLst>
                <a:ext uri="{63B3BB69-23CF-44E3-9099-C40C66FF867C}">
                  <a14:compatExt spid="_x0000_s1253"/>
                </a:ext>
                <a:ext uri="{FF2B5EF4-FFF2-40B4-BE49-F238E27FC236}">
                  <a16:creationId xmlns:a16="http://schemas.microsoft.com/office/drawing/2014/main" id="{00000000-0008-0000-0300-0000E5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Clear CS</a:t>
              </a:r>
            </a:p>
            <a:p>
              <a:pPr algn="ctr" rtl="0">
                <a:defRPr sz="1000"/>
              </a:pPr>
              <a:endParaRPr lang="en-US" sz="1100" b="0" i="0" u="none" strike="noStrike" baseline="0">
                <a:solidFill>
                  <a:srgbClr val="000000"/>
                </a:solidFill>
                <a:latin typeface="Calibri"/>
                <a:ea typeface="Calibri"/>
                <a:cs typeface="Calibri"/>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388620</xdr:colOff>
          <xdr:row>55</xdr:row>
          <xdr:rowOff>68580</xdr:rowOff>
        </xdr:from>
        <xdr:to>
          <xdr:col>15</xdr:col>
          <xdr:colOff>685800</xdr:colOff>
          <xdr:row>56</xdr:row>
          <xdr:rowOff>137160</xdr:rowOff>
        </xdr:to>
        <xdr:sp macro="" textlink="">
          <xdr:nvSpPr>
            <xdr:cNvPr id="1256" name="Button 232" hidden="1">
              <a:extLst>
                <a:ext uri="{63B3BB69-23CF-44E3-9099-C40C66FF867C}">
                  <a14:compatExt spid="_x0000_s1256"/>
                </a:ext>
                <a:ext uri="{FF2B5EF4-FFF2-40B4-BE49-F238E27FC236}">
                  <a16:creationId xmlns:a16="http://schemas.microsoft.com/office/drawing/2014/main" id="{00000000-0008-0000-0300-0000E8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Import CD XML File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373380</xdr:colOff>
          <xdr:row>104</xdr:row>
          <xdr:rowOff>60960</xdr:rowOff>
        </xdr:from>
        <xdr:to>
          <xdr:col>15</xdr:col>
          <xdr:colOff>655320</xdr:colOff>
          <xdr:row>105</xdr:row>
          <xdr:rowOff>121920</xdr:rowOff>
        </xdr:to>
        <xdr:sp macro="" textlink="">
          <xdr:nvSpPr>
            <xdr:cNvPr id="1257" name="Button 233" hidden="1">
              <a:extLst>
                <a:ext uri="{63B3BB69-23CF-44E3-9099-C40C66FF867C}">
                  <a14:compatExt spid="_x0000_s1257"/>
                </a:ext>
                <a:ext uri="{FF2B5EF4-FFF2-40B4-BE49-F238E27FC236}">
                  <a16:creationId xmlns:a16="http://schemas.microsoft.com/office/drawing/2014/main" id="{00000000-0008-0000-0300-0000E9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Import CD XML File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327660</xdr:colOff>
          <xdr:row>61</xdr:row>
          <xdr:rowOff>68580</xdr:rowOff>
        </xdr:from>
        <xdr:to>
          <xdr:col>15</xdr:col>
          <xdr:colOff>731520</xdr:colOff>
          <xdr:row>62</xdr:row>
          <xdr:rowOff>137160</xdr:rowOff>
        </xdr:to>
        <xdr:sp macro="" textlink="">
          <xdr:nvSpPr>
            <xdr:cNvPr id="1259" name="Button 235" hidden="1">
              <a:extLst>
                <a:ext uri="{63B3BB69-23CF-44E3-9099-C40C66FF867C}">
                  <a14:compatExt spid="_x0000_s1259"/>
                </a:ext>
                <a:ext uri="{FF2B5EF4-FFF2-40B4-BE49-F238E27FC236}">
                  <a16:creationId xmlns:a16="http://schemas.microsoft.com/office/drawing/2014/main" id="{00000000-0008-0000-0300-0000EB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Import CS XML File(s)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297180</xdr:colOff>
          <xdr:row>110</xdr:row>
          <xdr:rowOff>60960</xdr:rowOff>
        </xdr:from>
        <xdr:to>
          <xdr:col>15</xdr:col>
          <xdr:colOff>716280</xdr:colOff>
          <xdr:row>111</xdr:row>
          <xdr:rowOff>121920</xdr:rowOff>
        </xdr:to>
        <xdr:sp macro="" textlink="">
          <xdr:nvSpPr>
            <xdr:cNvPr id="1260" name="Button 236" hidden="1">
              <a:extLst>
                <a:ext uri="{63B3BB69-23CF-44E3-9099-C40C66FF867C}">
                  <a14:compatExt spid="_x0000_s1260"/>
                </a:ext>
                <a:ext uri="{FF2B5EF4-FFF2-40B4-BE49-F238E27FC236}">
                  <a16:creationId xmlns:a16="http://schemas.microsoft.com/office/drawing/2014/main" id="{00000000-0008-0000-0300-0000EC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Import CS XML File(s)</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is.epa.gov/otaqpub/display_file.jsp?docid=63189&amp;flag=1" TargetMode="External"/><Relationship Id="rId2" Type="http://schemas.openxmlformats.org/officeDocument/2006/relationships/hyperlink" Target="https://www.ecfr.gov/current/title-40/chapter-I/subchapter-Q/part-600/subpart-A/section-600.002" TargetMode="External"/><Relationship Id="rId1" Type="http://schemas.openxmlformats.org/officeDocument/2006/relationships/hyperlink" Target="mailto:complianceinfo@epa.gov" TargetMode="External"/><Relationship Id="rId5" Type="http://schemas.openxmlformats.org/officeDocument/2006/relationships/drawing" Target="../drawings/drawing1.xml"/><Relationship Id="rId4" Type="http://schemas.openxmlformats.org/officeDocument/2006/relationships/hyperlink" Target="https://www.ecfr.gov/current/title-40/chapter-I/subchapter-Q/part-600?toc=1"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6" Type="http://schemas.openxmlformats.org/officeDocument/2006/relationships/comments" Target="../comments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0CC0C-CC89-4816-8BB5-9C5F897A0DE8}">
  <dimension ref="A1:K44"/>
  <sheetViews>
    <sheetView tabSelected="1" topLeftCell="A22" workbookViewId="0">
      <selection activeCell="N36" sqref="N36"/>
    </sheetView>
  </sheetViews>
  <sheetFormatPr defaultRowHeight="14.4"/>
  <cols>
    <col min="3" max="3" width="24.5546875" bestFit="1" customWidth="1"/>
  </cols>
  <sheetData>
    <row r="1" spans="1:11">
      <c r="A1" s="437"/>
    </row>
    <row r="3" spans="1:11" ht="15" thickBot="1"/>
    <row r="4" spans="1:11">
      <c r="B4" s="420"/>
      <c r="C4" s="421"/>
      <c r="D4" s="421"/>
      <c r="E4" s="439" t="s">
        <v>312</v>
      </c>
      <c r="F4" s="440"/>
      <c r="G4" s="440"/>
      <c r="H4" s="441"/>
      <c r="I4" s="421"/>
      <c r="J4" s="445" t="s">
        <v>304</v>
      </c>
      <c r="K4" s="446"/>
    </row>
    <row r="5" spans="1:11" ht="15" thickBot="1">
      <c r="B5" s="422"/>
      <c r="E5" s="442"/>
      <c r="F5" s="443"/>
      <c r="G5" s="443"/>
      <c r="H5" s="444"/>
      <c r="J5" s="447" t="s">
        <v>305</v>
      </c>
      <c r="K5" s="448"/>
    </row>
    <row r="6" spans="1:11" ht="15" thickBot="1">
      <c r="B6" s="422"/>
      <c r="J6" s="449" t="s">
        <v>314</v>
      </c>
      <c r="K6" s="450"/>
    </row>
    <row r="7" spans="1:11">
      <c r="B7" s="422"/>
      <c r="K7" s="423"/>
    </row>
    <row r="8" spans="1:11">
      <c r="B8" s="417"/>
      <c r="C8" s="424"/>
      <c r="D8" s="424"/>
      <c r="E8" s="424"/>
      <c r="F8" s="424"/>
      <c r="G8" s="424"/>
      <c r="H8" s="424"/>
      <c r="I8" s="424"/>
      <c r="J8" s="424"/>
      <c r="K8" s="418"/>
    </row>
    <row r="9" spans="1:11">
      <c r="B9" s="422"/>
      <c r="D9" s="425" t="s">
        <v>315</v>
      </c>
      <c r="K9" s="423"/>
    </row>
    <row r="10" spans="1:11">
      <c r="B10" s="451" t="s">
        <v>319</v>
      </c>
      <c r="C10" s="452"/>
      <c r="D10" s="452"/>
      <c r="E10" s="452"/>
      <c r="F10" s="452"/>
      <c r="G10" s="452"/>
      <c r="H10" s="452"/>
      <c r="I10" s="452"/>
      <c r="J10" s="452"/>
      <c r="K10" s="453"/>
    </row>
    <row r="11" spans="1:11">
      <c r="B11" s="451"/>
      <c r="C11" s="452"/>
      <c r="D11" s="452"/>
      <c r="E11" s="452"/>
      <c r="F11" s="452"/>
      <c r="G11" s="452"/>
      <c r="H11" s="452"/>
      <c r="I11" s="452"/>
      <c r="J11" s="452"/>
      <c r="K11" s="453"/>
    </row>
    <row r="12" spans="1:11">
      <c r="B12" s="451"/>
      <c r="C12" s="452"/>
      <c r="D12" s="452"/>
      <c r="E12" s="452"/>
      <c r="F12" s="452"/>
      <c r="G12" s="452"/>
      <c r="H12" s="452"/>
      <c r="I12" s="452"/>
      <c r="J12" s="452"/>
      <c r="K12" s="453"/>
    </row>
    <row r="13" spans="1:11">
      <c r="B13" s="451"/>
      <c r="C13" s="452"/>
      <c r="D13" s="452"/>
      <c r="E13" s="452"/>
      <c r="F13" s="452"/>
      <c r="G13" s="452"/>
      <c r="H13" s="452"/>
      <c r="I13" s="452"/>
      <c r="J13" s="452"/>
      <c r="K13" s="453"/>
    </row>
    <row r="14" spans="1:11">
      <c r="B14" s="451"/>
      <c r="C14" s="452"/>
      <c r="D14" s="452"/>
      <c r="E14" s="452"/>
      <c r="F14" s="452"/>
      <c r="G14" s="452"/>
      <c r="H14" s="452"/>
      <c r="I14" s="452"/>
      <c r="J14" s="452"/>
      <c r="K14" s="453"/>
    </row>
    <row r="15" spans="1:11">
      <c r="B15" s="451"/>
      <c r="C15" s="452"/>
      <c r="D15" s="452"/>
      <c r="E15" s="452"/>
      <c r="F15" s="452"/>
      <c r="G15" s="452"/>
      <c r="H15" s="452"/>
      <c r="I15" s="452"/>
      <c r="J15" s="452"/>
      <c r="K15" s="453"/>
    </row>
    <row r="16" spans="1:11">
      <c r="B16" s="451"/>
      <c r="C16" s="452"/>
      <c r="D16" s="452"/>
      <c r="E16" s="452"/>
      <c r="F16" s="452"/>
      <c r="G16" s="452"/>
      <c r="H16" s="452"/>
      <c r="I16" s="452"/>
      <c r="J16" s="452"/>
      <c r="K16" s="453"/>
    </row>
    <row r="17" spans="2:11" ht="15" thickBot="1">
      <c r="B17" s="451"/>
      <c r="C17" s="452"/>
      <c r="D17" s="452"/>
      <c r="E17" s="452"/>
      <c r="F17" s="452"/>
      <c r="G17" s="452"/>
      <c r="H17" s="452"/>
      <c r="I17" s="452"/>
      <c r="J17" s="452"/>
      <c r="K17" s="453"/>
    </row>
    <row r="18" spans="2:11" ht="15" hidden="1" thickBot="1">
      <c r="B18" s="451"/>
      <c r="C18" s="452"/>
      <c r="D18" s="452"/>
      <c r="E18" s="452"/>
      <c r="F18" s="452"/>
      <c r="G18" s="452"/>
      <c r="H18" s="452"/>
      <c r="I18" s="452"/>
      <c r="J18" s="452"/>
      <c r="K18" s="453"/>
    </row>
    <row r="19" spans="2:11" ht="15" thickBot="1">
      <c r="B19" s="420"/>
      <c r="C19" s="421"/>
      <c r="D19" s="421"/>
      <c r="E19" s="421"/>
      <c r="F19" s="421"/>
      <c r="G19" s="421"/>
      <c r="H19" s="421"/>
      <c r="I19" s="421"/>
      <c r="J19" s="421"/>
      <c r="K19" s="426"/>
    </row>
    <row r="20" spans="2:11">
      <c r="B20" s="454" t="s">
        <v>333</v>
      </c>
      <c r="C20" s="455"/>
      <c r="D20" s="455"/>
      <c r="E20" s="455"/>
      <c r="F20" s="455"/>
      <c r="G20" s="455"/>
      <c r="H20" s="455"/>
      <c r="I20" s="455"/>
      <c r="J20" s="455"/>
      <c r="K20" s="456"/>
    </row>
    <row r="21" spans="2:11">
      <c r="B21" s="457"/>
      <c r="C21" s="458"/>
      <c r="D21" s="458"/>
      <c r="E21" s="458"/>
      <c r="F21" s="458"/>
      <c r="G21" s="458"/>
      <c r="H21" s="458"/>
      <c r="I21" s="458"/>
      <c r="J21" s="458"/>
      <c r="K21" s="459"/>
    </row>
    <row r="22" spans="2:11">
      <c r="B22" s="457"/>
      <c r="C22" s="458"/>
      <c r="D22" s="458"/>
      <c r="E22" s="458"/>
      <c r="F22" s="458"/>
      <c r="G22" s="458"/>
      <c r="H22" s="458"/>
      <c r="I22" s="458"/>
      <c r="J22" s="458"/>
      <c r="K22" s="459"/>
    </row>
    <row r="23" spans="2:11" ht="15" thickBot="1">
      <c r="B23" s="460"/>
      <c r="C23" s="461"/>
      <c r="D23" s="461"/>
      <c r="E23" s="461"/>
      <c r="F23" s="461"/>
      <c r="G23" s="461"/>
      <c r="H23" s="461"/>
      <c r="I23" s="461"/>
      <c r="J23" s="461"/>
      <c r="K23" s="462"/>
    </row>
    <row r="24" spans="2:11">
      <c r="B24" s="422"/>
      <c r="K24" s="423"/>
    </row>
    <row r="25" spans="2:11" ht="15" thickBot="1">
      <c r="B25" s="422"/>
      <c r="K25" s="423"/>
    </row>
    <row r="26" spans="2:11">
      <c r="B26" s="427" t="s">
        <v>332</v>
      </c>
      <c r="C26" s="421"/>
      <c r="D26" s="428"/>
      <c r="E26" s="421"/>
      <c r="F26" s="421"/>
      <c r="G26" s="421"/>
      <c r="H26" s="421"/>
      <c r="I26" s="421"/>
      <c r="J26" s="421"/>
      <c r="K26" s="426"/>
    </row>
    <row r="27" spans="2:11">
      <c r="B27" s="422"/>
      <c r="K27" s="423"/>
    </row>
    <row r="28" spans="2:11">
      <c r="B28" s="422" t="s">
        <v>337</v>
      </c>
      <c r="K28" s="423"/>
    </row>
    <row r="29" spans="2:11">
      <c r="B29" s="422" t="s">
        <v>307</v>
      </c>
      <c r="K29" s="423"/>
    </row>
    <row r="30" spans="2:11">
      <c r="B30" s="422" t="s">
        <v>308</v>
      </c>
      <c r="K30" s="423"/>
    </row>
    <row r="31" spans="2:11">
      <c r="B31" s="422"/>
      <c r="K31" s="423"/>
    </row>
    <row r="32" spans="2:11">
      <c r="B32" s="422" t="s">
        <v>309</v>
      </c>
      <c r="K32" s="423"/>
    </row>
    <row r="33" spans="2:11">
      <c r="B33" s="422" t="s">
        <v>310</v>
      </c>
      <c r="K33" s="423"/>
    </row>
    <row r="34" spans="2:11" ht="15" thickBot="1">
      <c r="B34" s="429" t="s">
        <v>311</v>
      </c>
      <c r="C34" s="430"/>
      <c r="D34" s="430"/>
      <c r="E34" s="430"/>
      <c r="F34" s="430"/>
      <c r="G34" s="430"/>
      <c r="H34" s="430"/>
      <c r="I34" s="430"/>
      <c r="J34" s="430"/>
      <c r="K34" s="431"/>
    </row>
    <row r="35" spans="2:11" ht="15" thickBot="1">
      <c r="B35" s="422"/>
      <c r="K35" s="423"/>
    </row>
    <row r="36" spans="2:11">
      <c r="B36" s="420"/>
      <c r="C36" s="421"/>
      <c r="D36" s="421"/>
      <c r="E36" s="421"/>
      <c r="F36" s="421"/>
      <c r="G36" s="421"/>
      <c r="H36" s="421"/>
      <c r="I36" s="421"/>
      <c r="J36" s="421"/>
      <c r="K36" s="426"/>
    </row>
    <row r="37" spans="2:11">
      <c r="B37" s="432" t="s">
        <v>320</v>
      </c>
      <c r="C37" s="434"/>
      <c r="D37" s="434"/>
      <c r="E37" s="434"/>
      <c r="F37" s="434"/>
      <c r="G37" s="434"/>
      <c r="H37" s="434"/>
      <c r="I37" s="434"/>
      <c r="J37" s="434"/>
      <c r="K37" s="423"/>
    </row>
    <row r="38" spans="2:11">
      <c r="B38" s="422"/>
      <c r="C38" s="434"/>
      <c r="D38" s="434"/>
      <c r="E38" s="434"/>
      <c r="F38" s="434"/>
      <c r="G38" s="434"/>
      <c r="H38" s="434"/>
      <c r="I38" s="434"/>
      <c r="J38" s="434"/>
      <c r="K38" s="423"/>
    </row>
    <row r="39" spans="2:11">
      <c r="B39" s="422"/>
      <c r="C39" s="435" t="s">
        <v>322</v>
      </c>
      <c r="D39" s="419" t="s">
        <v>321</v>
      </c>
      <c r="E39" s="434"/>
      <c r="F39" s="434"/>
      <c r="G39" s="434"/>
      <c r="H39" s="434"/>
      <c r="I39" s="434"/>
      <c r="J39" s="434"/>
      <c r="K39" s="423"/>
    </row>
    <row r="40" spans="2:11">
      <c r="B40" s="422"/>
      <c r="C40" s="435" t="s">
        <v>323</v>
      </c>
      <c r="D40" s="419" t="s">
        <v>324</v>
      </c>
      <c r="E40" s="434"/>
      <c r="F40" s="434"/>
      <c r="G40" s="434"/>
      <c r="H40" s="434"/>
      <c r="I40" s="434"/>
      <c r="J40" s="434"/>
      <c r="K40" s="423"/>
    </row>
    <row r="41" spans="2:11">
      <c r="B41" s="422"/>
      <c r="C41" s="436" t="s">
        <v>335</v>
      </c>
      <c r="D41" s="433" t="s">
        <v>336</v>
      </c>
      <c r="E41" s="434"/>
      <c r="F41" s="434"/>
      <c r="G41" s="434"/>
      <c r="H41" s="434"/>
      <c r="I41" s="434"/>
      <c r="J41" s="434"/>
      <c r="K41" s="423"/>
    </row>
    <row r="42" spans="2:11">
      <c r="B42" s="422"/>
      <c r="C42" s="435"/>
      <c r="D42" s="419"/>
      <c r="E42" s="434"/>
      <c r="F42" s="434"/>
      <c r="G42" s="434"/>
      <c r="H42" s="434"/>
      <c r="I42" s="434"/>
      <c r="J42" s="434"/>
      <c r="K42" s="423"/>
    </row>
    <row r="43" spans="2:11">
      <c r="B43" s="496" t="s">
        <v>306</v>
      </c>
      <c r="C43" s="495"/>
      <c r="D43" s="434"/>
      <c r="E43" s="434"/>
      <c r="F43" s="434"/>
      <c r="G43" s="434"/>
      <c r="H43" s="434"/>
      <c r="I43" s="434"/>
      <c r="J43" s="434"/>
      <c r="K43" s="423"/>
    </row>
    <row r="44" spans="2:11" ht="15" thickBot="1">
      <c r="B44" s="438" t="s">
        <v>313</v>
      </c>
      <c r="C44" s="497"/>
      <c r="D44" s="430"/>
      <c r="E44" s="430"/>
      <c r="F44" s="430"/>
      <c r="G44" s="430"/>
      <c r="H44" s="430"/>
      <c r="I44" s="430"/>
      <c r="J44" s="430"/>
      <c r="K44" s="431"/>
    </row>
  </sheetData>
  <mergeCells count="8">
    <mergeCell ref="B43:C43"/>
    <mergeCell ref="B44:C44"/>
    <mergeCell ref="E4:H5"/>
    <mergeCell ref="J4:K4"/>
    <mergeCell ref="J5:K5"/>
    <mergeCell ref="J6:K6"/>
    <mergeCell ref="B10:K18"/>
    <mergeCell ref="B20:K23"/>
  </mergeCells>
  <hyperlinks>
    <hyperlink ref="B20:K23" r:id="rId1" display="The purpose of this form is to provide manufacturers with a uniform way to submit PHEV data to EPA will allow manufacturer's fuel economy information to be posted posted on www.fueleconomy.gov. The completed form should be emailed to complianceinfo@epa.gov." xr:uid="{01D2D7D8-F033-4CBC-A094-08E6FCD2DF43}"/>
    <hyperlink ref="D39" r:id="rId2" xr:uid="{4733E57C-F6CB-441F-9054-FD4B07C7DCE0}"/>
    <hyperlink ref="D40" r:id="rId3" xr:uid="{5A383110-2F1C-4C40-BCBA-B046E250A8BF}"/>
    <hyperlink ref="D41" r:id="rId4" xr:uid="{35A59AFB-EA74-48EB-AEB8-61A31A598CF9}"/>
  </hyperlinks>
  <pageMargins left="0.7" right="0.7" top="0.75" bottom="0.75" header="0.3" footer="0.3"/>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C23"/>
  <sheetViews>
    <sheetView zoomScaleNormal="100" workbookViewId="0">
      <selection activeCell="C5" sqref="C5"/>
    </sheetView>
  </sheetViews>
  <sheetFormatPr defaultColWidth="9.109375" defaultRowHeight="14.4"/>
  <cols>
    <col min="1" max="1" width="7.88671875" style="113" bestFit="1" customWidth="1"/>
    <col min="2" max="2" width="11.5546875" style="113" bestFit="1" customWidth="1"/>
    <col min="3" max="3" width="138.88671875" style="113" bestFit="1" customWidth="1"/>
    <col min="4" max="16384" width="9.109375" style="113"/>
  </cols>
  <sheetData>
    <row r="1" spans="1:3" ht="28.8">
      <c r="A1" s="397" t="s">
        <v>0</v>
      </c>
      <c r="B1" s="398" t="s">
        <v>1</v>
      </c>
      <c r="C1" s="399" t="s">
        <v>2</v>
      </c>
    </row>
    <row r="2" spans="1:3" ht="43.2">
      <c r="A2" s="400">
        <v>23</v>
      </c>
      <c r="B2" s="401"/>
      <c r="C2" s="402" t="s">
        <v>3</v>
      </c>
    </row>
    <row r="3" spans="1:3" ht="28.8">
      <c r="A3" s="400">
        <v>24</v>
      </c>
      <c r="B3" s="401"/>
      <c r="C3" s="402" t="s">
        <v>4</v>
      </c>
    </row>
    <row r="4" spans="1:3" ht="201.6">
      <c r="A4" s="400">
        <v>25</v>
      </c>
      <c r="B4" s="401">
        <v>43096</v>
      </c>
      <c r="C4" s="402" t="s">
        <v>316</v>
      </c>
    </row>
    <row r="5" spans="1:3" ht="172.8">
      <c r="A5" s="403" t="s">
        <v>5</v>
      </c>
      <c r="B5" s="404">
        <v>43616</v>
      </c>
      <c r="C5" s="405" t="s">
        <v>334</v>
      </c>
    </row>
    <row r="6" spans="1:3" ht="72">
      <c r="A6" s="114" t="s">
        <v>6</v>
      </c>
      <c r="B6" s="406">
        <v>43692</v>
      </c>
      <c r="C6" s="407" t="s">
        <v>7</v>
      </c>
    </row>
    <row r="7" spans="1:3">
      <c r="C7" s="405" t="s">
        <v>8</v>
      </c>
    </row>
    <row r="8" spans="1:3">
      <c r="C8" s="113" t="s">
        <v>9</v>
      </c>
    </row>
    <row r="9" spans="1:3">
      <c r="A9" s="114" t="s">
        <v>10</v>
      </c>
      <c r="B9" s="406">
        <v>43748</v>
      </c>
      <c r="C9" s="405" t="s">
        <v>11</v>
      </c>
    </row>
    <row r="10" spans="1:3">
      <c r="C10" s="405" t="s">
        <v>12</v>
      </c>
    </row>
    <row r="11" spans="1:3">
      <c r="C11" s="405" t="s">
        <v>13</v>
      </c>
    </row>
    <row r="12" spans="1:3">
      <c r="A12" s="114" t="s">
        <v>14</v>
      </c>
      <c r="B12" s="406">
        <v>43838</v>
      </c>
      <c r="C12" s="405" t="s">
        <v>15</v>
      </c>
    </row>
    <row r="13" spans="1:3" ht="57.6">
      <c r="A13" s="114" t="s">
        <v>16</v>
      </c>
      <c r="B13" s="406">
        <v>43914</v>
      </c>
      <c r="C13" s="405" t="s">
        <v>17</v>
      </c>
    </row>
    <row r="14" spans="1:3" ht="86.4">
      <c r="A14" s="114" t="s">
        <v>18</v>
      </c>
      <c r="B14" s="406">
        <v>44277</v>
      </c>
      <c r="C14" s="405" t="s">
        <v>19</v>
      </c>
    </row>
    <row r="15" spans="1:3" ht="288">
      <c r="A15" s="114">
        <v>27</v>
      </c>
      <c r="B15" s="406">
        <v>44455</v>
      </c>
      <c r="C15" s="405" t="s">
        <v>20</v>
      </c>
    </row>
    <row r="16" spans="1:3">
      <c r="A16" s="114" t="s">
        <v>21</v>
      </c>
      <c r="B16" s="406">
        <v>44573</v>
      </c>
      <c r="C16" s="113" t="s">
        <v>22</v>
      </c>
    </row>
    <row r="17" spans="1:3" ht="57.6">
      <c r="A17" s="114" t="s">
        <v>23</v>
      </c>
      <c r="B17" s="406">
        <v>44684</v>
      </c>
      <c r="C17" s="405" t="s">
        <v>24</v>
      </c>
    </row>
    <row r="18" spans="1:3">
      <c r="A18" s="114" t="s">
        <v>25</v>
      </c>
      <c r="B18" s="406">
        <v>44986</v>
      </c>
      <c r="C18" s="113" t="s">
        <v>26</v>
      </c>
    </row>
    <row r="19" spans="1:3">
      <c r="A19" s="114" t="s">
        <v>27</v>
      </c>
      <c r="B19" s="406">
        <v>45258</v>
      </c>
      <c r="C19" s="405" t="s">
        <v>295</v>
      </c>
    </row>
    <row r="20" spans="1:3" ht="100.8">
      <c r="A20" s="114">
        <v>28</v>
      </c>
      <c r="B20" s="408">
        <v>45545</v>
      </c>
      <c r="C20" s="407" t="s">
        <v>296</v>
      </c>
    </row>
    <row r="21" spans="1:3">
      <c r="A21" s="114" t="s">
        <v>297</v>
      </c>
      <c r="B21" s="414">
        <v>45691</v>
      </c>
      <c r="C21" t="s">
        <v>299</v>
      </c>
    </row>
    <row r="22" spans="1:3" ht="57.6">
      <c r="A22" s="114" t="s">
        <v>298</v>
      </c>
      <c r="B22" s="408">
        <v>45740</v>
      </c>
      <c r="C22" s="407" t="s">
        <v>300</v>
      </c>
    </row>
    <row r="23" spans="1:3" ht="28.8">
      <c r="A23" s="114" t="s">
        <v>302</v>
      </c>
      <c r="C23" s="407" t="s">
        <v>303</v>
      </c>
    </row>
  </sheetData>
  <printOptions horizontalCentered="1"/>
  <pageMargins left="0.45" right="0.45" top="0.75" bottom="0.75" header="0.3" footer="0.3"/>
  <pageSetup scale="81" fitToHeight="0" orientation="landscape" r:id="rId1"/>
  <headerFooter differentFirst="1">
    <oddFooter>&amp;L&amp;F
&amp;A&amp;C
&amp;1#&amp;"BMW Group Condensed,Regular"&amp;12&amp;KC00000 CONFIDENTIAL&amp;R&amp;P of &amp;N</oddFooter>
    <firstHeader>&amp;L&amp;G&amp;ROffice of Transportation and Air Quality
April 2025</first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8BCB5-AB26-435F-A876-1EDAB3ECECDB}">
  <sheetPr codeName="Sheet3">
    <pageSetUpPr fitToPage="1"/>
  </sheetPr>
  <dimension ref="A1:AS155"/>
  <sheetViews>
    <sheetView zoomScaleNormal="100" workbookViewId="0"/>
  </sheetViews>
  <sheetFormatPr defaultColWidth="9.109375" defaultRowHeight="14.4"/>
  <cols>
    <col min="1" max="21" width="10.6640625" style="116" customWidth="1"/>
    <col min="22" max="22" width="9.109375" style="116"/>
    <col min="23" max="31" width="9.109375" style="393"/>
    <col min="32" max="16384" width="9.109375" style="116"/>
  </cols>
  <sheetData>
    <row r="1" spans="1:45" ht="15" thickBot="1">
      <c r="A1" s="3"/>
      <c r="B1" s="3"/>
      <c r="C1" s="3"/>
      <c r="D1" s="3"/>
      <c r="E1" s="3"/>
      <c r="F1" s="3"/>
      <c r="G1" s="3"/>
      <c r="H1" s="3"/>
      <c r="I1" s="3"/>
      <c r="J1" s="3"/>
      <c r="K1" s="3"/>
      <c r="L1" s="3"/>
      <c r="M1" s="3"/>
      <c r="N1" s="3"/>
      <c r="O1" s="3"/>
      <c r="P1" s="3"/>
      <c r="Q1" s="3"/>
      <c r="R1" s="3"/>
      <c r="S1" s="3"/>
      <c r="T1" s="3"/>
      <c r="U1" s="3"/>
      <c r="V1" s="3"/>
      <c r="W1" s="379"/>
      <c r="X1" s="379"/>
      <c r="Y1" s="379"/>
      <c r="Z1" s="379"/>
      <c r="AA1" s="379"/>
      <c r="AB1" s="379"/>
      <c r="AC1" s="379"/>
      <c r="AD1" s="379"/>
      <c r="AE1" s="379"/>
      <c r="AF1" s="3"/>
    </row>
    <row r="2" spans="1:45">
      <c r="A2" s="3"/>
      <c r="B2" s="468" t="s">
        <v>28</v>
      </c>
      <c r="C2" s="469"/>
      <c r="D2" s="469"/>
      <c r="E2" s="469"/>
      <c r="F2" s="469"/>
      <c r="G2" s="469"/>
      <c r="H2" s="469"/>
      <c r="I2" s="469"/>
      <c r="J2" s="469"/>
      <c r="K2" s="469"/>
      <c r="L2" s="469"/>
      <c r="M2" s="469"/>
      <c r="N2" s="469"/>
      <c r="O2" s="469"/>
      <c r="P2" s="469"/>
      <c r="Q2" s="469"/>
      <c r="R2" s="469"/>
      <c r="S2" s="469"/>
      <c r="T2" s="469"/>
      <c r="U2" s="470"/>
      <c r="V2" s="3"/>
      <c r="W2" s="380"/>
      <c r="X2" s="381"/>
      <c r="Y2" s="381"/>
      <c r="Z2" s="382"/>
      <c r="AA2" s="383"/>
      <c r="AB2" s="380"/>
      <c r="AC2" s="381"/>
      <c r="AD2" s="381"/>
      <c r="AE2" s="382"/>
      <c r="AF2" s="3"/>
    </row>
    <row r="3" spans="1:45">
      <c r="A3" s="3"/>
      <c r="B3" s="471" t="s">
        <v>29</v>
      </c>
      <c r="C3" s="466"/>
      <c r="D3" s="466"/>
      <c r="E3" s="466"/>
      <c r="F3" s="466"/>
      <c r="G3" s="466"/>
      <c r="H3" s="466"/>
      <c r="I3" s="466"/>
      <c r="J3" s="466"/>
      <c r="K3" s="466"/>
      <c r="L3" s="4"/>
      <c r="M3" s="466" t="s">
        <v>30</v>
      </c>
      <c r="N3" s="466"/>
      <c r="O3" s="466"/>
      <c r="P3" s="466"/>
      <c r="Q3" s="5"/>
      <c r="R3" s="466" t="s">
        <v>31</v>
      </c>
      <c r="S3" s="466"/>
      <c r="T3" s="466"/>
      <c r="U3" s="467"/>
      <c r="V3" s="6"/>
      <c r="W3" s="463" t="s">
        <v>32</v>
      </c>
      <c r="X3" s="464"/>
      <c r="Y3" s="464"/>
      <c r="Z3" s="465"/>
      <c r="AA3" s="383"/>
      <c r="AB3" s="463" t="s">
        <v>33</v>
      </c>
      <c r="AC3" s="464"/>
      <c r="AD3" s="464"/>
      <c r="AE3" s="465"/>
      <c r="AF3" s="3"/>
    </row>
    <row r="4" spans="1:45" ht="28.8">
      <c r="A4" s="3"/>
      <c r="B4" s="10" t="s">
        <v>211</v>
      </c>
      <c r="C4" s="7" t="s">
        <v>35</v>
      </c>
      <c r="D4" s="7" t="s">
        <v>36</v>
      </c>
      <c r="E4" s="7" t="s">
        <v>37</v>
      </c>
      <c r="F4" s="7" t="s">
        <v>38</v>
      </c>
      <c r="G4" s="7" t="s">
        <v>39</v>
      </c>
      <c r="H4" s="7" t="s">
        <v>40</v>
      </c>
      <c r="I4" s="7" t="s">
        <v>41</v>
      </c>
      <c r="J4" s="7" t="s">
        <v>42</v>
      </c>
      <c r="K4" s="7" t="s">
        <v>43</v>
      </c>
      <c r="L4" s="6"/>
      <c r="M4" s="7" t="s">
        <v>211</v>
      </c>
      <c r="N4" s="8" t="s">
        <v>44</v>
      </c>
      <c r="O4" s="8"/>
      <c r="P4" s="8"/>
      <c r="Q4" s="6"/>
      <c r="R4" s="7" t="s">
        <v>211</v>
      </c>
      <c r="S4" s="8" t="s">
        <v>45</v>
      </c>
      <c r="T4" s="8"/>
      <c r="U4" s="9"/>
      <c r="V4" s="6"/>
      <c r="W4" s="374" t="s">
        <v>34</v>
      </c>
      <c r="X4" s="375" t="s">
        <v>46</v>
      </c>
      <c r="Y4" s="375" t="s">
        <v>47</v>
      </c>
      <c r="Z4" s="376" t="s">
        <v>48</v>
      </c>
      <c r="AA4" s="383"/>
      <c r="AB4" s="374" t="s">
        <v>34</v>
      </c>
      <c r="AC4" s="375" t="s">
        <v>46</v>
      </c>
      <c r="AD4" s="375" t="s">
        <v>47</v>
      </c>
      <c r="AE4" s="376" t="s">
        <v>48</v>
      </c>
      <c r="AF4" s="3"/>
      <c r="AI4" s="251"/>
      <c r="AJ4" s="251"/>
      <c r="AK4" s="251"/>
      <c r="AL4" s="251"/>
      <c r="AM4" s="251"/>
      <c r="AN4" s="251"/>
      <c r="AO4" s="251"/>
      <c r="AP4" s="251"/>
      <c r="AQ4" s="251"/>
      <c r="AR4" s="251"/>
      <c r="AS4" s="251"/>
    </row>
    <row r="5" spans="1:45">
      <c r="A5" s="3"/>
      <c r="B5" s="384">
        <v>2011</v>
      </c>
      <c r="C5" s="390">
        <v>3</v>
      </c>
      <c r="D5" s="390">
        <v>3.1</v>
      </c>
      <c r="E5" s="390">
        <v>3.2</v>
      </c>
      <c r="F5" s="390">
        <v>3.1</v>
      </c>
      <c r="G5" s="390">
        <v>2.6</v>
      </c>
      <c r="H5" s="390"/>
      <c r="I5" s="390">
        <v>1.9</v>
      </c>
      <c r="J5" s="390">
        <v>0.11</v>
      </c>
      <c r="K5" s="390"/>
      <c r="L5" s="11"/>
      <c r="M5" s="102">
        <v>2011</v>
      </c>
      <c r="N5" s="102" t="s">
        <v>49</v>
      </c>
      <c r="O5" s="12"/>
      <c r="P5" s="12"/>
      <c r="Q5" s="11"/>
      <c r="R5" s="102">
        <v>2011</v>
      </c>
      <c r="S5" s="391" t="s">
        <v>49</v>
      </c>
      <c r="T5" s="12"/>
      <c r="U5" s="13"/>
      <c r="V5" s="11"/>
      <c r="W5" s="384">
        <v>2016</v>
      </c>
      <c r="X5" s="209">
        <v>0</v>
      </c>
      <c r="Y5" s="209">
        <v>13</v>
      </c>
      <c r="Z5" s="377">
        <v>1</v>
      </c>
      <c r="AA5" s="383"/>
      <c r="AB5" s="384">
        <v>2016</v>
      </c>
      <c r="AC5" s="385">
        <v>659</v>
      </c>
      <c r="AD5" s="209"/>
      <c r="AE5" s="377">
        <v>1</v>
      </c>
      <c r="AF5" s="3"/>
      <c r="AH5" s="24"/>
    </row>
    <row r="6" spans="1:45">
      <c r="A6" s="3"/>
      <c r="B6" s="384">
        <v>2012</v>
      </c>
      <c r="C6" s="390">
        <v>3.7</v>
      </c>
      <c r="D6" s="390">
        <v>3.85</v>
      </c>
      <c r="E6" s="390">
        <v>3.95</v>
      </c>
      <c r="F6" s="390">
        <v>3.95</v>
      </c>
      <c r="G6" s="390">
        <v>3.25</v>
      </c>
      <c r="H6" s="390"/>
      <c r="I6" s="390">
        <v>2.15</v>
      </c>
      <c r="J6" s="390">
        <v>0.12</v>
      </c>
      <c r="K6" s="390"/>
      <c r="L6" s="11"/>
      <c r="M6" s="102">
        <v>2012</v>
      </c>
      <c r="N6" s="102" t="s">
        <v>49</v>
      </c>
      <c r="O6" s="12"/>
      <c r="P6" s="12"/>
      <c r="Q6" s="11"/>
      <c r="R6" s="102">
        <v>2012</v>
      </c>
      <c r="S6" s="391" t="s">
        <v>49</v>
      </c>
      <c r="T6" s="12"/>
      <c r="U6" s="13"/>
      <c r="V6" s="11"/>
      <c r="W6" s="384">
        <v>2016</v>
      </c>
      <c r="X6" s="209">
        <v>14</v>
      </c>
      <c r="Y6" s="209">
        <v>15</v>
      </c>
      <c r="Z6" s="377">
        <v>2</v>
      </c>
      <c r="AA6" s="383"/>
      <c r="AB6" s="384">
        <v>2016</v>
      </c>
      <c r="AC6" s="385">
        <v>574</v>
      </c>
      <c r="AD6" s="385">
        <v>658</v>
      </c>
      <c r="AE6" s="377">
        <v>2</v>
      </c>
      <c r="AF6" s="3"/>
      <c r="AH6" s="24"/>
    </row>
    <row r="7" spans="1:45">
      <c r="A7" s="3"/>
      <c r="B7" s="384">
        <v>2013</v>
      </c>
      <c r="C7" s="390">
        <v>3.55</v>
      </c>
      <c r="D7" s="390">
        <v>3.65</v>
      </c>
      <c r="E7" s="390">
        <v>3.8</v>
      </c>
      <c r="F7" s="390">
        <v>3.8</v>
      </c>
      <c r="G7" s="390">
        <v>3.1</v>
      </c>
      <c r="H7" s="390"/>
      <c r="I7" s="390">
        <v>2</v>
      </c>
      <c r="J7" s="390">
        <v>0.12</v>
      </c>
      <c r="K7" s="390"/>
      <c r="L7" s="11"/>
      <c r="M7" s="102">
        <v>2013</v>
      </c>
      <c r="N7" s="103">
        <v>23</v>
      </c>
      <c r="O7" s="12"/>
      <c r="P7" s="12"/>
      <c r="Q7" s="11"/>
      <c r="R7" s="102">
        <v>2013</v>
      </c>
      <c r="S7" s="392">
        <v>11600</v>
      </c>
      <c r="T7" s="12"/>
      <c r="U7" s="13"/>
      <c r="V7" s="11"/>
      <c r="W7" s="384">
        <v>2016</v>
      </c>
      <c r="X7" s="209">
        <v>16</v>
      </c>
      <c r="Y7" s="209">
        <v>17</v>
      </c>
      <c r="Z7" s="377">
        <v>3</v>
      </c>
      <c r="AA7" s="383"/>
      <c r="AB7" s="384">
        <v>2016</v>
      </c>
      <c r="AC7" s="385">
        <v>509</v>
      </c>
      <c r="AD7" s="385">
        <v>573</v>
      </c>
      <c r="AE7" s="377">
        <v>3</v>
      </c>
      <c r="AF7" s="3"/>
      <c r="AH7" s="24"/>
    </row>
    <row r="8" spans="1:45">
      <c r="A8" s="3"/>
      <c r="B8" s="384">
        <v>2014</v>
      </c>
      <c r="C8" s="390">
        <v>3.5</v>
      </c>
      <c r="D8" s="390">
        <v>3.6</v>
      </c>
      <c r="E8" s="390">
        <v>3.75</v>
      </c>
      <c r="F8" s="390">
        <v>3.85</v>
      </c>
      <c r="G8" s="390">
        <v>3.1</v>
      </c>
      <c r="H8" s="390"/>
      <c r="I8" s="390">
        <v>2</v>
      </c>
      <c r="J8" s="390">
        <v>0.12</v>
      </c>
      <c r="K8" s="390"/>
      <c r="L8" s="11"/>
      <c r="M8" s="102">
        <v>2014</v>
      </c>
      <c r="N8" s="103">
        <v>23</v>
      </c>
      <c r="O8" s="12"/>
      <c r="P8" s="12"/>
      <c r="Q8" s="11"/>
      <c r="R8" s="102">
        <v>2014</v>
      </c>
      <c r="S8" s="392">
        <v>11500</v>
      </c>
      <c r="T8" s="12"/>
      <c r="U8" s="13"/>
      <c r="V8" s="11"/>
      <c r="W8" s="384">
        <v>2016</v>
      </c>
      <c r="X8" s="209">
        <v>18</v>
      </c>
      <c r="Y8" s="209">
        <v>20</v>
      </c>
      <c r="Z8" s="377">
        <v>4</v>
      </c>
      <c r="AA8" s="383"/>
      <c r="AB8" s="384">
        <v>2016</v>
      </c>
      <c r="AC8" s="385">
        <v>435</v>
      </c>
      <c r="AD8" s="385">
        <v>508</v>
      </c>
      <c r="AE8" s="377">
        <v>4</v>
      </c>
      <c r="AF8" s="3"/>
      <c r="AH8" s="24"/>
    </row>
    <row r="9" spans="1:45">
      <c r="A9" s="3"/>
      <c r="B9" s="384">
        <v>2015</v>
      </c>
      <c r="C9" s="390">
        <v>3.5</v>
      </c>
      <c r="D9" s="390">
        <v>3.65</v>
      </c>
      <c r="E9" s="390">
        <v>3.8</v>
      </c>
      <c r="F9" s="390">
        <v>3.75</v>
      </c>
      <c r="G9" s="390">
        <v>3.1</v>
      </c>
      <c r="H9" s="390"/>
      <c r="I9" s="390">
        <v>2</v>
      </c>
      <c r="J9" s="390">
        <v>0.12</v>
      </c>
      <c r="K9" s="390"/>
      <c r="L9" s="11"/>
      <c r="M9" s="102">
        <v>2015</v>
      </c>
      <c r="N9" s="103">
        <v>24</v>
      </c>
      <c r="O9" s="12"/>
      <c r="P9" s="12"/>
      <c r="Q9" s="11"/>
      <c r="R9" s="102">
        <v>2015</v>
      </c>
      <c r="S9" s="392">
        <v>11000</v>
      </c>
      <c r="T9" s="12"/>
      <c r="U9" s="13"/>
      <c r="V9" s="11"/>
      <c r="W9" s="384">
        <v>2016</v>
      </c>
      <c r="X9" s="209">
        <v>21</v>
      </c>
      <c r="Y9" s="209">
        <v>24</v>
      </c>
      <c r="Z9" s="377">
        <v>5</v>
      </c>
      <c r="AA9" s="383"/>
      <c r="AB9" s="384">
        <v>2016</v>
      </c>
      <c r="AC9" s="385">
        <v>364</v>
      </c>
      <c r="AD9" s="385">
        <v>434</v>
      </c>
      <c r="AE9" s="377">
        <v>5</v>
      </c>
      <c r="AF9" s="3"/>
      <c r="AH9" s="24"/>
    </row>
    <row r="10" spans="1:45">
      <c r="A10" s="3"/>
      <c r="B10" s="384">
        <v>2016</v>
      </c>
      <c r="C10" s="390">
        <v>3</v>
      </c>
      <c r="D10" s="390">
        <v>3.15</v>
      </c>
      <c r="E10" s="390">
        <v>3.3</v>
      </c>
      <c r="F10" s="390">
        <v>3.35</v>
      </c>
      <c r="G10" s="390">
        <v>2.6</v>
      </c>
      <c r="H10" s="390"/>
      <c r="I10" s="390">
        <v>1.55</v>
      </c>
      <c r="J10" s="390">
        <v>0.13</v>
      </c>
      <c r="K10" s="390"/>
      <c r="L10" s="11"/>
      <c r="M10" s="102">
        <v>2016</v>
      </c>
      <c r="N10" s="103">
        <v>25</v>
      </c>
      <c r="O10" s="12"/>
      <c r="P10" s="12"/>
      <c r="Q10" s="11"/>
      <c r="R10" s="102">
        <v>2016</v>
      </c>
      <c r="S10" s="392">
        <v>9000</v>
      </c>
      <c r="T10" s="12"/>
      <c r="U10" s="13"/>
      <c r="V10" s="11"/>
      <c r="W10" s="384">
        <v>2016</v>
      </c>
      <c r="X10" s="209">
        <v>25</v>
      </c>
      <c r="Y10" s="209">
        <v>27</v>
      </c>
      <c r="Z10" s="377">
        <v>6</v>
      </c>
      <c r="AA10" s="383"/>
      <c r="AB10" s="384">
        <v>2016</v>
      </c>
      <c r="AC10" s="385">
        <v>324</v>
      </c>
      <c r="AD10" s="385">
        <v>363</v>
      </c>
      <c r="AE10" s="377">
        <v>6</v>
      </c>
      <c r="AF10" s="3"/>
      <c r="AH10" s="24"/>
    </row>
    <row r="11" spans="1:45">
      <c r="A11" s="3"/>
      <c r="B11" s="384">
        <v>2017</v>
      </c>
      <c r="C11" s="390">
        <v>2.4500000000000002</v>
      </c>
      <c r="D11" s="390">
        <v>2.65</v>
      </c>
      <c r="E11" s="390">
        <v>2.8</v>
      </c>
      <c r="F11" s="390">
        <v>2.75</v>
      </c>
      <c r="G11" s="390">
        <v>2.0499999999999998</v>
      </c>
      <c r="H11" s="390"/>
      <c r="I11" s="390">
        <v>2.1</v>
      </c>
      <c r="J11" s="390">
        <v>0.13</v>
      </c>
      <c r="K11" s="390"/>
      <c r="L11" s="11"/>
      <c r="M11" s="102">
        <v>2017</v>
      </c>
      <c r="N11" s="103">
        <v>26</v>
      </c>
      <c r="O11" s="12"/>
      <c r="P11" s="12"/>
      <c r="Q11" s="11"/>
      <c r="R11" s="102">
        <v>2017</v>
      </c>
      <c r="S11" s="392">
        <v>7000</v>
      </c>
      <c r="T11" s="12"/>
      <c r="U11" s="13"/>
      <c r="V11" s="11"/>
      <c r="W11" s="384">
        <v>2016</v>
      </c>
      <c r="X11" s="209">
        <v>28</v>
      </c>
      <c r="Y11" s="209">
        <v>31</v>
      </c>
      <c r="Z11" s="377">
        <v>7</v>
      </c>
      <c r="AA11" s="383"/>
      <c r="AB11" s="384">
        <v>2016</v>
      </c>
      <c r="AC11" s="385">
        <v>283</v>
      </c>
      <c r="AD11" s="385">
        <v>323</v>
      </c>
      <c r="AE11" s="377">
        <v>7</v>
      </c>
      <c r="AF11" s="3"/>
      <c r="AH11" s="24"/>
    </row>
    <row r="12" spans="1:45">
      <c r="A12" s="3"/>
      <c r="B12" s="384">
        <v>2018</v>
      </c>
      <c r="C12" s="390">
        <v>2.4</v>
      </c>
      <c r="D12" s="390">
        <v>2.6</v>
      </c>
      <c r="E12" s="390">
        <v>2.8</v>
      </c>
      <c r="F12" s="390">
        <v>2.65</v>
      </c>
      <c r="G12" s="390">
        <v>1.95</v>
      </c>
      <c r="H12" s="390"/>
      <c r="I12" s="390">
        <v>2.1</v>
      </c>
      <c r="J12" s="390">
        <v>0.13</v>
      </c>
      <c r="K12" s="390"/>
      <c r="L12" s="11"/>
      <c r="M12" s="102">
        <v>2018</v>
      </c>
      <c r="N12" s="103">
        <v>27</v>
      </c>
      <c r="O12" s="12"/>
      <c r="P12" s="12"/>
      <c r="Q12" s="11"/>
      <c r="R12" s="102">
        <v>2018</v>
      </c>
      <c r="S12" s="392">
        <v>6750</v>
      </c>
      <c r="T12" s="12"/>
      <c r="U12" s="13"/>
      <c r="V12" s="11"/>
      <c r="W12" s="384">
        <v>2016</v>
      </c>
      <c r="X12" s="209">
        <v>32</v>
      </c>
      <c r="Y12" s="209">
        <v>37</v>
      </c>
      <c r="Z12" s="377">
        <v>8</v>
      </c>
      <c r="AA12" s="383"/>
      <c r="AB12" s="384">
        <v>2016</v>
      </c>
      <c r="AC12" s="385">
        <v>238</v>
      </c>
      <c r="AD12" s="385">
        <v>282</v>
      </c>
      <c r="AE12" s="377">
        <v>8</v>
      </c>
      <c r="AF12" s="3"/>
      <c r="AH12" s="24"/>
    </row>
    <row r="13" spans="1:45">
      <c r="A13" s="3"/>
      <c r="B13" s="384">
        <v>2019</v>
      </c>
      <c r="C13" s="390">
        <v>2.5499999999999998</v>
      </c>
      <c r="D13" s="390">
        <v>2.8</v>
      </c>
      <c r="E13" s="390">
        <v>3</v>
      </c>
      <c r="F13" s="390">
        <v>2.85</v>
      </c>
      <c r="G13" s="390">
        <v>2.15</v>
      </c>
      <c r="H13" s="390"/>
      <c r="I13" s="390">
        <v>2.1</v>
      </c>
      <c r="J13" s="390">
        <v>0.13</v>
      </c>
      <c r="K13" s="390"/>
      <c r="L13" s="11"/>
      <c r="M13" s="102">
        <v>2019</v>
      </c>
      <c r="N13" s="103">
        <v>27</v>
      </c>
      <c r="O13" s="12"/>
      <c r="P13" s="12"/>
      <c r="Q13" s="11"/>
      <c r="R13" s="102">
        <v>2019</v>
      </c>
      <c r="S13" s="392">
        <v>7000</v>
      </c>
      <c r="T13" s="12"/>
      <c r="U13" s="13"/>
      <c r="V13" s="11"/>
      <c r="W13" s="384">
        <v>2016</v>
      </c>
      <c r="X13" s="209">
        <v>38</v>
      </c>
      <c r="Y13" s="209">
        <v>45</v>
      </c>
      <c r="Z13" s="377">
        <v>9</v>
      </c>
      <c r="AA13" s="383"/>
      <c r="AB13" s="384">
        <v>2016</v>
      </c>
      <c r="AC13" s="385">
        <v>196</v>
      </c>
      <c r="AD13" s="385">
        <v>237</v>
      </c>
      <c r="AE13" s="377">
        <v>9</v>
      </c>
      <c r="AF13" s="3"/>
      <c r="AH13" s="24"/>
    </row>
    <row r="14" spans="1:45" ht="15" thickBot="1">
      <c r="A14" s="3"/>
      <c r="B14" s="384">
        <v>2020</v>
      </c>
      <c r="C14" s="390">
        <v>2.7</v>
      </c>
      <c r="D14" s="390">
        <v>3</v>
      </c>
      <c r="E14" s="390">
        <v>3.25</v>
      </c>
      <c r="F14" s="390">
        <v>3.15</v>
      </c>
      <c r="G14" s="390">
        <v>2.2999999999999998</v>
      </c>
      <c r="H14" s="390"/>
      <c r="I14" s="390">
        <v>2.1</v>
      </c>
      <c r="J14" s="390">
        <v>0.13</v>
      </c>
      <c r="K14" s="390"/>
      <c r="L14" s="11"/>
      <c r="M14" s="102">
        <v>2020</v>
      </c>
      <c r="N14" s="103">
        <v>27</v>
      </c>
      <c r="O14" s="12"/>
      <c r="P14" s="12"/>
      <c r="Q14" s="11"/>
      <c r="R14" s="102">
        <v>2020</v>
      </c>
      <c r="S14" s="392">
        <v>7500</v>
      </c>
      <c r="T14" s="12"/>
      <c r="U14" s="13"/>
      <c r="V14" s="11"/>
      <c r="W14" s="386">
        <v>2016</v>
      </c>
      <c r="X14" s="387">
        <v>46</v>
      </c>
      <c r="Y14" s="387">
        <v>99999</v>
      </c>
      <c r="Z14" s="378">
        <v>10</v>
      </c>
      <c r="AA14" s="383"/>
      <c r="AB14" s="386">
        <v>2016</v>
      </c>
      <c r="AC14" s="388">
        <v>0</v>
      </c>
      <c r="AD14" s="388">
        <v>195</v>
      </c>
      <c r="AE14" s="378">
        <v>10</v>
      </c>
      <c r="AF14" s="3"/>
      <c r="AH14" s="24"/>
    </row>
    <row r="15" spans="1:45">
      <c r="A15" s="3"/>
      <c r="B15" s="384">
        <v>2021</v>
      </c>
      <c r="C15" s="390">
        <v>2.7</v>
      </c>
      <c r="D15" s="390">
        <v>3</v>
      </c>
      <c r="E15" s="390">
        <v>3.25</v>
      </c>
      <c r="F15" s="390">
        <v>3</v>
      </c>
      <c r="G15" s="390">
        <v>2.25</v>
      </c>
      <c r="H15" s="390"/>
      <c r="I15" s="390">
        <v>2.15</v>
      </c>
      <c r="J15" s="390">
        <v>0.13</v>
      </c>
      <c r="K15" s="390"/>
      <c r="L15" s="11"/>
      <c r="M15" s="102">
        <v>2021</v>
      </c>
      <c r="N15" s="103">
        <v>27</v>
      </c>
      <c r="O15" s="12"/>
      <c r="P15" s="12"/>
      <c r="Q15" s="11"/>
      <c r="R15" s="102">
        <v>2021</v>
      </c>
      <c r="S15" s="392">
        <v>7500</v>
      </c>
      <c r="T15" s="12"/>
      <c r="U15" s="13"/>
      <c r="V15" s="11"/>
      <c r="W15" s="384">
        <v>2017</v>
      </c>
      <c r="X15" s="209">
        <v>0</v>
      </c>
      <c r="Y15" s="209">
        <v>14</v>
      </c>
      <c r="Z15" s="377">
        <v>1</v>
      </c>
      <c r="AA15" s="383"/>
      <c r="AB15" s="384">
        <v>2017</v>
      </c>
      <c r="AC15" s="209">
        <v>614</v>
      </c>
      <c r="AD15" s="209"/>
      <c r="AE15" s="377">
        <v>1</v>
      </c>
      <c r="AF15" s="3"/>
      <c r="AH15" s="24"/>
    </row>
    <row r="16" spans="1:45">
      <c r="A16" s="3"/>
      <c r="B16" s="384">
        <v>2022</v>
      </c>
      <c r="C16" s="390">
        <v>2.35</v>
      </c>
      <c r="D16" s="390">
        <v>2.7</v>
      </c>
      <c r="E16" s="390">
        <v>2.95</v>
      </c>
      <c r="F16" s="390">
        <v>2.5499999999999998</v>
      </c>
      <c r="G16" s="390">
        <v>1.95</v>
      </c>
      <c r="H16" s="390"/>
      <c r="I16" s="390">
        <v>2.15</v>
      </c>
      <c r="J16" s="390">
        <v>0.13</v>
      </c>
      <c r="K16" s="390"/>
      <c r="L16" s="11"/>
      <c r="M16" s="102">
        <v>2022</v>
      </c>
      <c r="N16" s="103">
        <v>27</v>
      </c>
      <c r="O16" s="12"/>
      <c r="P16" s="12"/>
      <c r="Q16" s="11"/>
      <c r="R16" s="102">
        <v>2022</v>
      </c>
      <c r="S16" s="392">
        <v>6500</v>
      </c>
      <c r="T16" s="12"/>
      <c r="U16" s="13"/>
      <c r="V16" s="11"/>
      <c r="W16" s="384">
        <v>2017</v>
      </c>
      <c r="X16" s="209">
        <v>15</v>
      </c>
      <c r="Y16" s="209">
        <v>16</v>
      </c>
      <c r="Z16" s="377">
        <v>2</v>
      </c>
      <c r="AA16" s="383"/>
      <c r="AB16" s="384">
        <v>2017</v>
      </c>
      <c r="AC16" s="209">
        <v>540</v>
      </c>
      <c r="AD16" s="209">
        <v>613</v>
      </c>
      <c r="AE16" s="377">
        <v>2</v>
      </c>
      <c r="AF16" s="3"/>
      <c r="AH16" s="24"/>
    </row>
    <row r="17" spans="1:34">
      <c r="A17" s="3"/>
      <c r="B17" s="384">
        <v>2023</v>
      </c>
      <c r="C17" s="390">
        <v>2.95</v>
      </c>
      <c r="D17" s="390">
        <v>3.4</v>
      </c>
      <c r="E17" s="390">
        <v>3.65</v>
      </c>
      <c r="F17" s="390">
        <v>3.2</v>
      </c>
      <c r="G17" s="390">
        <v>2.6</v>
      </c>
      <c r="H17" s="390"/>
      <c r="I17" s="390">
        <v>2.15</v>
      </c>
      <c r="J17" s="390">
        <v>0.14000000000000001</v>
      </c>
      <c r="K17" s="390"/>
      <c r="L17" s="11"/>
      <c r="M17" s="102">
        <v>2023</v>
      </c>
      <c r="N17" s="103">
        <v>28</v>
      </c>
      <c r="O17" s="12"/>
      <c r="P17" s="12"/>
      <c r="Q17" s="11"/>
      <c r="R17" s="102">
        <v>2023</v>
      </c>
      <c r="S17" s="392">
        <v>8000</v>
      </c>
      <c r="T17" s="12"/>
      <c r="U17" s="13"/>
      <c r="V17" s="11"/>
      <c r="W17" s="384">
        <v>2017</v>
      </c>
      <c r="X17" s="209">
        <v>17</v>
      </c>
      <c r="Y17" s="209">
        <v>18</v>
      </c>
      <c r="Z17" s="377">
        <v>3</v>
      </c>
      <c r="AA17" s="383"/>
      <c r="AB17" s="384">
        <v>2017</v>
      </c>
      <c r="AC17" s="209">
        <v>481</v>
      </c>
      <c r="AD17" s="209">
        <v>539</v>
      </c>
      <c r="AE17" s="377">
        <v>3</v>
      </c>
      <c r="AF17" s="3"/>
      <c r="AH17" s="24"/>
    </row>
    <row r="18" spans="1:34">
      <c r="A18" s="3"/>
      <c r="B18" s="384">
        <v>2024</v>
      </c>
      <c r="C18" s="390">
        <v>3.6</v>
      </c>
      <c r="D18" s="390">
        <v>4.05</v>
      </c>
      <c r="E18" s="390">
        <v>4.3</v>
      </c>
      <c r="F18" s="390">
        <v>4.4000000000000004</v>
      </c>
      <c r="G18" s="390">
        <v>3.15</v>
      </c>
      <c r="H18" s="390"/>
      <c r="I18" s="390">
        <v>2.2000000000000002</v>
      </c>
      <c r="J18" s="390">
        <v>0.15</v>
      </c>
      <c r="K18" s="390"/>
      <c r="L18" s="11"/>
      <c r="M18" s="102">
        <v>2024</v>
      </c>
      <c r="N18" s="103">
        <v>28</v>
      </c>
      <c r="O18" s="12"/>
      <c r="P18" s="12"/>
      <c r="Q18" s="11"/>
      <c r="R18" s="102">
        <v>2024</v>
      </c>
      <c r="S18" s="392">
        <v>9750</v>
      </c>
      <c r="T18" s="12"/>
      <c r="U18" s="13"/>
      <c r="V18" s="11"/>
      <c r="W18" s="384">
        <v>2017</v>
      </c>
      <c r="X18" s="209">
        <v>19</v>
      </c>
      <c r="Y18" s="209">
        <v>21</v>
      </c>
      <c r="Z18" s="377">
        <v>4</v>
      </c>
      <c r="AA18" s="383"/>
      <c r="AB18" s="384">
        <v>2017</v>
      </c>
      <c r="AC18" s="209">
        <v>414</v>
      </c>
      <c r="AD18" s="209">
        <v>480</v>
      </c>
      <c r="AE18" s="377">
        <v>4</v>
      </c>
      <c r="AF18" s="3"/>
      <c r="AH18" s="24"/>
    </row>
    <row r="19" spans="1:34">
      <c r="A19" s="3"/>
      <c r="B19" s="384">
        <v>2025</v>
      </c>
      <c r="C19" s="390">
        <v>3.5</v>
      </c>
      <c r="D19" s="390">
        <v>4</v>
      </c>
      <c r="E19" s="390">
        <v>4.25</v>
      </c>
      <c r="F19" s="390">
        <v>4.0999999999999996</v>
      </c>
      <c r="G19" s="390">
        <v>3.05</v>
      </c>
      <c r="H19" s="390"/>
      <c r="I19" s="390">
        <v>2.25</v>
      </c>
      <c r="J19" s="390">
        <v>0.16</v>
      </c>
      <c r="K19" s="390"/>
      <c r="L19" s="11"/>
      <c r="M19" s="102">
        <v>2025</v>
      </c>
      <c r="N19" s="103">
        <v>28</v>
      </c>
      <c r="O19" s="12"/>
      <c r="P19" s="12"/>
      <c r="Q19" s="11"/>
      <c r="R19" s="102">
        <v>2025</v>
      </c>
      <c r="S19" s="392">
        <v>9500</v>
      </c>
      <c r="T19" s="12"/>
      <c r="U19" s="13"/>
      <c r="V19" s="3"/>
      <c r="W19" s="384">
        <v>2017</v>
      </c>
      <c r="X19" s="209">
        <v>22</v>
      </c>
      <c r="Y19" s="209">
        <v>25</v>
      </c>
      <c r="Z19" s="377">
        <v>5</v>
      </c>
      <c r="AA19" s="383"/>
      <c r="AB19" s="384">
        <v>2017</v>
      </c>
      <c r="AC19" s="209">
        <v>350</v>
      </c>
      <c r="AD19" s="209">
        <v>413</v>
      </c>
      <c r="AE19" s="377">
        <v>5</v>
      </c>
      <c r="AF19" s="3"/>
      <c r="AH19" s="24"/>
    </row>
    <row r="20" spans="1:34">
      <c r="A20" s="3"/>
      <c r="B20" s="384">
        <v>2026</v>
      </c>
      <c r="C20" s="390">
        <v>3.3</v>
      </c>
      <c r="D20" s="390">
        <v>3.8</v>
      </c>
      <c r="E20" s="390">
        <v>4.1500000000000004</v>
      </c>
      <c r="F20" s="390">
        <v>3.6</v>
      </c>
      <c r="G20" s="390">
        <v>2.85</v>
      </c>
      <c r="H20" s="390"/>
      <c r="I20" s="390">
        <v>2.2999999999999998</v>
      </c>
      <c r="J20" s="390">
        <v>0.17</v>
      </c>
      <c r="K20" s="413"/>
      <c r="L20" s="11"/>
      <c r="M20" s="102">
        <v>2026</v>
      </c>
      <c r="N20" s="103">
        <v>29</v>
      </c>
      <c r="O20" s="12"/>
      <c r="P20" s="12"/>
      <c r="Q20" s="11"/>
      <c r="R20" s="102">
        <v>2026</v>
      </c>
      <c r="S20" s="392">
        <v>8500</v>
      </c>
      <c r="T20" s="12"/>
      <c r="U20" s="13"/>
      <c r="V20" s="3"/>
      <c r="W20" s="384">
        <v>2017</v>
      </c>
      <c r="X20" s="209">
        <v>26</v>
      </c>
      <c r="Y20" s="209">
        <v>28</v>
      </c>
      <c r="Z20" s="377">
        <v>6</v>
      </c>
      <c r="AA20" s="383"/>
      <c r="AB20" s="384">
        <v>2017</v>
      </c>
      <c r="AC20" s="209">
        <v>313</v>
      </c>
      <c r="AD20" s="209">
        <v>349</v>
      </c>
      <c r="AE20" s="377">
        <v>6</v>
      </c>
      <c r="AF20" s="3"/>
    </row>
    <row r="21" spans="1:34">
      <c r="A21" s="3"/>
      <c r="B21" s="384"/>
      <c r="C21" s="390"/>
      <c r="D21" s="390"/>
      <c r="E21" s="390"/>
      <c r="F21" s="390"/>
      <c r="G21" s="390"/>
      <c r="H21" s="390"/>
      <c r="I21" s="390"/>
      <c r="J21" s="390"/>
      <c r="K21" s="390"/>
      <c r="L21" s="11"/>
      <c r="M21" s="102"/>
      <c r="N21" s="103"/>
      <c r="O21" s="12"/>
      <c r="P21" s="12"/>
      <c r="Q21" s="11"/>
      <c r="R21" s="102"/>
      <c r="S21" s="392"/>
      <c r="T21" s="12"/>
      <c r="U21" s="13"/>
      <c r="V21" s="3"/>
      <c r="W21" s="384">
        <v>2017</v>
      </c>
      <c r="X21" s="209">
        <v>29</v>
      </c>
      <c r="Y21" s="209">
        <v>32</v>
      </c>
      <c r="Z21" s="377">
        <v>7</v>
      </c>
      <c r="AA21" s="383"/>
      <c r="AB21" s="384">
        <v>2017</v>
      </c>
      <c r="AC21" s="209">
        <v>274</v>
      </c>
      <c r="AD21" s="209">
        <v>312</v>
      </c>
      <c r="AE21" s="377">
        <v>7</v>
      </c>
      <c r="AF21" s="3"/>
    </row>
    <row r="22" spans="1:34">
      <c r="A22" s="3"/>
      <c r="B22" s="384"/>
      <c r="C22" s="390"/>
      <c r="D22" s="390"/>
      <c r="E22" s="390"/>
      <c r="F22" s="390"/>
      <c r="G22" s="390"/>
      <c r="H22" s="390"/>
      <c r="I22" s="390"/>
      <c r="J22" s="390"/>
      <c r="K22" s="390"/>
      <c r="L22" s="11"/>
      <c r="M22" s="102"/>
      <c r="N22" s="103"/>
      <c r="O22" s="12"/>
      <c r="P22" s="12"/>
      <c r="Q22" s="11"/>
      <c r="R22" s="102"/>
      <c r="S22" s="392"/>
      <c r="T22" s="12"/>
      <c r="U22" s="13"/>
      <c r="V22" s="3"/>
      <c r="W22" s="384">
        <v>2017</v>
      </c>
      <c r="X22" s="209">
        <v>33</v>
      </c>
      <c r="Y22" s="209">
        <v>37</v>
      </c>
      <c r="Z22" s="377">
        <v>8</v>
      </c>
      <c r="AA22" s="383"/>
      <c r="AB22" s="384">
        <v>2017</v>
      </c>
      <c r="AC22" s="209">
        <v>238</v>
      </c>
      <c r="AD22" s="209">
        <v>273</v>
      </c>
      <c r="AE22" s="377">
        <v>8</v>
      </c>
      <c r="AF22" s="3"/>
    </row>
    <row r="23" spans="1:34">
      <c r="A23" s="3"/>
      <c r="B23" s="384"/>
      <c r="C23" s="390"/>
      <c r="D23" s="390"/>
      <c r="E23" s="390"/>
      <c r="F23" s="390"/>
      <c r="G23" s="390"/>
      <c r="H23" s="390"/>
      <c r="I23" s="390"/>
      <c r="J23" s="390"/>
      <c r="K23" s="390"/>
      <c r="L23" s="11"/>
      <c r="M23" s="102"/>
      <c r="N23" s="103"/>
      <c r="O23" s="12"/>
      <c r="P23" s="12"/>
      <c r="Q23" s="11"/>
      <c r="R23" s="102"/>
      <c r="S23" s="392"/>
      <c r="T23" s="12"/>
      <c r="U23" s="13"/>
      <c r="V23" s="3"/>
      <c r="W23" s="384">
        <v>2017</v>
      </c>
      <c r="X23" s="209">
        <v>38</v>
      </c>
      <c r="Y23" s="209">
        <v>43</v>
      </c>
      <c r="Z23" s="377">
        <v>9</v>
      </c>
      <c r="AA23" s="383"/>
      <c r="AB23" s="384">
        <v>2017</v>
      </c>
      <c r="AC23" s="209">
        <v>205</v>
      </c>
      <c r="AD23" s="209">
        <v>237</v>
      </c>
      <c r="AE23" s="377">
        <v>9</v>
      </c>
      <c r="AF23" s="3"/>
    </row>
    <row r="24" spans="1:34" ht="15" thickBot="1">
      <c r="A24" s="3"/>
      <c r="B24" s="386"/>
      <c r="C24" s="410"/>
      <c r="D24" s="410"/>
      <c r="E24" s="410"/>
      <c r="F24" s="410"/>
      <c r="G24" s="410"/>
      <c r="H24" s="410"/>
      <c r="I24" s="410"/>
      <c r="J24" s="410"/>
      <c r="K24" s="409"/>
      <c r="L24" s="15"/>
      <c r="M24" s="389"/>
      <c r="N24" s="411"/>
      <c r="O24" s="14"/>
      <c r="P24" s="14"/>
      <c r="Q24" s="15"/>
      <c r="R24" s="389"/>
      <c r="S24" s="412"/>
      <c r="T24" s="14"/>
      <c r="U24" s="16"/>
      <c r="V24" s="3"/>
      <c r="W24" s="386">
        <v>2017</v>
      </c>
      <c r="X24" s="387">
        <v>44</v>
      </c>
      <c r="Y24" s="387">
        <v>99999</v>
      </c>
      <c r="Z24" s="378">
        <v>10</v>
      </c>
      <c r="AA24" s="383"/>
      <c r="AB24" s="386">
        <v>2017</v>
      </c>
      <c r="AC24" s="387">
        <v>0</v>
      </c>
      <c r="AD24" s="387">
        <v>204</v>
      </c>
      <c r="AE24" s="378">
        <v>10</v>
      </c>
      <c r="AF24" s="3"/>
    </row>
    <row r="25" spans="1:34">
      <c r="A25" s="3"/>
      <c r="B25" s="3"/>
      <c r="C25" s="3"/>
      <c r="D25" s="3"/>
      <c r="E25" s="3"/>
      <c r="F25" s="3"/>
      <c r="G25" s="3"/>
      <c r="H25" s="3"/>
      <c r="I25" s="3"/>
      <c r="J25" s="3"/>
      <c r="K25" s="3"/>
      <c r="L25" s="3"/>
      <c r="M25" s="3"/>
      <c r="N25" s="3"/>
      <c r="O25" s="3"/>
      <c r="P25" s="3"/>
      <c r="Q25" s="3"/>
      <c r="R25" s="3"/>
      <c r="S25" s="3"/>
      <c r="T25" s="3"/>
      <c r="U25" s="3"/>
      <c r="V25" s="3"/>
      <c r="W25" s="384">
        <v>2018</v>
      </c>
      <c r="X25" s="209">
        <v>0</v>
      </c>
      <c r="Y25" s="209">
        <v>14</v>
      </c>
      <c r="Z25" s="377">
        <v>1</v>
      </c>
      <c r="AA25" s="383"/>
      <c r="AB25" s="384">
        <v>2018</v>
      </c>
      <c r="AC25" s="209">
        <v>614</v>
      </c>
      <c r="AD25" s="209"/>
      <c r="AE25" s="377">
        <v>1</v>
      </c>
      <c r="AF25" s="3"/>
    </row>
    <row r="26" spans="1:34">
      <c r="V26" s="3"/>
      <c r="W26" s="384">
        <v>2018</v>
      </c>
      <c r="X26" s="209">
        <v>15</v>
      </c>
      <c r="Y26" s="209">
        <v>16</v>
      </c>
      <c r="Z26" s="377">
        <v>2</v>
      </c>
      <c r="AA26" s="383"/>
      <c r="AB26" s="384">
        <v>2018</v>
      </c>
      <c r="AC26" s="209">
        <v>540</v>
      </c>
      <c r="AD26" s="209">
        <v>613</v>
      </c>
      <c r="AE26" s="377">
        <v>2</v>
      </c>
      <c r="AF26" s="3"/>
    </row>
    <row r="27" spans="1:34">
      <c r="V27" s="3"/>
      <c r="W27" s="384">
        <v>2018</v>
      </c>
      <c r="X27" s="209">
        <v>17</v>
      </c>
      <c r="Y27" s="209">
        <v>19</v>
      </c>
      <c r="Z27" s="377">
        <v>3</v>
      </c>
      <c r="AA27" s="383"/>
      <c r="AB27" s="384">
        <v>2018</v>
      </c>
      <c r="AC27" s="209">
        <v>457</v>
      </c>
      <c r="AD27" s="209">
        <v>539</v>
      </c>
      <c r="AE27" s="377">
        <v>3</v>
      </c>
      <c r="AF27" s="3"/>
    </row>
    <row r="28" spans="1:34">
      <c r="V28" s="3"/>
      <c r="W28" s="384">
        <v>2018</v>
      </c>
      <c r="X28" s="209">
        <v>20</v>
      </c>
      <c r="Y28" s="209">
        <v>22</v>
      </c>
      <c r="Z28" s="377">
        <v>4</v>
      </c>
      <c r="AA28" s="383"/>
      <c r="AB28" s="384">
        <v>2018</v>
      </c>
      <c r="AC28" s="209">
        <v>396</v>
      </c>
      <c r="AD28" s="209">
        <v>456</v>
      </c>
      <c r="AE28" s="377">
        <v>4</v>
      </c>
      <c r="AF28" s="3"/>
    </row>
    <row r="29" spans="1:34">
      <c r="V29" s="3"/>
      <c r="W29" s="384">
        <v>2018</v>
      </c>
      <c r="X29" s="209">
        <v>23</v>
      </c>
      <c r="Y29" s="209">
        <v>26</v>
      </c>
      <c r="Z29" s="377">
        <v>5</v>
      </c>
      <c r="AA29" s="383"/>
      <c r="AB29" s="384">
        <v>2018</v>
      </c>
      <c r="AC29" s="209">
        <v>336</v>
      </c>
      <c r="AD29" s="209">
        <v>395</v>
      </c>
      <c r="AE29" s="377">
        <v>5</v>
      </c>
      <c r="AF29" s="3"/>
    </row>
    <row r="30" spans="1:34">
      <c r="V30" s="3"/>
      <c r="W30" s="384">
        <v>2018</v>
      </c>
      <c r="X30" s="209">
        <v>27</v>
      </c>
      <c r="Y30" s="209">
        <v>29</v>
      </c>
      <c r="Z30" s="377">
        <v>6</v>
      </c>
      <c r="AA30" s="383"/>
      <c r="AB30" s="384">
        <v>2018</v>
      </c>
      <c r="AC30" s="209">
        <v>302</v>
      </c>
      <c r="AD30" s="209">
        <v>335</v>
      </c>
      <c r="AE30" s="377">
        <v>6</v>
      </c>
      <c r="AF30" s="3"/>
    </row>
    <row r="31" spans="1:34">
      <c r="V31" s="3"/>
      <c r="W31" s="384">
        <v>2018</v>
      </c>
      <c r="X31" s="209">
        <v>30</v>
      </c>
      <c r="Y31" s="209">
        <v>32</v>
      </c>
      <c r="Z31" s="377">
        <v>7</v>
      </c>
      <c r="AA31" s="383"/>
      <c r="AB31" s="384">
        <v>2018</v>
      </c>
      <c r="AC31" s="209">
        <v>274</v>
      </c>
      <c r="AD31" s="209">
        <v>301</v>
      </c>
      <c r="AE31" s="377">
        <v>7</v>
      </c>
      <c r="AF31" s="3"/>
    </row>
    <row r="32" spans="1:34">
      <c r="V32" s="3"/>
      <c r="W32" s="384">
        <v>2018</v>
      </c>
      <c r="X32" s="209">
        <v>33</v>
      </c>
      <c r="Y32" s="209">
        <v>37</v>
      </c>
      <c r="Z32" s="377">
        <v>8</v>
      </c>
      <c r="AA32" s="383"/>
      <c r="AB32" s="384">
        <v>2018</v>
      </c>
      <c r="AC32" s="209">
        <v>238</v>
      </c>
      <c r="AD32" s="209">
        <v>273</v>
      </c>
      <c r="AE32" s="377">
        <v>8</v>
      </c>
      <c r="AF32" s="3"/>
    </row>
    <row r="33" spans="22:32">
      <c r="V33" s="3"/>
      <c r="W33" s="384">
        <v>2018</v>
      </c>
      <c r="X33" s="209">
        <v>38</v>
      </c>
      <c r="Y33" s="209">
        <v>43</v>
      </c>
      <c r="Z33" s="377">
        <v>9</v>
      </c>
      <c r="AA33" s="383"/>
      <c r="AB33" s="384">
        <v>2018</v>
      </c>
      <c r="AC33" s="209">
        <v>205</v>
      </c>
      <c r="AD33" s="209">
        <v>237</v>
      </c>
      <c r="AE33" s="377">
        <v>9</v>
      </c>
      <c r="AF33" s="3"/>
    </row>
    <row r="34" spans="22:32" ht="15" thickBot="1">
      <c r="V34" s="3"/>
      <c r="W34" s="386">
        <v>2018</v>
      </c>
      <c r="X34" s="387">
        <v>44</v>
      </c>
      <c r="Y34" s="387">
        <v>99999</v>
      </c>
      <c r="Z34" s="378">
        <v>10</v>
      </c>
      <c r="AA34" s="383"/>
      <c r="AB34" s="386">
        <v>2018</v>
      </c>
      <c r="AC34" s="387">
        <v>0</v>
      </c>
      <c r="AD34" s="387">
        <v>204</v>
      </c>
      <c r="AE34" s="378">
        <v>10</v>
      </c>
      <c r="AF34" s="3"/>
    </row>
    <row r="35" spans="22:32">
      <c r="V35" s="3"/>
      <c r="W35" s="384">
        <v>2019</v>
      </c>
      <c r="X35" s="102">
        <v>0</v>
      </c>
      <c r="Y35" s="102">
        <v>14</v>
      </c>
      <c r="Z35" s="377">
        <v>1</v>
      </c>
      <c r="AA35" s="383"/>
      <c r="AB35" s="384">
        <v>2019</v>
      </c>
      <c r="AC35" s="102">
        <v>614</v>
      </c>
      <c r="AD35" s="102"/>
      <c r="AE35" s="377">
        <v>1</v>
      </c>
      <c r="AF35" s="3"/>
    </row>
    <row r="36" spans="22:32">
      <c r="V36" s="3"/>
      <c r="W36" s="384">
        <v>2019</v>
      </c>
      <c r="X36" s="102">
        <v>15</v>
      </c>
      <c r="Y36" s="102">
        <v>16</v>
      </c>
      <c r="Z36" s="377">
        <v>2</v>
      </c>
      <c r="AA36" s="383"/>
      <c r="AB36" s="384">
        <v>2019</v>
      </c>
      <c r="AC36" s="102">
        <v>540</v>
      </c>
      <c r="AD36" s="102">
        <v>613</v>
      </c>
      <c r="AE36" s="377">
        <v>2</v>
      </c>
      <c r="AF36" s="3"/>
    </row>
    <row r="37" spans="22:32">
      <c r="V37" s="3"/>
      <c r="W37" s="384">
        <v>2019</v>
      </c>
      <c r="X37" s="102">
        <v>17</v>
      </c>
      <c r="Y37" s="102">
        <v>19</v>
      </c>
      <c r="Z37" s="377">
        <v>3</v>
      </c>
      <c r="AA37" s="383"/>
      <c r="AB37" s="384">
        <v>2019</v>
      </c>
      <c r="AC37" s="102">
        <v>457</v>
      </c>
      <c r="AD37" s="102">
        <v>539</v>
      </c>
      <c r="AE37" s="377">
        <v>3</v>
      </c>
      <c r="AF37" s="3"/>
    </row>
    <row r="38" spans="22:32">
      <c r="V38" s="3"/>
      <c r="W38" s="384">
        <v>2019</v>
      </c>
      <c r="X38" s="102">
        <v>20</v>
      </c>
      <c r="Y38" s="102">
        <v>22</v>
      </c>
      <c r="Z38" s="377">
        <v>4</v>
      </c>
      <c r="AA38" s="383"/>
      <c r="AB38" s="384">
        <v>2019</v>
      </c>
      <c r="AC38" s="102">
        <v>396</v>
      </c>
      <c r="AD38" s="102">
        <v>456</v>
      </c>
      <c r="AE38" s="377">
        <v>4</v>
      </c>
      <c r="AF38" s="3"/>
    </row>
    <row r="39" spans="22:32">
      <c r="V39" s="3"/>
      <c r="W39" s="384">
        <v>2019</v>
      </c>
      <c r="X39" s="102">
        <v>23</v>
      </c>
      <c r="Y39" s="102">
        <v>26</v>
      </c>
      <c r="Z39" s="377">
        <v>5</v>
      </c>
      <c r="AA39" s="383"/>
      <c r="AB39" s="384">
        <v>2019</v>
      </c>
      <c r="AC39" s="102">
        <v>336</v>
      </c>
      <c r="AD39" s="102">
        <v>395</v>
      </c>
      <c r="AE39" s="377">
        <v>5</v>
      </c>
      <c r="AF39" s="3"/>
    </row>
    <row r="40" spans="22:32">
      <c r="V40" s="3"/>
      <c r="W40" s="384">
        <v>2019</v>
      </c>
      <c r="X40" s="102">
        <v>27</v>
      </c>
      <c r="Y40" s="102">
        <v>29</v>
      </c>
      <c r="Z40" s="377">
        <v>6</v>
      </c>
      <c r="AA40" s="383"/>
      <c r="AB40" s="384">
        <v>2019</v>
      </c>
      <c r="AC40" s="102">
        <v>302</v>
      </c>
      <c r="AD40" s="102">
        <v>335</v>
      </c>
      <c r="AE40" s="377">
        <v>6</v>
      </c>
      <c r="AF40" s="3"/>
    </row>
    <row r="41" spans="22:32">
      <c r="V41" s="3"/>
      <c r="W41" s="384">
        <v>2019</v>
      </c>
      <c r="X41" s="102">
        <v>30</v>
      </c>
      <c r="Y41" s="102">
        <v>32</v>
      </c>
      <c r="Z41" s="377">
        <v>7</v>
      </c>
      <c r="AA41" s="383"/>
      <c r="AB41" s="384">
        <v>2019</v>
      </c>
      <c r="AC41" s="102">
        <v>274</v>
      </c>
      <c r="AD41" s="102">
        <v>301</v>
      </c>
      <c r="AE41" s="377">
        <v>7</v>
      </c>
      <c r="AF41" s="3"/>
    </row>
    <row r="42" spans="22:32">
      <c r="V42" s="3"/>
      <c r="W42" s="384">
        <v>2019</v>
      </c>
      <c r="X42" s="102">
        <v>33</v>
      </c>
      <c r="Y42" s="102">
        <v>37</v>
      </c>
      <c r="Z42" s="377">
        <v>8</v>
      </c>
      <c r="AA42" s="383"/>
      <c r="AB42" s="384">
        <v>2019</v>
      </c>
      <c r="AC42" s="102">
        <v>238</v>
      </c>
      <c r="AD42" s="102">
        <v>273</v>
      </c>
      <c r="AE42" s="377">
        <v>8</v>
      </c>
      <c r="AF42" s="3"/>
    </row>
    <row r="43" spans="22:32">
      <c r="V43" s="3"/>
      <c r="W43" s="384">
        <v>2019</v>
      </c>
      <c r="X43" s="102">
        <v>38</v>
      </c>
      <c r="Y43" s="102">
        <v>43</v>
      </c>
      <c r="Z43" s="377">
        <v>9</v>
      </c>
      <c r="AA43" s="383"/>
      <c r="AB43" s="384">
        <v>2019</v>
      </c>
      <c r="AC43" s="102">
        <v>205</v>
      </c>
      <c r="AD43" s="102">
        <v>237</v>
      </c>
      <c r="AE43" s="377">
        <v>9</v>
      </c>
      <c r="AF43" s="3"/>
    </row>
    <row r="44" spans="22:32" ht="15" thickBot="1">
      <c r="V44" s="3"/>
      <c r="W44" s="386">
        <v>2019</v>
      </c>
      <c r="X44" s="389">
        <v>44</v>
      </c>
      <c r="Y44" s="389">
        <v>99999</v>
      </c>
      <c r="Z44" s="378">
        <v>10</v>
      </c>
      <c r="AA44" s="383"/>
      <c r="AB44" s="386">
        <v>2019</v>
      </c>
      <c r="AC44" s="389">
        <v>0</v>
      </c>
      <c r="AD44" s="389">
        <v>204</v>
      </c>
      <c r="AE44" s="378">
        <v>10</v>
      </c>
      <c r="AF44" s="3"/>
    </row>
    <row r="45" spans="22:32">
      <c r="V45" s="3"/>
      <c r="W45" s="384">
        <v>2020</v>
      </c>
      <c r="X45" s="102">
        <v>0</v>
      </c>
      <c r="Y45" s="102">
        <v>14</v>
      </c>
      <c r="Z45" s="377">
        <v>1</v>
      </c>
      <c r="AA45" s="383"/>
      <c r="AB45" s="384">
        <v>2020</v>
      </c>
      <c r="AC45" s="102">
        <v>614</v>
      </c>
      <c r="AD45" s="102"/>
      <c r="AE45" s="377">
        <v>1</v>
      </c>
      <c r="AF45" s="3"/>
    </row>
    <row r="46" spans="22:32">
      <c r="V46" s="3"/>
      <c r="W46" s="384">
        <v>2020</v>
      </c>
      <c r="X46" s="102">
        <v>15</v>
      </c>
      <c r="Y46" s="102">
        <v>16</v>
      </c>
      <c r="Z46" s="377">
        <v>2</v>
      </c>
      <c r="AA46" s="383"/>
      <c r="AB46" s="384">
        <v>2020</v>
      </c>
      <c r="AC46" s="102">
        <v>540</v>
      </c>
      <c r="AD46" s="102">
        <v>613</v>
      </c>
      <c r="AE46" s="377">
        <v>2</v>
      </c>
      <c r="AF46" s="3"/>
    </row>
    <row r="47" spans="22:32">
      <c r="V47" s="3"/>
      <c r="W47" s="384">
        <v>2020</v>
      </c>
      <c r="X47" s="102">
        <v>17</v>
      </c>
      <c r="Y47" s="102">
        <v>19</v>
      </c>
      <c r="Z47" s="377">
        <v>3</v>
      </c>
      <c r="AA47" s="383"/>
      <c r="AB47" s="384">
        <v>2020</v>
      </c>
      <c r="AC47" s="102">
        <v>457</v>
      </c>
      <c r="AD47" s="102">
        <v>539</v>
      </c>
      <c r="AE47" s="377">
        <v>3</v>
      </c>
      <c r="AF47" s="3"/>
    </row>
    <row r="48" spans="22:32">
      <c r="V48" s="3"/>
      <c r="W48" s="384">
        <v>2020</v>
      </c>
      <c r="X48" s="102">
        <v>20</v>
      </c>
      <c r="Y48" s="102">
        <v>22</v>
      </c>
      <c r="Z48" s="377">
        <v>4</v>
      </c>
      <c r="AA48" s="383"/>
      <c r="AB48" s="384">
        <v>2020</v>
      </c>
      <c r="AC48" s="102">
        <v>396</v>
      </c>
      <c r="AD48" s="102">
        <v>456</v>
      </c>
      <c r="AE48" s="377">
        <v>4</v>
      </c>
      <c r="AF48" s="3"/>
    </row>
    <row r="49" spans="22:32">
      <c r="V49" s="3"/>
      <c r="W49" s="384">
        <v>2020</v>
      </c>
      <c r="X49" s="102">
        <v>23</v>
      </c>
      <c r="Y49" s="102">
        <v>26</v>
      </c>
      <c r="Z49" s="377">
        <v>5</v>
      </c>
      <c r="AA49" s="383"/>
      <c r="AB49" s="384">
        <v>2020</v>
      </c>
      <c r="AC49" s="102">
        <v>336</v>
      </c>
      <c r="AD49" s="102">
        <v>395</v>
      </c>
      <c r="AE49" s="377">
        <v>5</v>
      </c>
      <c r="AF49" s="3"/>
    </row>
    <row r="50" spans="22:32">
      <c r="V50" s="3"/>
      <c r="W50" s="384">
        <v>2020</v>
      </c>
      <c r="X50" s="102">
        <v>27</v>
      </c>
      <c r="Y50" s="102">
        <v>29</v>
      </c>
      <c r="Z50" s="377">
        <v>6</v>
      </c>
      <c r="AA50" s="383"/>
      <c r="AB50" s="384">
        <v>2020</v>
      </c>
      <c r="AC50" s="102">
        <v>302</v>
      </c>
      <c r="AD50" s="102">
        <v>335</v>
      </c>
      <c r="AE50" s="377">
        <v>6</v>
      </c>
      <c r="AF50" s="3"/>
    </row>
    <row r="51" spans="22:32">
      <c r="V51" s="3"/>
      <c r="W51" s="384">
        <v>2020</v>
      </c>
      <c r="X51" s="102">
        <v>30</v>
      </c>
      <c r="Y51" s="102">
        <v>33</v>
      </c>
      <c r="Z51" s="377">
        <v>7</v>
      </c>
      <c r="AA51" s="383"/>
      <c r="AB51" s="384">
        <v>2020</v>
      </c>
      <c r="AC51" s="102">
        <v>266</v>
      </c>
      <c r="AD51" s="102">
        <v>301</v>
      </c>
      <c r="AE51" s="377">
        <v>7</v>
      </c>
      <c r="AF51" s="3"/>
    </row>
    <row r="52" spans="22:32">
      <c r="V52" s="3"/>
      <c r="W52" s="384">
        <v>2020</v>
      </c>
      <c r="X52" s="102">
        <v>34</v>
      </c>
      <c r="Y52" s="102">
        <v>38</v>
      </c>
      <c r="Z52" s="377">
        <v>8</v>
      </c>
      <c r="AA52" s="383"/>
      <c r="AB52" s="384">
        <v>2020</v>
      </c>
      <c r="AC52" s="102">
        <v>232</v>
      </c>
      <c r="AD52" s="102">
        <v>265</v>
      </c>
      <c r="AE52" s="377">
        <v>8</v>
      </c>
      <c r="AF52" s="3"/>
    </row>
    <row r="53" spans="22:32">
      <c r="V53" s="3"/>
      <c r="W53" s="384">
        <v>2020</v>
      </c>
      <c r="X53" s="102">
        <v>39</v>
      </c>
      <c r="Y53" s="102">
        <v>44</v>
      </c>
      <c r="Z53" s="377">
        <v>9</v>
      </c>
      <c r="AA53" s="383"/>
      <c r="AB53" s="384">
        <v>2020</v>
      </c>
      <c r="AC53" s="102">
        <v>201</v>
      </c>
      <c r="AD53" s="102">
        <v>231</v>
      </c>
      <c r="AE53" s="377">
        <v>9</v>
      </c>
      <c r="AF53" s="3"/>
    </row>
    <row r="54" spans="22:32" ht="15" thickBot="1">
      <c r="V54" s="3"/>
      <c r="W54" s="386">
        <v>2020</v>
      </c>
      <c r="X54" s="389">
        <v>45</v>
      </c>
      <c r="Y54" s="389">
        <v>99999</v>
      </c>
      <c r="Z54" s="378">
        <v>10</v>
      </c>
      <c r="AA54" s="383"/>
      <c r="AB54" s="386">
        <v>2020</v>
      </c>
      <c r="AC54" s="389">
        <v>0</v>
      </c>
      <c r="AD54" s="389">
        <v>200</v>
      </c>
      <c r="AE54" s="378">
        <v>10</v>
      </c>
      <c r="AF54" s="3"/>
    </row>
    <row r="55" spans="22:32">
      <c r="V55" s="3"/>
      <c r="W55" s="384">
        <v>2021</v>
      </c>
      <c r="X55" s="102">
        <v>0</v>
      </c>
      <c r="Y55" s="102">
        <v>14</v>
      </c>
      <c r="Z55" s="377">
        <v>1</v>
      </c>
      <c r="AA55" s="383"/>
      <c r="AB55" s="384">
        <v>2021</v>
      </c>
      <c r="AC55" s="102">
        <v>614</v>
      </c>
      <c r="AD55" s="102"/>
      <c r="AE55" s="377">
        <v>1</v>
      </c>
      <c r="AF55" s="3"/>
    </row>
    <row r="56" spans="22:32">
      <c r="V56" s="3"/>
      <c r="W56" s="384">
        <v>2021</v>
      </c>
      <c r="X56" s="102">
        <v>15</v>
      </c>
      <c r="Y56" s="102">
        <v>16</v>
      </c>
      <c r="Z56" s="377">
        <v>2</v>
      </c>
      <c r="AA56" s="383"/>
      <c r="AB56" s="384">
        <v>2021</v>
      </c>
      <c r="AC56" s="102">
        <v>540</v>
      </c>
      <c r="AD56" s="102">
        <v>613</v>
      </c>
      <c r="AE56" s="377">
        <v>2</v>
      </c>
      <c r="AF56" s="3"/>
    </row>
    <row r="57" spans="22:32">
      <c r="V57" s="3"/>
      <c r="W57" s="384">
        <v>2021</v>
      </c>
      <c r="X57" s="102">
        <v>17</v>
      </c>
      <c r="Y57" s="102">
        <v>19</v>
      </c>
      <c r="Z57" s="377">
        <v>3</v>
      </c>
      <c r="AA57" s="383"/>
      <c r="AB57" s="384">
        <v>2021</v>
      </c>
      <c r="AC57" s="102">
        <v>457</v>
      </c>
      <c r="AD57" s="102">
        <v>539</v>
      </c>
      <c r="AE57" s="377">
        <v>3</v>
      </c>
      <c r="AF57" s="3"/>
    </row>
    <row r="58" spans="22:32">
      <c r="V58" s="3"/>
      <c r="W58" s="384">
        <v>2021</v>
      </c>
      <c r="X58" s="102">
        <v>20</v>
      </c>
      <c r="Y58" s="102">
        <v>22</v>
      </c>
      <c r="Z58" s="377">
        <v>4</v>
      </c>
      <c r="AA58" s="383"/>
      <c r="AB58" s="384">
        <v>2021</v>
      </c>
      <c r="AC58" s="102">
        <v>396</v>
      </c>
      <c r="AD58" s="102">
        <v>456</v>
      </c>
      <c r="AE58" s="377">
        <v>4</v>
      </c>
      <c r="AF58" s="3"/>
    </row>
    <row r="59" spans="22:32">
      <c r="V59" s="3"/>
      <c r="W59" s="384">
        <v>2021</v>
      </c>
      <c r="X59" s="102">
        <v>23</v>
      </c>
      <c r="Y59" s="102">
        <v>26</v>
      </c>
      <c r="Z59" s="377">
        <v>5</v>
      </c>
      <c r="AA59" s="383"/>
      <c r="AB59" s="384">
        <v>2021</v>
      </c>
      <c r="AC59" s="102">
        <v>336</v>
      </c>
      <c r="AD59" s="102">
        <v>395</v>
      </c>
      <c r="AE59" s="377">
        <v>5</v>
      </c>
      <c r="AF59" s="3"/>
    </row>
    <row r="60" spans="22:32">
      <c r="V60" s="3"/>
      <c r="W60" s="384">
        <v>2021</v>
      </c>
      <c r="X60" s="102">
        <v>27</v>
      </c>
      <c r="Y60" s="102">
        <v>30</v>
      </c>
      <c r="Z60" s="377">
        <v>6</v>
      </c>
      <c r="AA60" s="383"/>
      <c r="AB60" s="384">
        <v>2021</v>
      </c>
      <c r="AC60" s="102">
        <v>292</v>
      </c>
      <c r="AD60" s="102">
        <v>335</v>
      </c>
      <c r="AE60" s="377">
        <v>6</v>
      </c>
      <c r="AF60" s="3"/>
    </row>
    <row r="61" spans="22:32">
      <c r="V61" s="3"/>
      <c r="W61" s="384">
        <v>2021</v>
      </c>
      <c r="X61" s="102">
        <v>31</v>
      </c>
      <c r="Y61" s="102">
        <v>35</v>
      </c>
      <c r="Z61" s="377">
        <v>7</v>
      </c>
      <c r="AA61" s="383"/>
      <c r="AB61" s="384">
        <v>2021</v>
      </c>
      <c r="AC61" s="102">
        <v>251</v>
      </c>
      <c r="AD61" s="102">
        <v>291</v>
      </c>
      <c r="AE61" s="377">
        <v>7</v>
      </c>
      <c r="AF61" s="3"/>
    </row>
    <row r="62" spans="22:32">
      <c r="V62" s="3"/>
      <c r="W62" s="384">
        <v>2021</v>
      </c>
      <c r="X62" s="102">
        <v>36</v>
      </c>
      <c r="Y62" s="102">
        <v>42</v>
      </c>
      <c r="Z62" s="377">
        <v>8</v>
      </c>
      <c r="AA62" s="383"/>
      <c r="AB62" s="384">
        <v>2021</v>
      </c>
      <c r="AC62" s="102">
        <v>210</v>
      </c>
      <c r="AD62" s="102">
        <v>250</v>
      </c>
      <c r="AE62" s="377">
        <v>8</v>
      </c>
      <c r="AF62" s="3"/>
    </row>
    <row r="63" spans="22:32">
      <c r="V63" s="3"/>
      <c r="W63" s="384">
        <v>2021</v>
      </c>
      <c r="X63" s="102">
        <v>43</v>
      </c>
      <c r="Y63" s="102">
        <v>52</v>
      </c>
      <c r="Z63" s="377">
        <v>9</v>
      </c>
      <c r="AA63" s="383"/>
      <c r="AB63" s="384">
        <v>2021</v>
      </c>
      <c r="AC63" s="102">
        <v>170</v>
      </c>
      <c r="AD63" s="102">
        <v>209</v>
      </c>
      <c r="AE63" s="377">
        <v>9</v>
      </c>
      <c r="AF63" s="3"/>
    </row>
    <row r="64" spans="22:32" ht="15" thickBot="1">
      <c r="V64" s="3"/>
      <c r="W64" s="386">
        <v>2021</v>
      </c>
      <c r="X64" s="389">
        <v>53</v>
      </c>
      <c r="Y64" s="389">
        <v>99999</v>
      </c>
      <c r="Z64" s="378">
        <v>10</v>
      </c>
      <c r="AA64" s="383"/>
      <c r="AB64" s="386">
        <v>2021</v>
      </c>
      <c r="AC64" s="389">
        <v>0</v>
      </c>
      <c r="AD64" s="389">
        <v>169</v>
      </c>
      <c r="AE64" s="378">
        <v>10</v>
      </c>
      <c r="AF64" s="3"/>
    </row>
    <row r="65" spans="22:32">
      <c r="V65" s="3"/>
      <c r="W65" s="384">
        <v>2022</v>
      </c>
      <c r="X65" s="102">
        <v>0</v>
      </c>
      <c r="Y65" s="102">
        <v>13</v>
      </c>
      <c r="Z65" s="377">
        <v>1</v>
      </c>
      <c r="AA65" s="383"/>
      <c r="AB65" s="384">
        <v>2022</v>
      </c>
      <c r="AC65" s="102">
        <v>659</v>
      </c>
      <c r="AD65" s="102"/>
      <c r="AE65" s="377">
        <v>1</v>
      </c>
      <c r="AF65" s="3"/>
    </row>
    <row r="66" spans="22:32">
      <c r="V66" s="3"/>
      <c r="W66" s="384">
        <v>2022</v>
      </c>
      <c r="X66" s="102">
        <v>14</v>
      </c>
      <c r="Y66" s="102">
        <v>15</v>
      </c>
      <c r="Z66" s="377">
        <v>2</v>
      </c>
      <c r="AA66" s="383"/>
      <c r="AB66" s="384">
        <v>2022</v>
      </c>
      <c r="AC66" s="102">
        <v>574</v>
      </c>
      <c r="AD66" s="102">
        <v>658</v>
      </c>
      <c r="AE66" s="377">
        <v>2</v>
      </c>
      <c r="AF66" s="3"/>
    </row>
    <row r="67" spans="22:32">
      <c r="V67" s="3"/>
      <c r="W67" s="384">
        <v>2022</v>
      </c>
      <c r="X67" s="102">
        <v>16</v>
      </c>
      <c r="Y67" s="102">
        <v>18</v>
      </c>
      <c r="Z67" s="377">
        <v>3</v>
      </c>
      <c r="AA67" s="383"/>
      <c r="AB67" s="384">
        <v>2022</v>
      </c>
      <c r="AC67" s="102">
        <v>481</v>
      </c>
      <c r="AD67" s="102">
        <v>573</v>
      </c>
      <c r="AE67" s="377">
        <v>3</v>
      </c>
      <c r="AF67" s="3"/>
    </row>
    <row r="68" spans="22:32">
      <c r="V68" s="3"/>
      <c r="W68" s="384">
        <v>2022</v>
      </c>
      <c r="X68" s="102">
        <v>19</v>
      </c>
      <c r="Y68" s="102">
        <v>21</v>
      </c>
      <c r="Z68" s="377">
        <v>4</v>
      </c>
      <c r="AA68" s="383"/>
      <c r="AB68" s="384">
        <v>2022</v>
      </c>
      <c r="AC68" s="102">
        <v>414</v>
      </c>
      <c r="AD68" s="102">
        <v>480</v>
      </c>
      <c r="AE68" s="377">
        <v>4</v>
      </c>
      <c r="AF68" s="3"/>
    </row>
    <row r="69" spans="22:32">
      <c r="V69" s="3"/>
      <c r="W69" s="384">
        <v>2022</v>
      </c>
      <c r="X69" s="102">
        <v>22</v>
      </c>
      <c r="Y69" s="102">
        <v>26</v>
      </c>
      <c r="Z69" s="377">
        <v>5</v>
      </c>
      <c r="AA69" s="383"/>
      <c r="AB69" s="384">
        <v>2022</v>
      </c>
      <c r="AC69" s="102">
        <v>336</v>
      </c>
      <c r="AD69" s="102">
        <v>413</v>
      </c>
      <c r="AE69" s="377">
        <v>5</v>
      </c>
      <c r="AF69" s="3"/>
    </row>
    <row r="70" spans="22:32">
      <c r="V70" s="3"/>
      <c r="W70" s="384">
        <v>2022</v>
      </c>
      <c r="X70" s="102">
        <v>27</v>
      </c>
      <c r="Y70" s="102">
        <v>30</v>
      </c>
      <c r="Z70" s="377">
        <v>6</v>
      </c>
      <c r="AA70" s="383"/>
      <c r="AB70" s="384">
        <v>2022</v>
      </c>
      <c r="AC70" s="102">
        <v>292</v>
      </c>
      <c r="AD70" s="102">
        <v>335</v>
      </c>
      <c r="AE70" s="377">
        <v>6</v>
      </c>
      <c r="AF70" s="3"/>
    </row>
    <row r="71" spans="22:32">
      <c r="V71" s="3"/>
      <c r="W71" s="384">
        <v>2022</v>
      </c>
      <c r="X71" s="102">
        <v>31</v>
      </c>
      <c r="Y71" s="102">
        <v>36</v>
      </c>
      <c r="Z71" s="377">
        <v>7</v>
      </c>
      <c r="AA71" s="383"/>
      <c r="AB71" s="384">
        <v>2022</v>
      </c>
      <c r="AC71" s="102">
        <v>244</v>
      </c>
      <c r="AD71" s="102">
        <v>291</v>
      </c>
      <c r="AE71" s="377">
        <v>7</v>
      </c>
      <c r="AF71" s="3"/>
    </row>
    <row r="72" spans="22:32">
      <c r="V72" s="3"/>
      <c r="W72" s="384">
        <v>2022</v>
      </c>
      <c r="X72" s="102">
        <v>37</v>
      </c>
      <c r="Y72" s="102">
        <v>44</v>
      </c>
      <c r="Z72" s="377">
        <v>8</v>
      </c>
      <c r="AA72" s="383"/>
      <c r="AB72" s="384">
        <v>2022</v>
      </c>
      <c r="AC72" s="102">
        <v>201</v>
      </c>
      <c r="AD72" s="102">
        <v>243</v>
      </c>
      <c r="AE72" s="377">
        <v>8</v>
      </c>
      <c r="AF72" s="3"/>
    </row>
    <row r="73" spans="22:32">
      <c r="V73" s="3"/>
      <c r="W73" s="384">
        <v>2022</v>
      </c>
      <c r="X73" s="102">
        <v>45</v>
      </c>
      <c r="Y73" s="102">
        <v>57</v>
      </c>
      <c r="Z73" s="377">
        <v>9</v>
      </c>
      <c r="AA73" s="383"/>
      <c r="AB73" s="384">
        <v>2022</v>
      </c>
      <c r="AC73" s="102">
        <v>156</v>
      </c>
      <c r="AD73" s="102">
        <v>200</v>
      </c>
      <c r="AE73" s="377">
        <v>9</v>
      </c>
      <c r="AF73" s="3"/>
    </row>
    <row r="74" spans="22:32" ht="15" thickBot="1">
      <c r="V74" s="3"/>
      <c r="W74" s="386">
        <v>2022</v>
      </c>
      <c r="X74" s="389">
        <v>58</v>
      </c>
      <c r="Y74" s="389">
        <v>99999</v>
      </c>
      <c r="Z74" s="378">
        <v>10</v>
      </c>
      <c r="AA74" s="383"/>
      <c r="AB74" s="386">
        <v>2022</v>
      </c>
      <c r="AC74" s="389">
        <v>0</v>
      </c>
      <c r="AD74" s="389">
        <v>155</v>
      </c>
      <c r="AE74" s="378">
        <v>10</v>
      </c>
      <c r="AF74" s="3"/>
    </row>
    <row r="75" spans="22:32">
      <c r="V75" s="3"/>
      <c r="W75" s="384">
        <v>2023</v>
      </c>
      <c r="X75" s="102">
        <v>0</v>
      </c>
      <c r="Y75" s="102">
        <v>13</v>
      </c>
      <c r="Z75" s="377">
        <v>1</v>
      </c>
      <c r="AA75" s="383"/>
      <c r="AB75" s="384">
        <v>2023</v>
      </c>
      <c r="AC75" s="102">
        <v>659</v>
      </c>
      <c r="AD75" s="102"/>
      <c r="AE75" s="377">
        <v>1</v>
      </c>
      <c r="AF75" s="3"/>
    </row>
    <row r="76" spans="22:32">
      <c r="V76" s="3"/>
      <c r="W76" s="384">
        <v>2023</v>
      </c>
      <c r="X76" s="102">
        <v>14</v>
      </c>
      <c r="Y76" s="102">
        <v>15</v>
      </c>
      <c r="Z76" s="377">
        <v>2</v>
      </c>
      <c r="AA76" s="383"/>
      <c r="AB76" s="384">
        <v>2023</v>
      </c>
      <c r="AC76" s="102">
        <v>574</v>
      </c>
      <c r="AD76" s="102">
        <v>658</v>
      </c>
      <c r="AE76" s="377">
        <v>2</v>
      </c>
      <c r="AF76" s="3"/>
    </row>
    <row r="77" spans="22:32">
      <c r="V77" s="3"/>
      <c r="W77" s="384">
        <v>2023</v>
      </c>
      <c r="X77" s="102">
        <v>16</v>
      </c>
      <c r="Y77" s="102">
        <v>17</v>
      </c>
      <c r="Z77" s="377">
        <v>3</v>
      </c>
      <c r="AA77" s="383"/>
      <c r="AB77" s="384">
        <v>2023</v>
      </c>
      <c r="AC77" s="102">
        <v>509</v>
      </c>
      <c r="AD77" s="102">
        <v>573</v>
      </c>
      <c r="AE77" s="377">
        <v>3</v>
      </c>
      <c r="AF77" s="3"/>
    </row>
    <row r="78" spans="22:32">
      <c r="V78" s="3"/>
      <c r="W78" s="384">
        <v>2023</v>
      </c>
      <c r="X78" s="102">
        <v>18</v>
      </c>
      <c r="Y78" s="102">
        <v>21</v>
      </c>
      <c r="Z78" s="377">
        <v>4</v>
      </c>
      <c r="AA78" s="383"/>
      <c r="AB78" s="384">
        <v>2023</v>
      </c>
      <c r="AC78" s="102">
        <v>414</v>
      </c>
      <c r="AD78" s="102">
        <v>508</v>
      </c>
      <c r="AE78" s="377">
        <v>4</v>
      </c>
      <c r="AF78" s="3"/>
    </row>
    <row r="79" spans="22:32">
      <c r="V79" s="3"/>
      <c r="W79" s="384">
        <v>2023</v>
      </c>
      <c r="X79" s="102">
        <v>22</v>
      </c>
      <c r="Y79" s="102">
        <v>27</v>
      </c>
      <c r="Z79" s="377">
        <v>5</v>
      </c>
      <c r="AA79" s="383"/>
      <c r="AB79" s="384">
        <v>2023</v>
      </c>
      <c r="AC79" s="102">
        <v>324</v>
      </c>
      <c r="AD79" s="102">
        <v>413</v>
      </c>
      <c r="AE79" s="377">
        <v>5</v>
      </c>
      <c r="AF79" s="3"/>
    </row>
    <row r="80" spans="22:32">
      <c r="V80" s="3"/>
      <c r="W80" s="384">
        <v>2023</v>
      </c>
      <c r="X80" s="102">
        <v>28</v>
      </c>
      <c r="Y80" s="102">
        <v>33</v>
      </c>
      <c r="Z80" s="377">
        <v>6</v>
      </c>
      <c r="AA80" s="383"/>
      <c r="AB80" s="384">
        <v>2023</v>
      </c>
      <c r="AC80" s="102">
        <v>266</v>
      </c>
      <c r="AD80" s="102">
        <v>323</v>
      </c>
      <c r="AE80" s="377">
        <v>6</v>
      </c>
      <c r="AF80" s="3"/>
    </row>
    <row r="81" spans="22:32">
      <c r="V81" s="3"/>
      <c r="W81" s="384">
        <v>2023</v>
      </c>
      <c r="X81" s="102">
        <v>34</v>
      </c>
      <c r="Y81" s="102">
        <v>40</v>
      </c>
      <c r="Z81" s="377">
        <v>7</v>
      </c>
      <c r="AA81" s="383"/>
      <c r="AB81" s="384">
        <v>2023</v>
      </c>
      <c r="AC81" s="102">
        <v>220</v>
      </c>
      <c r="AD81" s="102">
        <v>265</v>
      </c>
      <c r="AE81" s="377">
        <v>7</v>
      </c>
      <c r="AF81" s="3"/>
    </row>
    <row r="82" spans="22:32">
      <c r="V82" s="3"/>
      <c r="W82" s="384">
        <v>2023</v>
      </c>
      <c r="X82" s="102">
        <v>41</v>
      </c>
      <c r="Y82" s="102">
        <v>51</v>
      </c>
      <c r="Z82" s="377">
        <v>8</v>
      </c>
      <c r="AA82" s="383"/>
      <c r="AB82" s="384">
        <v>2023</v>
      </c>
      <c r="AC82" s="102">
        <v>174</v>
      </c>
      <c r="AD82" s="102">
        <v>219</v>
      </c>
      <c r="AE82" s="377">
        <v>8</v>
      </c>
      <c r="AF82" s="3"/>
    </row>
    <row r="83" spans="22:32">
      <c r="V83" s="3"/>
      <c r="W83" s="384">
        <v>2023</v>
      </c>
      <c r="X83" s="102">
        <v>52</v>
      </c>
      <c r="Y83" s="102">
        <v>71</v>
      </c>
      <c r="Z83" s="377">
        <v>9</v>
      </c>
      <c r="AA83" s="383"/>
      <c r="AB83" s="384">
        <v>2023</v>
      </c>
      <c r="AC83" s="102">
        <v>125</v>
      </c>
      <c r="AD83" s="102">
        <v>173</v>
      </c>
      <c r="AE83" s="377">
        <v>9</v>
      </c>
      <c r="AF83" s="3"/>
    </row>
    <row r="84" spans="22:32" ht="15" thickBot="1">
      <c r="V84" s="3"/>
      <c r="W84" s="386">
        <v>2023</v>
      </c>
      <c r="X84" s="389">
        <v>72</v>
      </c>
      <c r="Y84" s="389">
        <v>99999</v>
      </c>
      <c r="Z84" s="378">
        <v>10</v>
      </c>
      <c r="AA84" s="383"/>
      <c r="AB84" s="386">
        <v>2023</v>
      </c>
      <c r="AC84" s="389">
        <v>0</v>
      </c>
      <c r="AD84" s="389">
        <v>124</v>
      </c>
      <c r="AE84" s="378">
        <v>10</v>
      </c>
      <c r="AF84" s="3"/>
    </row>
    <row r="85" spans="22:32">
      <c r="V85" s="3"/>
      <c r="W85" s="384">
        <v>2024</v>
      </c>
      <c r="X85" s="102">
        <v>0</v>
      </c>
      <c r="Y85" s="102">
        <v>13</v>
      </c>
      <c r="Z85" s="377">
        <v>1</v>
      </c>
      <c r="AA85" s="383"/>
      <c r="AB85" s="384">
        <v>2024</v>
      </c>
      <c r="AC85" s="102">
        <v>659</v>
      </c>
      <c r="AD85" s="102"/>
      <c r="AE85" s="377">
        <v>1</v>
      </c>
      <c r="AF85" s="3"/>
    </row>
    <row r="86" spans="22:32">
      <c r="V86" s="3"/>
      <c r="W86" s="384">
        <v>2024</v>
      </c>
      <c r="X86" s="102">
        <v>14</v>
      </c>
      <c r="Y86" s="102">
        <v>15</v>
      </c>
      <c r="Z86" s="377">
        <v>2</v>
      </c>
      <c r="AA86" s="383"/>
      <c r="AB86" s="384">
        <v>2024</v>
      </c>
      <c r="AC86" s="102">
        <v>574</v>
      </c>
      <c r="AD86" s="102">
        <v>658</v>
      </c>
      <c r="AE86" s="377">
        <v>2</v>
      </c>
      <c r="AF86" s="3"/>
    </row>
    <row r="87" spans="22:32">
      <c r="V87" s="3"/>
      <c r="W87" s="384">
        <v>2024</v>
      </c>
      <c r="X87" s="102">
        <v>16</v>
      </c>
      <c r="Y87" s="102">
        <v>17</v>
      </c>
      <c r="Z87" s="377">
        <v>3</v>
      </c>
      <c r="AA87" s="383"/>
      <c r="AB87" s="384">
        <v>2024</v>
      </c>
      <c r="AC87" s="102">
        <v>509</v>
      </c>
      <c r="AD87" s="102">
        <v>573</v>
      </c>
      <c r="AE87" s="377">
        <v>3</v>
      </c>
      <c r="AF87" s="3"/>
    </row>
    <row r="88" spans="22:32">
      <c r="V88" s="3"/>
      <c r="W88" s="384">
        <v>2024</v>
      </c>
      <c r="X88" s="102">
        <v>18</v>
      </c>
      <c r="Y88" s="102">
        <v>21</v>
      </c>
      <c r="Z88" s="377">
        <v>4</v>
      </c>
      <c r="AA88" s="383"/>
      <c r="AB88" s="384">
        <v>2024</v>
      </c>
      <c r="AC88" s="102">
        <v>414</v>
      </c>
      <c r="AD88" s="102">
        <v>508</v>
      </c>
      <c r="AE88" s="377">
        <v>4</v>
      </c>
      <c r="AF88" s="3"/>
    </row>
    <row r="89" spans="22:32">
      <c r="V89" s="3"/>
      <c r="W89" s="384">
        <v>2024</v>
      </c>
      <c r="X89" s="102">
        <v>22</v>
      </c>
      <c r="Y89" s="102">
        <v>27</v>
      </c>
      <c r="Z89" s="377">
        <v>5</v>
      </c>
      <c r="AA89" s="383"/>
      <c r="AB89" s="384">
        <v>2024</v>
      </c>
      <c r="AC89" s="102">
        <v>324</v>
      </c>
      <c r="AD89" s="102">
        <v>413</v>
      </c>
      <c r="AE89" s="377">
        <v>5</v>
      </c>
      <c r="AF89" s="3"/>
    </row>
    <row r="90" spans="22:32">
      <c r="V90" s="3"/>
      <c r="W90" s="384">
        <v>2024</v>
      </c>
      <c r="X90" s="102">
        <v>28</v>
      </c>
      <c r="Y90" s="102">
        <v>33</v>
      </c>
      <c r="Z90" s="377">
        <v>6</v>
      </c>
      <c r="AA90" s="383"/>
      <c r="AB90" s="384">
        <v>2024</v>
      </c>
      <c r="AC90" s="102">
        <v>266</v>
      </c>
      <c r="AD90" s="102">
        <v>323</v>
      </c>
      <c r="AE90" s="377">
        <v>6</v>
      </c>
      <c r="AF90" s="3"/>
    </row>
    <row r="91" spans="22:32">
      <c r="V91" s="3"/>
      <c r="W91" s="384">
        <v>2024</v>
      </c>
      <c r="X91" s="102">
        <v>34</v>
      </c>
      <c r="Y91" s="102">
        <v>42</v>
      </c>
      <c r="Z91" s="377">
        <v>7</v>
      </c>
      <c r="AA91" s="383"/>
      <c r="AB91" s="384">
        <v>2024</v>
      </c>
      <c r="AC91" s="102">
        <v>210</v>
      </c>
      <c r="AD91" s="102">
        <v>265</v>
      </c>
      <c r="AE91" s="377">
        <v>7</v>
      </c>
      <c r="AF91" s="3"/>
    </row>
    <row r="92" spans="22:32">
      <c r="V92" s="3"/>
      <c r="W92" s="384">
        <v>2024</v>
      </c>
      <c r="X92" s="102">
        <v>43</v>
      </c>
      <c r="Y92" s="102">
        <v>58</v>
      </c>
      <c r="Z92" s="377">
        <v>8</v>
      </c>
      <c r="AA92" s="383"/>
      <c r="AB92" s="384">
        <v>2024</v>
      </c>
      <c r="AC92" s="102">
        <v>153</v>
      </c>
      <c r="AD92" s="102">
        <v>209</v>
      </c>
      <c r="AE92" s="377">
        <v>8</v>
      </c>
      <c r="AF92" s="3"/>
    </row>
    <row r="93" spans="22:32">
      <c r="V93" s="3"/>
      <c r="W93" s="384">
        <v>2024</v>
      </c>
      <c r="X93" s="102">
        <v>59</v>
      </c>
      <c r="Y93" s="102">
        <v>91</v>
      </c>
      <c r="Z93" s="377">
        <v>9</v>
      </c>
      <c r="AA93" s="383"/>
      <c r="AB93" s="384">
        <v>2024</v>
      </c>
      <c r="AC93" s="102">
        <v>98</v>
      </c>
      <c r="AD93" s="102">
        <v>152</v>
      </c>
      <c r="AE93" s="377">
        <v>9</v>
      </c>
      <c r="AF93" s="3"/>
    </row>
    <row r="94" spans="22:32" ht="15" thickBot="1">
      <c r="V94" s="3"/>
      <c r="W94" s="386">
        <v>2024</v>
      </c>
      <c r="X94" s="389">
        <v>92</v>
      </c>
      <c r="Y94" s="389">
        <v>99999</v>
      </c>
      <c r="Z94" s="378">
        <v>10</v>
      </c>
      <c r="AA94" s="383"/>
      <c r="AB94" s="386">
        <v>2024</v>
      </c>
      <c r="AC94" s="389">
        <v>0</v>
      </c>
      <c r="AD94" s="389">
        <v>97</v>
      </c>
      <c r="AE94" s="378">
        <v>10</v>
      </c>
      <c r="AF94" s="3"/>
    </row>
    <row r="95" spans="22:32">
      <c r="V95" s="3"/>
      <c r="W95" s="384">
        <v>2025</v>
      </c>
      <c r="X95" s="102">
        <v>0</v>
      </c>
      <c r="Y95" s="102">
        <v>13</v>
      </c>
      <c r="Z95" s="377">
        <v>1</v>
      </c>
      <c r="AA95" s="383"/>
      <c r="AB95" s="384">
        <v>2025</v>
      </c>
      <c r="AC95" s="102">
        <v>659</v>
      </c>
      <c r="AD95" s="102"/>
      <c r="AE95" s="377">
        <v>1</v>
      </c>
      <c r="AF95" s="3"/>
    </row>
    <row r="96" spans="22:32">
      <c r="V96" s="3"/>
      <c r="W96" s="384">
        <v>2025</v>
      </c>
      <c r="X96" s="102">
        <v>14</v>
      </c>
      <c r="Y96" s="102">
        <v>15</v>
      </c>
      <c r="Z96" s="377">
        <v>2</v>
      </c>
      <c r="AA96" s="383"/>
      <c r="AB96" s="384">
        <v>2025</v>
      </c>
      <c r="AC96" s="102">
        <v>574</v>
      </c>
      <c r="AD96" s="102">
        <v>658</v>
      </c>
      <c r="AE96" s="377">
        <v>2</v>
      </c>
      <c r="AF96" s="3"/>
    </row>
    <row r="97" spans="22:32">
      <c r="V97" s="3"/>
      <c r="W97" s="384">
        <v>2025</v>
      </c>
      <c r="X97" s="102">
        <v>16</v>
      </c>
      <c r="Y97" s="102">
        <v>17</v>
      </c>
      <c r="Z97" s="377">
        <v>3</v>
      </c>
      <c r="AA97" s="383"/>
      <c r="AB97" s="384">
        <v>2025</v>
      </c>
      <c r="AC97" s="102">
        <v>509</v>
      </c>
      <c r="AD97" s="102">
        <v>573</v>
      </c>
      <c r="AE97" s="377">
        <v>3</v>
      </c>
      <c r="AF97" s="3"/>
    </row>
    <row r="98" spans="22:32">
      <c r="V98" s="3"/>
      <c r="W98" s="384">
        <v>2025</v>
      </c>
      <c r="X98" s="102">
        <v>18</v>
      </c>
      <c r="Y98" s="102">
        <v>21</v>
      </c>
      <c r="Z98" s="377">
        <v>4</v>
      </c>
      <c r="AA98" s="383"/>
      <c r="AB98" s="384">
        <v>2025</v>
      </c>
      <c r="AC98" s="102">
        <v>414</v>
      </c>
      <c r="AD98" s="102">
        <v>508</v>
      </c>
      <c r="AE98" s="377">
        <v>4</v>
      </c>
      <c r="AF98" s="3"/>
    </row>
    <row r="99" spans="22:32">
      <c r="V99" s="3"/>
      <c r="W99" s="384">
        <v>2025</v>
      </c>
      <c r="X99" s="102">
        <v>22</v>
      </c>
      <c r="Y99" s="102">
        <v>27</v>
      </c>
      <c r="Z99" s="377">
        <v>5</v>
      </c>
      <c r="AA99" s="383"/>
      <c r="AB99" s="384">
        <v>2025</v>
      </c>
      <c r="AC99" s="102">
        <v>324</v>
      </c>
      <c r="AD99" s="102">
        <v>413</v>
      </c>
      <c r="AE99" s="377">
        <v>5</v>
      </c>
      <c r="AF99" s="3"/>
    </row>
    <row r="100" spans="22:32">
      <c r="V100" s="3"/>
      <c r="W100" s="384">
        <v>2025</v>
      </c>
      <c r="X100" s="102">
        <v>28</v>
      </c>
      <c r="Y100" s="102">
        <v>33</v>
      </c>
      <c r="Z100" s="377">
        <v>6</v>
      </c>
      <c r="AA100" s="383"/>
      <c r="AB100" s="384">
        <v>2025</v>
      </c>
      <c r="AC100" s="102">
        <v>266</v>
      </c>
      <c r="AD100" s="102">
        <v>323</v>
      </c>
      <c r="AE100" s="377">
        <v>6</v>
      </c>
      <c r="AF100" s="3"/>
    </row>
    <row r="101" spans="22:32">
      <c r="V101" s="3"/>
      <c r="W101" s="384">
        <v>2025</v>
      </c>
      <c r="X101" s="102">
        <v>34</v>
      </c>
      <c r="Y101" s="102">
        <v>44</v>
      </c>
      <c r="Z101" s="377">
        <v>7</v>
      </c>
      <c r="AA101" s="383"/>
      <c r="AB101" s="384">
        <v>2025</v>
      </c>
      <c r="AC101" s="102">
        <v>201</v>
      </c>
      <c r="AD101" s="102">
        <v>265</v>
      </c>
      <c r="AE101" s="377">
        <v>7</v>
      </c>
      <c r="AF101" s="3"/>
    </row>
    <row r="102" spans="22:32">
      <c r="V102" s="3"/>
      <c r="W102" s="384">
        <v>2025</v>
      </c>
      <c r="X102" s="102">
        <v>45</v>
      </c>
      <c r="Y102" s="102">
        <v>65</v>
      </c>
      <c r="Z102" s="377">
        <v>8</v>
      </c>
      <c r="AA102" s="383"/>
      <c r="AB102" s="384">
        <v>2025</v>
      </c>
      <c r="AC102" s="102">
        <v>137</v>
      </c>
      <c r="AD102" s="102">
        <v>200</v>
      </c>
      <c r="AE102" s="377">
        <v>8</v>
      </c>
      <c r="AF102" s="3"/>
    </row>
    <row r="103" spans="22:32">
      <c r="V103" s="3"/>
      <c r="W103" s="384">
        <v>2025</v>
      </c>
      <c r="X103" s="102">
        <v>66</v>
      </c>
      <c r="Y103" s="102">
        <v>120</v>
      </c>
      <c r="Z103" s="377">
        <v>9</v>
      </c>
      <c r="AA103" s="383"/>
      <c r="AB103" s="384">
        <v>2025</v>
      </c>
      <c r="AC103" s="102">
        <v>75</v>
      </c>
      <c r="AD103" s="102">
        <v>136</v>
      </c>
      <c r="AE103" s="377">
        <v>9</v>
      </c>
      <c r="AF103" s="3"/>
    </row>
    <row r="104" spans="22:32" ht="15" thickBot="1">
      <c r="V104" s="3"/>
      <c r="W104" s="386">
        <v>2025</v>
      </c>
      <c r="X104" s="389">
        <v>121</v>
      </c>
      <c r="Y104" s="389">
        <v>99999</v>
      </c>
      <c r="Z104" s="378">
        <v>10</v>
      </c>
      <c r="AA104" s="383"/>
      <c r="AB104" s="386">
        <v>2025</v>
      </c>
      <c r="AC104" s="389">
        <v>0</v>
      </c>
      <c r="AD104" s="389">
        <v>74</v>
      </c>
      <c r="AE104" s="378">
        <v>10</v>
      </c>
      <c r="AF104" s="3"/>
    </row>
    <row r="105" spans="22:32">
      <c r="V105" s="3"/>
      <c r="W105" s="380">
        <v>2026</v>
      </c>
      <c r="X105" s="381">
        <v>0</v>
      </c>
      <c r="Y105" s="381">
        <v>13</v>
      </c>
      <c r="Z105" s="415">
        <v>1</v>
      </c>
      <c r="AA105" s="3"/>
      <c r="AB105" s="380">
        <v>2026</v>
      </c>
      <c r="AC105" s="381">
        <v>659</v>
      </c>
      <c r="AD105" s="381"/>
      <c r="AE105" s="415">
        <v>1</v>
      </c>
      <c r="AF105" s="3"/>
    </row>
    <row r="106" spans="22:32">
      <c r="V106" s="3"/>
      <c r="W106" s="384">
        <v>2026</v>
      </c>
      <c r="X106" s="102">
        <v>14</v>
      </c>
      <c r="Y106" s="102">
        <v>15</v>
      </c>
      <c r="Z106" s="377">
        <v>2</v>
      </c>
      <c r="AA106" s="3"/>
      <c r="AB106" s="384">
        <v>2026</v>
      </c>
      <c r="AC106" s="102">
        <v>574</v>
      </c>
      <c r="AD106" s="102">
        <f>AC105-1</f>
        <v>658</v>
      </c>
      <c r="AE106" s="377">
        <v>2</v>
      </c>
      <c r="AF106" s="3"/>
    </row>
    <row r="107" spans="22:32">
      <c r="V107" s="3"/>
      <c r="W107" s="384">
        <v>2026</v>
      </c>
      <c r="X107" s="102">
        <v>16</v>
      </c>
      <c r="Y107" s="102">
        <v>18</v>
      </c>
      <c r="Z107" s="377">
        <v>3</v>
      </c>
      <c r="AA107" s="3"/>
      <c r="AB107" s="384">
        <v>2026</v>
      </c>
      <c r="AC107" s="102">
        <v>481</v>
      </c>
      <c r="AD107" s="102">
        <f t="shared" ref="AD107:AD114" si="0">AC106-1</f>
        <v>573</v>
      </c>
      <c r="AE107" s="377">
        <v>3</v>
      </c>
      <c r="AF107" s="3"/>
    </row>
    <row r="108" spans="22:32">
      <c r="V108" s="3"/>
      <c r="W108" s="384">
        <v>2026</v>
      </c>
      <c r="X108" s="102">
        <v>19</v>
      </c>
      <c r="Y108" s="102">
        <v>22</v>
      </c>
      <c r="Z108" s="377">
        <v>4</v>
      </c>
      <c r="AA108" s="3"/>
      <c r="AB108" s="384">
        <v>2026</v>
      </c>
      <c r="AC108" s="102">
        <v>396</v>
      </c>
      <c r="AD108" s="102">
        <f t="shared" si="0"/>
        <v>480</v>
      </c>
      <c r="AE108" s="377">
        <v>4</v>
      </c>
      <c r="AF108" s="3"/>
    </row>
    <row r="109" spans="22:32">
      <c r="V109" s="3"/>
      <c r="W109" s="384">
        <v>2026</v>
      </c>
      <c r="X109" s="102">
        <v>23</v>
      </c>
      <c r="Y109" s="102">
        <v>28</v>
      </c>
      <c r="Z109" s="377">
        <v>5</v>
      </c>
      <c r="AA109" s="3"/>
      <c r="AB109" s="384">
        <v>2026</v>
      </c>
      <c r="AC109" s="102">
        <v>313</v>
      </c>
      <c r="AD109" s="102">
        <f t="shared" si="0"/>
        <v>395</v>
      </c>
      <c r="AE109" s="377">
        <v>5</v>
      </c>
      <c r="AF109" s="3"/>
    </row>
    <row r="110" spans="22:32">
      <c r="V110" s="3"/>
      <c r="W110" s="384">
        <v>2026</v>
      </c>
      <c r="X110" s="102">
        <v>29</v>
      </c>
      <c r="Y110" s="102">
        <v>35</v>
      </c>
      <c r="Z110" s="377">
        <v>6</v>
      </c>
      <c r="AA110" s="3"/>
      <c r="AB110" s="384">
        <v>2026</v>
      </c>
      <c r="AC110" s="102">
        <v>251</v>
      </c>
      <c r="AD110" s="102">
        <f t="shared" si="0"/>
        <v>312</v>
      </c>
      <c r="AE110" s="377">
        <v>6</v>
      </c>
      <c r="AF110" s="3"/>
    </row>
    <row r="111" spans="22:32">
      <c r="V111" s="3"/>
      <c r="W111" s="384">
        <v>2026</v>
      </c>
      <c r="X111" s="102">
        <v>36</v>
      </c>
      <c r="Y111" s="102">
        <v>46</v>
      </c>
      <c r="Z111" s="377">
        <v>7</v>
      </c>
      <c r="AA111" s="3"/>
      <c r="AB111" s="384">
        <v>2026</v>
      </c>
      <c r="AC111" s="102">
        <v>192</v>
      </c>
      <c r="AD111" s="102">
        <f t="shared" si="0"/>
        <v>250</v>
      </c>
      <c r="AE111" s="377">
        <v>7</v>
      </c>
      <c r="AF111" s="3"/>
    </row>
    <row r="112" spans="22:32">
      <c r="V112" s="3"/>
      <c r="W112" s="384">
        <v>2026</v>
      </c>
      <c r="X112" s="102">
        <v>47</v>
      </c>
      <c r="Y112" s="102">
        <v>66</v>
      </c>
      <c r="Z112" s="377">
        <v>8</v>
      </c>
      <c r="AA112" s="3"/>
      <c r="AB112" s="384">
        <v>2026</v>
      </c>
      <c r="AC112" s="102">
        <v>135</v>
      </c>
      <c r="AD112" s="102">
        <f t="shared" si="0"/>
        <v>191</v>
      </c>
      <c r="AE112" s="377">
        <v>8</v>
      </c>
      <c r="AF112" s="3"/>
    </row>
    <row r="113" spans="22:32">
      <c r="V113" s="3"/>
      <c r="W113" s="384">
        <v>2026</v>
      </c>
      <c r="X113" s="102">
        <v>67</v>
      </c>
      <c r="Y113" s="102">
        <v>120</v>
      </c>
      <c r="Z113" s="377">
        <v>9</v>
      </c>
      <c r="AA113" s="3"/>
      <c r="AB113" s="384">
        <v>2026</v>
      </c>
      <c r="AC113" s="102">
        <v>75</v>
      </c>
      <c r="AD113" s="102">
        <f t="shared" si="0"/>
        <v>134</v>
      </c>
      <c r="AE113" s="377">
        <v>9</v>
      </c>
      <c r="AF113" s="3"/>
    </row>
    <row r="114" spans="22:32" ht="15" thickBot="1">
      <c r="V114" s="3"/>
      <c r="W114" s="386">
        <v>2026</v>
      </c>
      <c r="X114" s="389">
        <v>121</v>
      </c>
      <c r="Y114" s="389">
        <v>99999</v>
      </c>
      <c r="Z114" s="378">
        <v>10</v>
      </c>
      <c r="AA114" s="3"/>
      <c r="AB114" s="386">
        <v>2026</v>
      </c>
      <c r="AC114" s="389">
        <v>0</v>
      </c>
      <c r="AD114" s="389">
        <f t="shared" si="0"/>
        <v>74</v>
      </c>
      <c r="AE114" s="378">
        <v>10</v>
      </c>
      <c r="AF114" s="3"/>
    </row>
    <row r="115" spans="22:32">
      <c r="V115" s="3"/>
      <c r="W115" s="384"/>
      <c r="X115" s="102"/>
      <c r="Y115" s="102"/>
      <c r="Z115" s="377"/>
      <c r="AA115" s="3"/>
      <c r="AB115" s="384"/>
      <c r="AC115" s="102"/>
      <c r="AD115" s="102"/>
      <c r="AE115" s="377"/>
      <c r="AF115" s="3"/>
    </row>
    <row r="116" spans="22:32">
      <c r="V116" s="3"/>
      <c r="W116" s="384"/>
      <c r="X116" s="102"/>
      <c r="Y116" s="102"/>
      <c r="Z116" s="377"/>
      <c r="AA116" s="3"/>
      <c r="AB116" s="384"/>
      <c r="AC116" s="102"/>
      <c r="AD116" s="102"/>
      <c r="AE116" s="377"/>
      <c r="AF116" s="3"/>
    </row>
    <row r="117" spans="22:32">
      <c r="V117" s="3"/>
      <c r="W117" s="384"/>
      <c r="X117" s="102"/>
      <c r="Y117" s="102"/>
      <c r="Z117" s="377"/>
      <c r="AA117" s="3"/>
      <c r="AB117" s="384"/>
      <c r="AC117" s="102"/>
      <c r="AD117" s="102"/>
      <c r="AE117" s="377"/>
      <c r="AF117" s="3"/>
    </row>
    <row r="118" spans="22:32">
      <c r="V118" s="3"/>
      <c r="W118" s="384"/>
      <c r="X118" s="102"/>
      <c r="Y118" s="102"/>
      <c r="Z118" s="377"/>
      <c r="AA118" s="3"/>
      <c r="AB118" s="384"/>
      <c r="AC118" s="102"/>
      <c r="AD118" s="102"/>
      <c r="AE118" s="377"/>
      <c r="AF118" s="3"/>
    </row>
    <row r="119" spans="22:32">
      <c r="V119" s="3"/>
      <c r="W119" s="384"/>
      <c r="X119" s="102"/>
      <c r="Y119" s="102"/>
      <c r="Z119" s="377"/>
      <c r="AA119" s="3"/>
      <c r="AB119" s="384"/>
      <c r="AC119" s="102"/>
      <c r="AD119" s="102"/>
      <c r="AE119" s="377"/>
      <c r="AF119" s="3"/>
    </row>
    <row r="120" spans="22:32">
      <c r="V120" s="3"/>
      <c r="W120" s="384"/>
      <c r="X120" s="102"/>
      <c r="Y120" s="102"/>
      <c r="Z120" s="377"/>
      <c r="AA120" s="3"/>
      <c r="AB120" s="384"/>
      <c r="AC120" s="102"/>
      <c r="AD120" s="102"/>
      <c r="AE120" s="377"/>
      <c r="AF120" s="3"/>
    </row>
    <row r="121" spans="22:32">
      <c r="V121" s="3"/>
      <c r="W121" s="384"/>
      <c r="X121" s="102"/>
      <c r="Y121" s="102"/>
      <c r="Z121" s="377"/>
      <c r="AA121" s="3"/>
      <c r="AB121" s="384"/>
      <c r="AC121" s="102"/>
      <c r="AD121" s="102"/>
      <c r="AE121" s="377"/>
      <c r="AF121" s="3"/>
    </row>
    <row r="122" spans="22:32">
      <c r="V122" s="3"/>
      <c r="W122" s="384"/>
      <c r="X122" s="102"/>
      <c r="Y122" s="102"/>
      <c r="Z122" s="377"/>
      <c r="AA122" s="3"/>
      <c r="AB122" s="384"/>
      <c r="AC122" s="102"/>
      <c r="AD122" s="102"/>
      <c r="AE122" s="377"/>
      <c r="AF122" s="3"/>
    </row>
    <row r="123" spans="22:32">
      <c r="V123" s="3"/>
      <c r="W123" s="384"/>
      <c r="X123" s="102"/>
      <c r="Y123" s="102"/>
      <c r="Z123" s="377"/>
      <c r="AA123" s="3"/>
      <c r="AB123" s="384"/>
      <c r="AC123" s="102"/>
      <c r="AD123" s="102"/>
      <c r="AE123" s="377"/>
      <c r="AF123" s="3"/>
    </row>
    <row r="124" spans="22:32" ht="15" thickBot="1">
      <c r="V124" s="3"/>
      <c r="W124" s="386"/>
      <c r="X124" s="389"/>
      <c r="Y124" s="389"/>
      <c r="Z124" s="378"/>
      <c r="AA124" s="3"/>
      <c r="AB124" s="386"/>
      <c r="AC124" s="389"/>
      <c r="AD124" s="389"/>
      <c r="AE124" s="378"/>
      <c r="AF124" s="3"/>
    </row>
    <row r="125" spans="22:32">
      <c r="V125" s="3"/>
      <c r="W125" s="384"/>
      <c r="X125" s="102"/>
      <c r="Y125" s="102"/>
      <c r="Z125" s="377"/>
      <c r="AA125" s="3"/>
      <c r="AB125" s="384"/>
      <c r="AC125" s="102"/>
      <c r="AD125" s="102"/>
      <c r="AE125" s="377"/>
      <c r="AF125" s="3"/>
    </row>
    <row r="126" spans="22:32">
      <c r="V126" s="3"/>
      <c r="W126" s="384"/>
      <c r="X126" s="102"/>
      <c r="Y126" s="102"/>
      <c r="Z126" s="377"/>
      <c r="AA126" s="3"/>
      <c r="AB126" s="384"/>
      <c r="AC126" s="102"/>
      <c r="AD126" s="102"/>
      <c r="AE126" s="377"/>
      <c r="AF126" s="3"/>
    </row>
    <row r="127" spans="22:32">
      <c r="V127" s="3"/>
      <c r="W127" s="384"/>
      <c r="X127" s="102"/>
      <c r="Y127" s="102"/>
      <c r="Z127" s="377"/>
      <c r="AA127" s="3"/>
      <c r="AB127" s="384"/>
      <c r="AC127" s="102"/>
      <c r="AD127" s="102"/>
      <c r="AE127" s="377"/>
      <c r="AF127" s="3"/>
    </row>
    <row r="128" spans="22:32">
      <c r="V128" s="3"/>
      <c r="W128" s="384"/>
      <c r="X128" s="102"/>
      <c r="Y128" s="102"/>
      <c r="Z128" s="377"/>
      <c r="AA128" s="3"/>
      <c r="AB128" s="384"/>
      <c r="AC128" s="102"/>
      <c r="AD128" s="102"/>
      <c r="AE128" s="377"/>
      <c r="AF128" s="3"/>
    </row>
    <row r="129" spans="22:32">
      <c r="V129" s="3"/>
      <c r="W129" s="384"/>
      <c r="X129" s="102"/>
      <c r="Y129" s="102"/>
      <c r="Z129" s="377"/>
      <c r="AA129" s="3"/>
      <c r="AB129" s="384"/>
      <c r="AC129" s="102"/>
      <c r="AD129" s="102"/>
      <c r="AE129" s="377"/>
      <c r="AF129" s="3"/>
    </row>
    <row r="130" spans="22:32">
      <c r="V130" s="3"/>
      <c r="W130" s="384"/>
      <c r="X130" s="102"/>
      <c r="Y130" s="102"/>
      <c r="Z130" s="377"/>
      <c r="AA130" s="3"/>
      <c r="AB130" s="384"/>
      <c r="AC130" s="102"/>
      <c r="AD130" s="102"/>
      <c r="AE130" s="377"/>
      <c r="AF130" s="3"/>
    </row>
    <row r="131" spans="22:32">
      <c r="V131" s="3"/>
      <c r="W131" s="384"/>
      <c r="X131" s="102"/>
      <c r="Y131" s="102"/>
      <c r="Z131" s="377"/>
      <c r="AA131" s="3"/>
      <c r="AB131" s="384"/>
      <c r="AC131" s="102"/>
      <c r="AD131" s="102"/>
      <c r="AE131" s="377"/>
      <c r="AF131" s="3"/>
    </row>
    <row r="132" spans="22:32">
      <c r="V132" s="3"/>
      <c r="W132" s="384"/>
      <c r="X132" s="102"/>
      <c r="Y132" s="102"/>
      <c r="Z132" s="377"/>
      <c r="AA132" s="3"/>
      <c r="AB132" s="384"/>
      <c r="AC132" s="102"/>
      <c r="AD132" s="102"/>
      <c r="AE132" s="377"/>
      <c r="AF132" s="3"/>
    </row>
    <row r="133" spans="22:32">
      <c r="V133" s="3"/>
      <c r="W133" s="384"/>
      <c r="X133" s="102"/>
      <c r="Y133" s="102"/>
      <c r="Z133" s="377"/>
      <c r="AA133" s="3"/>
      <c r="AB133" s="384"/>
      <c r="AC133" s="102"/>
      <c r="AD133" s="102"/>
      <c r="AE133" s="377"/>
      <c r="AF133" s="3"/>
    </row>
    <row r="134" spans="22:32" ht="15" thickBot="1">
      <c r="V134" s="3"/>
      <c r="W134" s="386"/>
      <c r="X134" s="389"/>
      <c r="Y134" s="389"/>
      <c r="Z134" s="378"/>
      <c r="AA134" s="3"/>
      <c r="AB134" s="386"/>
      <c r="AC134" s="389"/>
      <c r="AD134" s="389"/>
      <c r="AE134" s="378"/>
      <c r="AF134" s="3"/>
    </row>
    <row r="135" spans="22:32">
      <c r="V135" s="3"/>
      <c r="W135" s="384"/>
      <c r="X135" s="102"/>
      <c r="Y135" s="102"/>
      <c r="Z135" s="377"/>
      <c r="AA135" s="3"/>
      <c r="AB135" s="384"/>
      <c r="AC135" s="102"/>
      <c r="AD135" s="102"/>
      <c r="AE135" s="377"/>
      <c r="AF135" s="3"/>
    </row>
    <row r="136" spans="22:32">
      <c r="V136" s="3"/>
      <c r="W136" s="384"/>
      <c r="X136" s="102"/>
      <c r="Y136" s="102"/>
      <c r="Z136" s="377"/>
      <c r="AA136" s="3"/>
      <c r="AB136" s="384"/>
      <c r="AC136" s="102"/>
      <c r="AD136" s="102"/>
      <c r="AE136" s="377"/>
      <c r="AF136" s="3"/>
    </row>
    <row r="137" spans="22:32">
      <c r="V137" s="3"/>
      <c r="W137" s="384"/>
      <c r="X137" s="102"/>
      <c r="Y137" s="102"/>
      <c r="Z137" s="377"/>
      <c r="AA137" s="3"/>
      <c r="AB137" s="384"/>
      <c r="AC137" s="102"/>
      <c r="AD137" s="102"/>
      <c r="AE137" s="377"/>
      <c r="AF137" s="3"/>
    </row>
    <row r="138" spans="22:32">
      <c r="V138" s="3"/>
      <c r="W138" s="384"/>
      <c r="X138" s="102"/>
      <c r="Y138" s="102"/>
      <c r="Z138" s="377"/>
      <c r="AA138" s="3"/>
      <c r="AB138" s="384"/>
      <c r="AC138" s="102"/>
      <c r="AD138" s="102"/>
      <c r="AE138" s="377"/>
      <c r="AF138" s="3"/>
    </row>
    <row r="139" spans="22:32">
      <c r="V139" s="3"/>
      <c r="W139" s="384"/>
      <c r="X139" s="102"/>
      <c r="Y139" s="102"/>
      <c r="Z139" s="377"/>
      <c r="AA139" s="3"/>
      <c r="AB139" s="384"/>
      <c r="AC139" s="102"/>
      <c r="AD139" s="102"/>
      <c r="AE139" s="377"/>
      <c r="AF139" s="3"/>
    </row>
    <row r="140" spans="22:32">
      <c r="V140" s="3"/>
      <c r="W140" s="384"/>
      <c r="X140" s="102"/>
      <c r="Y140" s="102"/>
      <c r="Z140" s="377"/>
      <c r="AA140" s="3"/>
      <c r="AB140" s="384"/>
      <c r="AC140" s="102"/>
      <c r="AD140" s="102"/>
      <c r="AE140" s="377"/>
      <c r="AF140" s="3"/>
    </row>
    <row r="141" spans="22:32">
      <c r="V141" s="3"/>
      <c r="W141" s="384"/>
      <c r="X141" s="102"/>
      <c r="Y141" s="102"/>
      <c r="Z141" s="377"/>
      <c r="AA141" s="3"/>
      <c r="AB141" s="384"/>
      <c r="AC141" s="102"/>
      <c r="AD141" s="102"/>
      <c r="AE141" s="377"/>
      <c r="AF141" s="3"/>
    </row>
    <row r="142" spans="22:32">
      <c r="V142" s="3"/>
      <c r="W142" s="384"/>
      <c r="X142" s="102"/>
      <c r="Y142" s="102"/>
      <c r="Z142" s="377"/>
      <c r="AA142" s="3"/>
      <c r="AB142" s="384"/>
      <c r="AC142" s="102"/>
      <c r="AD142" s="102"/>
      <c r="AE142" s="377"/>
      <c r="AF142" s="3"/>
    </row>
    <row r="143" spans="22:32">
      <c r="V143" s="3"/>
      <c r="W143" s="384"/>
      <c r="X143" s="102"/>
      <c r="Y143" s="102"/>
      <c r="Z143" s="377"/>
      <c r="AA143" s="3"/>
      <c r="AB143" s="384"/>
      <c r="AC143" s="102"/>
      <c r="AD143" s="102"/>
      <c r="AE143" s="377"/>
      <c r="AF143" s="3"/>
    </row>
    <row r="144" spans="22:32" ht="15" thickBot="1">
      <c r="V144" s="3"/>
      <c r="W144" s="386"/>
      <c r="X144" s="389"/>
      <c r="Y144" s="389"/>
      <c r="Z144" s="378"/>
      <c r="AA144" s="3"/>
      <c r="AB144" s="386"/>
      <c r="AC144" s="389"/>
      <c r="AD144" s="389"/>
      <c r="AE144" s="378"/>
      <c r="AF144" s="3"/>
    </row>
    <row r="145" spans="22:32">
      <c r="V145" s="3"/>
      <c r="W145" s="384"/>
      <c r="X145" s="102"/>
      <c r="Y145" s="102"/>
      <c r="Z145" s="377"/>
      <c r="AA145" s="383"/>
      <c r="AB145" s="384"/>
      <c r="AC145" s="102"/>
      <c r="AD145" s="102"/>
      <c r="AE145" s="377"/>
      <c r="AF145" s="3"/>
    </row>
    <row r="146" spans="22:32">
      <c r="V146" s="3"/>
      <c r="W146" s="384"/>
      <c r="X146" s="102"/>
      <c r="Y146" s="102"/>
      <c r="Z146" s="377"/>
      <c r="AA146" s="383"/>
      <c r="AB146" s="384"/>
      <c r="AC146" s="102"/>
      <c r="AD146" s="102"/>
      <c r="AE146" s="377"/>
      <c r="AF146" s="3"/>
    </row>
    <row r="147" spans="22:32">
      <c r="V147" s="3"/>
      <c r="W147" s="384"/>
      <c r="X147" s="102"/>
      <c r="Y147" s="102"/>
      <c r="Z147" s="377"/>
      <c r="AA147" s="383"/>
      <c r="AB147" s="384"/>
      <c r="AC147" s="102"/>
      <c r="AD147" s="102"/>
      <c r="AE147" s="377"/>
      <c r="AF147" s="3"/>
    </row>
    <row r="148" spans="22:32">
      <c r="V148" s="3"/>
      <c r="W148" s="384"/>
      <c r="X148" s="102"/>
      <c r="Y148" s="102"/>
      <c r="Z148" s="377"/>
      <c r="AA148" s="383"/>
      <c r="AB148" s="384"/>
      <c r="AC148" s="102"/>
      <c r="AD148" s="102"/>
      <c r="AE148" s="377"/>
      <c r="AF148" s="3"/>
    </row>
    <row r="149" spans="22:32">
      <c r="V149" s="3"/>
      <c r="W149" s="384"/>
      <c r="X149" s="102"/>
      <c r="Y149" s="102"/>
      <c r="Z149" s="377"/>
      <c r="AA149" s="383"/>
      <c r="AB149" s="384"/>
      <c r="AC149" s="102"/>
      <c r="AD149" s="102"/>
      <c r="AE149" s="377"/>
      <c r="AF149" s="3"/>
    </row>
    <row r="150" spans="22:32">
      <c r="V150" s="3"/>
      <c r="W150" s="384"/>
      <c r="X150" s="102"/>
      <c r="Y150" s="102"/>
      <c r="Z150" s="377"/>
      <c r="AA150" s="383"/>
      <c r="AB150" s="384"/>
      <c r="AC150" s="102"/>
      <c r="AD150" s="102"/>
      <c r="AE150" s="377"/>
      <c r="AF150" s="3"/>
    </row>
    <row r="151" spans="22:32">
      <c r="V151" s="3"/>
      <c r="W151" s="384"/>
      <c r="X151" s="102"/>
      <c r="Y151" s="102"/>
      <c r="Z151" s="377"/>
      <c r="AA151" s="383"/>
      <c r="AB151" s="384"/>
      <c r="AC151" s="102"/>
      <c r="AD151" s="102"/>
      <c r="AE151" s="377"/>
      <c r="AF151" s="3"/>
    </row>
    <row r="152" spans="22:32">
      <c r="V152" s="3"/>
      <c r="W152" s="384"/>
      <c r="X152" s="102"/>
      <c r="Y152" s="102"/>
      <c r="Z152" s="377"/>
      <c r="AA152" s="383"/>
      <c r="AB152" s="384"/>
      <c r="AC152" s="102"/>
      <c r="AD152" s="102"/>
      <c r="AE152" s="377"/>
      <c r="AF152" s="3"/>
    </row>
    <row r="153" spans="22:32">
      <c r="V153" s="3"/>
      <c r="W153" s="384"/>
      <c r="X153" s="102"/>
      <c r="Y153" s="102"/>
      <c r="Z153" s="377"/>
      <c r="AA153" s="383"/>
      <c r="AB153" s="384"/>
      <c r="AC153" s="102"/>
      <c r="AD153" s="102"/>
      <c r="AE153" s="377"/>
      <c r="AF153" s="3"/>
    </row>
    <row r="154" spans="22:32" ht="15" thickBot="1">
      <c r="V154" s="3"/>
      <c r="W154" s="386"/>
      <c r="X154" s="389"/>
      <c r="Y154" s="389"/>
      <c r="Z154" s="378"/>
      <c r="AA154" s="383"/>
      <c r="AB154" s="386"/>
      <c r="AC154" s="389"/>
      <c r="AD154" s="389"/>
      <c r="AE154" s="378"/>
      <c r="AF154" s="3"/>
    </row>
    <row r="155" spans="22:32">
      <c r="V155" s="3"/>
      <c r="W155" s="3"/>
      <c r="X155" s="3"/>
      <c r="Y155" s="3"/>
      <c r="Z155" s="3"/>
      <c r="AA155" s="3"/>
      <c r="AB155" s="3"/>
      <c r="AC155" s="3"/>
      <c r="AD155" s="3"/>
      <c r="AE155" s="3"/>
      <c r="AF155" s="3"/>
    </row>
  </sheetData>
  <mergeCells count="6">
    <mergeCell ref="AB3:AE3"/>
    <mergeCell ref="M3:P3"/>
    <mergeCell ref="R3:U3"/>
    <mergeCell ref="B2:U2"/>
    <mergeCell ref="B3:K3"/>
    <mergeCell ref="W3:Z3"/>
  </mergeCells>
  <printOptions horizontalCentered="1"/>
  <pageMargins left="0.2" right="0.2" top="0.75" bottom="0.75" header="0.3" footer="0.3"/>
  <pageSetup scale="41" fitToHeight="0" orientation="landscape" r:id="rId1"/>
  <headerFooter>
    <oddFooter>&amp;L&amp;F
&amp;A&amp;C
&amp;1#&amp;"BMW Group Condensed,Regular"&amp;12&amp;KC00000 CONFIDENTIAL&amp;R&amp;P of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4A28B-5376-4A47-A7C7-B9206C42CADE}">
  <sheetPr codeName="Sheet4">
    <pageSetUpPr fitToPage="1"/>
  </sheetPr>
  <dimension ref="A1:AK148"/>
  <sheetViews>
    <sheetView zoomScale="80" zoomScaleNormal="80" workbookViewId="0">
      <selection activeCell="I4" sqref="I4"/>
    </sheetView>
  </sheetViews>
  <sheetFormatPr defaultColWidth="9.109375" defaultRowHeight="15" customHeight="1"/>
  <cols>
    <col min="1" max="1" width="2.6640625" style="113" customWidth="1"/>
    <col min="2" max="2" width="5.44140625" style="113" customWidth="1"/>
    <col min="3" max="3" width="91.77734375" style="113" bestFit="1" customWidth="1"/>
    <col min="4" max="6" width="13.6640625" style="113" customWidth="1"/>
    <col min="7" max="7" width="5.44140625" style="113" customWidth="1"/>
    <col min="8" max="8" width="2.6640625" style="113" customWidth="1"/>
    <col min="9" max="9" width="43.33203125" style="113" customWidth="1"/>
    <col min="10" max="10" width="22.109375" style="113" bestFit="1" customWidth="1"/>
    <col min="11" max="13" width="2.6640625" style="113" customWidth="1"/>
    <col min="14" max="14" width="39.6640625" style="113" customWidth="1"/>
    <col min="15" max="16" width="14.6640625" style="113" customWidth="1"/>
    <col min="17" max="17" width="16.6640625" style="113" customWidth="1"/>
    <col min="18" max="18" width="2.6640625" style="113" customWidth="1"/>
    <col min="19" max="19" width="92" style="113" bestFit="1" customWidth="1"/>
    <col min="20" max="20" width="12.6640625" style="113" customWidth="1"/>
    <col min="21" max="21" width="13.44140625" style="113" bestFit="1" customWidth="1"/>
    <col min="22" max="22" width="2.6640625" style="113" customWidth="1"/>
    <col min="23" max="23" width="43.33203125" style="113" customWidth="1"/>
    <col min="24" max="25" width="13" style="113" customWidth="1"/>
    <col min="26" max="26" width="17.44140625" style="113" customWidth="1"/>
    <col min="27" max="16384" width="9.109375" style="113"/>
  </cols>
  <sheetData>
    <row r="1" spans="1:37" ht="15" customHeight="1">
      <c r="B1" s="472" t="s">
        <v>301</v>
      </c>
      <c r="C1" s="472"/>
      <c r="D1" s="472"/>
      <c r="E1" s="472"/>
      <c r="F1" s="472"/>
      <c r="G1" s="472"/>
      <c r="I1" s="416"/>
      <c r="J1" s="416"/>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row>
    <row r="2" spans="1:37" ht="15" customHeight="1" thickBot="1">
      <c r="B2" s="473"/>
      <c r="C2" s="473"/>
      <c r="D2" s="473"/>
      <c r="E2" s="473"/>
      <c r="F2" s="473"/>
      <c r="G2" s="473"/>
      <c r="K2" s="116"/>
      <c r="L2" s="115"/>
    </row>
    <row r="3" spans="1:37" ht="52.2" customHeight="1" thickBot="1">
      <c r="B3" s="117" t="s">
        <v>325</v>
      </c>
      <c r="C3" s="118"/>
      <c r="D3" s="118"/>
      <c r="E3" s="118"/>
      <c r="F3" s="118"/>
      <c r="G3" s="119"/>
      <c r="I3" s="120" t="s">
        <v>112</v>
      </c>
      <c r="J3" s="121"/>
      <c r="K3" s="116"/>
      <c r="L3" s="122"/>
      <c r="N3" s="72" t="s">
        <v>50</v>
      </c>
      <c r="O3" s="91"/>
      <c r="P3" s="22"/>
      <c r="Q3" s="474">
        <v>1</v>
      </c>
      <c r="S3" s="66" t="s">
        <v>64</v>
      </c>
      <c r="T3" s="28" t="s">
        <v>65</v>
      </c>
      <c r="U3" s="47">
        <f>O4</f>
        <v>0</v>
      </c>
      <c r="W3" s="66" t="s">
        <v>133</v>
      </c>
      <c r="X3" s="123">
        <f>O4</f>
        <v>0</v>
      </c>
      <c r="Y3" s="124"/>
      <c r="Z3" s="125"/>
    </row>
    <row r="4" spans="1:37" ht="15" customHeight="1" thickBot="1">
      <c r="B4" s="126"/>
      <c r="C4" s="127" t="s">
        <v>134</v>
      </c>
      <c r="D4" s="128"/>
      <c r="E4" s="128"/>
      <c r="F4" s="128"/>
      <c r="G4" s="129"/>
      <c r="I4" s="130" t="s">
        <v>113</v>
      </c>
      <c r="J4" s="131"/>
      <c r="K4" s="116"/>
      <c r="L4" s="122"/>
      <c r="N4" s="88" t="s">
        <v>51</v>
      </c>
      <c r="O4" s="485"/>
      <c r="P4" s="486"/>
      <c r="Q4" s="475"/>
      <c r="S4" s="67" t="s">
        <v>66</v>
      </c>
      <c r="T4" s="68"/>
      <c r="U4" s="69"/>
      <c r="W4" s="132" t="s">
        <v>134</v>
      </c>
      <c r="X4" s="133"/>
      <c r="Y4" s="133"/>
      <c r="Z4" s="134"/>
    </row>
    <row r="5" spans="1:37" ht="15" customHeight="1" thickBot="1">
      <c r="A5" s="135"/>
      <c r="B5" s="136" t="s">
        <v>190</v>
      </c>
      <c r="C5" s="137" t="s">
        <v>135</v>
      </c>
      <c r="D5" s="138" t="s">
        <v>53</v>
      </c>
      <c r="E5" s="138" t="s">
        <v>54</v>
      </c>
      <c r="F5" s="138" t="s">
        <v>136</v>
      </c>
      <c r="G5" s="139"/>
      <c r="I5" s="140" t="s">
        <v>114</v>
      </c>
      <c r="J5" s="73"/>
      <c r="K5" s="116"/>
      <c r="L5" s="122"/>
      <c r="N5" s="89" t="s">
        <v>52</v>
      </c>
      <c r="O5" s="487"/>
      <c r="P5" s="488"/>
      <c r="Q5" s="476"/>
      <c r="S5" s="70" t="s">
        <v>67</v>
      </c>
      <c r="T5" s="29" t="s">
        <v>186</v>
      </c>
      <c r="U5" s="36" t="s">
        <v>187</v>
      </c>
      <c r="W5" s="141" t="s">
        <v>135</v>
      </c>
      <c r="X5" s="142" t="s">
        <v>53</v>
      </c>
      <c r="Y5" s="142" t="s">
        <v>54</v>
      </c>
      <c r="Z5" s="143" t="s">
        <v>136</v>
      </c>
    </row>
    <row r="6" spans="1:37" ht="15" customHeight="1" thickBot="1">
      <c r="B6" s="144" t="s">
        <v>191</v>
      </c>
      <c r="C6" s="145" t="s">
        <v>318</v>
      </c>
      <c r="D6" s="97" t="e">
        <f>IF($O$5+$O$54+$O$103=0,    ((X6&lt;&gt;0)+(X55&lt;&gt;0)+(X104&lt;&gt;0))/(IFERROR(1/X6,0)+IFERROR(1/X55,0)+IFERROR(1/X104,0)),    ($O$5+$O$54+$O$103) / (IFERROR($O$5/X6,0)+IFERROR($O$54/X55,0)+IFERROR($O$103/X104,0))  )</f>
        <v>#DIV/0!</v>
      </c>
      <c r="E6" s="97" t="e">
        <f>IF($O$5+$O$54+$O$103=0,    ((Y6&lt;&gt;0)+(Y55&lt;&gt;0)+(Y104&lt;&gt;0))/(IFERROR(1/Y6,0)+IFERROR(1/Y55,0)+IFERROR(1/Y104,0)),    ($O$5+$O$54+$O$103) / (IFERROR($O$5/Y6,0)+IFERROR($O$54/Y55,0)+IFERROR($O$103/Y104,0))  )</f>
        <v>#DIV/0!</v>
      </c>
      <c r="F6" s="97" t="e" cm="1">
        <f t="array" ref="F6">ASTM(1/(0.55/D6+0.45/E6),4)</f>
        <v>#VALUE!</v>
      </c>
      <c r="G6" s="146" t="s">
        <v>192</v>
      </c>
      <c r="I6" s="140" t="s">
        <v>115</v>
      </c>
      <c r="J6" s="73"/>
      <c r="K6" s="116"/>
      <c r="L6" s="122"/>
      <c r="N6" s="116"/>
      <c r="O6" s="116"/>
      <c r="P6" s="116"/>
      <c r="Q6" s="116"/>
      <c r="S6" s="17" t="s">
        <v>70</v>
      </c>
      <c r="T6" s="30"/>
      <c r="U6" s="37"/>
      <c r="W6" s="147" t="s">
        <v>137</v>
      </c>
      <c r="X6" s="50" cm="1">
        <f t="array" ref="X6">IF(O46,   ASTM(1/(0.5/(($J$22)/(T11/T36))+0.5/O31),4),  0)</f>
        <v>0</v>
      </c>
      <c r="Y6" s="50" cm="1">
        <f t="array" ref="Y6">IF(P46,   ASTM(1/(0.5/(($J$22)/(U11/U36))+0.5/P31),4),   0)</f>
        <v>0</v>
      </c>
      <c r="Z6" s="59" t="e" cm="1">
        <f t="array" ref="Z6">IF(AND(ISNUMBER(X6),ISNUMBER(Y6)),   ASTM(1/(0.55/X6+0.45/Y6),4),   NA())</f>
        <v>#VALUE!</v>
      </c>
    </row>
    <row r="7" spans="1:37" ht="15" customHeight="1">
      <c r="B7" s="144" t="s">
        <v>191</v>
      </c>
      <c r="C7" s="145" t="s">
        <v>193</v>
      </c>
      <c r="D7" s="97" t="e">
        <f>IF($O$5+$O$54+$O$103=0,    ((X7&lt;&gt;0)+(X56&lt;&gt;0)+(X105&lt;&gt;0))/(IFERROR(1/X7,0)+IFERROR(1/X56,0)+IFERROR(1/X105,0)),    ($O$5+$O$54+$O$103) / (IFERROR($O$5/X7,0)+IFERROR($O$54/X56,0)+IFERROR($O$103/X1087,0))  )</f>
        <v>#DIV/0!</v>
      </c>
      <c r="E7" s="97" t="e">
        <f>IF($O$5+$O$54+$O$103=0,    ((Y7&lt;&gt;0)+(Y56&lt;&gt;0)+(Y105&lt;&gt;0))/(IFERROR(1/Y7,0)+IFERROR(1/Y56,0)+IFERROR(1/Y105,0)),    ($O$5+$O$54+$O$103) / (IFERROR($O$5/Y7,0)+IFERROR($O$54/Y56,0)+IFERROR($O$103/Y1087,0))  )</f>
        <v>#DIV/0!</v>
      </c>
      <c r="F7" s="97" t="e" cm="1">
        <f t="array" ref="F7">ASTM(1/(0.55/D7+0.45/E7),4)</f>
        <v>#VALUE!</v>
      </c>
      <c r="G7" s="146" t="s">
        <v>192</v>
      </c>
      <c r="I7" s="148" t="s">
        <v>116</v>
      </c>
      <c r="J7" s="107"/>
      <c r="K7" s="116"/>
      <c r="L7" s="122"/>
      <c r="N7" s="479" t="s">
        <v>175</v>
      </c>
      <c r="O7" s="480"/>
      <c r="P7" s="480"/>
      <c r="Q7" s="481"/>
      <c r="S7" s="17" t="s">
        <v>71</v>
      </c>
      <c r="T7" s="30"/>
      <c r="U7" s="37"/>
      <c r="W7" s="147" t="s">
        <v>138</v>
      </c>
      <c r="X7" s="50" cm="1">
        <f t="array" ref="X7">IF(O46,   ASTM(1/(T39/(($J$22)/(T11/T36))+(1-T39)/O31), 4),   0)</f>
        <v>0</v>
      </c>
      <c r="Y7" s="50" cm="1">
        <f t="array" ref="Y7">IF(P46,   ASTM(1/(U39/(($J$22)/(U11/U36))+(1-U39)/P31), 4),   0)</f>
        <v>0</v>
      </c>
      <c r="Z7" s="59" t="e" cm="1">
        <f t="array" ref="Z7">IF(AND(ISNUMBER(X7),ISNUMBER(Y7)),   ASTM(1/(0.55/X7+0.45/Y7),4),   NA())</f>
        <v>#VALUE!</v>
      </c>
    </row>
    <row r="8" spans="1:37" ht="15" customHeight="1" thickBot="1">
      <c r="B8" s="149" t="s">
        <v>194</v>
      </c>
      <c r="C8" s="145" t="s">
        <v>139</v>
      </c>
      <c r="D8" s="150" t="s">
        <v>53</v>
      </c>
      <c r="E8" s="150" t="s">
        <v>54</v>
      </c>
      <c r="F8" s="150" t="s">
        <v>136</v>
      </c>
      <c r="G8" s="151"/>
      <c r="I8" s="152" t="s">
        <v>286</v>
      </c>
      <c r="J8" s="75"/>
      <c r="K8" s="116"/>
      <c r="L8" s="122"/>
      <c r="N8" s="482"/>
      <c r="O8" s="483"/>
      <c r="P8" s="483"/>
      <c r="Q8" s="484"/>
      <c r="S8" s="17" t="s">
        <v>72</v>
      </c>
      <c r="T8" s="30"/>
      <c r="U8" s="37"/>
      <c r="W8" s="153" t="s">
        <v>139</v>
      </c>
      <c r="X8" s="154" t="s">
        <v>53</v>
      </c>
      <c r="Y8" s="154" t="s">
        <v>54</v>
      </c>
      <c r="Z8" s="155" t="s">
        <v>136</v>
      </c>
    </row>
    <row r="9" spans="1:37" ht="15" customHeight="1" thickBot="1">
      <c r="B9" s="144" t="s">
        <v>191</v>
      </c>
      <c r="C9" s="156" t="s">
        <v>327</v>
      </c>
      <c r="D9" s="96" t="e">
        <f>IF($O$5+$O$54+$O$103=0,    ((X9&lt;&gt;0)+(X58&lt;&gt;0)+(X107&lt;&gt;0))/(IFERROR(1/X9,0)+IFERROR(1/X58,0)+IFERROR(1/X107,0)),    ($O$5+$O$54+$O$103) / (IFERROR($O$5/X9,0)+IFERROR($O$559/X58,0)+IFERROR($O$103/X107,0))  )</f>
        <v>#DIV/0!</v>
      </c>
      <c r="E9" s="96" t="e">
        <f>IF($O$5+$O$54+$O$103=0,    ((Y9&lt;&gt;0)+(Y58&lt;&gt;0)+(Y107&lt;&gt;0))/(IFERROR(1/Y9,0)+IFERROR(1/Y58,0)+IFERROR(1/Y107,0)),    ($O$5+$O$54+$O$103) / (IFERROR($O$5/Y9,0)+IFERROR($O$559/Y58,0)+IFERROR($O$103/Y107,0))  )</f>
        <v>#DIV/0!</v>
      </c>
      <c r="F9" s="96" t="e" cm="1">
        <f t="array" ref="F9">ASTM(1/(0.55/D9+0.45/E9),4)</f>
        <v>#VALUE!</v>
      </c>
      <c r="G9" s="146" t="s">
        <v>192</v>
      </c>
      <c r="I9" s="157" t="s">
        <v>117</v>
      </c>
      <c r="J9" s="108"/>
      <c r="K9" s="116"/>
      <c r="L9" s="122"/>
      <c r="N9" s="87"/>
      <c r="O9" s="85" t="s">
        <v>182</v>
      </c>
      <c r="P9" s="85" t="s">
        <v>181</v>
      </c>
      <c r="Q9" s="86" t="s">
        <v>179</v>
      </c>
      <c r="S9" s="63" t="s">
        <v>73</v>
      </c>
      <c r="T9" s="31"/>
      <c r="U9" s="44"/>
      <c r="W9" s="158" t="s">
        <v>140</v>
      </c>
      <c r="X9" s="50" cm="1">
        <f t="array" ref="X9">IF(O46,   ASTM(1/(T15+(1-T30)/O31),4),   0)</f>
        <v>0</v>
      </c>
      <c r="Y9" s="50" cm="1">
        <f t="array" ref="Y9">IF(P46,   ASTM(1/(U15+(1-U30)/P31),4),   0)</f>
        <v>0</v>
      </c>
      <c r="Z9" s="59" t="e" cm="1">
        <f t="array" ref="Z9">IF(AND(ISNUMBER(X9),ISNUMBER(Y9)),   ASTM(1/(0.55/X9+0.45/Y9),4),   NA())</f>
        <v>#VALUE!</v>
      </c>
    </row>
    <row r="10" spans="1:37" ht="15" customHeight="1" thickBot="1">
      <c r="B10" s="159"/>
      <c r="C10" s="160" t="s">
        <v>195</v>
      </c>
      <c r="D10" s="161"/>
      <c r="E10" s="161"/>
      <c r="F10" s="162" t="str">
        <f>IF(OR($J$10="LT",AND($J$10="PV",D12&gt;=7.5,E12&gt;=10.2)),"YES","NO")</f>
        <v>NO</v>
      </c>
      <c r="G10" s="163"/>
      <c r="I10" s="140" t="s">
        <v>118</v>
      </c>
      <c r="J10" s="73"/>
      <c r="K10" s="116"/>
      <c r="L10" s="122"/>
      <c r="N10" s="20" t="s">
        <v>180</v>
      </c>
      <c r="O10" s="109"/>
      <c r="P10" s="109"/>
      <c r="Q10" s="110"/>
      <c r="S10" s="70" t="s">
        <v>74</v>
      </c>
      <c r="T10" s="29" t="s">
        <v>186</v>
      </c>
      <c r="U10" s="36" t="s">
        <v>187</v>
      </c>
      <c r="W10" s="164" t="s">
        <v>141</v>
      </c>
      <c r="X10" s="165" t="s">
        <v>53</v>
      </c>
      <c r="Y10" s="165" t="s">
        <v>54</v>
      </c>
      <c r="Z10" s="166" t="s">
        <v>136</v>
      </c>
    </row>
    <row r="11" spans="1:37" ht="15" customHeight="1" thickBot="1">
      <c r="B11" s="167"/>
      <c r="C11" s="373" t="s">
        <v>294</v>
      </c>
      <c r="D11" s="168" t="s">
        <v>53</v>
      </c>
      <c r="E11" s="168" t="s">
        <v>54</v>
      </c>
      <c r="F11" s="169" t="s">
        <v>136</v>
      </c>
      <c r="G11" s="170"/>
      <c r="I11" s="140" t="s">
        <v>119</v>
      </c>
      <c r="J11" s="73"/>
      <c r="K11" s="116"/>
      <c r="L11" s="122"/>
      <c r="N11" s="21" t="s">
        <v>180</v>
      </c>
      <c r="O11" s="111"/>
      <c r="P11" s="111"/>
      <c r="Q11" s="112"/>
      <c r="S11" s="17" t="s">
        <v>75</v>
      </c>
      <c r="T11" s="32"/>
      <c r="U11" s="38"/>
      <c r="W11" s="158" t="s">
        <v>142</v>
      </c>
      <c r="X11" s="171" cm="1">
        <f t="array" ref="X11">IF(O46,   ASTM(T27+(1-T30)*O33,1),   0)</f>
        <v>0</v>
      </c>
      <c r="Y11" s="171" cm="1">
        <f t="array" ref="Y11">IF(P46,   ASTM(U27+(1-U30)*P33,1),   0)</f>
        <v>0</v>
      </c>
      <c r="Z11" s="172" cm="1">
        <f t="array" ref="Z11">IF(AND(ISNUMBER(X11),ISNUMBER(Y11)),   ASTM(0.55*X11+0.45*Y11,1),   NA())</f>
        <v>0</v>
      </c>
    </row>
    <row r="12" spans="1:37" ht="15" customHeight="1" thickBot="1">
      <c r="B12" s="167"/>
      <c r="C12" s="173" t="s">
        <v>196</v>
      </c>
      <c r="D12" s="174" cm="1">
        <f t="array" ref="D12">IFERROR(ASTM( IF($O$5+$O$54+$O$103=0,SUM(IFERROR(T8,0),IFERROR(T57,0),IFERROR(T106,0)) / ((T8&lt;&gt;0)+(T57&lt;&gt;0)+(T106&lt;&gt;0)),($O$5*T8+$O$54*T57+$O$103*T106)/($O$5+$O$54+$O$103)),1),0)</f>
        <v>0</v>
      </c>
      <c r="E12" s="174" cm="1">
        <f t="array" ref="E12">IFERROR(ASTM( IF($O$5+$O$54+$O$103=0,SUM(IFERROR(U8,0),IFERROR(U57,0),IFERROR(U106,0)) / ((U8&lt;&gt;0)+(U57&lt;&gt;0)+(U106&lt;&gt;0)),($O$5*U8+$O$54*U57+$O$103*U106)/($O$5+$O$54+$O$103)),1),0)</f>
        <v>0</v>
      </c>
      <c r="F12" s="175">
        <f>0.55*D12+0.45*E12</f>
        <v>0</v>
      </c>
      <c r="G12" s="170"/>
      <c r="I12" s="140" t="s">
        <v>120</v>
      </c>
      <c r="J12" s="73"/>
      <c r="K12" s="116"/>
      <c r="L12" s="122"/>
      <c r="S12" s="17" t="s">
        <v>76</v>
      </c>
      <c r="T12" s="30"/>
      <c r="U12" s="37"/>
      <c r="W12" s="158" t="s">
        <v>143</v>
      </c>
      <c r="X12" s="171" cm="1">
        <f t="array" ref="X12">IF(O46,   IF($J$17="Additive",ASTM((T27+(1-T30)*O33),0)+ASTM($J$18,0),IF($J$17="Multiplicative",ASTM(ASTM((T27+(1-T30)*O33),0)*$J$18,0),"Add/Mult?")),   0)</f>
        <v>0</v>
      </c>
      <c r="Y12" s="171" cm="1">
        <f t="array" ref="Y12">IF(P46,   IF($J$17="Additive",ASTM((U27+(1-U30)*P33),0)+ASTM($J$19,0),IF($J$17="Multiplicative",ASTM(ASTM((U27+(1-U30)*P33),0)*$J$19,0),"Add/Mult?")),   0)</f>
        <v>0</v>
      </c>
      <c r="Z12" s="172" cm="1">
        <f t="array" ref="Z12">IF(AND(ISNUMBER(X12),ISNUMBER(Y12)),   ASTM(0.55*X12+0.45*Y12,1),   NA())</f>
        <v>0</v>
      </c>
    </row>
    <row r="13" spans="1:37" ht="15" customHeight="1" thickBot="1">
      <c r="B13" s="176"/>
      <c r="C13" s="177"/>
      <c r="D13" s="178"/>
      <c r="E13" s="177"/>
      <c r="F13" s="177"/>
      <c r="G13" s="179"/>
      <c r="I13" s="140" t="s">
        <v>121</v>
      </c>
      <c r="J13" s="73"/>
      <c r="K13" s="116"/>
      <c r="L13" s="122"/>
      <c r="N13" s="479" t="s">
        <v>176</v>
      </c>
      <c r="O13" s="480"/>
      <c r="P13" s="480"/>
      <c r="Q13" s="481"/>
      <c r="S13" s="17" t="s">
        <v>77</v>
      </c>
      <c r="T13" s="32"/>
      <c r="U13" s="38"/>
      <c r="W13" s="164" t="s">
        <v>144</v>
      </c>
      <c r="X13" s="165"/>
      <c r="Y13" s="165"/>
      <c r="Z13" s="166"/>
    </row>
    <row r="14" spans="1:37" ht="15" customHeight="1" thickBot="1">
      <c r="B14" s="126"/>
      <c r="C14" s="127" t="s">
        <v>141</v>
      </c>
      <c r="D14" s="180" t="s">
        <v>53</v>
      </c>
      <c r="E14" s="180" t="s">
        <v>54</v>
      </c>
      <c r="F14" s="180" t="s">
        <v>136</v>
      </c>
      <c r="G14" s="181"/>
      <c r="I14" s="140" t="s">
        <v>122</v>
      </c>
      <c r="J14" s="73"/>
      <c r="K14" s="116"/>
      <c r="L14" s="122"/>
      <c r="N14" s="482"/>
      <c r="O14" s="483"/>
      <c r="P14" s="483"/>
      <c r="Q14" s="484"/>
      <c r="S14" s="17" t="s">
        <v>78</v>
      </c>
      <c r="T14" s="33"/>
      <c r="U14" s="41"/>
      <c r="W14" s="182" t="s">
        <v>145</v>
      </c>
      <c r="X14" s="183"/>
      <c r="Y14" s="183"/>
      <c r="Z14" s="184" t="s">
        <v>136</v>
      </c>
    </row>
    <row r="15" spans="1:37" ht="15" customHeight="1" thickBot="1">
      <c r="B15" s="167"/>
      <c r="C15" s="145" t="s">
        <v>328</v>
      </c>
      <c r="D15" s="185" t="e" cm="1">
        <f t="array" ref="D15">IF($O$5+$O$54+$O$103=0,ASTM( SUM(IFERROR(X11,0),IFERROR(X60,0),IFERROR(X109,0))/((X11&lt;&gt;0)+(X60&lt;&gt;0)+(X109&lt;&gt;0)),1),ASTM(($O$5*X11+$O$54*X60+$O$103*X109)/($O$5+$O$54+$O$103),1))</f>
        <v>#VALUE!</v>
      </c>
      <c r="E15" s="185" t="e" cm="1">
        <f t="array" ref="E15">IF($O$5+$O$54+$O$103=0,ASTM( SUM(IFERROR(Y11,0),IFERROR(Y60,0),IFERROR(Y109,0))/((Y11&lt;&gt;0)+(Y60&lt;&gt;0)+(Y109&lt;&gt;0)),1),ASTM(($O$5*Y11+$O$54*Y60+$O$103*Y109)/($O$5+$O$54+$O$103),1))</f>
        <v>#VALUE!</v>
      </c>
      <c r="F15" s="185" t="str" cm="1">
        <f t="array" ref="F15">IF(OR(O33=0,P33=0,X11=0,Y11=0),"ERROR", IFERROR(ASTM(0.55*D15+0.45*E15,1),"CREE ERROR")  )</f>
        <v>ERROR</v>
      </c>
      <c r="G15" s="163"/>
      <c r="I15" s="186" t="s">
        <v>123</v>
      </c>
      <c r="J15" s="75"/>
      <c r="K15" s="116"/>
      <c r="L15" s="122"/>
      <c r="N15" s="87"/>
      <c r="O15" s="85" t="s">
        <v>183</v>
      </c>
      <c r="P15" s="74" t="s">
        <v>60</v>
      </c>
      <c r="Q15" s="19" t="s">
        <v>179</v>
      </c>
      <c r="S15" s="17" t="s">
        <v>79</v>
      </c>
      <c r="T15" s="34"/>
      <c r="U15" s="42"/>
      <c r="W15" s="158" t="s">
        <v>146</v>
      </c>
      <c r="X15" s="187"/>
      <c r="Y15" s="187"/>
      <c r="Z15" s="51" t="e" cm="1">
        <f t="array" ref="Z15">IF(AND(O46,P46),   ASTM(0.55*T7+0.45*U7,0),   NA())</f>
        <v>#N/A</v>
      </c>
    </row>
    <row r="16" spans="1:37" ht="15" customHeight="1" thickBot="1">
      <c r="B16" s="188"/>
      <c r="C16" s="189" t="s">
        <v>197</v>
      </c>
      <c r="D16" s="190" t="str" cm="1">
        <f t="array" ref="D16">IF(OR(AND(J17&lt;&gt;"Additive",J17&lt;&gt;"Multiplicative"),ISBLANK(J18)=TRUE),"DF ERROR",          ASTM(IF($O$5+$O$54+$O$103=0,SUM(IFERROR(X12,0),IFERROR(X61,0),IFERROR(X110,0))/((X12&lt;&gt;0)+(X61&lt;&gt;0)+(X110&lt;&gt;0)),($O$5*X12+$O$54*X61+$O$103*X110)/($O$5+$O$54+$O$103)),1)          )</f>
        <v>DF ERROR</v>
      </c>
      <c r="E16" s="190" t="str" cm="1">
        <f t="array" ref="E16">IF(OR(AND(J17&lt;&gt;"Additive",J17&lt;&gt;"Multiplicative"),ISBLANK(J19)=TRUE),"DF ERROR",          ASTM(IF($O$5+$O$54+$O$103=0,SUM(IFERROR(Y12,0),IFERROR(Y61,0),IFERROR(Y110,0))/((Y12&lt;&gt;0)+(Y61&lt;&gt;0)+(Y110&lt;&gt;0)),($O$5*Y12+$O$54*Y61+$O$103*Y110)/($O$5+$O$54+$O$103)),1)          )</f>
        <v>DF ERROR</v>
      </c>
      <c r="F16" s="190" t="str" cm="1">
        <f t="array" ref="F16">IF(OR(O33=0,P33=0,X12=0,Y12=0),"ERROR", IFERROR(ASTM(0.55*D16+0.45*E16,1),"CREE ERROR")  )</f>
        <v>ERROR</v>
      </c>
      <c r="G16" s="191"/>
      <c r="I16" s="130" t="s">
        <v>124</v>
      </c>
      <c r="J16" s="76"/>
      <c r="K16" s="116"/>
      <c r="L16" s="122"/>
      <c r="N16" s="20" t="s">
        <v>178</v>
      </c>
      <c r="O16" s="193"/>
      <c r="P16" s="193"/>
      <c r="Q16" s="194"/>
      <c r="S16" s="17" t="s">
        <v>80</v>
      </c>
      <c r="T16" s="35"/>
      <c r="U16" s="43"/>
      <c r="W16" s="158" t="s">
        <v>147</v>
      </c>
      <c r="X16" s="187"/>
      <c r="Y16" s="187"/>
      <c r="Z16" s="51" t="e" cm="1">
        <f t="array" ref="Z16">IF(AND(O46,P46),   ASTM(0.55*T9+0.45*U9,0),   NA())</f>
        <v>#N/A</v>
      </c>
    </row>
    <row r="17" spans="2:26" ht="15" customHeight="1" thickBot="1">
      <c r="B17" s="126"/>
      <c r="C17" s="127" t="s">
        <v>144</v>
      </c>
      <c r="D17" s="180"/>
      <c r="E17" s="180"/>
      <c r="F17" s="180"/>
      <c r="G17" s="181"/>
      <c r="I17" s="140" t="s">
        <v>125</v>
      </c>
      <c r="J17" s="73"/>
      <c r="K17" s="116"/>
      <c r="L17" s="122"/>
      <c r="N17" s="20" t="s">
        <v>178</v>
      </c>
      <c r="O17" s="193"/>
      <c r="P17" s="193"/>
      <c r="Q17" s="194"/>
      <c r="S17" s="17" t="s">
        <v>81</v>
      </c>
      <c r="T17" s="34"/>
      <c r="U17" s="42"/>
      <c r="W17" s="158" t="s">
        <v>148</v>
      </c>
      <c r="X17" s="187"/>
      <c r="Y17" s="187"/>
      <c r="Z17" s="52" t="e" cm="1">
        <f t="array" ref="Z17">IF(AND(O46,P46,ISNUMBER(Z15)),   ASTM((ASTM(0.55*T37+0.45*U37,0)+Z15)/10,0) *10,   NA())</f>
        <v>#N/A</v>
      </c>
    </row>
    <row r="18" spans="2:26" ht="15" customHeight="1">
      <c r="B18" s="167"/>
      <c r="C18" s="195" t="s">
        <v>317</v>
      </c>
      <c r="D18" s="196" t="s">
        <v>53</v>
      </c>
      <c r="E18" s="196" t="s">
        <v>54</v>
      </c>
      <c r="F18" s="196" t="s">
        <v>136</v>
      </c>
      <c r="G18" s="163"/>
      <c r="I18" s="140" t="s">
        <v>126</v>
      </c>
      <c r="J18" s="77"/>
      <c r="K18" s="116"/>
      <c r="L18" s="122"/>
      <c r="N18" s="20" t="s">
        <v>61</v>
      </c>
      <c r="O18" s="193"/>
      <c r="P18" s="193"/>
      <c r="Q18" s="194"/>
      <c r="S18" s="17" t="s">
        <v>82</v>
      </c>
      <c r="T18" s="24"/>
      <c r="U18" s="26"/>
      <c r="W18" s="158" t="s">
        <v>149</v>
      </c>
      <c r="X18" s="187"/>
      <c r="Y18" s="187"/>
      <c r="Z18" s="197" t="e" cm="1">
        <f t="array" ref="Z18">IF(AND(O46,P46),   ASTM(1/(0.55/T19+0.45/U19),0),   NA())</f>
        <v>#N/A</v>
      </c>
    </row>
    <row r="19" spans="2:26" ht="15" customHeight="1" thickBot="1">
      <c r="B19" s="167"/>
      <c r="C19" s="145" t="s">
        <v>198</v>
      </c>
      <c r="D19" s="198" t="e">
        <f>IF($O$5+$O$54+$O$103=0,SUM(IFERROR(T7,0),IFERROR(T56,0),IFERROR(T105,0)) / ((T7&lt;&gt;0)+(T56&lt;&gt;0)+(T105&lt;&gt;0)),($O$5*T7+$O$54*T56+$O$103*T105)/($O$5+$O$54+$O$103))</f>
        <v>#DIV/0!</v>
      </c>
      <c r="E19" s="198" t="e">
        <f>IF($O$5+$O$54+$O$103=0,SUM(IFERROR(U7,0),IFERROR(U56,0),IFERROR(U105,0)) / ((U7&lt;&gt;0)+(U56&lt;&gt;0)+(U105&lt;&gt;0)),($O$5*U7+$O$54*U56+$O$103*U105)/($O$5+$O$54+$O$103))</f>
        <v>#DIV/0!</v>
      </c>
      <c r="F19" s="98" t="e" cm="1">
        <f t="array" ref="F19">ASTM(0.55*D19+0.45*E19,0)</f>
        <v>#VALUE!</v>
      </c>
      <c r="G19" s="163"/>
      <c r="I19" s="186" t="s">
        <v>127</v>
      </c>
      <c r="J19" s="78"/>
      <c r="K19" s="116"/>
      <c r="L19" s="122"/>
      <c r="N19" s="20" t="s">
        <v>61</v>
      </c>
      <c r="O19" s="193"/>
      <c r="P19" s="193"/>
      <c r="Q19" s="194"/>
      <c r="S19" s="17" t="s">
        <v>83</v>
      </c>
      <c r="T19" s="33"/>
      <c r="U19" s="41"/>
      <c r="W19" s="147" t="s">
        <v>150</v>
      </c>
      <c r="X19" s="187"/>
      <c r="Y19" s="187"/>
      <c r="Z19" s="197" t="e" cm="1">
        <f t="array" ref="Z19">IF(AND(O46,P46),   ASTM(0.55*T12+0.45*U12,0),   NA())</f>
        <v>#N/A</v>
      </c>
    </row>
    <row r="20" spans="2:26" ht="15" customHeight="1" thickBot="1">
      <c r="B20" s="167"/>
      <c r="C20" s="145" t="s">
        <v>199</v>
      </c>
      <c r="D20" s="198" t="e">
        <f>IF($O$5+$O$54+$O$103=0,SUM(IFERROR(T9,0),IFERROR(T58,0),IFERROR(T107,0)) / ((T9&lt;&gt;0)+(T58&lt;&gt;0)+(T107&lt;&gt;0)),($O$5*T9+$O$54*T58+$O$103*T107)/($O$5+$O$54+$O$103))</f>
        <v>#DIV/0!</v>
      </c>
      <c r="E20" s="198" t="e">
        <f>IF($O$5+$O$54+$O$103=0,SUM(IFERROR(U9,0),IFERROR(U58,0),IFERROR(U107,0)) / ((U9&lt;&gt;0)+(U58&lt;&gt;0)+(U107&lt;&gt;0)),($O$5*U9+$O$54*U58+$O$103*U107)/($O$5+$O$54+$O$103))</f>
        <v>#DIV/0!</v>
      </c>
      <c r="F20" s="98" t="e" cm="1">
        <f t="array" ref="F20">ASTM(0.55*D20+0.45*E20,0)</f>
        <v>#VALUE!</v>
      </c>
      <c r="G20" s="163"/>
      <c r="K20" s="116"/>
      <c r="L20" s="122"/>
      <c r="N20" s="20" t="s">
        <v>61</v>
      </c>
      <c r="O20" s="193"/>
      <c r="P20" s="193"/>
      <c r="Q20" s="194"/>
      <c r="S20" s="17" t="s">
        <v>84</v>
      </c>
      <c r="T20" s="33"/>
      <c r="U20" s="41"/>
      <c r="W20" s="147" t="s">
        <v>151</v>
      </c>
      <c r="X20" s="187"/>
      <c r="Y20" s="187"/>
      <c r="Z20" s="197" t="e" cm="1">
        <f t="array" ref="Z20">IF(AND(O46,P46),   ASTM(0.55*T20+0.45*U20,1),   NA())</f>
        <v>#N/A</v>
      </c>
    </row>
    <row r="21" spans="2:26" ht="15" customHeight="1">
      <c r="B21" s="167"/>
      <c r="C21" s="156" t="s">
        <v>200</v>
      </c>
      <c r="D21" s="199"/>
      <c r="E21" s="199"/>
      <c r="F21" s="99" t="e" cm="1">
        <f t="array" ref="F21">ASTM((IF($O$5+$O$54+$O$103=0,SUM(IFERROR(( IFERROR((ASTM(0.55*T37+0.45*U37,0)+Z15),0)),0),IFERROR((IFERROR((ASTM(0.55*T86+0.45*U86,0)+Z64),0)),0),IFERROR(( IFERROR((ASTM(0.55*T135+0.45*U135,0)+Z113),0)),0)) / ((( IFERROR((ASTM(0.55*T37+0.45*U37,0)+Z15),0))&lt;&gt;0)+((IFERROR((ASTM(0.55*T86+0.45*U86,0)+Z64),0))&lt;&gt;0)+(( IFERROR((ASTM(0.55*T135+0.45*U135,0)+Z113),0))&lt;&gt;0)),($O$5*( IFERROR((ASTM(0.55*T37+0.45*U37,0)+Z15),0))+$O$54*(IFERROR((ASTM(0.55*T86+0.45*U86,0)+Z64),0))+$O$103*( IFERROR((ASTM(0.55*T135+0.45*U135,0)+Z113),0)))/($O$5+$O$54+$O$103)))/10,0)*10</f>
        <v>#VALUE!</v>
      </c>
      <c r="G21" s="163"/>
      <c r="I21" s="130" t="s">
        <v>132</v>
      </c>
      <c r="J21" s="131"/>
      <c r="K21" s="116"/>
      <c r="L21" s="122"/>
      <c r="N21" s="20" t="s">
        <v>61</v>
      </c>
      <c r="O21" s="193"/>
      <c r="P21" s="193"/>
      <c r="Q21" s="194"/>
      <c r="S21" s="17" t="s">
        <v>85</v>
      </c>
      <c r="T21" s="24"/>
      <c r="U21" s="26"/>
      <c r="W21" s="182" t="s">
        <v>152</v>
      </c>
      <c r="X21" s="183"/>
      <c r="Y21" s="183"/>
      <c r="Z21" s="184" t="s">
        <v>136</v>
      </c>
    </row>
    <row r="22" spans="2:26" ht="15" customHeight="1" thickBot="1">
      <c r="B22" s="167"/>
      <c r="C22" s="145" t="s">
        <v>201</v>
      </c>
      <c r="D22" s="200" t="e" cm="1">
        <f t="array" ref="D22">ASTM(IF($O$5+$O$54+$O$103=0, ((T19&lt;&gt;0)+(T68&lt;&gt;0)+(T117&lt;&gt;0))/(IFERROR(1/T19,0)+IFERROR(1/T68,0)+IFERROR(1/T117,0)), ($O$5+$O$54+$O$103) / (IFERROR($O$5/T19,0)+IFERROR($O$54/T68,0)+IFERROR($O$103/T117,0))  ),4)</f>
        <v>#VALUE!</v>
      </c>
      <c r="E22" s="200" t="e" cm="1">
        <f t="array" ref="E22">ASTM(IF($O$5+$O$54+$O$103=0, ((U19&lt;&gt;0)+(U68&lt;&gt;0)+(U117&lt;&gt;0))/(IFERROR(1/U19,0)+IFERROR(1/U68,0)+IFERROR(1/U117,0)), ($O$5+$O$54+$O$103) / (IFERROR($O$5/U19,0)+IFERROR($O$54/U68,0)+IFERROR($O$103/U117,0))  ),4)</f>
        <v>#VALUE!</v>
      </c>
      <c r="F22" s="98" t="e" cm="1">
        <f t="array" ref="F22">ASTM(1/(0.55/D22+0.45/E22),0)</f>
        <v>#VALUE!</v>
      </c>
      <c r="G22" s="163"/>
      <c r="I22" s="201" t="s">
        <v>189</v>
      </c>
      <c r="J22" s="368" t="e" cm="1">
        <f t="array" ref="J22">_xlfn.IFS(ISBLANK($J$5),NA(),$J$5&lt;=2026,82049,$J$5=2027,79989,$J$5=2028,50427,$J$5=2029,36820,$J$5&gt;=2030,28996)</f>
        <v>#N/A</v>
      </c>
      <c r="K22" s="203"/>
      <c r="L22" s="122"/>
      <c r="N22" s="20" t="s">
        <v>61</v>
      </c>
      <c r="O22" s="193"/>
      <c r="P22" s="193"/>
      <c r="Q22" s="194"/>
      <c r="S22" s="63" t="s">
        <v>86</v>
      </c>
      <c r="T22" s="25"/>
      <c r="U22" s="27"/>
      <c r="W22" s="147" t="s">
        <v>153</v>
      </c>
      <c r="X22" s="204" cm="1">
        <f t="array" ref="X22">IF(O46,   ASTM(O32,4),   0)</f>
        <v>0</v>
      </c>
      <c r="Y22" s="204" cm="1">
        <f t="array" ref="Y22">IF(P46,   ASTM(P32,4),   0)</f>
        <v>0</v>
      </c>
      <c r="Z22" s="60" t="e" cm="1">
        <f t="array" ref="Z22">IF(AND(O46,P46),   ASTM(1/(0.55/X22+0.45/Y22),0),   NA())</f>
        <v>#N/A</v>
      </c>
    </row>
    <row r="23" spans="2:26" ht="15" customHeight="1">
      <c r="B23" s="167"/>
      <c r="C23" s="145" t="s">
        <v>202</v>
      </c>
      <c r="D23" s="205" t="e" cm="1">
        <f t="array" ref="D23">ASTM(IF($O$5+$O$54+$O$103=0,SUM(IFERROR(T12,0),IFERROR(T61,0),IFERROR(T110,0)) / ((T12&lt;&gt;0)+(T61&lt;&gt;0)+(T110&lt;&gt;0)),($O$5*T12+$O$54*T61+$O$103*T110)/($O$5+$O$54+$O$103)),4)</f>
        <v>#VALUE!</v>
      </c>
      <c r="E23" s="205" t="e" cm="1">
        <f t="array" ref="E23">ASTM(IF($O$5+$O$54+$O$103=0,SUM(IFERROR(U12,0),IFERROR(U61,0),IFERROR(U110,0)) / ((U12&lt;&gt;0)+(U61&lt;&gt;0)+(U110&lt;&gt;0)),($O$5*U12+$O$54*U61+$O$103*U110)/($O$5+$O$54+$O$103)),4)</f>
        <v>#VALUE!</v>
      </c>
      <c r="F23" s="100" t="e" cm="1">
        <f t="array" ref="F23">ASTM(0.55*D23+0.45*E23,4)</f>
        <v>#VALUE!</v>
      </c>
      <c r="G23" s="163"/>
      <c r="I23" s="201" t="s">
        <v>128</v>
      </c>
      <c r="J23" s="206" t="e">
        <f>INDEX('Label Inputs'!C5:K24,MATCH(J5,'Label Inputs'!B5:B24,0),MATCH(J13,'Label Inputs'!C4:K4,0))</f>
        <v>#N/A</v>
      </c>
      <c r="K23" s="207"/>
      <c r="L23" s="122"/>
      <c r="N23" s="20" t="s">
        <v>61</v>
      </c>
      <c r="O23" s="193"/>
      <c r="P23" s="193"/>
      <c r="Q23" s="194"/>
      <c r="S23" s="70" t="s">
        <v>87</v>
      </c>
      <c r="T23" s="29" t="s">
        <v>186</v>
      </c>
      <c r="U23" s="36" t="s">
        <v>187</v>
      </c>
      <c r="W23" s="147" t="s">
        <v>154</v>
      </c>
      <c r="X23" s="171" cm="1">
        <f t="array" ref="X23">IFERROR(ASTM(100/X22,1),0)</f>
        <v>0</v>
      </c>
      <c r="Y23" s="171" cm="1">
        <f t="array" ref="Y23">IFERROR(ASTM(100/Y22,1),0)</f>
        <v>0</v>
      </c>
      <c r="Z23" s="61" t="e" cm="1">
        <f t="array" ref="Z23">IF(ISNUMBER(Z22),   ASTM(100/Z22,1),   NA())</f>
        <v>#N/A</v>
      </c>
    </row>
    <row r="24" spans="2:26" ht="15" customHeight="1">
      <c r="B24" s="167"/>
      <c r="C24" s="145" t="s">
        <v>203</v>
      </c>
      <c r="D24" s="185" t="e">
        <f>IF($O$5+$O$54+$O$103=0,SUM(IFERROR(T20,0),IFERROR(T69,0),IFERROR(Y118,0)) / ((T12&lt;&gt;0)+(T61&lt;&gt;0)+(T110&lt;&gt;0)),      ($O$5*T20+$O$54*T69+$O$103*T118)/($O$5+$O$54+$O$103))</f>
        <v>#DIV/0!</v>
      </c>
      <c r="E24" s="185" t="e">
        <f>IF($O$5+$O$54+$O$103=0,SUM(IFERROR(U20,0),IFERROR(U69,0),IFERROR(Z118,0)) / ((U12&lt;&gt;0)+(U61&lt;&gt;0)+(U110&lt;&gt;0)),      ($O$5*U20+$O$54*U69+$O$103*U118)/($O$5+$O$54+$O$103))</f>
        <v>#DIV/0!</v>
      </c>
      <c r="F24" s="101" t="e" cm="1">
        <f t="array" ref="F24">ASTM(0.55*D24+0.45*E24,4)</f>
        <v>#VALUE!</v>
      </c>
      <c r="G24" s="163"/>
      <c r="I24" s="208" t="s">
        <v>129</v>
      </c>
      <c r="J24" s="206" t="e">
        <f>INDEX('Label Inputs'!C5:K24,MATCH(J5,'Label Inputs'!B5:B24,0),MATCH("Electricity",'Label Inputs'!C4:K4,0))</f>
        <v>#N/A</v>
      </c>
      <c r="K24" s="209"/>
      <c r="L24" s="122"/>
      <c r="N24" s="20" t="s">
        <v>61</v>
      </c>
      <c r="O24" s="193"/>
      <c r="P24" s="193"/>
      <c r="Q24" s="194"/>
      <c r="S24" s="17" t="s">
        <v>88</v>
      </c>
      <c r="T24" s="32"/>
      <c r="U24" s="38"/>
      <c r="W24" s="182" t="s">
        <v>155</v>
      </c>
      <c r="X24" s="183"/>
      <c r="Y24" s="183"/>
      <c r="Z24" s="210" t="s">
        <v>136</v>
      </c>
    </row>
    <row r="25" spans="2:26" ht="15" customHeight="1">
      <c r="B25" s="167"/>
      <c r="C25" s="195" t="s">
        <v>326</v>
      </c>
      <c r="D25" s="196" t="s">
        <v>53</v>
      </c>
      <c r="E25" s="196" t="s">
        <v>54</v>
      </c>
      <c r="F25" s="196" t="s">
        <v>136</v>
      </c>
      <c r="G25" s="163"/>
      <c r="I25" s="208" t="s">
        <v>130</v>
      </c>
      <c r="J25" s="211" t="e">
        <f>VLOOKUP(J5,'Label Inputs'!R4:S24,2,FALSE)</f>
        <v>#N/A</v>
      </c>
      <c r="L25" s="122"/>
      <c r="N25" s="20" t="s">
        <v>61</v>
      </c>
      <c r="O25" s="193"/>
      <c r="P25" s="193"/>
      <c r="Q25" s="194"/>
      <c r="S25" s="17" t="s">
        <v>89</v>
      </c>
      <c r="T25" s="32"/>
      <c r="U25" s="38"/>
      <c r="W25" s="147" t="s">
        <v>156</v>
      </c>
      <c r="X25" s="187"/>
      <c r="Y25" s="187"/>
      <c r="Z25" s="62" t="e" cm="1">
        <f t="array" ref="Z25">IF(AND(O46,P46),   ASTM(15000*ASTM(0.55*T45+0.45*U45,3)/50,0)*50,   NA())</f>
        <v>#N/A</v>
      </c>
    </row>
    <row r="26" spans="2:26" ht="15" customHeight="1" thickBot="1">
      <c r="B26" s="167"/>
      <c r="C26" s="145" t="s">
        <v>330</v>
      </c>
      <c r="D26" s="185" t="e">
        <f>IF($O$5+$O$54+$O$103=0,    ((X22&lt;&gt;0)+(X71&lt;&gt;0)+(X120&lt;&gt;0))/(IFERROR(1/X22,0)+IFERROR(1/X71,0)+IFERROR(1/X120,0)),    ($O$5+$O$54+$O$103) / (IFERROR($O$5/X22,0)+IFERROR($O$54/X71,0)+IFERROR($O$103/X120,0))  )</f>
        <v>#DIV/0!</v>
      </c>
      <c r="E26" s="185" t="e">
        <f>IF($O$5+$O$54+$O$103=0,    ((Y22&lt;&gt;0)+(Y71&lt;&gt;0)+(Y120&lt;&gt;0))/(IFERROR(1/Y22,0)+IFERROR(1/Y71,0)+IFERROR(1/Y120,0)),    ($O$5+$O$54+$O$103) / (IFERROR($O$5/Y22,0)+IFERROR($O$54/Y71,0)+IFERROR($O$103/Y120,0))  )</f>
        <v>#DIV/0!</v>
      </c>
      <c r="F26" s="212" t="e" cm="1">
        <f t="array" ref="F26">ASTM(1/(0.55/D26+0.45/E26),0)</f>
        <v>#VALUE!</v>
      </c>
      <c r="G26" s="163"/>
      <c r="I26" s="213" t="s">
        <v>131</v>
      </c>
      <c r="J26" s="214" t="e">
        <f>VLOOKUP(J5,'Label Inputs'!M4:N24,2,FALSE)</f>
        <v>#N/A</v>
      </c>
      <c r="K26" s="116"/>
      <c r="L26" s="122"/>
      <c r="N26" s="20" t="s">
        <v>61</v>
      </c>
      <c r="O26" s="193"/>
      <c r="P26" s="193"/>
      <c r="Q26" s="194"/>
      <c r="S26" s="17" t="s">
        <v>90</v>
      </c>
      <c r="T26" s="32"/>
      <c r="U26" s="38"/>
      <c r="W26" s="147" t="s">
        <v>157</v>
      </c>
      <c r="X26" s="187"/>
      <c r="Y26" s="187"/>
      <c r="Z26" s="62" t="e">
        <f>IF(AND(ISNUMBER($J$25),ISNUMBER(Z25)),   $J$25-5*Z25,   NA())</f>
        <v>#N/A</v>
      </c>
    </row>
    <row r="27" spans="2:26" ht="15" customHeight="1" thickBot="1">
      <c r="B27" s="167"/>
      <c r="C27" s="145" t="s">
        <v>204</v>
      </c>
      <c r="D27" s="185" t="e">
        <f>IF($O$5+$O$54+$O$103=0,SUM(IFERROR(X23,0),IFERROR(X72,0),IFERROR(X121,0)) / ((X23&lt;&gt;0)+(X72&lt;&gt;0)+(X121&lt;&gt;0)),      ($O$5*X23+$O$54*X72+$O$103*X121)/($O$5+$O$54+$O$103))</f>
        <v>#DIV/0!</v>
      </c>
      <c r="E27" s="185" t="e">
        <f>IF($O$5+$O$54+$O$103=0,SUM(IFERROR(Y23,0),IFERROR(Y72,0),IFERROR(Y121,0)) / ((Y23&lt;&gt;0)+(Y72&lt;&gt;0)+(Y121&lt;&gt;0)),      ($O$5*Y23+$O$54*Y72+$O$103*Y121)/($O$5+$O$54+$O$103))</f>
        <v>#DIV/0!</v>
      </c>
      <c r="F27" s="215" t="e" cm="1">
        <f t="array" ref="F27">ASTM(100/F26,1)</f>
        <v>#VALUE!</v>
      </c>
      <c r="G27" s="163"/>
      <c r="I27" s="114"/>
      <c r="J27" s="114"/>
      <c r="L27" s="115"/>
      <c r="N27" s="21" t="s">
        <v>61</v>
      </c>
      <c r="O27" s="216"/>
      <c r="P27" s="216"/>
      <c r="Q27" s="217"/>
      <c r="S27" s="17" t="s">
        <v>91</v>
      </c>
      <c r="T27" s="32"/>
      <c r="U27" s="38"/>
      <c r="W27" s="158" t="s">
        <v>158</v>
      </c>
      <c r="X27" s="187"/>
      <c r="Y27" s="187"/>
      <c r="Z27" s="61" t="e" cm="1">
        <f t="array" ref="Z27">IF(AND(O46,P46),   ASTM(0.55*T47+0.45*U47,0),   NA())</f>
        <v>#N/A</v>
      </c>
    </row>
    <row r="28" spans="2:26" ht="15" customHeight="1" thickBot="1">
      <c r="B28" s="167"/>
      <c r="C28" s="195" t="s">
        <v>155</v>
      </c>
      <c r="D28" s="196" t="s">
        <v>53</v>
      </c>
      <c r="E28" s="196" t="s">
        <v>54</v>
      </c>
      <c r="F28" s="196" t="s">
        <v>136</v>
      </c>
      <c r="G28" s="163"/>
      <c r="I28" s="130" t="s">
        <v>291</v>
      </c>
      <c r="J28" s="131"/>
      <c r="L28" s="115"/>
      <c r="Q28" s="116"/>
      <c r="S28" s="63" t="s">
        <v>92</v>
      </c>
      <c r="T28" s="39"/>
      <c r="U28" s="40"/>
      <c r="W28" s="158" t="s">
        <v>159</v>
      </c>
      <c r="X28" s="187"/>
      <c r="Y28" s="187"/>
      <c r="Z28" s="61" t="e" cm="1">
        <f t="array" ref="Z28">IF(AND(O46,P46),   ASTM(1/(0.55/T48+0.45/U48),0),   NA())</f>
        <v>#N/A</v>
      </c>
    </row>
    <row r="29" spans="2:26" ht="15" customHeight="1" thickBot="1">
      <c r="B29" s="167"/>
      <c r="C29" s="145" t="s">
        <v>205</v>
      </c>
      <c r="D29" s="156"/>
      <c r="E29" s="156"/>
      <c r="F29" s="105" t="e" cm="1">
        <f t="array" ref="F29">ASTM((IF($O$5+$O$54+$O$103=0,SUM(IFERROR((IFERROR(15000*ASTM(0.55*T45+0.45*U45,3),0)),0),IFERROR((IFERROR(15000*ASTM(0.55*T94+0.45*U94,3),0)),0),IFERROR((IFERROR(15000*ASTM(0.55*T143+0.45*U143,3),0)),0)) / (((IFERROR(15000*ASTM(0.55*T45+0.45*U45,3),0))&lt;&gt;0)+((IFERROR(15000*ASTM(0.55*T94+0.45*U94,3),0))&lt;&gt;0)+((IFERROR(15000*ASTM(0.55*T143+0.45*U143,3),0))&lt;&gt;0)),($O$5*(IFERROR(15000*ASTM(0.55*T45+0.45*U45,3),0))+$O$54*(IFERROR(15000*ASTM(0.55*T94+0.45*U94,3),0))+$O$103*(IFERROR(15000*ASTM(0.55*T143+0.45*U143,3),0)))/($O$5+$O$54+$O$103)))/50,0)*50</f>
        <v>#VALUE!</v>
      </c>
      <c r="G29" s="163"/>
      <c r="I29" s="366" t="s">
        <v>287</v>
      </c>
      <c r="J29" s="202" t="str">
        <f>IF(AND(ISBLANK(O5),ISBLANK(O10),ISBLANK(O11),ISBLANK(O16)),"Blank",   IF(ISBLANK(O10),"Missing CD_UDDS",IF(ISBLANK(O11),"Missing CD_Hwy",IF(OR(ISBLANK(T6),ISBLANK(U6)),"Missing CD Calcs",IF(ISBLANK(O16),"Missing CS Tests",IF(ISBLANK(O31),"Missing CS Calcs","Complete"))))))</f>
        <v>Blank</v>
      </c>
      <c r="L29" s="115"/>
      <c r="N29" s="489" t="s">
        <v>177</v>
      </c>
      <c r="O29" s="490"/>
      <c r="P29" s="490"/>
      <c r="Q29" s="491"/>
      <c r="S29" s="70" t="s">
        <v>93</v>
      </c>
      <c r="T29" s="29" t="s">
        <v>186</v>
      </c>
      <c r="U29" s="36" t="s">
        <v>187</v>
      </c>
      <c r="W29" s="218" t="s">
        <v>160</v>
      </c>
      <c r="X29" s="165" t="s">
        <v>53</v>
      </c>
      <c r="Y29" s="165" t="s">
        <v>54</v>
      </c>
      <c r="Z29" s="166" t="s">
        <v>136</v>
      </c>
    </row>
    <row r="30" spans="2:26" ht="15" customHeight="1">
      <c r="B30" s="167"/>
      <c r="C30" s="145" t="s">
        <v>206</v>
      </c>
      <c r="D30" s="156"/>
      <c r="E30" s="219"/>
      <c r="F30" s="105" t="e">
        <f>$J$25-5*F29</f>
        <v>#N/A</v>
      </c>
      <c r="G30" s="163"/>
      <c r="I30" s="366" t="s">
        <v>288</v>
      </c>
      <c r="J30" s="202" t="str">
        <f>IF(AND(ISBLANK(O54),ISBLANK(O59),ISBLANK(O60),ISBLANK(O65)),"Blank",   IF(ISBLANK(O59),"Missing CD_UDDS",IF(ISBLANK(O60),"Missing CD_Hwy",IF(OR(ISBLANK(T55),ISBLANK(U55)),"Missing CD Calcs",IF(ISBLANK(O65),"Missing CS Tests",IF(ISBLANK(O80),"Missing CS Calcs","Complete"))))))</f>
        <v>Blank</v>
      </c>
      <c r="L30" s="115"/>
      <c r="N30" s="18"/>
      <c r="O30" s="74" t="s">
        <v>184</v>
      </c>
      <c r="P30" s="19" t="s">
        <v>185</v>
      </c>
      <c r="Q30" s="19" t="s">
        <v>188</v>
      </c>
      <c r="S30" s="17" t="s">
        <v>94</v>
      </c>
      <c r="T30" s="30"/>
      <c r="U30" s="37"/>
      <c r="W30" s="158" t="s">
        <v>161</v>
      </c>
      <c r="X30" s="221" cm="1">
        <f t="array" ref="X30">IFERROR(ASTM(mdiuf(T6),3),0)</f>
        <v>0</v>
      </c>
      <c r="Y30" s="221" cm="1">
        <f t="array" ref="Y30">IFERROR(ASTM(mdiuf(U6),3),0)</f>
        <v>0</v>
      </c>
      <c r="Z30" s="222"/>
    </row>
    <row r="31" spans="2:26" ht="15" customHeight="1" thickBot="1">
      <c r="B31" s="167"/>
      <c r="C31" s="156" t="s">
        <v>207</v>
      </c>
      <c r="D31" s="185" t="e" cm="1">
        <f t="array" ref="D31">ASTM(IF($O$5+$O$54+$O$103=0,SUM(IFERROR(T47,0),IFERROR(T96,0),IFERROR(T145,0)) / ((T47&lt;&gt;0)+(T96&lt;&gt;0)+(T145&lt;&gt;0)),($O$5*T47+$O$54*T96+$O$103*T145)/($O$5+$O$54+$O$103)),1)</f>
        <v>#VALUE!</v>
      </c>
      <c r="E31" s="185" t="e" cm="1">
        <f t="array" ref="E31">ASTM(IF($O$5+$O$54+$O$103=0,SUM(IFERROR(U47,0),IFERROR(U96,0),IFERROR(U145,0)) / ((U47&lt;&gt;0)+(U96&lt;&gt;0)+(U145&lt;&gt;0)),($O$5*U47+$O$54*U96+$O$103*U145)/($O$5+$O$54+$O$103)),1)</f>
        <v>#VALUE!</v>
      </c>
      <c r="F31" s="223" t="e" cm="1">
        <f t="array" ref="F31">ASTM(0.55*D31+0.45*E31,0)</f>
        <v>#VALUE!</v>
      </c>
      <c r="G31" s="163"/>
      <c r="I31" s="370" t="s">
        <v>289</v>
      </c>
      <c r="J31" s="225" t="str">
        <f>IF(AND(ISBLANK(O103),ISBLANK(O108),ISBLANK(O109),ISBLANK(O114)),"Blank",   IF(ISBLANK(O108),"Missing CD_UDDS",IF(ISBLANK(O109),"Missing CD_Hwy",IF(OR(ISBLANK(T104),ISBLANK(U104)),"Missing CD Calcs",IF(ISBLANK(O114),"Missing CS Tests",IF(ISBLANK(O129),"Missing CS Calcs","Complete"))))))</f>
        <v>Blank</v>
      </c>
      <c r="L31" s="115"/>
      <c r="N31" s="20" t="s">
        <v>55</v>
      </c>
      <c r="O31" s="224"/>
      <c r="P31" s="225"/>
      <c r="Q31" s="395"/>
      <c r="S31" s="17" t="s">
        <v>173</v>
      </c>
      <c r="T31" s="227"/>
      <c r="U31" s="228"/>
      <c r="W31" s="229" t="s">
        <v>162</v>
      </c>
      <c r="X31" s="230" cm="1">
        <f t="array" ref="X31">IFERROR(ASTM(1/(X30/(T6/T14)+(1-X30)/O31),4),0)</f>
        <v>0</v>
      </c>
      <c r="Y31" s="230" cm="1">
        <f t="array" ref="Y31">IFERROR(ASTM(1/(Y30/(U6/U14)+(1-Y30)/P31),4),0)</f>
        <v>0</v>
      </c>
      <c r="Z31" s="231" cm="1">
        <f t="array" ref="Z31">IFERROR(ASTM(1/(0.55/X31+0.45/Y31),4),0)</f>
        <v>0</v>
      </c>
    </row>
    <row r="32" spans="2:26" ht="15" customHeight="1" thickBot="1">
      <c r="B32" s="167"/>
      <c r="C32" s="156" t="s">
        <v>208</v>
      </c>
      <c r="D32" s="200" t="e">
        <f>IF($O$5+$O$54+$O$103=0,    ((T48&lt;&gt;0)+(T97&lt;&gt;0)+(T146&lt;&gt;0))/(IFERROR(1/T48,0)+IFERROR(1/T97,0)+IFERROR(1/T146,0)),    ($O$5+$O$54+$O$103) / (IFERROR($O$5/T48,0)+IFERROR($O$54/T97,0)+IFERROR($O$103/T146,0))  )</f>
        <v>#DIV/0!</v>
      </c>
      <c r="E32" s="200" t="e">
        <f>IF($O$5+$O$54+$O$103=0,    ((U48&lt;&gt;0)+(U97&lt;&gt;0)+(U146&lt;&gt;0))/(IFERROR(1/U48,0)+IFERROR(1/U97,0)+IFERROR(1/U146,0)),    ($O$5+$O$54+$O$103) / (IFERROR($O$5/U48,0)+IFERROR($O$54/U97,0)+IFERROR($O$103/U146,0))  )</f>
        <v>#DIV/0!</v>
      </c>
      <c r="F32" s="223" t="e" cm="1">
        <f t="array" ref="F32">ASTM(1/(0.55/D32+0.45/E32),0)</f>
        <v>#VALUE!</v>
      </c>
      <c r="G32" s="163"/>
      <c r="I32" s="367" t="s">
        <v>290</v>
      </c>
      <c r="J32" s="368">
        <f>VALUE(O5)</f>
        <v>0</v>
      </c>
      <c r="L32" s="115"/>
      <c r="N32" s="20" t="s">
        <v>56</v>
      </c>
      <c r="O32" s="224"/>
      <c r="P32" s="225"/>
      <c r="Q32" s="396"/>
      <c r="S32" s="17" t="s">
        <v>95</v>
      </c>
      <c r="T32" s="30"/>
      <c r="U32" s="37"/>
      <c r="W32" s="233" t="s">
        <v>163</v>
      </c>
      <c r="X32" s="234" t="s">
        <v>53</v>
      </c>
      <c r="Y32" s="234" t="s">
        <v>54</v>
      </c>
      <c r="Z32" s="235"/>
    </row>
    <row r="33" spans="2:26" ht="15" customHeight="1" thickBot="1">
      <c r="B33" s="167"/>
      <c r="C33" s="156" t="s">
        <v>209</v>
      </c>
      <c r="D33" s="199"/>
      <c r="E33" s="199"/>
      <c r="F33" s="98" t="e" cm="1">
        <f t="array" ref="F33">INDEX('Label Inputs'!$W$5:$Z$154, MATCH(1,('Label Inputs'!$W$5:$W$154=$J$5)*('Label Inputs'!$Y$5:$Y$154&gt;=$F$32),0),4)</f>
        <v>#N/A</v>
      </c>
      <c r="G33" s="163"/>
      <c r="I33" s="367" t="s">
        <v>292</v>
      </c>
      <c r="J33" s="369">
        <f>VALUE(O54)</f>
        <v>0</v>
      </c>
      <c r="L33" s="115"/>
      <c r="N33" s="20" t="s">
        <v>57</v>
      </c>
      <c r="O33" s="237"/>
      <c r="P33" s="238"/>
      <c r="Q33" s="116"/>
      <c r="S33" s="17" t="s">
        <v>96</v>
      </c>
      <c r="T33" s="30"/>
      <c r="U33" s="37"/>
      <c r="W33" s="239" t="s">
        <v>164</v>
      </c>
      <c r="X33" s="240">
        <f>IF(O46,   T31,   0)</f>
        <v>0</v>
      </c>
      <c r="Y33" s="240">
        <f>IF(P46,   U31,   0)</f>
        <v>0</v>
      </c>
      <c r="Z33" s="241"/>
    </row>
    <row r="34" spans="2:26" ht="15" customHeight="1" thickBot="1">
      <c r="B34" s="176"/>
      <c r="C34" s="177" t="s">
        <v>210</v>
      </c>
      <c r="D34" s="178"/>
      <c r="E34" s="178"/>
      <c r="F34" s="104" t="e" cm="1">
        <f t="array" ref="F34">INDEX('Label Inputs'!$AB$5:$AE$154, MATCH(1,('Label Inputs'!$AB$5:$AB$154=$J$5)*('Label Inputs'!$AC$5:$AC$154&lt;=$F$31),0),4)</f>
        <v>#N/A</v>
      </c>
      <c r="G34" s="179"/>
      <c r="I34" s="371" t="s">
        <v>293</v>
      </c>
      <c r="J34" s="372">
        <f>VALUE(O103)</f>
        <v>0</v>
      </c>
      <c r="L34" s="115"/>
      <c r="N34" s="20" t="s">
        <v>58</v>
      </c>
      <c r="O34" s="237"/>
      <c r="P34" s="238"/>
      <c r="Q34" s="394"/>
      <c r="S34" s="67" t="s">
        <v>97</v>
      </c>
      <c r="T34" s="242"/>
      <c r="U34" s="192"/>
      <c r="W34" s="158" t="s">
        <v>165</v>
      </c>
      <c r="X34" s="243">
        <f>IF(O46,   X9,   0)</f>
        <v>0</v>
      </c>
      <c r="Y34" s="243">
        <f>IF(P46,  Y9,   0)</f>
        <v>0</v>
      </c>
      <c r="Z34" s="244"/>
    </row>
    <row r="35" spans="2:26" ht="15" customHeight="1" thickBot="1">
      <c r="L35" s="115"/>
      <c r="N35" s="21" t="s">
        <v>59</v>
      </c>
      <c r="O35" s="245"/>
      <c r="P35" s="246"/>
      <c r="Q35" s="259"/>
      <c r="S35" s="70" t="s">
        <v>67</v>
      </c>
      <c r="T35" s="247" t="s">
        <v>68</v>
      </c>
      <c r="U35" s="248" t="s">
        <v>69</v>
      </c>
      <c r="W35" s="158" t="s">
        <v>166</v>
      </c>
      <c r="X35" s="249" cm="1">
        <f t="array" ref="X35">IF(O46,   ASTM(X11,1),   0)</f>
        <v>0</v>
      </c>
      <c r="Y35" s="249" cm="1">
        <f t="array" ref="Y35">IF(P46,   ASTM(Y11,1),   0)</f>
        <v>0</v>
      </c>
      <c r="Z35" s="172"/>
    </row>
    <row r="36" spans="2:26" ht="15" customHeight="1" thickBot="1">
      <c r="B36" s="250" t="s">
        <v>212</v>
      </c>
      <c r="C36" s="116"/>
      <c r="D36" s="251"/>
      <c r="E36" s="116"/>
      <c r="F36" s="116"/>
      <c r="G36" s="116"/>
      <c r="I36" s="416"/>
      <c r="J36" s="416"/>
      <c r="L36" s="115"/>
      <c r="S36" s="17" t="s">
        <v>98</v>
      </c>
      <c r="T36" s="252" t="e" cm="1">
        <f t="array" ref="T36">IF(O43,   ASTM(T6*((O34-T24)/O34),3),   NA())</f>
        <v>#N/A</v>
      </c>
      <c r="U36" s="253" t="e" cm="1">
        <f t="array" ref="U36">IF(P43,   ASTM(U6*((P34-U24)/P34),3),   NA())</f>
        <v>#N/A</v>
      </c>
      <c r="W36" s="158" t="s">
        <v>167</v>
      </c>
      <c r="X36" s="243" cm="1">
        <f t="array" ref="X36">IF(O46,   ASTM(1/(T16+(1-X33)/O32),4),   0)</f>
        <v>0</v>
      </c>
      <c r="Y36" s="243" cm="1">
        <f t="array" ref="Y36">IF(P46,   ASTM(1/(U16+(1-Y33)/P32),4),   0)</f>
        <v>0</v>
      </c>
      <c r="Z36" s="244"/>
    </row>
    <row r="37" spans="2:26" ht="15" customHeight="1" thickBot="1">
      <c r="B37" s="254"/>
      <c r="C37" s="255" t="s">
        <v>163</v>
      </c>
      <c r="D37" s="256" t="s">
        <v>53</v>
      </c>
      <c r="E37" s="256" t="s">
        <v>54</v>
      </c>
      <c r="F37" s="256"/>
      <c r="G37" s="257"/>
      <c r="I37" s="416"/>
      <c r="J37" s="416"/>
      <c r="L37" s="115"/>
      <c r="O37" s="258" t="s">
        <v>53</v>
      </c>
      <c r="P37" s="258" t="s">
        <v>54</v>
      </c>
      <c r="Q37" s="259"/>
      <c r="S37" s="63" t="s">
        <v>99</v>
      </c>
      <c r="T37" s="31" cm="1">
        <f t="array" ref="T37">IF(O43,   ASTM((ASTM($J$15,1)-T18)*ASTM(O32,4),3),   0)</f>
        <v>0</v>
      </c>
      <c r="U37" s="44" cm="1">
        <f t="array" ref="U37">IF(P43,   ASTM((ASTM($J$15,1)-U18)*ASTM(P32,4),3),   0)</f>
        <v>0</v>
      </c>
      <c r="W37" s="229" t="s">
        <v>168</v>
      </c>
      <c r="X37" s="260" cm="1">
        <f t="array" ref="X37">IF(O46,   ASTM(T28+(1-X33)*ASTM(O35,1),1),   0)</f>
        <v>0</v>
      </c>
      <c r="Y37" s="260" cm="1">
        <f t="array" ref="Y37">IF(P46,   ASTM(U28+(1-Y33)*ASTM(P35,1),1),   0)</f>
        <v>0</v>
      </c>
      <c r="Z37" s="261"/>
    </row>
    <row r="38" spans="2:26" ht="15" customHeight="1">
      <c r="B38" s="262"/>
      <c r="C38" s="263" t="s">
        <v>213</v>
      </c>
      <c r="D38" s="264" t="e" cm="1">
        <f t="array" ref="D38">ASTM(IF($O$5+$O$54+$O$103=0,SUM(IFERROR(X33,0),IFERROR(X82,0),IFERROR(X131,0))/((X33&lt;&gt;0)+(X82&lt;&gt;0)+(X131&lt;&gt;0)),($O$5*X33+$O$54*X82+$O$103*X131)/($O$5+$O$54+$O$103)),4)</f>
        <v>#VALUE!</v>
      </c>
      <c r="E38" s="264" t="e" cm="1">
        <f t="array" ref="E38">ASTM(IF($O$5+$O$54+$O$103=0,SUM(IFERROR(Y33,0),IFERROR(Y82,0),IFERROR(Y131,0))/((Y33&lt;&gt;0)+(Y82&lt;&gt;0)+(Y131&lt;&gt;0)),($O$5*Y33+$O$54*Y82+$O$103*Y131)/($O$5+$O$54+$O$103)),4)</f>
        <v>#VALUE!</v>
      </c>
      <c r="F38" s="265"/>
      <c r="G38" s="266"/>
      <c r="I38" s="416"/>
      <c r="J38" s="416"/>
      <c r="L38" s="115"/>
      <c r="N38" s="79" t="s">
        <v>174</v>
      </c>
      <c r="O38" s="477" t="b">
        <f>IF(AND(ISNUMBER($J$5),$J$5&lt;=2026,ISNUMBER($J$15),OR($J$17="Additive",$J$17="Multiplicative"),ISNUMBER($J$18),ISNUMBER($J$19),ISNUMBER($J$22),ISNUMBER($J$23),ISNUMBER($J$24),ISNUMBER($J$25),ISNUMBER($J$26)),TRUE,FALSE)</f>
        <v>0</v>
      </c>
      <c r="P38" s="478"/>
      <c r="Q38" s="1"/>
      <c r="S38" s="70" t="s">
        <v>93</v>
      </c>
      <c r="T38" s="247" t="s">
        <v>68</v>
      </c>
      <c r="U38" s="248" t="s">
        <v>69</v>
      </c>
    </row>
    <row r="39" spans="2:26" ht="15" customHeight="1" thickBot="1">
      <c r="B39" s="267"/>
      <c r="C39" s="268" t="s">
        <v>214</v>
      </c>
      <c r="D39" s="269" t="e" cm="1">
        <f t="array" ref="D39">ASTM(IF($O$5+$O$54+$O$103=0,((X34&lt;&gt;0)+(X83&lt;&gt;0)+(X132&lt;&gt;0))/(IFERROR(1/X34,0)+IFERROR(1/X83,0)+IFERROR(1/X132,0)),($O$5+$O$54+$O$103)/(IFERROR($O$5/X34,0)+IFERROR($O$54/X83,0)+IFERROR($O$103/X132,0))),4)</f>
        <v>#VALUE!</v>
      </c>
      <c r="E39" s="269" t="e" cm="1">
        <f t="array" ref="E39">ASTM(IF($O$5+$O$54+$O$103=0,((Y34&lt;&gt;0)+(Y83&lt;&gt;0)+(Y132&lt;&gt;0))/(IFERROR(1/Y34,0)+IFERROR(1/Y83,0)+IFERROR(1/Y132,0)),($O$5+$O$54+$O$103)/(IFERROR($O$5/Y34,0)+IFERROR($O$54/Y83,0)+IFERROR($O$103/Y132,0))),4)</f>
        <v>#VALUE!</v>
      </c>
      <c r="F39" s="270"/>
      <c r="G39" s="271"/>
      <c r="I39" s="114"/>
      <c r="J39" s="114"/>
      <c r="L39" s="115"/>
      <c r="N39" s="80" t="s">
        <v>169</v>
      </c>
      <c r="O39" s="81" t="b">
        <f>IF(AND(ISBLANK(O16)=FALSE,ISBLANK(P16)=FALSE,ISBLANK(O17)=FALSE,ISBLANK(P17)=FALSE,ISNUMBER(O31),ISNUMBER(O32),ISNUMBER(O33),ISNUMBER(O34),ISNUMBER(O35)),TRUE,FALSE)</f>
        <v>0</v>
      </c>
      <c r="P39" s="82" t="b">
        <f>IF(AND(ISBLANK(O16)=FALSE,ISBLANK(P16)=FALSE,ISBLANK(O17)=FALSE,ISBLANK(P17)=FALSE,ISNUMBER(P31),ISNUMBER(P32),ISNUMBER(P33),ISNUMBER(P34),ISNUMBER(P35)),TRUE,FALSE)</f>
        <v>0</v>
      </c>
      <c r="Q39" s="1"/>
      <c r="S39" s="63" t="s">
        <v>100</v>
      </c>
      <c r="T39" s="45" t="e" cm="1">
        <f t="array" ref="T39">IF(O43,   ASTM(cityfuf(T36),3),   NA())</f>
        <v>#N/A</v>
      </c>
      <c r="U39" s="46" t="e" cm="1">
        <f t="array" ref="U39">IF(P43,   ASTM(highwayfuf(U36),3),   NA())</f>
        <v>#N/A</v>
      </c>
    </row>
    <row r="40" spans="2:26" ht="15" customHeight="1" thickBot="1">
      <c r="B40" s="267"/>
      <c r="C40" s="268" t="s">
        <v>215</v>
      </c>
      <c r="D40" s="272" t="e" cm="1">
        <f t="array" ref="D40">ASTM(IFERROR(IF($O$5+$O$54+$O$103=0,SUM(IFERROR(X35,0),IFERROR(X84,0),IFERROR(X133,0))/((X35&lt;&gt;0)+(X84&lt;&gt;0)+(X133&lt;&gt;0)),($O$5*X35+$O$54*X84+$O$103*X133)/($O$5+$O$54+$O$103)),"CREE data error"),1)</f>
        <v>#VALUE!</v>
      </c>
      <c r="E40" s="272" t="e" cm="1">
        <f t="array" ref="E40">ASTM(IFERROR(IF($O$5+$O$54+$O$103=0,SUM(IFERROR(Y35,0),IFERROR(Y84,0),IFERROR(Y133,0))/((Y35&lt;&gt;0)+(Y84&lt;&gt;0)+(Y133&lt;&gt;0)),($O$5*Y35+$O$54*Y84+$O$103*Y133)/($O$5+$O$54+$O$103)),"CREE data error"),1)</f>
        <v>#VALUE!</v>
      </c>
      <c r="F40" s="270"/>
      <c r="G40" s="271"/>
      <c r="I40" s="114"/>
      <c r="J40" s="114"/>
      <c r="L40" s="115"/>
      <c r="N40" s="273" t="s">
        <v>172</v>
      </c>
      <c r="O40" s="274" t="b">
        <f>IF(AND(O38,O39),TRUE,FALSE)</f>
        <v>0</v>
      </c>
      <c r="P40" s="274" t="b">
        <f>IF(AND(O38,P39),TRUE,FALSE)</f>
        <v>0</v>
      </c>
      <c r="S40" s="70" t="s">
        <v>101</v>
      </c>
      <c r="T40" s="247" t="s">
        <v>68</v>
      </c>
      <c r="U40" s="248" t="s">
        <v>69</v>
      </c>
    </row>
    <row r="41" spans="2:26" ht="15" customHeight="1" thickBot="1">
      <c r="B41" s="267"/>
      <c r="C41" s="268" t="s">
        <v>216</v>
      </c>
      <c r="D41" s="269" t="e" cm="1">
        <f t="array" ref="D41">ASTM(IF($O$5+$O$54+$O$103=0,((X36&lt;&gt;0)+(X85&lt;&gt;0)+(X134&lt;&gt;0))/(IFERROR(1/X36,0)+IFERROR(1/X85,0)+IFERROR(1/X134,0)),($O$5+$O$54+$O$103)/(IFERROR($O$5/X36,0)+IFERROR($O$54/X85,0)+IFERROR($O$103/X134,0))),4)</f>
        <v>#VALUE!</v>
      </c>
      <c r="E41" s="269" t="e" cm="1">
        <f t="array" ref="E41">ASTM(IF($O$5+$O$54+$O$103=0,((Y36&lt;&gt;0)+(Y85&lt;&gt;0)+(Y134&lt;&gt;0))/(IFERROR(1/Y36,0)+IFERROR(1/Y85,0)+IFERROR(1/Y134,0)),($O$5+$O$54+$O$103)/(IFERROR($O$5/Y36,0)+IFERROR($O$54/Y85,0)+IFERROR($O$103/Y134,0))),4)</f>
        <v>#VALUE!</v>
      </c>
      <c r="F41" s="270"/>
      <c r="G41" s="275"/>
      <c r="I41" s="114"/>
      <c r="J41" s="114"/>
      <c r="L41" s="115"/>
      <c r="Q41" s="1"/>
      <c r="S41" s="64" t="s">
        <v>102</v>
      </c>
      <c r="T41" s="276" t="e" cm="1">
        <f t="array" ref="T41">IF(O43,   ASTM($J$24*T12/100,3),   NA())</f>
        <v>#N/A</v>
      </c>
      <c r="U41" s="277" t="e" cm="1">
        <f t="array" ref="U41">IF(P43,   ASTM($J$24*U12/100,3),   NA())</f>
        <v>#N/A</v>
      </c>
    </row>
    <row r="42" spans="2:26" ht="15" customHeight="1" thickBot="1">
      <c r="B42" s="278"/>
      <c r="C42" s="279" t="s">
        <v>217</v>
      </c>
      <c r="D42" s="272" t="e" cm="1">
        <f t="array" ref="D42">ASTM(IFERROR(IF($O$5+$O$54+$O$103=0,SUM(IFERROR(X37,0),IFERROR(X86,0),IFERROR(X135,0))/((X37&lt;&gt;0)+(X86&lt;&gt;0)+(X135&lt;&gt;0)),($O$5*X37+$O$54*X86+$O$103*X135)/($O$5+$O$54+$O$103)),"CREE data error"),1)</f>
        <v>#VALUE!</v>
      </c>
      <c r="E42" s="272" t="e" cm="1">
        <f t="array" ref="E42">ASTM(IFERROR(IF($O$5+$O$54+$O$103=0,SUM(IFERROR(Y37,0),IFERROR(Y86,0),IFERROR(Y135,0))/((Y37&lt;&gt;0)+(Y86&lt;&gt;0)+(Y135&lt;&gt;0)),($O$5*Y37+$O$54*Y86+$O$103*Y135)/($O$5+$O$54+$O$103)),"CREE data error"),1)</f>
        <v>#VALUE!</v>
      </c>
      <c r="F42" s="280"/>
      <c r="G42" s="281"/>
      <c r="I42" s="114"/>
      <c r="J42" s="114"/>
      <c r="L42" s="115"/>
      <c r="N42" s="56" t="s">
        <v>170</v>
      </c>
      <c r="O42" s="53" t="b">
        <f>IF(AND(ISNUMBER(T6),ISNUMBER(T7),ISNUMBER(T8),ISNUMBER(T9),   ISNUMBER(T11),ISNUMBER(T12),ISNUMBER(T13),ISNUMBER(T14),ISNUMBER(T15),ISNUMBER(T16),ISNUMBER(T17),ISNUMBER(T18),ISNUMBER(T19),ISNUMBER(T20),ISNUMBER(T21),ISNUMBER(T22),   ISNUMBER(T24),ISNUMBER(T25),ISNUMBER(T26),ISNUMBER(T27),ISNUMBER(T28),   ISNUMBER(T30),ISNUMBER(T31),ISNUMBER(T32),ISNUMBER(T33)),TRUE,FALSE)</f>
        <v>0</v>
      </c>
      <c r="P42" s="54" t="b">
        <f>IF(AND(ISNUMBER(U6),ISNUMBER(U7),ISNUMBER(U8),ISNUMBER(U9),   ISNUMBER(U11),ISNUMBER(U12),ISNUMBER(U13),ISNUMBER(U14),ISNUMBER(U15),ISNUMBER(U16),ISNUMBER(U17),ISNUMBER(U18),ISNUMBER(U19),ISNUMBER(U20),ISNUMBER(U21),ISNUMBER(U22),   ISNUMBER(U24),ISNUMBER(U25),ISNUMBER(U26),ISNUMBER(U27),ISNUMBER(U28),   ISNUMBER(U30),ISNUMBER(U31),ISNUMBER(U32),ISNUMBER(U33)),TRUE,FALSE)</f>
        <v>0</v>
      </c>
      <c r="Q42" s="1"/>
      <c r="S42" s="64" t="s">
        <v>103</v>
      </c>
      <c r="T42" s="48" t="e" cm="1">
        <f t="array" ref="T42">IF(O43,   ASTM($J$23 *(T18/T7),3),   NA())</f>
        <v>#N/A</v>
      </c>
      <c r="U42" s="49" t="e" cm="1">
        <f t="array" ref="U42">IF(P43,   ASTM($J$23 *(U18/U7),3),   NA())</f>
        <v>#N/A</v>
      </c>
    </row>
    <row r="43" spans="2:26" ht="15" customHeight="1" thickBot="1">
      <c r="B43" s="254"/>
      <c r="C43" s="255" t="s">
        <v>329</v>
      </c>
      <c r="D43" s="256" t="s">
        <v>53</v>
      </c>
      <c r="E43" s="256" t="s">
        <v>54</v>
      </c>
      <c r="F43" s="256" t="s">
        <v>136</v>
      </c>
      <c r="G43" s="282"/>
      <c r="I43" s="114"/>
      <c r="J43" s="114"/>
      <c r="L43" s="115"/>
      <c r="N43" s="273" t="s">
        <v>172</v>
      </c>
      <c r="O43" s="55" t="b">
        <f>IF(AND(O40,O42),TRUE,FALSE)</f>
        <v>0</v>
      </c>
      <c r="P43" s="54" t="b">
        <f>IF(AND(P40,P42),TRUE,FALSE)</f>
        <v>0</v>
      </c>
      <c r="S43" s="64" t="s">
        <v>104</v>
      </c>
      <c r="T43" s="276" t="e" cm="1">
        <f t="array" ref="T43">IF(O43,   ASTM(T41+T42,3),   NA())</f>
        <v>#N/A</v>
      </c>
      <c r="U43" s="277" t="e" cm="1">
        <f t="array" ref="U43">IF(P43,   ASTM(U41+U42,3),   NA())</f>
        <v>#N/A</v>
      </c>
    </row>
    <row r="44" spans="2:26" ht="15" customHeight="1" thickBot="1">
      <c r="B44" s="267"/>
      <c r="C44" s="268" t="s">
        <v>331</v>
      </c>
      <c r="D44" s="269" t="e">
        <f>IF($O$5+$O$54+$O$103=0,SUM(IFERROR(X30,0),IFERROR(X79,0),IFERROR(X128,0))/((X30&lt;&gt;0)+(X79&lt;&gt;0)+(X128&lt;&gt;0)),($O$5*X30+$O$54*X79+$O$103*X128)/($O$5+$O$54+$O$103))</f>
        <v>#DIV/0!</v>
      </c>
      <c r="E44" s="269" t="e">
        <f>IF($O$5+$O$54+$O$103=0,SUM(IFERROR(Y30,0),IFERROR(Y79,0),IFERROR(Y128,0))/((Y30&lt;&gt;0)+(Y79&lt;&gt;0)+(Y128&lt;&gt;0)),($O$5*Y30+$O$54*Y79+$O$103*Y128)/($O$5+$O$54+$O$103))</f>
        <v>#DIV/0!</v>
      </c>
      <c r="F44" s="268"/>
      <c r="G44" s="283"/>
      <c r="I44" s="114"/>
      <c r="J44" s="114"/>
      <c r="L44" s="115"/>
      <c r="Q44" s="1"/>
      <c r="S44" s="64" t="s">
        <v>105</v>
      </c>
      <c r="T44" s="284" t="e" cm="1">
        <f t="array" ref="T44">IF(O43,   ASTM($J$23/ASTM(O32,4),3),   NA())</f>
        <v>#N/A</v>
      </c>
      <c r="U44" s="285" t="e" cm="1">
        <f t="array" ref="U44">IF(P43,   ASTM($J$23/ASTM(P32,4),3),   NA())</f>
        <v>#N/A</v>
      </c>
    </row>
    <row r="45" spans="2:26" ht="15" customHeight="1" thickBot="1">
      <c r="B45" s="267"/>
      <c r="C45" s="268" t="s">
        <v>218</v>
      </c>
      <c r="D45" s="272" t="e">
        <f>IF($O$5+$O$54+$O$103=0,((X31&lt;&gt;0)+(X80&lt;&gt;0)+(X129&lt;&gt;0))/(IFERROR(1/X31,0)+IFERROR(1/X80,0)+IFERROR(1/X129,0)),($O$5+$O$54+$O$103)/(IFERROR($O$5/X31,0)+IFERROR($O$54/X80,0)+IFERROR($O$103/X129,0)))</f>
        <v>#DIV/0!</v>
      </c>
      <c r="E45" s="272" t="e">
        <f>IF($O$5+$O$54+$O$103=0,((Y31&lt;&gt;0)+(Y80&lt;&gt;0)+(Y129&lt;&gt;0))/(IFERROR(1/Y31,0)+IFERROR(1/Y80,0)+IFERROR(1/Y129,0)),($O$5+$O$54+$O$103)/(IFERROR($O$5/Y31,0)+IFERROR($O$54/Y80,0)+IFERROR($O$103/Y129,0)))</f>
        <v>#DIV/0!</v>
      </c>
      <c r="F45" s="272" t="e">
        <f>1/(0.55/D45+0.45/E45)</f>
        <v>#DIV/0!</v>
      </c>
      <c r="G45" s="283"/>
      <c r="L45" s="115"/>
      <c r="N45" s="56" t="s">
        <v>171</v>
      </c>
      <c r="O45" s="53" t="b">
        <f>IF(AND(ISNUMBER(T36),ISNUMBER(T37),   ISNUMBER(T39),   ISNUMBER(T41),ISNUMBER(T42),ISNUMBER(T43),ISNUMBER(T44),ISNUMBER(T45),   ISNUMBER(T47),ISNUMBER(T48)),TRUE,FALSE)</f>
        <v>0</v>
      </c>
      <c r="P45" s="54" t="b">
        <f>IF(AND(ISNUMBER(U36),ISNUMBER(U37),   ISNUMBER(U39),   ISNUMBER(U41),ISNUMBER(U42),ISNUMBER(U43),ISNUMBER(U44),ISNUMBER(U45),   ISNUMBER(U47),ISNUMBER(U48)),TRUE,FALSE)</f>
        <v>0</v>
      </c>
      <c r="Q45" s="2"/>
      <c r="S45" s="65" t="s">
        <v>106</v>
      </c>
      <c r="T45" s="286" t="e" cm="1">
        <f t="array" ref="T45">IF(O43,   ASTM(T32*T43+(1-T32)*T44,3),   NA())</f>
        <v>#N/A</v>
      </c>
      <c r="U45" s="287" t="e" cm="1">
        <f t="array" ref="U45">IF(P43,   ASTM(U32*U43+(1-U32)*U44,3),   NA())</f>
        <v>#N/A</v>
      </c>
    </row>
    <row r="46" spans="2:26" ht="15" customHeight="1" thickBot="1">
      <c r="B46" s="288"/>
      <c r="C46" s="289" t="s">
        <v>219</v>
      </c>
      <c r="D46" s="290"/>
      <c r="E46" s="290"/>
      <c r="F46" s="290"/>
      <c r="G46" s="291"/>
      <c r="L46" s="115"/>
      <c r="N46" s="273" t="s">
        <v>172</v>
      </c>
      <c r="O46" s="57" t="b">
        <f>IF(AND(O43,O45),TRUE,FALSE)</f>
        <v>0</v>
      </c>
      <c r="P46" s="58" t="b">
        <f>IF(AND(P43,P45),TRUE,FALSE)</f>
        <v>0</v>
      </c>
      <c r="S46" s="71" t="s">
        <v>107</v>
      </c>
      <c r="T46" s="29" t="s">
        <v>68</v>
      </c>
      <c r="U46" s="36" t="s">
        <v>69</v>
      </c>
    </row>
    <row r="47" spans="2:26" ht="15" customHeight="1" thickBot="1">
      <c r="B47" s="288"/>
      <c r="C47" s="292" t="s">
        <v>220</v>
      </c>
      <c r="D47" s="293"/>
      <c r="E47" s="294"/>
      <c r="F47" s="295" t="s">
        <v>44</v>
      </c>
      <c r="G47" s="296"/>
      <c r="L47" s="115"/>
      <c r="S47" s="64" t="s">
        <v>108</v>
      </c>
      <c r="T47" s="32" cm="1">
        <f t="array" ref="T47">IF(O43,   ASTM(T26+(1-T33)*O35,1),   0)</f>
        <v>0</v>
      </c>
      <c r="U47" s="38" cm="1">
        <f t="array" ref="U47">IF(P43,   ASTM(U26+(1-U33)*P35,1),   0)</f>
        <v>0</v>
      </c>
    </row>
    <row r="48" spans="2:26" ht="15" customHeight="1" thickBot="1">
      <c r="B48" s="297"/>
      <c r="C48" s="298" t="s">
        <v>221</v>
      </c>
      <c r="D48" s="299"/>
      <c r="E48" s="300"/>
      <c r="F48" s="301" t="e" cm="1">
        <f t="array" ref="F48">ASTM(IF($O$5+$O$54+$O$103=0,((O32&lt;&gt;0)+(O81&lt;&gt;0)+(O130&lt;&gt;0))/(IFERROR(1/O32,0)+IFERROR(1/O81,0)+IFERROR(1/O130,0)),($O$5+$O$54+$O$103)/(IFERROR($O$5/O32,0)+IFERROR($O$54/O81,0)+IFERROR($O$103/O130,0))),0)</f>
        <v>#VALUE!</v>
      </c>
      <c r="G48" s="302"/>
      <c r="L48" s="115"/>
      <c r="S48" s="63" t="s">
        <v>109</v>
      </c>
      <c r="T48" s="303" cm="1">
        <f t="array" ref="T48">IF(O43,   ASTM(1/(T17+(1-T33)/O32),4),   0)</f>
        <v>0</v>
      </c>
      <c r="U48" s="304" cm="1">
        <f t="array" ref="U48">IF(P43,   ASTM(1/(U17+(1-U33)/P32),4),   0)</f>
        <v>0</v>
      </c>
    </row>
    <row r="49" spans="2:34" ht="15" customHeight="1">
      <c r="B49" s="305"/>
      <c r="C49" s="306" t="s">
        <v>222</v>
      </c>
      <c r="D49" s="307"/>
      <c r="E49" s="308"/>
      <c r="F49" s="309" t="e" cm="1">
        <f t="array" ref="F49">ASTM(IF($O$5+$O$54+$O$103=0,((P32&lt;&gt;0)+(P81&lt;&gt;0)+(P130&lt;&gt;0))/(IFERROR(1/P32,0)+IFERROR(1/P81,0)+IFERROR(1/P130,0)),($O$5+$O$54+$O$103)/(IFERROR($O$5/P32,0)+IFERROR($O$54/P81,0)+IFERROR($O$103/P130,0))),0)</f>
        <v>#VALUE!</v>
      </c>
      <c r="G49" s="310"/>
      <c r="L49" s="115"/>
      <c r="S49" s="2"/>
      <c r="T49" s="259"/>
      <c r="U49" s="259"/>
    </row>
    <row r="50" spans="2:34" ht="15" customHeight="1">
      <c r="B50" s="305"/>
      <c r="C50" s="306" t="s">
        <v>223</v>
      </c>
      <c r="D50" s="307"/>
      <c r="E50" s="308"/>
      <c r="F50" s="309" t="e" cm="1">
        <f t="array" ref="F50">ASTM(1/(0.55/(IF($O$5+$O$54+$O$103=0,((O32&lt;&gt;0)+(O81&lt;&gt;0)+(O130&lt;&gt;0))/(IFERROR(1/O32,0)+IFERROR(1/O81,0)+IFERROR(1/O130,0)),($O$5+$O$54+$O$103)/(IFERROR($O$5/O32,0)+IFERROR($O$54/O81,0)+IFERROR($O$103/O130,0))))+0.45/(IF($O$5+$O$54+$O$103=0,((P32&lt;&gt;0)+(P81&lt;&gt;0)+(P130&lt;&gt;0))/(IFERROR(1/P32,0)+IFERROR(1/P81,0)+IFERROR(1/P130,0)),($O$5+$O$54+$O$103)/(IFERROR($O$5/P32,0)+IFERROR($O$54/P81,0)+IFERROR($O$103/P130,0))))),0)</f>
        <v>#VALUE!</v>
      </c>
      <c r="G50" s="310"/>
      <c r="L50" s="115"/>
      <c r="M50" s="115"/>
      <c r="N50" s="115"/>
      <c r="O50" s="115"/>
      <c r="P50" s="115"/>
      <c r="Q50" s="115"/>
      <c r="R50" s="115"/>
      <c r="S50" s="90"/>
      <c r="T50" s="311"/>
      <c r="U50" s="311"/>
      <c r="V50" s="115"/>
      <c r="W50" s="115"/>
      <c r="X50" s="115"/>
      <c r="Y50" s="115"/>
      <c r="Z50" s="115"/>
      <c r="AA50" s="115"/>
      <c r="AB50" s="115"/>
      <c r="AC50" s="115"/>
      <c r="AD50" s="115"/>
      <c r="AE50" s="115"/>
      <c r="AF50" s="115"/>
      <c r="AG50" s="115"/>
      <c r="AH50" s="115"/>
    </row>
    <row r="51" spans="2:34" ht="15" customHeight="1" thickBot="1">
      <c r="B51" s="312"/>
      <c r="C51" s="306" t="s">
        <v>224</v>
      </c>
      <c r="D51" s="313"/>
      <c r="E51" s="313"/>
      <c r="F51" s="314" t="e" cm="1">
        <f t="array" ref="F51">ASTM(IF($O$5+$O$54+$O$103=0,((O31&lt;&gt;0)+(O80&lt;&gt;0)+(O129&lt;&gt;0))/(IFERROR(1/O31,0)+IFERROR(1/O80,0)+IFERROR(1/O129,0)),($O$5+$O$54+$O$103)/(IFERROR($O$5/O31,0)+IFERROR($O$54/O80,0)+IFERROR($O$103/O129,0))),1)</f>
        <v>#VALUE!</v>
      </c>
      <c r="G51" s="315"/>
      <c r="L51" s="115"/>
    </row>
    <row r="52" spans="2:34" ht="15" customHeight="1" thickBot="1">
      <c r="B52" s="305"/>
      <c r="C52" s="306" t="s">
        <v>225</v>
      </c>
      <c r="D52" s="307"/>
      <c r="E52" s="308"/>
      <c r="F52" s="314" t="e" cm="1">
        <f t="array" ref="F52">ASTM(IF($O$5+$O$54+$O$103=0,((P31&lt;&gt;0)+(P80&lt;&gt;0)+(P129&lt;&gt;0))/(IFERROR(1/P31,0)+IFERROR(1/P80,0)+IFERROR(1/P129,0)),($O$5+$O$54+$O$103)/(IFERROR($O$5/P31,0)+IFERROR($O$54/P80,0)+IFERROR($O$103/P129,0))),1)</f>
        <v>#VALUE!</v>
      </c>
      <c r="G52" s="310"/>
      <c r="L52" s="115"/>
      <c r="N52" s="72" t="s">
        <v>62</v>
      </c>
      <c r="O52" s="95"/>
      <c r="P52" s="23"/>
      <c r="Q52" s="492">
        <v>2</v>
      </c>
      <c r="S52" s="66" t="s">
        <v>64</v>
      </c>
      <c r="T52" s="28" t="s">
        <v>110</v>
      </c>
      <c r="U52" s="47">
        <f>O53</f>
        <v>0</v>
      </c>
      <c r="W52" s="66" t="s">
        <v>133</v>
      </c>
      <c r="X52" s="123">
        <f>O53</f>
        <v>0</v>
      </c>
      <c r="Y52" s="124"/>
      <c r="Z52" s="125"/>
    </row>
    <row r="53" spans="2:34" ht="15" customHeight="1" thickBot="1">
      <c r="B53" s="305"/>
      <c r="C53" s="306" t="s">
        <v>226</v>
      </c>
      <c r="D53" s="307"/>
      <c r="E53" s="308"/>
      <c r="F53" s="316" t="e" cm="1">
        <f t="array" ref="F53">ASTM(1/(0.55/(IF($O$5+$O$54+$O$103=0,((O31&lt;&gt;0)+(O80&lt;&gt;0)+(O129&lt;&gt;0))/(IFERROR(1/O31,0)+IFERROR(1/O80,0)+IFERROR(1/O129,0)),($O$5+$O$54+$O$103)/(IFERROR($O$5/O31,0)+IFERROR($O$54/O80,0)+IFERROR($O$103/O129,0))))+0.45/(IF($O$5+$O$54+$O$103=0,((P31&lt;&gt;0)+(P80&lt;&gt;0)+(P129&lt;&gt;0))/(IFERROR(1/P31,0)+IFERROR(1/P80,0)+IFERROR(1/P129,0)),($O$5+$O$54+$O$103)/(IFERROR($O$5/P31,0)+IFERROR($O$54/P80,0)+IFERROR($O$103/P129,0))))),4)</f>
        <v>#VALUE!</v>
      </c>
      <c r="G53" s="310"/>
      <c r="L53" s="115"/>
      <c r="N53" s="88" t="s">
        <v>51</v>
      </c>
      <c r="O53" s="485"/>
      <c r="P53" s="486"/>
      <c r="Q53" s="493"/>
      <c r="S53" s="67" t="s">
        <v>66</v>
      </c>
      <c r="T53" s="68"/>
      <c r="U53" s="69"/>
      <c r="W53" s="132" t="s">
        <v>134</v>
      </c>
      <c r="X53" s="133"/>
      <c r="Y53" s="133"/>
      <c r="Z53" s="134"/>
    </row>
    <row r="54" spans="2:34" ht="15" customHeight="1" thickBot="1">
      <c r="B54" s="305"/>
      <c r="C54" s="306" t="s">
        <v>227</v>
      </c>
      <c r="D54" s="307"/>
      <c r="E54" s="308"/>
      <c r="F54" s="316" t="e" cm="1">
        <f t="array" ref="F54">ASTM(IF($O$5+$O$54+$O$103=0,((O32&lt;&gt;0)+(O81&lt;&gt;0)+(O130&lt;&gt;0))/(IFERROR(1/O32,0)+IFERROR(1/O81,0)+IFERROR(1/O130,0)),($O$5+$O$54+$O$103)/(IFERROR($O$5/O32,0)+IFERROR($O$54/O81,0)+IFERROR($O$103/O130,0))),4)</f>
        <v>#VALUE!</v>
      </c>
      <c r="G54" s="310"/>
      <c r="L54" s="115"/>
      <c r="N54" s="89" t="s">
        <v>52</v>
      </c>
      <c r="O54" s="487"/>
      <c r="P54" s="488"/>
      <c r="Q54" s="494"/>
      <c r="S54" s="70" t="s">
        <v>67</v>
      </c>
      <c r="T54" s="29" t="s">
        <v>186</v>
      </c>
      <c r="U54" s="36" t="s">
        <v>187</v>
      </c>
      <c r="W54" s="141" t="s">
        <v>135</v>
      </c>
      <c r="X54" s="142" t="s">
        <v>53</v>
      </c>
      <c r="Y54" s="142" t="s">
        <v>54</v>
      </c>
      <c r="Z54" s="143" t="s">
        <v>136</v>
      </c>
    </row>
    <row r="55" spans="2:34" ht="15" customHeight="1" thickBot="1">
      <c r="B55" s="305"/>
      <c r="C55" s="306" t="s">
        <v>228</v>
      </c>
      <c r="D55" s="307"/>
      <c r="E55" s="308"/>
      <c r="F55" s="316" t="e" cm="1">
        <f t="array" ref="F55">ASTM(IF($O$5+$O$54+$O$103=0,((P32&lt;&gt;0)+(P81&lt;&gt;0)+(P130&lt;&gt;0))/(IFERROR(1/P32,0)+IFERROR(1/P81,0)+IFERROR(1/P130,0)),($O$5+$O$54+$O$103)/(IFERROR($O$5/P32,0)+IFERROR($O$54/P81,0)+IFERROR($O$103/P130,0))),4)</f>
        <v>#VALUE!</v>
      </c>
      <c r="G55" s="310"/>
      <c r="L55" s="115"/>
      <c r="N55" s="116"/>
      <c r="O55" s="116"/>
      <c r="P55" s="116"/>
      <c r="Q55" s="116"/>
      <c r="S55" s="17" t="s">
        <v>70</v>
      </c>
      <c r="T55" s="30"/>
      <c r="U55" s="37"/>
      <c r="W55" s="147" t="s">
        <v>137</v>
      </c>
      <c r="X55" s="50" cm="1">
        <f t="array" ref="X55">IF(O95,   ASTM(1/(0.5/(($J$22)/(T60/T85))+0.5/O80),4),   0)</f>
        <v>0</v>
      </c>
      <c r="Y55" s="50" cm="1">
        <f t="array" ref="Y55">IF(P95,   ASTM(1/(0.5/(($J$22)/(U60/U85))+0.5/P80),4),   0)</f>
        <v>0</v>
      </c>
      <c r="Z55" s="59" t="e" cm="1">
        <f t="array" ref="Z55">IF(AND(ISNUMBER(X55),ISNUMBER(Y55)),   ASTM(1/(0.55/X55+0.45/Y55),4),   NA())</f>
        <v>#VALUE!</v>
      </c>
    </row>
    <row r="56" spans="2:34" ht="15" customHeight="1" thickBot="1">
      <c r="B56" s="317"/>
      <c r="C56" s="318" t="s">
        <v>229</v>
      </c>
      <c r="D56" s="319"/>
      <c r="E56" s="320"/>
      <c r="F56" s="321" t="e" cm="1">
        <f t="array" ref="F56">ASTM(1/(0.55/(IF($O$5+$O$54+$O$103=0,((O32&lt;&gt;0)+(O81&lt;&gt;0)+(O130&lt;&gt;0))/(IFERROR(1/O32,0)+IFERROR(1/O81,0)+IFERROR(1/O130,0)),($O$5+$O$54+$O$103)/(IFERROR($O$5/O32,0)+IFERROR($O$54/O81,0)+IFERROR($O$103/O130,0))))+0.45/(IF($O$5+$O$54+$O$103=0,((P32&lt;&gt;0)+(P81&lt;&gt;0)+(P130&lt;&gt;0))/(IFERROR(1/P32,0)+IFERROR(1/P81,0)+IFERROR(1/P130,0)),($O$5+$O$54+$O$103)/(IFERROR($O$5/P32,0)+IFERROR($O$54/P81,0)+IFERROR($O$103/P130,0))))),4)</f>
        <v>#VALUE!</v>
      </c>
      <c r="G56" s="322"/>
      <c r="L56" s="115"/>
      <c r="N56" s="479" t="s">
        <v>175</v>
      </c>
      <c r="O56" s="480"/>
      <c r="P56" s="480"/>
      <c r="Q56" s="481"/>
      <c r="S56" s="17" t="s">
        <v>71</v>
      </c>
      <c r="T56" s="30"/>
      <c r="U56" s="37"/>
      <c r="W56" s="147" t="s">
        <v>138</v>
      </c>
      <c r="X56" s="50" cm="1">
        <f t="array" ref="X56">IF(O95,   ASTM(1/(T88/(($J$22)/(T60/T85))+(1-T88)/O80), 4),   0)</f>
        <v>0</v>
      </c>
      <c r="Y56" s="50" cm="1">
        <f t="array" ref="Y56">IF(P95,   ASTM(1/(U88/(($J$22)/(U60/U85))+(1-U88)/P80), 4),   0)</f>
        <v>0</v>
      </c>
      <c r="Z56" s="59" t="e" cm="1">
        <f t="array" ref="Z56">IF(AND(ISNUMBER(X56),ISNUMBER(Y56)),   ASTM(1/(0.55/X56+0.45/Y56),4),   NA())</f>
        <v>#VALUE!</v>
      </c>
    </row>
    <row r="57" spans="2:34" ht="15" customHeight="1" thickBot="1">
      <c r="B57" s="288"/>
      <c r="C57" s="292" t="s">
        <v>230</v>
      </c>
      <c r="D57" s="293"/>
      <c r="E57" s="294"/>
      <c r="F57" s="295" t="s">
        <v>231</v>
      </c>
      <c r="G57" s="296"/>
      <c r="L57" s="115"/>
      <c r="N57" s="482"/>
      <c r="O57" s="483"/>
      <c r="P57" s="483"/>
      <c r="Q57" s="484"/>
      <c r="S57" s="17" t="s">
        <v>72</v>
      </c>
      <c r="T57" s="30"/>
      <c r="U57" s="37"/>
      <c r="W57" s="153" t="s">
        <v>139</v>
      </c>
      <c r="X57" s="154" t="s">
        <v>53</v>
      </c>
      <c r="Y57" s="154" t="s">
        <v>54</v>
      </c>
      <c r="Z57" s="155" t="s">
        <v>136</v>
      </c>
    </row>
    <row r="58" spans="2:34" ht="15" customHeight="1" thickBot="1">
      <c r="B58" s="297"/>
      <c r="C58" s="300" t="s">
        <v>232</v>
      </c>
      <c r="D58" s="323"/>
      <c r="E58" s="323"/>
      <c r="F58" s="301" t="e" cm="1">
        <f t="array" ref="F58">ASTM(IF($O$5+$O$54+$O$103=0,(O35+O84+O133)/((O35&lt;&gt;0)+(O84&lt;&gt;0)+(O133&lt;&gt;0)),(IFERROR($O$5*O35,0)+IFERROR($O$54*O84,0)+IFERROR($O$103*O133,0))/($O$5+$O$54+$O$103)),0)</f>
        <v>#VALUE!</v>
      </c>
      <c r="G58" s="324"/>
      <c r="L58" s="115"/>
      <c r="N58" s="87"/>
      <c r="O58" s="85" t="s">
        <v>182</v>
      </c>
      <c r="P58" s="85" t="s">
        <v>181</v>
      </c>
      <c r="Q58" s="86" t="s">
        <v>179</v>
      </c>
      <c r="S58" s="63" t="s">
        <v>73</v>
      </c>
      <c r="T58" s="31"/>
      <c r="U58" s="44"/>
      <c r="W58" s="158" t="s">
        <v>140</v>
      </c>
      <c r="X58" s="50" cm="1">
        <f t="array" ref="X58">IF(O95,   ASTM(1/(T64+(1-T79)/O80),4),   0)</f>
        <v>0</v>
      </c>
      <c r="Y58" s="50" cm="1">
        <f t="array" ref="Y58">IF(P95,   ASTM(1/(U64+(1-U79)/P80),4),   0)</f>
        <v>0</v>
      </c>
      <c r="Z58" s="59" t="e" cm="1">
        <f t="array" ref="Z58">IF(AND(ISNUMBER(X58),ISNUMBER(Y58)),   ASTM(1/(0.55/X58+0.45/Y58),4),   NA())</f>
        <v>#VALUE!</v>
      </c>
    </row>
    <row r="59" spans="2:34" ht="15" customHeight="1" thickBot="1">
      <c r="B59" s="305"/>
      <c r="C59" s="308" t="s">
        <v>233</v>
      </c>
      <c r="D59" s="307"/>
      <c r="E59" s="308"/>
      <c r="F59" s="309" t="e" cm="1">
        <f t="array" ref="F59">ASTM(IF($O$5+$O$54+$O$103=0,(P35+P84+P133)/((P35&lt;&gt;0)+(P84&lt;&gt;0)+(P133&lt;&gt;0)),(IFERROR($O$5*P35,0)+IFERROR($O$54*P84,0)+IFERROR($O$103*P133,0))/($O$5+$O$54+$O$103)),0)</f>
        <v>#VALUE!</v>
      </c>
      <c r="G59" s="310"/>
      <c r="L59" s="115"/>
      <c r="N59" s="20" t="s">
        <v>180</v>
      </c>
      <c r="O59" s="109"/>
      <c r="P59" s="109"/>
      <c r="Q59" s="110"/>
      <c r="S59" s="70" t="s">
        <v>74</v>
      </c>
      <c r="T59" s="29" t="s">
        <v>186</v>
      </c>
      <c r="U59" s="36" t="s">
        <v>187</v>
      </c>
      <c r="W59" s="164" t="s">
        <v>141</v>
      </c>
      <c r="X59" s="165" t="s">
        <v>53</v>
      </c>
      <c r="Y59" s="165" t="s">
        <v>54</v>
      </c>
      <c r="Z59" s="166" t="s">
        <v>136</v>
      </c>
    </row>
    <row r="60" spans="2:34" ht="15" customHeight="1" thickBot="1">
      <c r="B60" s="305"/>
      <c r="C60" s="308" t="s">
        <v>234</v>
      </c>
      <c r="D60" s="307"/>
      <c r="E60" s="308"/>
      <c r="F60" s="106" t="e" cm="1">
        <f t="array" ref="F60">ASTM(0.55*(IF($O$5+$O$54+$O$103=0,(O35+O84+O133)/((O35&lt;&gt;0)+(O84&lt;&gt;0)+(O133&lt;&gt;0)),(IFERROR($O$5*O35,0)+IFERROR($O$54*O84,0)+IFERROR($O$103*O133,0))/($O$5+$O$54+$O$103)))+0.45*(IF($O$5+$O$54+$O$103=0,(P35+P84+P133)/((P35&lt;&gt;0)+(P84&lt;&gt;0)+(P133&lt;&gt;0)),(IFERROR($O$5*P35,0)+IFERROR($O$54*P84,0)+IFERROR($O$103*P133,0))/($O$5+$O$54+$O$103))),0)</f>
        <v>#VALUE!</v>
      </c>
      <c r="G60" s="310"/>
      <c r="L60" s="115"/>
      <c r="N60" s="21" t="s">
        <v>180</v>
      </c>
      <c r="O60" s="111"/>
      <c r="P60" s="111"/>
      <c r="Q60" s="112"/>
      <c r="S60" s="17" t="s">
        <v>75</v>
      </c>
      <c r="T60" s="32"/>
      <c r="U60" s="38"/>
      <c r="W60" s="158" t="s">
        <v>142</v>
      </c>
      <c r="X60" s="171" cm="1">
        <f t="array" ref="X60">IF(O95,   ASTM(T76+(1-T79)*O82,1),   0)</f>
        <v>0</v>
      </c>
      <c r="Y60" s="171" cm="1">
        <f t="array" ref="Y60">IF(P95,   ASTM(U76+(1-U79)*P82,1),   0)</f>
        <v>0</v>
      </c>
      <c r="Z60" s="172" cm="1">
        <f t="array" ref="Z60">IF(AND(ISNUMBER(X60),ISNUMBER(Y60)),   ASTM(0.55*X60+0.45*Y60,1),   NA())</f>
        <v>0</v>
      </c>
    </row>
    <row r="61" spans="2:34" ht="15" customHeight="1" thickBot="1">
      <c r="B61" s="305"/>
      <c r="C61" s="308" t="s">
        <v>235</v>
      </c>
      <c r="D61" s="307"/>
      <c r="E61" s="308"/>
      <c r="F61" s="314" t="e" cm="1">
        <f t="array" ref="F61">ASTM(IF($O$5+$O$54+$O$103=0,(O34+O83+O132)/((O34&lt;&gt;0)+(O83&lt;&gt;0)+(O132&lt;&gt;0)),(IFERROR($O$5*O34,0)+IFERROR($O$54*O83,0)+IFERROR($O$103*O132,0))/($O$5+$O$54+$O$103)),1)</f>
        <v>#VALUE!</v>
      </c>
      <c r="G61" s="325"/>
      <c r="L61" s="115"/>
      <c r="S61" s="17" t="s">
        <v>76</v>
      </c>
      <c r="T61" s="30"/>
      <c r="U61" s="37"/>
      <c r="W61" s="158" t="s">
        <v>143</v>
      </c>
      <c r="X61" s="171" cm="1">
        <f t="array" ref="X61">IF(O95,   IF($J$17="Additive",ASTM((T76+(1-T79)*O82),0)+ASTM($J$18,0),IF($J$17="Multiplicative",ASTM(ASTM((T76+(1-T79)*O82),0)*$J$18,0),"Add/Mult?")),   0)</f>
        <v>0</v>
      </c>
      <c r="Y61" s="171" cm="1">
        <f t="array" ref="Y61">IF(P95,   IF($J$17="Additive",ASTM((U76+(1-U79)*P82),0)+ASTM($J$19,0),IF($J$17="Multiplicative",ASTM(ASTM((U76+(1-U79)*P82),0)*$J$19,0),"Add/Mult?")),   0)</f>
        <v>0</v>
      </c>
      <c r="Z61" s="172" cm="1">
        <f t="array" ref="Z61">IF(AND(ISNUMBER(X61),ISNUMBER(Y61)),   ASTM(0.55*X61+0.45*Y61,1),   NA())</f>
        <v>0</v>
      </c>
    </row>
    <row r="62" spans="2:34" ht="15" customHeight="1" thickBot="1">
      <c r="B62" s="305"/>
      <c r="C62" s="308" t="s">
        <v>236</v>
      </c>
      <c r="D62" s="307"/>
      <c r="E62" s="308"/>
      <c r="F62" s="314" t="e" cm="1">
        <f t="array" ref="F62">ASTM(IF($O$5+$O$54+$O$103=0,(P34+P83+P132)/((P34&lt;&gt;0)+(P83&lt;&gt;0)+(P132&lt;&gt;0)),(IFERROR($O$5*P34,0)+IFERROR($O$54*P83,0)+IFERROR($O$103*P132,0))/($O$5+$O$54+$O$103)),1)</f>
        <v>#VALUE!</v>
      </c>
      <c r="G62" s="310"/>
      <c r="L62" s="115"/>
      <c r="N62" s="479" t="s">
        <v>176</v>
      </c>
      <c r="O62" s="480"/>
      <c r="P62" s="480"/>
      <c r="Q62" s="481"/>
      <c r="S62" s="17" t="s">
        <v>77</v>
      </c>
      <c r="T62" s="32"/>
      <c r="U62" s="38"/>
      <c r="W62" s="164" t="s">
        <v>144</v>
      </c>
      <c r="X62" s="165"/>
      <c r="Y62" s="165"/>
      <c r="Z62" s="166"/>
    </row>
    <row r="63" spans="2:34" ht="15" customHeight="1" thickBot="1">
      <c r="B63" s="305"/>
      <c r="C63" s="308" t="s">
        <v>237</v>
      </c>
      <c r="D63" s="307"/>
      <c r="E63" s="308"/>
      <c r="F63" s="314" t="e" cm="1">
        <f t="array" ref="F63">ASTM(0.55*(IF($O$5+$O$54+$O$103=0,(O34+O83+O132)/((O34&lt;&gt;0)+(O83&lt;&gt;0)+(O132&lt;&gt;0)),(IFERROR($O$5*O34,0)+IFERROR($O$54*O83,0)+IFERROR($O$103*O132,0))/($O$5+$O$54+$O$103)))+0.45*(IF($O$5+$O$54+$O$103=0,(P34+P83+P132)/((P34&lt;&gt;0)+(P83&lt;&gt;0)+(P132&lt;&gt;0)),(IFERROR($O$5*P34,0)+IFERROR($O$54*P83,0)+IFERROR($O$103*P132,0))/($O$5+$O$54+$O$103))),1)</f>
        <v>#VALUE!</v>
      </c>
      <c r="G63" s="310"/>
      <c r="L63" s="115"/>
      <c r="N63" s="482"/>
      <c r="O63" s="483"/>
      <c r="P63" s="483"/>
      <c r="Q63" s="484"/>
      <c r="S63" s="17" t="s">
        <v>78</v>
      </c>
      <c r="T63" s="33"/>
      <c r="U63" s="41"/>
      <c r="W63" s="182" t="s">
        <v>145</v>
      </c>
      <c r="X63" s="183"/>
      <c r="Y63" s="183"/>
      <c r="Z63" s="184" t="s">
        <v>136</v>
      </c>
    </row>
    <row r="64" spans="2:34" ht="15" customHeight="1">
      <c r="B64" s="305"/>
      <c r="C64" s="308" t="s">
        <v>238</v>
      </c>
      <c r="D64" s="307"/>
      <c r="E64" s="308"/>
      <c r="F64" s="314" t="e" cm="1">
        <f t="array" ref="F64">ASTM(IF($O$5+$O$54+$O$103=0,(O35+O84+O133)/((O35&lt;&gt;0)+(O84&lt;&gt;0)+(O133&lt;&gt;0)),(IFERROR($O$5*O35,0)+IFERROR($O$54*O84,0)+IFERROR($O$103*O133,0))/($O$5+$O$54+$O$103)),1)</f>
        <v>#VALUE!</v>
      </c>
      <c r="G64" s="310"/>
      <c r="L64" s="115"/>
      <c r="N64" s="87"/>
      <c r="O64" s="85" t="s">
        <v>183</v>
      </c>
      <c r="P64" s="85" t="s">
        <v>181</v>
      </c>
      <c r="Q64" s="86" t="s">
        <v>179</v>
      </c>
      <c r="S64" s="17" t="s">
        <v>79</v>
      </c>
      <c r="T64" s="34"/>
      <c r="U64" s="42"/>
      <c r="W64" s="158" t="s">
        <v>146</v>
      </c>
      <c r="X64" s="187"/>
      <c r="Y64" s="187"/>
      <c r="Z64" s="51" t="e" cm="1">
        <f t="array" ref="Z64">IF(AND(O95,P95),   ASTM(0.55*T56+0.45*U56,0),   NA())</f>
        <v>#N/A</v>
      </c>
    </row>
    <row r="65" spans="2:26" ht="15" customHeight="1">
      <c r="B65" s="305"/>
      <c r="C65" s="308" t="s">
        <v>239</v>
      </c>
      <c r="D65" s="307"/>
      <c r="E65" s="308"/>
      <c r="F65" s="314" t="e" cm="1">
        <f t="array" ref="F65">ASTM(IF($O$5+$O$54+$O$103=0,(P35+P84+P133)/((P35&lt;&gt;0)+(P84&lt;&gt;0)+(P133&lt;&gt;0)),(IFERROR($O$5*P35,0)+IFERROR($O$54*P84,0)+IFERROR($O$103*P133,0))/($O$5+$O$54+$O$103)),1)</f>
        <v>#VALUE!</v>
      </c>
      <c r="G65" s="310"/>
      <c r="L65" s="115"/>
      <c r="N65" s="20" t="s">
        <v>178</v>
      </c>
      <c r="O65" s="193"/>
      <c r="P65" s="193"/>
      <c r="Q65" s="194"/>
      <c r="S65" s="17" t="s">
        <v>80</v>
      </c>
      <c r="T65" s="35"/>
      <c r="U65" s="43"/>
      <c r="W65" s="158" t="s">
        <v>147</v>
      </c>
      <c r="X65" s="187"/>
      <c r="Y65" s="187"/>
      <c r="Z65" s="51" t="e" cm="1">
        <f t="array" ref="Z65">IF(AND(O95,P95),   ASTM(0.55*T58+0.45*U58,0),   NA())</f>
        <v>#N/A</v>
      </c>
    </row>
    <row r="66" spans="2:26" ht="15" customHeight="1" thickBot="1">
      <c r="B66" s="317"/>
      <c r="C66" s="320" t="s">
        <v>240</v>
      </c>
      <c r="D66" s="319"/>
      <c r="E66" s="320"/>
      <c r="F66" s="326" t="e" cm="1">
        <f t="array" ref="F66">ASTM(0.55*(IF($O$5+$O$54+$O$103=0,(O35+O84+O133)/((O35&lt;&gt;0)+(O84&lt;&gt;0)+(O133&lt;&gt;0)),(IFERROR($O$5*O35,0)+IFERROR($O$54*O84,0)+IFERROR($O$103*O133,0))/($O$5+$O$54+$O$103)))+0.45*(IF($O$5+$O$54+$O$103=0,(P35+P84+P133)/((P35&lt;&gt;0)+(P84&lt;&gt;0)+(P133&lt;&gt;0)),(IFERROR($O$5*P35,0)+IFERROR($O$54*P84,0)+IFERROR($O$103*P133,0))/($O$5+$O$54+$O$103))),1)</f>
        <v>#VALUE!</v>
      </c>
      <c r="G66" s="322"/>
      <c r="L66" s="115"/>
      <c r="N66" s="20" t="s">
        <v>178</v>
      </c>
      <c r="O66" s="193"/>
      <c r="P66" s="193"/>
      <c r="Q66" s="194"/>
      <c r="S66" s="17" t="s">
        <v>81</v>
      </c>
      <c r="T66" s="34"/>
      <c r="U66" s="42"/>
      <c r="W66" s="158" t="s">
        <v>148</v>
      </c>
      <c r="X66" s="187"/>
      <c r="Y66" s="187"/>
      <c r="Z66" s="52" t="e" cm="1">
        <f t="array" ref="Z66">IF(AND(O95,P95,ISNUMBER(Z64)),   ASTM((ASTM(0.55*T86+0.45*U86,0)+Z64)/10,0) *10,   NA())</f>
        <v>#N/A</v>
      </c>
    </row>
    <row r="67" spans="2:26" ht="15" customHeight="1" thickBot="1">
      <c r="B67" s="288"/>
      <c r="C67" s="292" t="s">
        <v>241</v>
      </c>
      <c r="D67" s="293"/>
      <c r="E67" s="294"/>
      <c r="F67" s="294"/>
      <c r="G67" s="296"/>
      <c r="L67" s="115"/>
      <c r="N67" s="20" t="s">
        <v>61</v>
      </c>
      <c r="O67" s="193"/>
      <c r="P67" s="193"/>
      <c r="Q67" s="194"/>
      <c r="S67" s="17" t="s">
        <v>82</v>
      </c>
      <c r="T67" s="24"/>
      <c r="U67" s="26"/>
      <c r="W67" s="158" t="s">
        <v>149</v>
      </c>
      <c r="X67" s="187"/>
      <c r="Y67" s="187"/>
      <c r="Z67" s="197" t="e" cm="1">
        <f t="array" ref="Z67">IF(AND(O95,P95),   ASTM(1/(0.55/T68+0.45/U68),0),   NA())</f>
        <v>#N/A</v>
      </c>
    </row>
    <row r="68" spans="2:26" ht="15" customHeight="1">
      <c r="B68" s="297"/>
      <c r="C68" s="300" t="s">
        <v>242</v>
      </c>
      <c r="D68" s="299"/>
      <c r="E68" s="300"/>
      <c r="F68" s="301" t="e" cm="1">
        <f t="array" ref="F68">ASTM(IF($O$5+$O$54+$O$103=0,SUM(IFERROR(T37,0),IFERROR(T86,0),IFERROR(T135,0))/((T37&lt;&gt;0)+(T86&lt;&gt;0)+(T135&lt;&gt;0)),($O$5*T37+$O$54*T86+$O$103*T135)/($O$5+$O$54+$O$103)),0)</f>
        <v>#VALUE!</v>
      </c>
      <c r="G68" s="327"/>
      <c r="L68" s="115"/>
      <c r="N68" s="20" t="s">
        <v>61</v>
      </c>
      <c r="O68" s="193"/>
      <c r="P68" s="193"/>
      <c r="Q68" s="194"/>
      <c r="S68" s="17" t="s">
        <v>83</v>
      </c>
      <c r="T68" s="33"/>
      <c r="U68" s="41"/>
      <c r="W68" s="147" t="s">
        <v>150</v>
      </c>
      <c r="X68" s="187"/>
      <c r="Y68" s="187"/>
      <c r="Z68" s="197" t="e" cm="1">
        <f t="array" ref="Z68">IF(AND(O95,P95),   ASTM(0.55*T61+0.45*U61,0),   NA())</f>
        <v>#N/A</v>
      </c>
    </row>
    <row r="69" spans="2:26" ht="15" customHeight="1">
      <c r="B69" s="305"/>
      <c r="C69" s="308" t="s">
        <v>243</v>
      </c>
      <c r="D69" s="307"/>
      <c r="E69" s="308"/>
      <c r="F69" s="309" t="e" cm="1">
        <f t="array" ref="F69">ASTM(IF($O$5+$O$54+$O$103=0,SUM(IFERROR(U37,0),IFERROR(U86,0),IFERROR(U135,0))/((U37&lt;&gt;0)+(U86&lt;&gt;0)+(U135&lt;&gt;0)),($O$5*U37+$O$54*U86+$O$103*U135)/($O$5+$O$54+$O$103)),0)</f>
        <v>#VALUE!</v>
      </c>
      <c r="G69" s="310"/>
      <c r="L69" s="115"/>
      <c r="N69" s="20" t="s">
        <v>61</v>
      </c>
      <c r="O69" s="193"/>
      <c r="P69" s="193"/>
      <c r="Q69" s="194"/>
      <c r="S69" s="17" t="s">
        <v>84</v>
      </c>
      <c r="T69" s="33"/>
      <c r="U69" s="41"/>
      <c r="W69" s="147" t="s">
        <v>151</v>
      </c>
      <c r="X69" s="187"/>
      <c r="Y69" s="187"/>
      <c r="Z69" s="197" t="e" cm="1">
        <f t="array" ref="Z69">IF(AND(O95,P95),   ASTM(0.55*T69+0.45*U69,1),   NA())</f>
        <v>#N/A</v>
      </c>
    </row>
    <row r="70" spans="2:26" ht="15" customHeight="1" thickBot="1">
      <c r="B70" s="317"/>
      <c r="C70" s="320" t="s">
        <v>244</v>
      </c>
      <c r="D70" s="319"/>
      <c r="E70" s="320"/>
      <c r="F70" s="328" t="e" cm="1">
        <f t="array" ref="F70">ASTM(IF($O$5+$O$54+$O$103=0,SUM(IFERROR(ASTM(0.55*T37+0.45*U37,3),0),IFERROR(ASTM(0.55*T86+0.45*U86,3),0),IFERROR(ASTM(0.55*T135+0.45*U135,3),0)) / ((ASTM(0.55*T37+0.45*U37,3)&lt;&gt;0)+(ASTM(0.55*T86+0.45*U86,3)&lt;&gt;0)+(ASTM(0.55*T135+0.45*U135,3)&lt;&gt;0)),($O$5*ASTM(0.55*T37+0.45*U37,3)+$O$54*ASTM(0.55*T86+0.45*U86,3)+$O$103*ASTM(0.55*T135+0.45*U135,3))/($O$5+$O$54+$O$103)),0)</f>
        <v>#VALUE!</v>
      </c>
      <c r="G70" s="322"/>
      <c r="L70" s="115"/>
      <c r="N70" s="20" t="s">
        <v>61</v>
      </c>
      <c r="O70" s="193"/>
      <c r="P70" s="193"/>
      <c r="Q70" s="194"/>
      <c r="S70" s="17" t="s">
        <v>85</v>
      </c>
      <c r="T70" s="24"/>
      <c r="U70" s="26"/>
      <c r="W70" s="182" t="s">
        <v>152</v>
      </c>
      <c r="X70" s="183"/>
      <c r="Y70" s="183"/>
      <c r="Z70" s="184" t="s">
        <v>136</v>
      </c>
    </row>
    <row r="71" spans="2:26" ht="15" customHeight="1" thickBot="1">
      <c r="B71" s="297"/>
      <c r="C71" s="329" t="s">
        <v>245</v>
      </c>
      <c r="D71" s="299"/>
      <c r="E71" s="330" t="s">
        <v>246</v>
      </c>
      <c r="F71" s="330" t="s">
        <v>247</v>
      </c>
      <c r="G71" s="331"/>
      <c r="L71" s="115"/>
      <c r="N71" s="20" t="s">
        <v>61</v>
      </c>
      <c r="O71" s="193"/>
      <c r="P71" s="193"/>
      <c r="Q71" s="194"/>
      <c r="S71" s="63" t="s">
        <v>86</v>
      </c>
      <c r="T71" s="25"/>
      <c r="U71" s="27"/>
      <c r="W71" s="147" t="s">
        <v>153</v>
      </c>
      <c r="X71" s="204" cm="1">
        <f t="array" ref="X71">IF(O95,   ASTM(O81,4),   0)</f>
        <v>0</v>
      </c>
      <c r="Y71" s="204" cm="1">
        <f t="array" ref="Y71">IF(P95,   ASTM(P81,4),   0)</f>
        <v>0</v>
      </c>
      <c r="Z71" s="60" t="e" cm="1">
        <f t="array" ref="Z71">IF(AND(O95,P95),   ASTM(1/(0.55/X71+0.45/Y71),0),   NA())</f>
        <v>#N/A</v>
      </c>
    </row>
    <row r="72" spans="2:26" ht="15" customHeight="1">
      <c r="B72" s="297"/>
      <c r="C72" s="298" t="s">
        <v>277</v>
      </c>
      <c r="D72" s="299"/>
      <c r="E72" s="301" t="e">
        <f>ASTM($D$23,0)</f>
        <v>#VALUE!</v>
      </c>
      <c r="F72" s="301" t="e">
        <f>ASTM($D$22,0)</f>
        <v>#VALUE!</v>
      </c>
      <c r="G72" s="331"/>
      <c r="L72" s="115"/>
      <c r="N72" s="20" t="s">
        <v>61</v>
      </c>
      <c r="O72" s="193"/>
      <c r="P72" s="193"/>
      <c r="Q72" s="194"/>
      <c r="S72" s="70" t="s">
        <v>87</v>
      </c>
      <c r="T72" s="29" t="s">
        <v>186</v>
      </c>
      <c r="U72" s="36" t="s">
        <v>187</v>
      </c>
      <c r="W72" s="147" t="s">
        <v>154</v>
      </c>
      <c r="X72" s="171" cm="1">
        <f t="array" ref="X72">IFERROR(ASTM(100/X71,1),0)</f>
        <v>0</v>
      </c>
      <c r="Y72" s="171" cm="1">
        <f t="array" ref="Y72">IFERROR(ASTM(100/Y71,1),0)</f>
        <v>0</v>
      </c>
      <c r="Z72" s="61" t="e" cm="1">
        <f t="array" ref="Z72">IF(ISNUMBER(Z71),   ASTM(100/Z71,1),   NA())</f>
        <v>#N/A</v>
      </c>
    </row>
    <row r="73" spans="2:26" ht="15" customHeight="1">
      <c r="B73" s="305"/>
      <c r="C73" s="306" t="s">
        <v>278</v>
      </c>
      <c r="D73" s="307"/>
      <c r="E73" s="309" t="e">
        <f>ASTM($E$23,0)</f>
        <v>#VALUE!</v>
      </c>
      <c r="F73" s="332" t="e">
        <f>ASTM($E$22,0)</f>
        <v>#VALUE!</v>
      </c>
      <c r="G73" s="310"/>
      <c r="L73" s="115"/>
      <c r="N73" s="20" t="s">
        <v>61</v>
      </c>
      <c r="O73" s="193"/>
      <c r="P73" s="193"/>
      <c r="Q73" s="194"/>
      <c r="S73" s="17" t="s">
        <v>88</v>
      </c>
      <c r="T73" s="32"/>
      <c r="U73" s="38"/>
      <c r="W73" s="182" t="s">
        <v>155</v>
      </c>
      <c r="X73" s="183"/>
      <c r="Y73" s="183"/>
      <c r="Z73" s="210" t="s">
        <v>136</v>
      </c>
    </row>
    <row r="74" spans="2:26" ht="15" customHeight="1">
      <c r="B74" s="305"/>
      <c r="C74" s="306" t="s">
        <v>279</v>
      </c>
      <c r="D74" s="307"/>
      <c r="E74" s="309" t="e">
        <f>$F$23</f>
        <v>#VALUE!</v>
      </c>
      <c r="F74" s="309" t="e">
        <f>$F$22</f>
        <v>#VALUE!</v>
      </c>
      <c r="G74" s="310"/>
      <c r="L74" s="115"/>
      <c r="N74" s="20" t="s">
        <v>61</v>
      </c>
      <c r="O74" s="193"/>
      <c r="P74" s="193"/>
      <c r="Q74" s="194"/>
      <c r="S74" s="17" t="s">
        <v>89</v>
      </c>
      <c r="T74" s="32"/>
      <c r="U74" s="38"/>
      <c r="W74" s="147" t="s">
        <v>156</v>
      </c>
      <c r="X74" s="187"/>
      <c r="Y74" s="187"/>
      <c r="Z74" s="62" t="e" cm="1">
        <f t="array" ref="Z74">IF(AND(O95,P95),   ASTM(15000*ASTM(0.55*T94+0.45*U94,3)/50,0)*50,   NA())</f>
        <v>#N/A</v>
      </c>
    </row>
    <row r="75" spans="2:26" ht="15" customHeight="1">
      <c r="B75" s="305"/>
      <c r="C75" s="306" t="s">
        <v>280</v>
      </c>
      <c r="D75" s="307"/>
      <c r="E75" s="333" t="e" cm="1">
        <f t="array" ref="E75">ASTM(IF($O$5+$O$54+$O$103=0,SUM(T22,T71,T120)/(((T22)&lt;&gt;0)+((T71)&lt;&gt;0)+((T120)&lt;&gt;0)),($O$5*(T22)+$O$54*(T71)+$O$103*(T120))/($O$5+$O$54+$O$103)),1)</f>
        <v>#VALUE!</v>
      </c>
      <c r="F75" s="333" t="e" cm="1">
        <f t="array" ref="F75">ASTM(IF($O$5+$O$54+$O$103=0,(((T21)&lt;&gt;0)+((T70)&lt;&gt;0)+((T119)&lt;&gt;0))/(IFERROR(1/(T21),0)+IFERROR(1/(T70),0)+IFERROR(1/(T119),0)),($O$5+$O$54+$O$103)/(IFERROR($O$5/(T21),0)+IFERROR($O$54/(T70),0)+IFERROR($O$103/(T119),0))),1)</f>
        <v>#VALUE!</v>
      </c>
      <c r="G75" s="334"/>
      <c r="L75" s="115"/>
      <c r="N75" s="20" t="s">
        <v>61</v>
      </c>
      <c r="O75" s="193"/>
      <c r="P75" s="193"/>
      <c r="Q75" s="194"/>
      <c r="S75" s="17" t="s">
        <v>90</v>
      </c>
      <c r="T75" s="32"/>
      <c r="U75" s="38"/>
      <c r="W75" s="147" t="s">
        <v>157</v>
      </c>
      <c r="X75" s="187"/>
      <c r="Y75" s="187"/>
      <c r="Z75" s="62" t="e">
        <f>IF(AND(ISNUMBER($J$25),ISNUMBER(Z74)),   $J$25-5*Z74,   NA())</f>
        <v>#N/A</v>
      </c>
    </row>
    <row r="76" spans="2:26" ht="15" customHeight="1" thickBot="1">
      <c r="B76" s="305"/>
      <c r="C76" s="306" t="s">
        <v>281</v>
      </c>
      <c r="D76" s="307"/>
      <c r="E76" s="333" t="e" cm="1">
        <f t="array" ref="E76">ASTM(IF($O$5+$O$54+$O$103=0,SUM(U22,U71,U120)/(((U22)&lt;&gt;0)+((U71)&lt;&gt;0)+((U120)&lt;&gt;0)),($O$5*(U22)+$O$54*(U71)+$O$103*(U120))/($O$5+$O$54+$O$103)),1)</f>
        <v>#VALUE!</v>
      </c>
      <c r="F76" s="333" t="e" cm="1">
        <f t="array" ref="F76">ASTM(IF($O$5+$O$54+$O$103=0,(((U21)&lt;&gt;0)+((U70)&lt;&gt;0)+((U119)&lt;&gt;0))/(IFERROR(1/(U21),0)+IFERROR(1/(U70),0)+IFERROR(1/(U119),0)),($O$5+$O$54+$O$103)/(IFERROR($O$5/(U21),0)+IFERROR($O$54/(U70),0)+IFERROR($O$103/(U119),0))),1)</f>
        <v>#VALUE!</v>
      </c>
      <c r="G76" s="310"/>
      <c r="L76" s="115"/>
      <c r="N76" s="21" t="s">
        <v>61</v>
      </c>
      <c r="O76" s="216"/>
      <c r="P76" s="216"/>
      <c r="Q76" s="217"/>
      <c r="S76" s="17" t="s">
        <v>91</v>
      </c>
      <c r="T76" s="32"/>
      <c r="U76" s="38"/>
      <c r="W76" s="158" t="s">
        <v>158</v>
      </c>
      <c r="X76" s="187"/>
      <c r="Y76" s="187"/>
      <c r="Z76" s="61" t="e" cm="1">
        <f t="array" ref="Z76">IF(AND(O95,P95),   ASTM(0.55*T96+0.45*U96,0),   NA())</f>
        <v>#N/A</v>
      </c>
    </row>
    <row r="77" spans="2:26" ht="15" customHeight="1" thickBot="1">
      <c r="B77" s="305"/>
      <c r="C77" s="306" t="s">
        <v>282</v>
      </c>
      <c r="D77" s="307"/>
      <c r="E77" s="335" t="e">
        <f>ASTM(0.55*E75+0.45*E76,4)</f>
        <v>#VALUE!</v>
      </c>
      <c r="F77" s="336" t="e">
        <f>ASTM(1/(0.55/F75+0.45/F76),4)</f>
        <v>#VALUE!</v>
      </c>
      <c r="G77" s="310"/>
      <c r="L77" s="115"/>
      <c r="Q77" s="116"/>
      <c r="S77" s="63" t="s">
        <v>92</v>
      </c>
      <c r="T77" s="39"/>
      <c r="U77" s="40"/>
      <c r="W77" s="158" t="s">
        <v>159</v>
      </c>
      <c r="X77" s="187"/>
      <c r="Y77" s="187"/>
      <c r="Z77" s="61" t="e" cm="1">
        <f t="array" ref="Z77">IF(AND(O95,P95),   ASTM(1/(0.55/T97+0.45/U97),0),   NA())</f>
        <v>#N/A</v>
      </c>
    </row>
    <row r="78" spans="2:26" ht="15" customHeight="1" thickBot="1">
      <c r="B78" s="305"/>
      <c r="C78" s="306" t="s">
        <v>283</v>
      </c>
      <c r="D78" s="307"/>
      <c r="E78" s="335" t="e">
        <f>ASTM($D$23,4)</f>
        <v>#VALUE!</v>
      </c>
      <c r="F78" s="335" t="e">
        <f>ASTM($D$22,4)</f>
        <v>#VALUE!</v>
      </c>
      <c r="G78" s="310"/>
      <c r="L78" s="115"/>
      <c r="N78" s="489" t="s">
        <v>177</v>
      </c>
      <c r="O78" s="490"/>
      <c r="P78" s="490"/>
      <c r="Q78" s="491"/>
      <c r="S78" s="70" t="s">
        <v>93</v>
      </c>
      <c r="T78" s="29" t="s">
        <v>186</v>
      </c>
      <c r="U78" s="36" t="s">
        <v>187</v>
      </c>
      <c r="W78" s="218" t="s">
        <v>160</v>
      </c>
      <c r="X78" s="165" t="s">
        <v>53</v>
      </c>
      <c r="Y78" s="165" t="s">
        <v>54</v>
      </c>
      <c r="Z78" s="166" t="s">
        <v>136</v>
      </c>
    </row>
    <row r="79" spans="2:26" ht="15" customHeight="1">
      <c r="B79" s="305"/>
      <c r="C79" s="306" t="s">
        <v>284</v>
      </c>
      <c r="D79" s="307"/>
      <c r="E79" s="335" t="e">
        <f>ASTM($E$23,4)</f>
        <v>#VALUE!</v>
      </c>
      <c r="F79" s="335" t="e">
        <f>ASTM($E$22,4)</f>
        <v>#VALUE!</v>
      </c>
      <c r="G79" s="310"/>
      <c r="L79" s="115"/>
      <c r="N79" s="18"/>
      <c r="O79" s="74" t="s">
        <v>184</v>
      </c>
      <c r="P79" s="19" t="s">
        <v>185</v>
      </c>
      <c r="Q79" s="220" t="s">
        <v>188</v>
      </c>
      <c r="S79" s="17" t="s">
        <v>94</v>
      </c>
      <c r="T79" s="30"/>
      <c r="U79" s="37"/>
      <c r="W79" s="158" t="s">
        <v>161</v>
      </c>
      <c r="X79" s="221" cm="1">
        <f t="array" ref="X79">IFERROR(ASTM(mdiuf(T55),3),0)</f>
        <v>0</v>
      </c>
      <c r="Y79" s="221" cm="1">
        <f t="array" ref="Y79">IFERROR(ASTM(mdiuf(U55),3),0)</f>
        <v>0</v>
      </c>
      <c r="Z79" s="222"/>
    </row>
    <row r="80" spans="2:26" ht="15" customHeight="1" thickBot="1">
      <c r="B80" s="317"/>
      <c r="C80" s="318" t="s">
        <v>285</v>
      </c>
      <c r="D80" s="319"/>
      <c r="E80" s="337" t="e">
        <f>ASTM(0.55*D23+0.45*E23,4)</f>
        <v>#VALUE!</v>
      </c>
      <c r="F80" s="338" t="e">
        <f>ASTM(1/(0.55/D22+0.45/E22),4)</f>
        <v>#VALUE!</v>
      </c>
      <c r="G80" s="322"/>
      <c r="L80" s="115"/>
      <c r="N80" s="20" t="s">
        <v>55</v>
      </c>
      <c r="O80" s="224"/>
      <c r="P80" s="225"/>
      <c r="Q80" s="226"/>
      <c r="S80" s="17" t="s">
        <v>173</v>
      </c>
      <c r="T80" s="339"/>
      <c r="U80" s="340"/>
      <c r="W80" s="229" t="s">
        <v>162</v>
      </c>
      <c r="X80" s="230" cm="1">
        <f t="array" ref="X80">IFERROR(ASTM(1/(X79/(T55/T63)+(1-X79)/O80),4),0)</f>
        <v>0</v>
      </c>
      <c r="Y80" s="230" cm="1">
        <f t="array" ref="Y80">IFERROR(ASTM(1/(Y79/(U55/U63)+(1-Y79)/P80),4),0)</f>
        <v>0</v>
      </c>
      <c r="Z80" s="231" cm="1">
        <f t="array" ref="Z80">IFERROR(ASTM(1/(0.55/X80+0.45/Y80),4),0)</f>
        <v>0</v>
      </c>
    </row>
    <row r="81" spans="2:26" ht="15" customHeight="1" thickBot="1">
      <c r="B81" s="305"/>
      <c r="C81" s="341" t="s">
        <v>248</v>
      </c>
      <c r="D81" s="307"/>
      <c r="E81" s="342"/>
      <c r="F81" s="342" t="s">
        <v>231</v>
      </c>
      <c r="G81" s="310"/>
      <c r="L81" s="115"/>
      <c r="N81" s="20" t="s">
        <v>56</v>
      </c>
      <c r="O81" s="224"/>
      <c r="P81" s="225"/>
      <c r="Q81" s="232"/>
      <c r="S81" s="17" t="s">
        <v>95</v>
      </c>
      <c r="T81" s="30"/>
      <c r="U81" s="37"/>
      <c r="W81" s="233" t="s">
        <v>163</v>
      </c>
      <c r="X81" s="234" t="s">
        <v>53</v>
      </c>
      <c r="Y81" s="234" t="s">
        <v>54</v>
      </c>
      <c r="Z81" s="235"/>
    </row>
    <row r="82" spans="2:26" ht="15" customHeight="1" thickBot="1">
      <c r="B82" s="297"/>
      <c r="C82" s="300" t="s">
        <v>232</v>
      </c>
      <c r="D82" s="299"/>
      <c r="E82" s="330"/>
      <c r="F82" s="299" t="e" cm="1">
        <f t="array" ref="F82">ASTM(IF($O$5+$O$54+$O$103=0,(T25+T74+T123)/((T7&lt;&gt;0)+(T56&lt;&gt;0)+(T105&lt;&gt;0)),(IFERROR($O$5*T25,0)+IFERROR($O$54*T74,0)+IFERROR($O$103*T123,0))/($O$5+$O$54+$O$103)),0)</f>
        <v>#VALUE!</v>
      </c>
      <c r="G82" s="343"/>
      <c r="L82" s="115"/>
      <c r="N82" s="20" t="s">
        <v>57</v>
      </c>
      <c r="O82" s="237"/>
      <c r="P82" s="238"/>
      <c r="Q82" s="236"/>
      <c r="S82" s="17" t="s">
        <v>96</v>
      </c>
      <c r="T82" s="30"/>
      <c r="U82" s="37"/>
      <c r="W82" s="239" t="s">
        <v>164</v>
      </c>
      <c r="X82" s="240">
        <f>IF(O95,   T80,   0)</f>
        <v>0</v>
      </c>
      <c r="Y82" s="240">
        <f>IF(P95,   U80,   0)</f>
        <v>0</v>
      </c>
      <c r="Z82" s="241"/>
    </row>
    <row r="83" spans="2:26" ht="15" customHeight="1" thickBot="1">
      <c r="B83" s="305"/>
      <c r="C83" s="308" t="s">
        <v>233</v>
      </c>
      <c r="D83" s="307"/>
      <c r="E83" s="308"/>
      <c r="F83" s="307" t="e" cm="1">
        <f t="array" ref="F83">ASTM(IF($O$5+$O$54+$O$103=0,(U25+U74+U123)/((U7&lt;&gt;0)+(U56&lt;&gt;0)+(U105&lt;&gt;0)),(IFERROR($O$5*U25,0)+IFERROR($O$54*U74,0)+IFERROR($O$103*U123,0))/($O$5+$O$54+$O$103)),0)</f>
        <v>#VALUE!</v>
      </c>
      <c r="G83" s="310"/>
      <c r="L83" s="115"/>
      <c r="N83" s="20" t="s">
        <v>58</v>
      </c>
      <c r="O83" s="237"/>
      <c r="P83" s="238"/>
      <c r="Q83" s="236"/>
      <c r="S83" s="67" t="s">
        <v>97</v>
      </c>
      <c r="T83" s="242"/>
      <c r="U83" s="192"/>
      <c r="W83" s="158" t="s">
        <v>165</v>
      </c>
      <c r="X83" s="243">
        <f>IF(O95,   X58,   0)</f>
        <v>0</v>
      </c>
      <c r="Y83" s="243">
        <f>IF(P95,  Y58,   0)</f>
        <v>0</v>
      </c>
      <c r="Z83" s="244"/>
    </row>
    <row r="84" spans="2:26" ht="15" customHeight="1" thickBot="1">
      <c r="B84" s="305"/>
      <c r="C84" s="308" t="s">
        <v>249</v>
      </c>
      <c r="D84" s="307"/>
      <c r="E84" s="308"/>
      <c r="F84" s="307" t="e" cm="1">
        <f t="array" ref="F84">ASTM(0.55*(IF($O$5+$O$54+$O$103=0,(T25+T74+T123)/((T7&lt;&gt;0)+(T56&lt;&gt;0)+(T105&lt;&gt;0)),(IFERROR($O$5*T25,0)+IFERROR($O$54*T74,0)+IFERROR($O$103*T123,0))/($O$5+$O$54+$O$103)))+0.45*(IF($O$5+$O$54+$O$103=0,(U25+U74+U123)/((U7&lt;&gt;0)+(U56&lt;&gt;0)+(U105&lt;&gt;0)),(IFERROR($O$5*U25,0)+IFERROR($O$54*U74,0)+IFERROR($O$103*U123,0))/($O$5+$O$54+$O$103))),0)</f>
        <v>#VALUE!</v>
      </c>
      <c r="G84" s="310"/>
      <c r="L84" s="115"/>
      <c r="N84" s="21" t="s">
        <v>59</v>
      </c>
      <c r="O84" s="245"/>
      <c r="P84" s="246"/>
      <c r="Q84" s="114"/>
      <c r="S84" s="70" t="s">
        <v>67</v>
      </c>
      <c r="T84" s="247" t="s">
        <v>68</v>
      </c>
      <c r="U84" s="248" t="s">
        <v>69</v>
      </c>
      <c r="W84" s="158" t="s">
        <v>166</v>
      </c>
      <c r="X84" s="249" cm="1">
        <f t="array" ref="X84">IF(O95,   ASTM(X60,1),   0)</f>
        <v>0</v>
      </c>
      <c r="Y84" s="249" cm="1">
        <f t="array" ref="Y84">IF(P95,   ASTM(Y60,1),   0)</f>
        <v>0</v>
      </c>
      <c r="Z84" s="172"/>
    </row>
    <row r="85" spans="2:26" ht="15" customHeight="1">
      <c r="B85" s="305"/>
      <c r="C85" s="308" t="s">
        <v>235</v>
      </c>
      <c r="D85" s="307"/>
      <c r="E85" s="308"/>
      <c r="F85" s="314" t="e" cm="1">
        <f t="array" ref="F85">ASTM(IF($O$5+$O$54+$O$103=0,(IFERROR(T24,0)+IFERROR(T73,0)+IFERROR(T122,0))/((T6&lt;&gt;0)+(T55&lt;&gt;0)+(T104&lt;&gt;0)),(IFERROR($O$5*T24,0)+IFERROR($O$54*T73,0)+IFERROR($O$103*T122,0))/($O$5+$O$54+$O$103)),1)</f>
        <v>#VALUE!</v>
      </c>
      <c r="G85" s="344"/>
      <c r="L85" s="115"/>
      <c r="S85" s="17" t="s">
        <v>98</v>
      </c>
      <c r="T85" s="252" t="e" cm="1">
        <f t="array" ref="T85">IF(O92,   ASTM(T55*((O83-T73)/O83),3),   NA())</f>
        <v>#N/A</v>
      </c>
      <c r="U85" s="253" t="e" cm="1">
        <f t="array" ref="U85">IF(P92,   ASTM(U55*((P83-U73)/P83),3),   NA())</f>
        <v>#N/A</v>
      </c>
      <c r="W85" s="158" t="s">
        <v>167</v>
      </c>
      <c r="X85" s="243" cm="1">
        <f t="array" ref="X85">IF(O95,   ASTM(1/(T65+(1-X82)/O81),4),   0)</f>
        <v>0</v>
      </c>
      <c r="Y85" s="243" cm="1">
        <f t="array" ref="Y85">IF(P95,   ASTM(1/(U65+(1-Y82)/P81),4),   0)</f>
        <v>0</v>
      </c>
      <c r="Z85" s="244"/>
    </row>
    <row r="86" spans="2:26" ht="15" customHeight="1" thickBot="1">
      <c r="B86" s="305"/>
      <c r="C86" s="308" t="s">
        <v>236</v>
      </c>
      <c r="D86" s="307"/>
      <c r="E86" s="308"/>
      <c r="F86" s="314" t="e" cm="1">
        <f t="array" ref="F86">ASTM(IF($O$5+$O$54+$O$103=0,(IFERROR(U24,0)+IFERROR(U73,0)+IFERROR(U122,0))/((U6&lt;&gt;0)+(U55&lt;&gt;0)+(U104&lt;&gt;0)),(IFERROR($O$5*U24,0)+IFERROR($O$54*U73,0)+IFERROR($O$103*U122,0))/($O$5+$O$54+$O$103)),1)</f>
        <v>#VALUE!</v>
      </c>
      <c r="G86" s="310"/>
      <c r="L86" s="115"/>
      <c r="O86" s="258" t="s">
        <v>53</v>
      </c>
      <c r="P86" s="258" t="s">
        <v>54</v>
      </c>
      <c r="Q86" s="259"/>
      <c r="S86" s="63" t="s">
        <v>99</v>
      </c>
      <c r="T86" s="345" cm="1">
        <f t="array" ref="T86">IF(O92,   ASTM((ASTM($J$15,1)-T67)*ASTM(O81,4),3),   0)</f>
        <v>0</v>
      </c>
      <c r="U86" s="346" cm="1">
        <f t="array" ref="U86">IF(P92,   ASTM((ASTM($J$15,1)-U67)*ASTM(P81,4),3),   0)</f>
        <v>0</v>
      </c>
      <c r="W86" s="229" t="s">
        <v>168</v>
      </c>
      <c r="X86" s="260" cm="1">
        <f t="array" ref="X86">IF(O95,   ASTM(T77+(1-X82)*ASTM(O84,1),1),   0)</f>
        <v>0</v>
      </c>
      <c r="Y86" s="260" cm="1">
        <f t="array" ref="Y86">IF(P95,   ASTM(U77+(1-Y82)*ASTM(P84,1),1),   0)</f>
        <v>0</v>
      </c>
      <c r="Z86" s="261"/>
    </row>
    <row r="87" spans="2:26" ht="15" customHeight="1">
      <c r="B87" s="305"/>
      <c r="C87" s="308" t="s">
        <v>250</v>
      </c>
      <c r="D87" s="307"/>
      <c r="E87" s="308"/>
      <c r="F87" s="314" t="e" cm="1">
        <f t="array" ref="F87">ASTM(0.55*(IF($O$5+$O$54+$O$103=0,(IFERROR(T24,0)+IFERROR(T73,0)+IFERROR(T122,0))/((T6&lt;&gt;0)+(T55&lt;&gt;0)+(T104&lt;&gt;0)),(IFERROR($O$5*T24,0)+IFERROR($O$54*T73,0)+IFERROR($O$103*T122,0))/($O$5+$O$54+$O$103)))+0.45*(IF($O$5+$O$54+$O$103=0,(IFERROR(U24,0)+IFERROR(U73,0)+IFERROR(U122,0))/((U6&lt;&gt;0)+(U55&lt;&gt;0)+(U104&lt;&gt;0)),(IFERROR($O$5*U24,0)+IFERROR($O$54*U73,0)+IFERROR($O$103*U122,0))/($O$5+$O$54+$O$103))),1)</f>
        <v>#VALUE!</v>
      </c>
      <c r="G87" s="310"/>
      <c r="L87" s="115"/>
      <c r="N87" s="79" t="s">
        <v>174</v>
      </c>
      <c r="O87" s="477" t="b">
        <f>IF(AND(ISNUMBER($J$5),$J$5&lt;=2026,ISNUMBER($J$15),OR($J$17="Additive",$J$17="Multiplicative"),ISNUMBER($J$18),ISNUMBER($J$19),ISNUMBER($J$22),ISNUMBER($J$23),ISNUMBER($J$24),ISNUMBER($J$25),ISNUMBER($J$26)),TRUE,FALSE)</f>
        <v>0</v>
      </c>
      <c r="P87" s="478"/>
      <c r="Q87" s="1"/>
      <c r="S87" s="70" t="s">
        <v>93</v>
      </c>
      <c r="T87" s="247" t="s">
        <v>68</v>
      </c>
      <c r="U87" s="248" t="s">
        <v>69</v>
      </c>
    </row>
    <row r="88" spans="2:26" ht="15" customHeight="1" thickBot="1">
      <c r="B88" s="305"/>
      <c r="C88" s="308" t="s">
        <v>251</v>
      </c>
      <c r="D88" s="307"/>
      <c r="E88" s="308"/>
      <c r="F88" s="314" t="e" cm="1">
        <f t="array" ref="F88">ASTM(IF($O$5+$O$54+$O$103=0,(T25+T74+T123)/((T7&lt;&gt;0)+(T56&lt;&gt;0)+(T105&lt;&gt;0)),(IFERROR($O$5*T25,0)+IFERROR($O$54*T74,0)+IFERROR($O$103*T123,0))/($O$5+$O$54+$O$103)),1)</f>
        <v>#VALUE!</v>
      </c>
      <c r="G88" s="310"/>
      <c r="L88" s="115"/>
      <c r="N88" s="80" t="s">
        <v>169</v>
      </c>
      <c r="O88" s="81" t="b">
        <f>IF(AND(ISBLANK(O65)=FALSE,ISBLANK(P65)=FALSE,ISBLANK(O66)=FALSE,ISBLANK(P66)=FALSE,ISNUMBER(O80),ISNUMBER(O81),ISNUMBER(O82),ISNUMBER(O83),ISNUMBER(O84)),TRUE,FALSE)</f>
        <v>0</v>
      </c>
      <c r="P88" s="82" t="b">
        <f>IF(AND(ISBLANK(O65)=FALSE,ISBLANK(P65)=FALSE,ISBLANK(O66)=FALSE,ISBLANK(P66)=FALSE,ISNUMBER(P80),ISNUMBER(P81),ISNUMBER(P82),ISNUMBER(P83),ISNUMBER(P84)),TRUE,FALSE)</f>
        <v>0</v>
      </c>
      <c r="Q88" s="1"/>
      <c r="S88" s="63" t="s">
        <v>100</v>
      </c>
      <c r="T88" s="45" t="e" cm="1">
        <f t="array" ref="T88">IF(O92,   ASTM(cityfuf(T85),3),   NA())</f>
        <v>#N/A</v>
      </c>
      <c r="U88" s="46" t="e" cm="1">
        <f t="array" ref="U88">IF(P92,   ASTM(highwayfuf(U85),3),   NA())</f>
        <v>#N/A</v>
      </c>
    </row>
    <row r="89" spans="2:26" ht="15" customHeight="1" thickBot="1">
      <c r="B89" s="305"/>
      <c r="C89" s="308" t="s">
        <v>252</v>
      </c>
      <c r="D89" s="307"/>
      <c r="E89" s="308"/>
      <c r="F89" s="314" t="e" cm="1">
        <f t="array" ref="F89">ASTM(IF($O$5+$O$54+$O$103=0,(U25+U74+U123)/((U7&lt;&gt;0)+(U56&lt;&gt;0)+(U105&lt;&gt;0)),(IFERROR($O$5*U25,0)+IFERROR($O$54*U74,0)+IFERROR($O$103*U123,0))/($O$5+$O$54+$O$103)),1)</f>
        <v>#VALUE!</v>
      </c>
      <c r="G89" s="310"/>
      <c r="L89" s="115"/>
      <c r="N89" s="273" t="s">
        <v>172</v>
      </c>
      <c r="O89" s="274" t="b">
        <f>IF(AND(O87,O88),TRUE,FALSE)</f>
        <v>0</v>
      </c>
      <c r="P89" s="274" t="b">
        <f>IF(AND(O87,P88),TRUE,FALSE)</f>
        <v>0</v>
      </c>
      <c r="S89" s="70" t="s">
        <v>101</v>
      </c>
      <c r="T89" s="247" t="s">
        <v>68</v>
      </c>
      <c r="U89" s="248" t="s">
        <v>69</v>
      </c>
    </row>
    <row r="90" spans="2:26" ht="15" customHeight="1" thickBot="1">
      <c r="B90" s="317"/>
      <c r="C90" s="320" t="s">
        <v>253</v>
      </c>
      <c r="D90" s="319"/>
      <c r="E90" s="320"/>
      <c r="F90" s="326" t="e" cm="1">
        <f t="array" ref="F90">ASTM(0.55*(IF($O$5+$O$54+$O$103=0,(T25+T74+T123)/((T7&lt;&gt;0)+(T56&lt;&gt;0)+(T105&lt;&gt;0)),(IFERROR($O$5*T25,0)+IFERROR($O$54*T74,0)+IFERROR($O$103*T123,0))/($O$5+$O$54+$O$103)))+0.45*(IF($O$5+$O$54+$O$103=0,(U25+U74+U123)/((U7&lt;&gt;0)+(U56&lt;&gt;0)+(U105&lt;&gt;0)),(IFERROR($O$5*U25,0)+IFERROR($O$54*U74,0)+IFERROR($O$103*U123,0))/($O$5+$O$54+$O$103))),1)</f>
        <v>#VALUE!</v>
      </c>
      <c r="G90" s="322"/>
      <c r="L90" s="115"/>
      <c r="Q90" s="1"/>
      <c r="S90" s="64" t="s">
        <v>102</v>
      </c>
      <c r="T90" s="276" t="e" cm="1">
        <f t="array" ref="T90">IF(O92,   ASTM($J$24*T61/100,3),   NA())</f>
        <v>#N/A</v>
      </c>
      <c r="U90" s="277" t="e" cm="1">
        <f t="array" ref="U90">IF(P92,   ASTM($J$24*U61/100,3),   NA())</f>
        <v>#N/A</v>
      </c>
    </row>
    <row r="91" spans="2:26" ht="15" customHeight="1" thickBot="1">
      <c r="B91" s="317"/>
      <c r="C91" s="347" t="s">
        <v>254</v>
      </c>
      <c r="D91" s="319"/>
      <c r="E91" s="348"/>
      <c r="F91" s="348" t="s">
        <v>255</v>
      </c>
      <c r="G91" s="322"/>
      <c r="L91" s="115"/>
      <c r="N91" s="56" t="s">
        <v>170</v>
      </c>
      <c r="O91" s="53" t="b">
        <f>IF(AND(ISNUMBER(T55),ISNUMBER(T56),ISNUMBER(T57),ISNUMBER(T58),   ISNUMBER(T60),ISNUMBER(T61),ISNUMBER(T62),ISNUMBER(T63),ISNUMBER(T64),ISNUMBER(T65),ISNUMBER(T66),ISNUMBER(T67),ISNUMBER(T68),ISNUMBER(T69),ISNUMBER(T70),ISNUMBER(T71),   ISNUMBER(T73),ISNUMBER(T74),ISNUMBER(T75),ISNUMBER(T76),ISNUMBER(T77),   ISNUMBER(T79),ISNUMBER(T80),ISNUMBER(T81),ISNUMBER(T82)),TRUE,FALSE)</f>
        <v>0</v>
      </c>
      <c r="P91" s="54" t="b">
        <f>IF(AND(ISNUMBER(U55),ISNUMBER(U56),ISNUMBER(U57),ISNUMBER(U58),   ISNUMBER(U60),ISNUMBER(U61),ISNUMBER(U62),ISNUMBER(U63),ISNUMBER(U64),ISNUMBER(U65),ISNUMBER(U66),ISNUMBER(U67),ISNUMBER(U68),ISNUMBER(U69),ISNUMBER(U70),ISNUMBER(U71),   ISNUMBER(U73),ISNUMBER(U74),ISNUMBER(U75),ISNUMBER(U76),ISNUMBER(U77),   ISNUMBER(U79),ISNUMBER(U80),ISNUMBER(U81),ISNUMBER(U82)),TRUE,FALSE)</f>
        <v>0</v>
      </c>
      <c r="Q91" s="1"/>
      <c r="S91" s="64" t="s">
        <v>103</v>
      </c>
      <c r="T91" s="48" t="e" cm="1">
        <f t="array" ref="T91">IF(O92,   ASTM($J$23 *(T67/T56),3),   NA())</f>
        <v>#N/A</v>
      </c>
      <c r="U91" s="49" t="e" cm="1">
        <f t="array" ref="U91">IF(P92,   ASTM($J$23 *(U67/U56),3),   NA())</f>
        <v>#N/A</v>
      </c>
    </row>
    <row r="92" spans="2:26" ht="15" customHeight="1" thickBot="1">
      <c r="B92" s="305"/>
      <c r="C92" s="349" t="s">
        <v>256</v>
      </c>
      <c r="D92" s="350"/>
      <c r="E92" s="349"/>
      <c r="F92" s="351" t="e" cm="1">
        <f t="array" ref="F92">ASTM(D19,2)</f>
        <v>#VALUE!</v>
      </c>
      <c r="G92" s="310"/>
      <c r="L92" s="115"/>
      <c r="N92" s="273" t="s">
        <v>172</v>
      </c>
      <c r="O92" s="55" t="b">
        <f>IF(AND(O89,O91),TRUE,FALSE)</f>
        <v>0</v>
      </c>
      <c r="P92" s="54" t="b">
        <f>IF(AND(P89,P91),TRUE,FALSE)</f>
        <v>0</v>
      </c>
      <c r="S92" s="64" t="s">
        <v>104</v>
      </c>
      <c r="T92" s="276" t="e" cm="1">
        <f t="array" ref="T92">IF(O92,   ASTM(T90+T91,3),   NA())</f>
        <v>#N/A</v>
      </c>
      <c r="U92" s="277" t="e" cm="1">
        <f t="array" ref="U92">IF(P92,   ASTM(U90+U91,3),   NA())</f>
        <v>#N/A</v>
      </c>
    </row>
    <row r="93" spans="2:26" ht="15" customHeight="1" thickBot="1">
      <c r="B93" s="305"/>
      <c r="C93" s="349" t="s">
        <v>257</v>
      </c>
      <c r="D93" s="350"/>
      <c r="E93" s="349"/>
      <c r="F93" s="351" t="e" cm="1">
        <f t="array" ref="F93">ASTM(E19,2)</f>
        <v>#VALUE!</v>
      </c>
      <c r="G93" s="310"/>
      <c r="L93" s="115"/>
      <c r="Q93" s="1"/>
      <c r="S93" s="64" t="s">
        <v>105</v>
      </c>
      <c r="T93" s="276" t="e" cm="1">
        <f t="array" ref="T93">IF(O92,   ASTM($J$23/ASTM(O81,4),3),   NA())</f>
        <v>#N/A</v>
      </c>
      <c r="U93" s="277" t="e" cm="1">
        <f t="array" ref="U93">IF(P92,   ASTM($J$23/ASTM(P81,4),3),   NA())</f>
        <v>#N/A</v>
      </c>
    </row>
    <row r="94" spans="2:26" ht="15" customHeight="1" thickBot="1">
      <c r="B94" s="305"/>
      <c r="C94" s="349" t="s">
        <v>258</v>
      </c>
      <c r="D94" s="350"/>
      <c r="E94" s="349"/>
      <c r="F94" s="350" t="e">
        <f>F19</f>
        <v>#VALUE!</v>
      </c>
      <c r="G94" s="310"/>
      <c r="L94" s="115"/>
      <c r="N94" s="56" t="s">
        <v>171</v>
      </c>
      <c r="O94" s="53" t="b">
        <f>IF(AND(ISNUMBER(T85),ISNUMBER(T86),   ISNUMBER(T88),   ISNUMBER(T90),ISNUMBER(T91),ISNUMBER(T92),ISNUMBER(T93),ISNUMBER(T94),   ISNUMBER(T96),ISNUMBER(T97)),TRUE,FALSE)</f>
        <v>0</v>
      </c>
      <c r="P94" s="54" t="b">
        <f>IF(AND(ISNUMBER(U85),ISNUMBER(U86),   ISNUMBER(U88),   ISNUMBER(U90),ISNUMBER(U91),ISNUMBER(U92),ISNUMBER(U93),ISNUMBER(U94),   ISNUMBER(U96),ISNUMBER(U97)),TRUE,FALSE)</f>
        <v>0</v>
      </c>
      <c r="Q94" s="2"/>
      <c r="S94" s="65" t="s">
        <v>106</v>
      </c>
      <c r="T94" s="352" t="e" cm="1">
        <f t="array" ref="T94">IF(O92,   ASTM(T81*T92+(1-T81)*T93,3),   NA())</f>
        <v>#N/A</v>
      </c>
      <c r="U94" s="353" t="e" cm="1">
        <f t="array" ref="U94">IF(P92,   ASTM(U81*U92+(1-U81)*U93,3),   NA())</f>
        <v>#N/A</v>
      </c>
    </row>
    <row r="95" spans="2:26" ht="15" customHeight="1" thickBot="1">
      <c r="B95" s="288"/>
      <c r="C95" s="292" t="s">
        <v>259</v>
      </c>
      <c r="D95" s="293"/>
      <c r="E95" s="295"/>
      <c r="F95" s="295" t="s">
        <v>255</v>
      </c>
      <c r="G95" s="296"/>
      <c r="L95" s="115"/>
      <c r="N95" s="273" t="s">
        <v>172</v>
      </c>
      <c r="O95" s="57" t="b">
        <f>IF(AND(O92,O94),TRUE,FALSE)</f>
        <v>0</v>
      </c>
      <c r="P95" s="58" t="b">
        <f>IF(AND(P92,P94),TRUE,FALSE)</f>
        <v>0</v>
      </c>
      <c r="Q95" s="116"/>
      <c r="S95" s="71" t="s">
        <v>107</v>
      </c>
      <c r="T95" s="247" t="s">
        <v>68</v>
      </c>
      <c r="U95" s="248" t="s">
        <v>69</v>
      </c>
    </row>
    <row r="96" spans="2:26" ht="15" customHeight="1">
      <c r="B96" s="305"/>
      <c r="C96" s="349" t="s">
        <v>260</v>
      </c>
      <c r="D96" s="350"/>
      <c r="E96" s="349"/>
      <c r="F96" s="351" t="e" cm="1">
        <f t="array" ref="F96">ASTM(D20,2)</f>
        <v>#VALUE!</v>
      </c>
      <c r="G96" s="310"/>
      <c r="L96" s="115"/>
      <c r="N96" s="116"/>
      <c r="O96" s="116"/>
      <c r="P96" s="116"/>
      <c r="Q96" s="116"/>
      <c r="S96" s="64" t="s">
        <v>108</v>
      </c>
      <c r="T96" s="354" cm="1">
        <f t="array" ref="T96">IF(O92,   ASTM(T75+(1-T82)*O84,1),   0)</f>
        <v>0</v>
      </c>
      <c r="U96" s="355" cm="1">
        <f t="array" ref="U96">IF(P92,   ASTM(U75+(1-U82)*P84,1),   0)</f>
        <v>0</v>
      </c>
    </row>
    <row r="97" spans="2:32" ht="15" customHeight="1" thickBot="1">
      <c r="B97" s="305"/>
      <c r="C97" s="349" t="s">
        <v>261</v>
      </c>
      <c r="D97" s="350"/>
      <c r="E97" s="349"/>
      <c r="F97" s="351" t="e" cm="1">
        <f t="array" ref="F97">ASTM(E20,2)</f>
        <v>#VALUE!</v>
      </c>
      <c r="G97" s="310"/>
      <c r="L97" s="115"/>
      <c r="S97" s="63" t="s">
        <v>109</v>
      </c>
      <c r="T97" s="356" cm="1">
        <f t="array" ref="T97">IF(O92,   ASTM(1/(T66+(1-T82)/O81),4),   0)</f>
        <v>0</v>
      </c>
      <c r="U97" s="357" cm="1">
        <f t="array" ref="U97">IF(P92,   ASTM(1/(U66+(1-U82)/P81),4),   0)</f>
        <v>0</v>
      </c>
    </row>
    <row r="98" spans="2:32" ht="15" customHeight="1" thickBot="1">
      <c r="B98" s="305"/>
      <c r="C98" s="349" t="s">
        <v>262</v>
      </c>
      <c r="D98" s="350"/>
      <c r="E98" s="349"/>
      <c r="F98" s="358" t="e">
        <f>F20</f>
        <v>#VALUE!</v>
      </c>
      <c r="G98" s="310"/>
      <c r="L98" s="115"/>
      <c r="S98" s="2"/>
      <c r="T98" s="259"/>
      <c r="U98" s="259"/>
    </row>
    <row r="99" spans="2:32" ht="15" customHeight="1" thickBot="1">
      <c r="B99" s="288"/>
      <c r="C99" s="292" t="s">
        <v>263</v>
      </c>
      <c r="D99" s="293"/>
      <c r="E99" s="359"/>
      <c r="F99" s="295" t="s">
        <v>264</v>
      </c>
      <c r="G99" s="296"/>
      <c r="L99" s="115"/>
      <c r="M99" s="115"/>
      <c r="N99" s="115"/>
      <c r="O99" s="115"/>
      <c r="P99" s="115"/>
      <c r="Q99" s="115"/>
      <c r="R99" s="115"/>
      <c r="S99" s="90"/>
      <c r="T99" s="311"/>
      <c r="U99" s="311"/>
      <c r="V99" s="115"/>
      <c r="W99" s="115"/>
      <c r="X99" s="115"/>
      <c r="Y99" s="115"/>
      <c r="Z99" s="115"/>
      <c r="AA99" s="115"/>
      <c r="AB99" s="115"/>
      <c r="AC99" s="115"/>
      <c r="AD99" s="115"/>
      <c r="AE99" s="115"/>
      <c r="AF99" s="115"/>
    </row>
    <row r="100" spans="2:32" ht="15" customHeight="1" thickBot="1">
      <c r="B100" s="305"/>
      <c r="C100" s="349" t="s">
        <v>265</v>
      </c>
      <c r="D100" s="350"/>
      <c r="E100" s="349"/>
      <c r="F100" s="360" t="e" cm="1">
        <f t="array" ref="F100">ASTM(mdiuf(D19),3)</f>
        <v>#VALUE!</v>
      </c>
      <c r="G100" s="310"/>
      <c r="L100" s="115"/>
    </row>
    <row r="101" spans="2:32" ht="15" customHeight="1" thickBot="1">
      <c r="B101" s="305"/>
      <c r="C101" s="349" t="s">
        <v>266</v>
      </c>
      <c r="D101" s="350"/>
      <c r="E101" s="349"/>
      <c r="F101" s="360" t="e" cm="1">
        <f t="array" ref="F101">ASTM(mdiuf(E19),3)</f>
        <v>#VALUE!</v>
      </c>
      <c r="G101" s="310"/>
      <c r="L101" s="115"/>
      <c r="N101" s="72" t="s">
        <v>63</v>
      </c>
      <c r="O101" s="95"/>
      <c r="P101" s="23"/>
      <c r="Q101" s="474">
        <v>3</v>
      </c>
      <c r="S101" s="66" t="s">
        <v>64</v>
      </c>
      <c r="T101" s="28" t="s">
        <v>111</v>
      </c>
      <c r="U101" s="47">
        <f>O102</f>
        <v>0</v>
      </c>
      <c r="W101" s="66" t="s">
        <v>133</v>
      </c>
      <c r="X101" s="123">
        <f>O102</f>
        <v>0</v>
      </c>
      <c r="Y101" s="124"/>
      <c r="Z101" s="125"/>
    </row>
    <row r="102" spans="2:32" ht="15" customHeight="1" thickBot="1">
      <c r="B102" s="305"/>
      <c r="C102" s="349" t="s">
        <v>267</v>
      </c>
      <c r="D102" s="350"/>
      <c r="E102" s="349"/>
      <c r="F102" s="350" t="e" cm="1">
        <f t="array" ref="F102">ASTM(mdiuf(0.55*D19+0.45*E19),3)</f>
        <v>#VALUE!</v>
      </c>
      <c r="G102" s="310"/>
      <c r="L102" s="115"/>
      <c r="N102" s="88" t="s">
        <v>51</v>
      </c>
      <c r="O102" s="485"/>
      <c r="P102" s="486"/>
      <c r="Q102" s="475"/>
      <c r="S102" s="67" t="s">
        <v>66</v>
      </c>
      <c r="T102" s="68"/>
      <c r="U102" s="69"/>
      <c r="W102" s="132" t="s">
        <v>134</v>
      </c>
      <c r="X102" s="133"/>
      <c r="Y102" s="133"/>
      <c r="Z102" s="134"/>
    </row>
    <row r="103" spans="2:32" ht="15" customHeight="1" thickBot="1">
      <c r="B103" s="288"/>
      <c r="C103" s="292" t="s">
        <v>268</v>
      </c>
      <c r="D103" s="293"/>
      <c r="E103" s="359"/>
      <c r="F103" s="295" t="s">
        <v>247</v>
      </c>
      <c r="G103" s="296"/>
      <c r="L103" s="115"/>
      <c r="N103" s="89" t="s">
        <v>52</v>
      </c>
      <c r="O103" s="487"/>
      <c r="P103" s="488"/>
      <c r="Q103" s="476"/>
      <c r="S103" s="70" t="s">
        <v>67</v>
      </c>
      <c r="T103" s="29" t="s">
        <v>186</v>
      </c>
      <c r="U103" s="36" t="s">
        <v>187</v>
      </c>
      <c r="W103" s="141" t="s">
        <v>135</v>
      </c>
      <c r="X103" s="142" t="s">
        <v>53</v>
      </c>
      <c r="Y103" s="142" t="s">
        <v>54</v>
      </c>
      <c r="Z103" s="143" t="s">
        <v>136</v>
      </c>
    </row>
    <row r="104" spans="2:32" ht="15" customHeight="1" thickBot="1">
      <c r="B104" s="305"/>
      <c r="C104" s="349" t="s">
        <v>269</v>
      </c>
      <c r="D104" s="350"/>
      <c r="E104" s="349"/>
      <c r="F104" s="361" t="e" cm="1">
        <f t="array" ref="F104">ASTM(D32,0)</f>
        <v>#VALUE!</v>
      </c>
      <c r="G104" s="310"/>
      <c r="L104" s="115"/>
      <c r="N104" s="116"/>
      <c r="O104" s="116"/>
      <c r="P104" s="116"/>
      <c r="Q104" s="116"/>
      <c r="S104" s="17" t="s">
        <v>70</v>
      </c>
      <c r="T104" s="30"/>
      <c r="U104" s="37"/>
      <c r="W104" s="147" t="s">
        <v>137</v>
      </c>
      <c r="X104" s="50" cm="1">
        <f t="array" ref="X104">IF(O144,   ASTM(1/(0.5/(($J$22)/(T109/T134))+0.5/O129),4),   0)</f>
        <v>0</v>
      </c>
      <c r="Y104" s="50" cm="1">
        <f t="array" ref="Y104">IF(P144,   ASTM(1/(0.5/(($J$22)/(U109/U134))+0.5/P129),4),   0)</f>
        <v>0</v>
      </c>
      <c r="Z104" s="59" t="e" cm="1">
        <f t="array" ref="Z104">IF(AND(ISNUMBER(X104),ISNUMBER(Y104)),   ASTM(1/(0.55/X104+0.45/Y104),4),   NA())</f>
        <v>#VALUE!</v>
      </c>
    </row>
    <row r="105" spans="2:32" ht="15" customHeight="1">
      <c r="B105" s="305"/>
      <c r="C105" s="349" t="s">
        <v>270</v>
      </c>
      <c r="D105" s="350"/>
      <c r="E105" s="349"/>
      <c r="F105" s="362" t="e" cm="1">
        <f t="array" ref="F105">ASTM(E32,0)</f>
        <v>#VALUE!</v>
      </c>
      <c r="G105" s="310"/>
      <c r="L105" s="115"/>
      <c r="N105" s="479" t="s">
        <v>175</v>
      </c>
      <c r="O105" s="480"/>
      <c r="P105" s="480"/>
      <c r="Q105" s="481"/>
      <c r="S105" s="17" t="s">
        <v>71</v>
      </c>
      <c r="T105" s="30"/>
      <c r="U105" s="37"/>
      <c r="W105" s="147" t="s">
        <v>138</v>
      </c>
      <c r="X105" s="50" cm="1">
        <f t="array" ref="X105">IF(O144,   ASTM(1/(T137/(($J$22)/(T109/T134))+(1-T137)/O129), 4),   0)</f>
        <v>0</v>
      </c>
      <c r="Y105" s="50" cm="1">
        <f t="array" ref="Y105">IF(P144,   ASTM(1/(U137/(($J$22)/(U109/U134))+(1-U137)/P129), 4),   0)</f>
        <v>0</v>
      </c>
      <c r="Z105" s="59" t="e" cm="1">
        <f t="array" ref="Z105">IF(AND(ISNUMBER(X105),ISNUMBER(Y105)),   ASTM(1/(0.55/X105+0.45/Y105),4),   NA())</f>
        <v>#VALUE!</v>
      </c>
    </row>
    <row r="106" spans="2:32" ht="15" customHeight="1" thickBot="1">
      <c r="B106" s="305"/>
      <c r="C106" s="349" t="s">
        <v>271</v>
      </c>
      <c r="D106" s="350"/>
      <c r="E106" s="349"/>
      <c r="F106" s="350" t="e">
        <f>F32</f>
        <v>#VALUE!</v>
      </c>
      <c r="G106" s="310"/>
      <c r="L106" s="115"/>
      <c r="N106" s="482"/>
      <c r="O106" s="483"/>
      <c r="P106" s="483"/>
      <c r="Q106" s="484"/>
      <c r="S106" s="17" t="s">
        <v>72</v>
      </c>
      <c r="T106" s="30"/>
      <c r="U106" s="37"/>
      <c r="W106" s="153" t="s">
        <v>139</v>
      </c>
      <c r="X106" s="154" t="s">
        <v>53</v>
      </c>
      <c r="Y106" s="154" t="s">
        <v>54</v>
      </c>
      <c r="Z106" s="155" t="s">
        <v>136</v>
      </c>
    </row>
    <row r="107" spans="2:32" ht="15" customHeight="1" thickBot="1">
      <c r="B107" s="288"/>
      <c r="C107" s="292" t="s">
        <v>272</v>
      </c>
      <c r="D107" s="293"/>
      <c r="E107" s="359"/>
      <c r="F107" s="295" t="s">
        <v>231</v>
      </c>
      <c r="G107" s="296"/>
      <c r="L107" s="115"/>
      <c r="N107" s="87"/>
      <c r="O107" s="85" t="s">
        <v>182</v>
      </c>
      <c r="P107" s="85" t="s">
        <v>181</v>
      </c>
      <c r="Q107" s="86" t="s">
        <v>179</v>
      </c>
      <c r="S107" s="63" t="s">
        <v>73</v>
      </c>
      <c r="T107" s="31"/>
      <c r="U107" s="44"/>
      <c r="W107" s="158" t="s">
        <v>140</v>
      </c>
      <c r="X107" s="50" cm="1">
        <f t="array" ref="X107">IF(O144,   ASTM(1/(T113+(1-T128)/O129),4),   0)</f>
        <v>0</v>
      </c>
      <c r="Y107" s="50" cm="1">
        <f t="array" ref="Y107">IF(P144,   ASTM(1/(U113+(1-U128)/P129),4),   0)</f>
        <v>0</v>
      </c>
      <c r="Z107" s="59" t="e" cm="1">
        <f t="array" ref="Z107">IF(AND(ISNUMBER(X107),ISNUMBER(Y107)),   ASTM(1/(0.55/X107+0.45/Y107),4),   NA())</f>
        <v>#VALUE!</v>
      </c>
    </row>
    <row r="108" spans="2:32" ht="15" customHeight="1" thickBot="1">
      <c r="B108" s="305"/>
      <c r="C108" s="349" t="s">
        <v>273</v>
      </c>
      <c r="D108" s="350"/>
      <c r="E108" s="349"/>
      <c r="F108" s="361" t="e" cm="1">
        <f t="array" ref="F108">ASTM(D31,0)</f>
        <v>#VALUE!</v>
      </c>
      <c r="G108" s="310"/>
      <c r="L108" s="115"/>
      <c r="N108" s="20" t="s">
        <v>180</v>
      </c>
      <c r="O108" s="109"/>
      <c r="P108" s="109"/>
      <c r="Q108" s="110"/>
      <c r="S108" s="70" t="s">
        <v>74</v>
      </c>
      <c r="T108" s="29" t="s">
        <v>186</v>
      </c>
      <c r="U108" s="36" t="s">
        <v>187</v>
      </c>
      <c r="W108" s="164" t="s">
        <v>141</v>
      </c>
      <c r="X108" s="165" t="s">
        <v>53</v>
      </c>
      <c r="Y108" s="165" t="s">
        <v>54</v>
      </c>
      <c r="Z108" s="166" t="s">
        <v>136</v>
      </c>
    </row>
    <row r="109" spans="2:32" ht="15" customHeight="1" thickBot="1">
      <c r="B109" s="305"/>
      <c r="C109" s="349" t="s">
        <v>274</v>
      </c>
      <c r="D109" s="350"/>
      <c r="E109" s="349"/>
      <c r="F109" s="361" t="e" cm="1">
        <f t="array" ref="F109">ASTM(E31,0)</f>
        <v>#VALUE!</v>
      </c>
      <c r="G109" s="310"/>
      <c r="L109" s="115"/>
      <c r="N109" s="21" t="s">
        <v>180</v>
      </c>
      <c r="O109" s="111"/>
      <c r="P109" s="111"/>
      <c r="Q109" s="112"/>
      <c r="S109" s="17" t="s">
        <v>75</v>
      </c>
      <c r="T109" s="32"/>
      <c r="U109" s="38"/>
      <c r="W109" s="158" t="s">
        <v>142</v>
      </c>
      <c r="X109" s="171" cm="1">
        <f t="array" ref="X109">IF(O144,   ASTM(T125+(1-T128)*O131,1),   0)</f>
        <v>0</v>
      </c>
      <c r="Y109" s="171" cm="1">
        <f t="array" ref="Y109">IF(P144,   ASTM(U125+(1-U128)*P131,1),   0)</f>
        <v>0</v>
      </c>
      <c r="Z109" s="172" cm="1">
        <f t="array" ref="Z109">IF(AND(ISNUMBER(X109),ISNUMBER(Y109)),   ASTM(0.55*X109+0.45*Y109,1),   NA())</f>
        <v>0</v>
      </c>
    </row>
    <row r="110" spans="2:32" ht="15" customHeight="1" thickBot="1">
      <c r="B110" s="305"/>
      <c r="C110" s="349" t="s">
        <v>275</v>
      </c>
      <c r="D110" s="350"/>
      <c r="E110" s="349"/>
      <c r="F110" s="350" t="e">
        <f>F31</f>
        <v>#VALUE!</v>
      </c>
      <c r="G110" s="310"/>
      <c r="L110" s="115"/>
      <c r="S110" s="17" t="s">
        <v>76</v>
      </c>
      <c r="T110" s="30"/>
      <c r="U110" s="37"/>
      <c r="W110" s="158" t="s">
        <v>143</v>
      </c>
      <c r="X110" s="171" cm="1">
        <f t="array" ref="X110">IF(O144,   IF($J$17="Additive",ASTM((T125+(1-T128)*O131),0)+ASTM($J$18,0),IF($J$17="Multiplicative",ASTM(ASTM((T125+(1-T128)*O131),0)*$J$18,0),"Add/Mult?")),   0)</f>
        <v>0</v>
      </c>
      <c r="Y110" s="171" cm="1">
        <f t="array" ref="Y110">IF(P144,   IF($J$17="Additive",ASTM((U125+(1-U128)*P131),0)+ASTM($J$19,0),IF($J$17="Multiplicative",ASTM(ASTM((U125+(1-U128)*P131),0)*$J$19,0),"Add/Mult?")),   0)</f>
        <v>0</v>
      </c>
      <c r="Z110" s="172" cm="1">
        <f t="array" ref="Z110">IF(AND(ISNUMBER(X110),ISNUMBER(Y110)),   ASTM(0.55*X110+0.45*Y110,1),   NA())</f>
        <v>0</v>
      </c>
    </row>
    <row r="111" spans="2:32" ht="15" customHeight="1" thickBot="1">
      <c r="B111" s="288"/>
      <c r="C111" s="292" t="s">
        <v>276</v>
      </c>
      <c r="D111" s="293"/>
      <c r="E111" s="359"/>
      <c r="F111" s="295" t="s">
        <v>255</v>
      </c>
      <c r="G111" s="296"/>
      <c r="L111" s="115"/>
      <c r="N111" s="479" t="s">
        <v>176</v>
      </c>
      <c r="O111" s="480"/>
      <c r="P111" s="480"/>
      <c r="Q111" s="481"/>
      <c r="S111" s="17" t="s">
        <v>77</v>
      </c>
      <c r="T111" s="32"/>
      <c r="U111" s="38"/>
      <c r="W111" s="164" t="s">
        <v>144</v>
      </c>
      <c r="X111" s="165"/>
      <c r="Y111" s="165"/>
      <c r="Z111" s="166"/>
    </row>
    <row r="112" spans="2:32" ht="15" customHeight="1" thickBot="1">
      <c r="B112" s="305"/>
      <c r="C112" s="363" t="s">
        <v>276</v>
      </c>
      <c r="D112" s="364"/>
      <c r="E112" s="365"/>
      <c r="F112" s="364" t="e">
        <f>F21</f>
        <v>#VALUE!</v>
      </c>
      <c r="G112" s="310"/>
      <c r="L112" s="115"/>
      <c r="N112" s="482"/>
      <c r="O112" s="483"/>
      <c r="P112" s="483"/>
      <c r="Q112" s="484"/>
      <c r="S112" s="17" t="s">
        <v>78</v>
      </c>
      <c r="T112" s="33"/>
      <c r="U112" s="41"/>
      <c r="W112" s="182" t="s">
        <v>145</v>
      </c>
      <c r="X112" s="183"/>
      <c r="Y112" s="183"/>
      <c r="Z112" s="184" t="s">
        <v>136</v>
      </c>
    </row>
    <row r="113" spans="2:26" ht="15" customHeight="1" thickBot="1">
      <c r="B113" s="317"/>
      <c r="C113" s="320"/>
      <c r="D113" s="319"/>
      <c r="E113" s="320"/>
      <c r="F113" s="320"/>
      <c r="G113" s="322"/>
      <c r="L113" s="115"/>
      <c r="N113" s="92"/>
      <c r="O113" s="93" t="s">
        <v>183</v>
      </c>
      <c r="P113" s="93" t="s">
        <v>181</v>
      </c>
      <c r="Q113" s="94" t="s">
        <v>179</v>
      </c>
      <c r="S113" s="17" t="s">
        <v>79</v>
      </c>
      <c r="T113" s="34"/>
      <c r="U113" s="42"/>
      <c r="W113" s="158" t="s">
        <v>146</v>
      </c>
      <c r="X113" s="187"/>
      <c r="Y113" s="187"/>
      <c r="Z113" s="51" t="e" cm="1">
        <f t="array" ref="Z113">IF(AND(O144,P144),   ASTM(0.55*T105+0.45*U105,0),   NA())</f>
        <v>#N/A</v>
      </c>
    </row>
    <row r="114" spans="2:26" ht="15" customHeight="1">
      <c r="L114" s="115"/>
      <c r="N114" s="20" t="s">
        <v>178</v>
      </c>
      <c r="O114" s="193"/>
      <c r="P114" s="193"/>
      <c r="Q114" s="194"/>
      <c r="S114" s="17" t="s">
        <v>80</v>
      </c>
      <c r="T114" s="35"/>
      <c r="U114" s="43"/>
      <c r="W114" s="158" t="s">
        <v>147</v>
      </c>
      <c r="X114" s="187"/>
      <c r="Y114" s="187"/>
      <c r="Z114" s="51" t="e" cm="1">
        <f t="array" ref="Z114">IF(AND(O144,P144),   ASTM(0.55*T107+0.45*U107,0),   NA())</f>
        <v>#N/A</v>
      </c>
    </row>
    <row r="115" spans="2:26" ht="15" customHeight="1">
      <c r="L115" s="115"/>
      <c r="N115" s="20" t="s">
        <v>178</v>
      </c>
      <c r="O115" s="193"/>
      <c r="P115" s="193"/>
      <c r="Q115" s="194"/>
      <c r="S115" s="17" t="s">
        <v>81</v>
      </c>
      <c r="T115" s="34"/>
      <c r="U115" s="42"/>
      <c r="W115" s="158" t="s">
        <v>148</v>
      </c>
      <c r="X115" s="187"/>
      <c r="Y115" s="187"/>
      <c r="Z115" s="52" t="e" cm="1">
        <f t="array" ref="Z115">IF(AND(O144,P144,ISNUMBER(Z113)),   ASTM((ASTM(0.55*T135+0.45*U135,0)+Z113)/10,0) *10,   NA())</f>
        <v>#N/A</v>
      </c>
    </row>
    <row r="116" spans="2:26" ht="15" customHeight="1">
      <c r="L116" s="115"/>
      <c r="N116" s="20" t="s">
        <v>61</v>
      </c>
      <c r="O116" s="193"/>
      <c r="P116" s="193"/>
      <c r="Q116" s="194"/>
      <c r="S116" s="17" t="s">
        <v>82</v>
      </c>
      <c r="T116" s="24"/>
      <c r="U116" s="26"/>
      <c r="W116" s="158" t="s">
        <v>149</v>
      </c>
      <c r="X116" s="187"/>
      <c r="Y116" s="187"/>
      <c r="Z116" s="197" t="e" cm="1">
        <f t="array" ref="Z116">IF(AND(O144,P144),   ASTM(1/(0.55/T117+0.45/U117),0),   NA())</f>
        <v>#N/A</v>
      </c>
    </row>
    <row r="117" spans="2:26" ht="15" customHeight="1">
      <c r="L117" s="115"/>
      <c r="N117" s="20" t="s">
        <v>61</v>
      </c>
      <c r="O117" s="193"/>
      <c r="P117" s="193"/>
      <c r="Q117" s="194"/>
      <c r="S117" s="17" t="s">
        <v>83</v>
      </c>
      <c r="T117" s="33"/>
      <c r="U117" s="41"/>
      <c r="W117" s="147" t="s">
        <v>150</v>
      </c>
      <c r="X117" s="187"/>
      <c r="Y117" s="187"/>
      <c r="Z117" s="197" t="e" cm="1">
        <f t="array" ref="Z117">IF(AND(O144,P144),   ASTM(0.55*T110+0.45*U110,0),   NA())</f>
        <v>#N/A</v>
      </c>
    </row>
    <row r="118" spans="2:26" ht="15" customHeight="1">
      <c r="L118" s="115"/>
      <c r="N118" s="20" t="s">
        <v>61</v>
      </c>
      <c r="O118" s="193"/>
      <c r="P118" s="193"/>
      <c r="Q118" s="194"/>
      <c r="S118" s="17" t="s">
        <v>84</v>
      </c>
      <c r="T118" s="33"/>
      <c r="U118" s="41"/>
      <c r="W118" s="147" t="s">
        <v>151</v>
      </c>
      <c r="X118" s="187"/>
      <c r="Y118" s="187"/>
      <c r="Z118" s="197" t="e" cm="1">
        <f t="array" ref="Z118">IF(AND(O144,P144),   ASTM(0.55*T118+0.45*U118,1),   NA())</f>
        <v>#N/A</v>
      </c>
    </row>
    <row r="119" spans="2:26" ht="15" customHeight="1">
      <c r="L119" s="115"/>
      <c r="N119" s="20" t="s">
        <v>61</v>
      </c>
      <c r="O119" s="193"/>
      <c r="P119" s="193"/>
      <c r="Q119" s="194"/>
      <c r="S119" s="17" t="s">
        <v>85</v>
      </c>
      <c r="T119" s="24"/>
      <c r="U119" s="26"/>
      <c r="W119" s="182" t="s">
        <v>152</v>
      </c>
      <c r="X119" s="183"/>
      <c r="Y119" s="183"/>
      <c r="Z119" s="184" t="s">
        <v>136</v>
      </c>
    </row>
    <row r="120" spans="2:26" ht="15" customHeight="1" thickBot="1">
      <c r="L120" s="115"/>
      <c r="N120" s="20" t="s">
        <v>61</v>
      </c>
      <c r="O120" s="193"/>
      <c r="P120" s="193"/>
      <c r="Q120" s="194"/>
      <c r="S120" s="63" t="s">
        <v>86</v>
      </c>
      <c r="T120" s="25"/>
      <c r="U120" s="27"/>
      <c r="W120" s="147" t="s">
        <v>153</v>
      </c>
      <c r="X120" s="204" cm="1">
        <f t="array" ref="X120">IF(O144,   ASTM(O130,4),   0)</f>
        <v>0</v>
      </c>
      <c r="Y120" s="204" cm="1">
        <f t="array" ref="Y120">IF(P144,   ASTM(P130,4),   0)</f>
        <v>0</v>
      </c>
      <c r="Z120" s="60" t="e" cm="1">
        <f t="array" ref="Z120">IF(AND(O144,P144),   ASTM(1/(0.55/X120+0.45/Y120),0),   NA())</f>
        <v>#N/A</v>
      </c>
    </row>
    <row r="121" spans="2:26" ht="15" customHeight="1">
      <c r="L121" s="115"/>
      <c r="N121" s="20" t="s">
        <v>61</v>
      </c>
      <c r="O121" s="193"/>
      <c r="P121" s="193"/>
      <c r="Q121" s="194"/>
      <c r="S121" s="70" t="s">
        <v>87</v>
      </c>
      <c r="T121" s="29" t="s">
        <v>186</v>
      </c>
      <c r="U121" s="36" t="s">
        <v>187</v>
      </c>
      <c r="W121" s="147" t="s">
        <v>154</v>
      </c>
      <c r="X121" s="171" cm="1">
        <f t="array" ref="X121">IFERROR(ASTM(100/X120,1),0)</f>
        <v>0</v>
      </c>
      <c r="Y121" s="171" cm="1">
        <f t="array" ref="Y121">IFERROR(ASTM(100/Y120,1),0)</f>
        <v>0</v>
      </c>
      <c r="Z121" s="61" t="e" cm="1">
        <f t="array" ref="Z121">IF(ISNUMBER(Z120),   ASTM(100/Z120,1),   NA())</f>
        <v>#N/A</v>
      </c>
    </row>
    <row r="122" spans="2:26" ht="15" customHeight="1">
      <c r="L122" s="115"/>
      <c r="N122" s="20" t="s">
        <v>61</v>
      </c>
      <c r="O122" s="193"/>
      <c r="P122" s="193"/>
      <c r="Q122" s="194"/>
      <c r="S122" s="17" t="s">
        <v>88</v>
      </c>
      <c r="T122" s="32"/>
      <c r="U122" s="38"/>
      <c r="W122" s="182" t="s">
        <v>155</v>
      </c>
      <c r="X122" s="183"/>
      <c r="Y122" s="183"/>
      <c r="Z122" s="210" t="s">
        <v>136</v>
      </c>
    </row>
    <row r="123" spans="2:26" ht="15" customHeight="1">
      <c r="L123" s="115"/>
      <c r="N123" s="20" t="s">
        <v>61</v>
      </c>
      <c r="O123" s="193"/>
      <c r="P123" s="193"/>
      <c r="Q123" s="194"/>
      <c r="S123" s="17" t="s">
        <v>89</v>
      </c>
      <c r="T123" s="32"/>
      <c r="U123" s="38"/>
      <c r="W123" s="147" t="s">
        <v>156</v>
      </c>
      <c r="X123" s="187"/>
      <c r="Y123" s="187"/>
      <c r="Z123" s="62" t="e" cm="1">
        <f t="array" ref="Z123">IF(AND(O144,P144),   ASTM(15000*ASTM(0.55*T143+0.45*U143,3)/50,0)*50,   NA())</f>
        <v>#N/A</v>
      </c>
    </row>
    <row r="124" spans="2:26" ht="15" customHeight="1">
      <c r="L124" s="115"/>
      <c r="N124" s="20" t="s">
        <v>61</v>
      </c>
      <c r="O124" s="193"/>
      <c r="P124" s="193"/>
      <c r="Q124" s="194"/>
      <c r="S124" s="17" t="s">
        <v>90</v>
      </c>
      <c r="T124" s="32"/>
      <c r="U124" s="38"/>
      <c r="W124" s="147" t="s">
        <v>157</v>
      </c>
      <c r="X124" s="187"/>
      <c r="Y124" s="187"/>
      <c r="Z124" s="62" t="e">
        <f>IF(AND(ISNUMBER($J$25),ISNUMBER(Z123)),   $J$25-5*Z123,   NA())</f>
        <v>#N/A</v>
      </c>
    </row>
    <row r="125" spans="2:26" ht="15" customHeight="1" thickBot="1">
      <c r="L125" s="115"/>
      <c r="N125" s="21" t="s">
        <v>61</v>
      </c>
      <c r="O125" s="216"/>
      <c r="P125" s="216"/>
      <c r="Q125" s="217"/>
      <c r="S125" s="17" t="s">
        <v>91</v>
      </c>
      <c r="T125" s="32"/>
      <c r="U125" s="38"/>
      <c r="W125" s="158" t="s">
        <v>158</v>
      </c>
      <c r="X125" s="187"/>
      <c r="Y125" s="187"/>
      <c r="Z125" s="61" t="e" cm="1">
        <f t="array" ref="Z125">IF(AND(O144,P144),   ASTM(0.55*T145+0.45*U145,0),   NA())</f>
        <v>#N/A</v>
      </c>
    </row>
    <row r="126" spans="2:26" ht="15" customHeight="1" thickBot="1">
      <c r="L126" s="115"/>
      <c r="Q126" s="116"/>
      <c r="S126" s="63" t="s">
        <v>92</v>
      </c>
      <c r="T126" s="39"/>
      <c r="U126" s="40"/>
      <c r="W126" s="158" t="s">
        <v>159</v>
      </c>
      <c r="X126" s="187"/>
      <c r="Y126" s="187"/>
      <c r="Z126" s="61" t="e" cm="1">
        <f t="array" ref="Z126">IF(AND(O144,P144),   ASTM(1/(0.55/T146+0.45/U146),0),   NA())</f>
        <v>#N/A</v>
      </c>
    </row>
    <row r="127" spans="2:26" ht="15" customHeight="1" thickBot="1">
      <c r="L127" s="115"/>
      <c r="N127" s="489" t="s">
        <v>177</v>
      </c>
      <c r="O127" s="490"/>
      <c r="P127" s="490"/>
      <c r="Q127" s="491"/>
      <c r="S127" s="70" t="s">
        <v>93</v>
      </c>
      <c r="T127" s="29" t="s">
        <v>186</v>
      </c>
      <c r="U127" s="36" t="s">
        <v>187</v>
      </c>
      <c r="W127" s="218" t="s">
        <v>160</v>
      </c>
      <c r="X127" s="165" t="s">
        <v>53</v>
      </c>
      <c r="Y127" s="165" t="s">
        <v>54</v>
      </c>
      <c r="Z127" s="166" t="s">
        <v>136</v>
      </c>
    </row>
    <row r="128" spans="2:26" ht="15" customHeight="1">
      <c r="L128" s="115"/>
      <c r="N128" s="18"/>
      <c r="O128" s="83" t="s">
        <v>184</v>
      </c>
      <c r="P128" s="84" t="s">
        <v>185</v>
      </c>
      <c r="Q128" s="220" t="s">
        <v>188</v>
      </c>
      <c r="S128" s="17" t="s">
        <v>94</v>
      </c>
      <c r="T128" s="30"/>
      <c r="U128" s="37"/>
      <c r="W128" s="158" t="s">
        <v>161</v>
      </c>
      <c r="X128" s="221" cm="1">
        <f t="array" ref="X128">IFERROR(ASTM(mdiuf(T104),3),0)</f>
        <v>0</v>
      </c>
      <c r="Y128" s="221" cm="1">
        <f t="array" ref="Y128">IFERROR(ASTM(mdiuf(U104),3),0)</f>
        <v>0</v>
      </c>
      <c r="Z128" s="222"/>
    </row>
    <row r="129" spans="12:26" ht="15" customHeight="1" thickBot="1">
      <c r="L129" s="115"/>
      <c r="N129" s="20" t="s">
        <v>55</v>
      </c>
      <c r="O129" s="224"/>
      <c r="P129" s="225"/>
      <c r="Q129" s="226"/>
      <c r="S129" s="17" t="s">
        <v>173</v>
      </c>
      <c r="T129" s="339"/>
      <c r="U129" s="340"/>
      <c r="W129" s="229" t="s">
        <v>162</v>
      </c>
      <c r="X129" s="230" cm="1">
        <f t="array" ref="X129">IFERROR(ASTM(1/(X128/(T104/T112)+(1-X128)/O129),4),0)</f>
        <v>0</v>
      </c>
      <c r="Y129" s="230" cm="1">
        <f t="array" ref="Y129">IFERROR(ASTM(1/(Y128/(U104/U112)+(1-Y128)/P129),4),0)</f>
        <v>0</v>
      </c>
      <c r="Z129" s="231" cm="1">
        <f t="array" ref="Z129">IFERROR(ASTM(1/(0.55/X129+0.45/Y129),4),0)</f>
        <v>0</v>
      </c>
    </row>
    <row r="130" spans="12:26" ht="15" customHeight="1" thickBot="1">
      <c r="L130" s="115"/>
      <c r="N130" s="20" t="s">
        <v>56</v>
      </c>
      <c r="O130" s="224"/>
      <c r="P130" s="225"/>
      <c r="Q130" s="232"/>
      <c r="S130" s="17" t="s">
        <v>95</v>
      </c>
      <c r="T130" s="30"/>
      <c r="U130" s="37"/>
      <c r="W130" s="233" t="s">
        <v>163</v>
      </c>
      <c r="X130" s="234" t="s">
        <v>53</v>
      </c>
      <c r="Y130" s="234" t="s">
        <v>54</v>
      </c>
      <c r="Z130" s="235"/>
    </row>
    <row r="131" spans="12:26" ht="15" customHeight="1" thickBot="1">
      <c r="L131" s="115"/>
      <c r="N131" s="20" t="s">
        <v>57</v>
      </c>
      <c r="O131" s="237"/>
      <c r="P131" s="238"/>
      <c r="Q131" s="236"/>
      <c r="S131" s="17" t="s">
        <v>96</v>
      </c>
      <c r="T131" s="30"/>
      <c r="U131" s="37"/>
      <c r="W131" s="239" t="s">
        <v>164</v>
      </c>
      <c r="X131" s="240">
        <f>IF(O144,   T129,   0)</f>
        <v>0</v>
      </c>
      <c r="Y131" s="240">
        <f>IF(P144,   U129,   0)</f>
        <v>0</v>
      </c>
      <c r="Z131" s="241"/>
    </row>
    <row r="132" spans="12:26" ht="15" customHeight="1" thickBot="1">
      <c r="L132" s="115"/>
      <c r="N132" s="20" t="s">
        <v>58</v>
      </c>
      <c r="O132" s="237"/>
      <c r="P132" s="238"/>
      <c r="Q132" s="236"/>
      <c r="S132" s="67" t="s">
        <v>97</v>
      </c>
      <c r="T132" s="242"/>
      <c r="U132" s="192"/>
      <c r="W132" s="158" t="s">
        <v>165</v>
      </c>
      <c r="X132" s="243">
        <f>IF(O144,   X107,   0)</f>
        <v>0</v>
      </c>
      <c r="Y132" s="243">
        <f>IF(P144,  Y107,   0)</f>
        <v>0</v>
      </c>
      <c r="Z132" s="244"/>
    </row>
    <row r="133" spans="12:26" ht="15" customHeight="1" thickBot="1">
      <c r="L133" s="115"/>
      <c r="N133" s="21" t="s">
        <v>59</v>
      </c>
      <c r="O133" s="245"/>
      <c r="P133" s="246"/>
      <c r="S133" s="70" t="s">
        <v>67</v>
      </c>
      <c r="T133" s="247" t="s">
        <v>68</v>
      </c>
      <c r="U133" s="248" t="s">
        <v>69</v>
      </c>
      <c r="W133" s="158" t="s">
        <v>166</v>
      </c>
      <c r="X133" s="249" cm="1">
        <f t="array" ref="X133">IF(O144,   ASTM(X109,1),   0)</f>
        <v>0</v>
      </c>
      <c r="Y133" s="249" cm="1">
        <f t="array" ref="Y133">IF(P144,   ASTM(Y109,1),   0)</f>
        <v>0</v>
      </c>
      <c r="Z133" s="172"/>
    </row>
    <row r="134" spans="12:26" ht="15" customHeight="1">
      <c r="L134" s="115"/>
      <c r="N134" s="116"/>
      <c r="O134" s="116"/>
      <c r="P134" s="116"/>
      <c r="Q134" s="116"/>
      <c r="S134" s="17" t="s">
        <v>98</v>
      </c>
      <c r="T134" s="252" t="e" cm="1">
        <f t="array" ref="T134">IF(O141,   ASTM(T104*((O132-T122)/O132),3),   NA())</f>
        <v>#N/A</v>
      </c>
      <c r="U134" s="253" t="e" cm="1">
        <f t="array" ref="U134">IF(P141,   ASTM(U104*((P132-U122)/P132),3),   NA())</f>
        <v>#N/A</v>
      </c>
      <c r="W134" s="158" t="s">
        <v>167</v>
      </c>
      <c r="X134" s="243" cm="1">
        <f t="array" ref="X134">IF(O144,   ASTM(1/(T114+(1-X131)/O130),4),   0)</f>
        <v>0</v>
      </c>
      <c r="Y134" s="243" cm="1">
        <f t="array" ref="Y134">IF(P144,   ASTM(1/(U114+(1-Y131)/P130),4),   0)</f>
        <v>0</v>
      </c>
      <c r="Z134" s="244"/>
    </row>
    <row r="135" spans="12:26" ht="15" customHeight="1" thickBot="1">
      <c r="L135" s="115"/>
      <c r="O135" s="258" t="s">
        <v>53</v>
      </c>
      <c r="P135" s="258" t="s">
        <v>54</v>
      </c>
      <c r="Q135" s="259"/>
      <c r="S135" s="63" t="s">
        <v>99</v>
      </c>
      <c r="T135" s="345" cm="1">
        <f t="array" ref="T135">IF(O141,   ASTM((ASTM($J$15,1)-T116)*ASTM(O130,4),3),   0)</f>
        <v>0</v>
      </c>
      <c r="U135" s="346" cm="1">
        <f t="array" ref="U135">IF(P141,   ASTM((ASTM($J$15,1)-U116)*ASTM(P130,4),3),   0)</f>
        <v>0</v>
      </c>
      <c r="W135" s="229" t="s">
        <v>168</v>
      </c>
      <c r="X135" s="260" cm="1">
        <f t="array" ref="X135">IF(O144,   ASTM(T126+(1-X131)*ASTM(O133,1),1),   0)</f>
        <v>0</v>
      </c>
      <c r="Y135" s="260" cm="1">
        <f t="array" ref="Y135">IF(P144,   ASTM(U126+(1-Y131)*ASTM(P133,1),1),   0)</f>
        <v>0</v>
      </c>
      <c r="Z135" s="261"/>
    </row>
    <row r="136" spans="12:26" ht="15" customHeight="1">
      <c r="L136" s="115"/>
      <c r="N136" s="79" t="s">
        <v>174</v>
      </c>
      <c r="O136" s="477" t="b">
        <f>IF(AND(ISNUMBER($J$5),$J$5&lt;=2026,ISNUMBER($J$15),OR($J$17="Additive",$J$17="Multiplicative"),ISNUMBER($J$18),ISNUMBER($J$19),ISNUMBER($J$22),ISNUMBER($J$23),ISNUMBER($J$24),ISNUMBER($J$25),ISNUMBER($J$26)),TRUE,FALSE)</f>
        <v>0</v>
      </c>
      <c r="P136" s="478"/>
      <c r="Q136" s="1"/>
      <c r="S136" s="70" t="s">
        <v>93</v>
      </c>
      <c r="T136" s="247" t="s">
        <v>68</v>
      </c>
      <c r="U136" s="248" t="s">
        <v>69</v>
      </c>
    </row>
    <row r="137" spans="12:26" ht="15" customHeight="1" thickBot="1">
      <c r="L137" s="115"/>
      <c r="N137" s="80" t="s">
        <v>169</v>
      </c>
      <c r="O137" s="81" t="b">
        <f>IF(AND(ISBLANK(O114)=FALSE,ISBLANK(P114)=FALSE,ISBLANK(O115)=FALSE,ISBLANK(P115)=FALSE,ISNUMBER(O129),ISNUMBER(O130),ISNUMBER(O131),ISNUMBER(O132),ISNUMBER(O133)),TRUE,FALSE)</f>
        <v>0</v>
      </c>
      <c r="P137" s="82" t="b">
        <f>IF(AND(ISBLANK(O114)=FALSE,ISBLANK(P114)=FALSE,ISBLANK(O115)=FALSE,ISBLANK(P115)=FALSE,ISNUMBER(P129),ISNUMBER(P130),ISNUMBER(P131),ISNUMBER(P132),ISNUMBER(P133)),TRUE,FALSE)</f>
        <v>0</v>
      </c>
      <c r="Q137" s="1"/>
      <c r="S137" s="63" t="s">
        <v>100</v>
      </c>
      <c r="T137" s="45" t="e" cm="1">
        <f t="array" ref="T137">IF(O141,   ASTM(cityfuf(T134),3),   NA())</f>
        <v>#N/A</v>
      </c>
      <c r="U137" s="46" t="e" cm="1">
        <f t="array" ref="U137">IF(P141,   ASTM(highwayfuf(U134),3),   NA())</f>
        <v>#N/A</v>
      </c>
    </row>
    <row r="138" spans="12:26" ht="15" customHeight="1" thickBot="1">
      <c r="L138" s="115"/>
      <c r="N138" s="273" t="s">
        <v>172</v>
      </c>
      <c r="O138" s="274" t="b">
        <f>IF(AND(O136,O137),TRUE,FALSE)</f>
        <v>0</v>
      </c>
      <c r="P138" s="274" t="b">
        <f>IF(AND(O136,P137),TRUE,FALSE)</f>
        <v>0</v>
      </c>
      <c r="S138" s="70" t="s">
        <v>101</v>
      </c>
      <c r="T138" s="247" t="s">
        <v>68</v>
      </c>
      <c r="U138" s="248" t="s">
        <v>69</v>
      </c>
    </row>
    <row r="139" spans="12:26" ht="15" customHeight="1" thickBot="1">
      <c r="L139" s="115"/>
      <c r="Q139" s="1"/>
      <c r="S139" s="64" t="s">
        <v>102</v>
      </c>
      <c r="T139" s="276" t="e" cm="1">
        <f t="array" ref="T139">IF(O141,   ASTM($J$24*T110/100,3),   NA())</f>
        <v>#N/A</v>
      </c>
      <c r="U139" s="277" t="e" cm="1">
        <f t="array" ref="U139">IF(P141,   ASTM($J$24*U110/100,3),   NA())</f>
        <v>#N/A</v>
      </c>
    </row>
    <row r="140" spans="12:26" ht="15" customHeight="1" thickBot="1">
      <c r="L140" s="115"/>
      <c r="N140" s="56" t="s">
        <v>170</v>
      </c>
      <c r="O140" s="53" t="b">
        <f>IF(AND(ISNUMBER(T104),ISNUMBER(T105),ISNUMBER(T106),ISNUMBER(T107),   ISNUMBER(T109),ISNUMBER(T110),ISNUMBER(T111),ISNUMBER(T112),ISNUMBER(T113),ISNUMBER(T114),ISNUMBER(T115),ISNUMBER(T116),ISNUMBER(T117),ISNUMBER(T118),ISNUMBER(T119),ISNUMBER(T120),   ISNUMBER(T122),ISNUMBER(T123),ISNUMBER(T124),ISNUMBER(T125),ISNUMBER(T126),   ISNUMBER(T128),ISNUMBER(T129),ISNUMBER(T130),ISNUMBER(T131)),TRUE,FALSE)</f>
        <v>0</v>
      </c>
      <c r="P140" s="54" t="b">
        <f>IF(AND(ISNUMBER(U104),ISNUMBER(U105),ISNUMBER(U106),ISNUMBER(U107),   ISNUMBER(U109),ISNUMBER(U110),ISNUMBER(U111),ISNUMBER(U112),ISNUMBER(U113),ISNUMBER(U114),ISNUMBER(U115),ISNUMBER(U116),ISNUMBER(U117),ISNUMBER(U118),ISNUMBER(U119),ISNUMBER(U120),   ISNUMBER(U122),ISNUMBER(U123),ISNUMBER(U124),ISNUMBER(U125),ISNUMBER(U126),   ISNUMBER(U128),ISNUMBER(U129),ISNUMBER(U130),ISNUMBER(U131)),TRUE,FALSE)</f>
        <v>0</v>
      </c>
      <c r="Q140" s="1"/>
      <c r="S140" s="64" t="s">
        <v>103</v>
      </c>
      <c r="T140" s="48" t="e" cm="1">
        <f t="array" ref="T140">IF(O141,   ASTM($J$23 *(T116/T105),3),   NA())</f>
        <v>#N/A</v>
      </c>
      <c r="U140" s="49" t="e" cm="1">
        <f t="array" ref="U140">IF(P141,   ASTM($J$23 *(U116/U105),3),   NA())</f>
        <v>#N/A</v>
      </c>
    </row>
    <row r="141" spans="12:26" ht="15" customHeight="1" thickBot="1">
      <c r="L141" s="115"/>
      <c r="N141" s="273" t="s">
        <v>172</v>
      </c>
      <c r="O141" s="55" t="b">
        <f>IF(AND(O138,O140),TRUE,FALSE)</f>
        <v>0</v>
      </c>
      <c r="P141" s="54" t="b">
        <f>IF(AND(P138,P140),TRUE,FALSE)</f>
        <v>0</v>
      </c>
      <c r="S141" s="64" t="s">
        <v>104</v>
      </c>
      <c r="T141" s="276" t="e" cm="1">
        <f t="array" ref="T141">IF(O141,   ASTM(T139+T140,3),   NA())</f>
        <v>#N/A</v>
      </c>
      <c r="U141" s="277" t="e" cm="1">
        <f t="array" ref="U141">IF(P141,   ASTM(U139+U140,3),   NA())</f>
        <v>#N/A</v>
      </c>
    </row>
    <row r="142" spans="12:26" ht="15" customHeight="1" thickBot="1">
      <c r="L142" s="115"/>
      <c r="Q142" s="1"/>
      <c r="S142" s="64" t="s">
        <v>105</v>
      </c>
      <c r="T142" s="276" t="e" cm="1">
        <f t="array" ref="T142">IF(O141,   ASTM($J$23/ASTM(O130,4),3),   NA())</f>
        <v>#N/A</v>
      </c>
      <c r="U142" s="277" t="e" cm="1">
        <f t="array" ref="U142">IF(P141,   ASTM($J$23/ASTM(P130,4),3),   NA())</f>
        <v>#N/A</v>
      </c>
    </row>
    <row r="143" spans="12:26" ht="15" customHeight="1" thickBot="1">
      <c r="L143" s="115"/>
      <c r="N143" s="56" t="s">
        <v>171</v>
      </c>
      <c r="O143" s="53" t="b">
        <f>IF(AND(ISNUMBER(T134),ISNUMBER(T135),   ISNUMBER(T137),   ISNUMBER(T139),ISNUMBER(T140),ISNUMBER(T141),ISNUMBER(T142),ISNUMBER(T143),   ISNUMBER(T145),ISNUMBER(T146)),TRUE,FALSE)</f>
        <v>0</v>
      </c>
      <c r="P143" s="54" t="b">
        <f>IF(AND(ISNUMBER(U134),ISNUMBER(U135),   ISNUMBER(U137),   ISNUMBER(U139),ISNUMBER(U140),ISNUMBER(U141),ISNUMBER(U142),ISNUMBER(U143),   ISNUMBER(U145),ISNUMBER(U146)),TRUE,FALSE)</f>
        <v>0</v>
      </c>
      <c r="Q143" s="2"/>
      <c r="S143" s="65" t="s">
        <v>106</v>
      </c>
      <c r="T143" s="352" t="e" cm="1">
        <f t="array" ref="T143">IF(O141,   ASTM(T130*T141+(1-T130)*T142,3),   NA())</f>
        <v>#N/A</v>
      </c>
      <c r="U143" s="353" t="e" cm="1">
        <f t="array" ref="U143">IF(P141,   ASTM(U130*U141+(1-U130)*U142,3),   NA())</f>
        <v>#N/A</v>
      </c>
    </row>
    <row r="144" spans="12:26" ht="15" customHeight="1" thickBot="1">
      <c r="L144" s="115"/>
      <c r="N144" s="273" t="s">
        <v>172</v>
      </c>
      <c r="O144" s="57" t="b">
        <f>IF(AND(O141,O143),TRUE,FALSE)</f>
        <v>0</v>
      </c>
      <c r="P144" s="58" t="b">
        <f>IF(AND(P141,P143),TRUE,FALSE)</f>
        <v>0</v>
      </c>
      <c r="Q144" s="116"/>
      <c r="S144" s="71" t="s">
        <v>107</v>
      </c>
      <c r="T144" s="247" t="s">
        <v>68</v>
      </c>
      <c r="U144" s="248" t="s">
        <v>69</v>
      </c>
    </row>
    <row r="145" spans="12:32" ht="15" customHeight="1">
      <c r="L145" s="115"/>
      <c r="N145" s="116"/>
      <c r="O145" s="116"/>
      <c r="P145" s="116"/>
      <c r="Q145" s="116"/>
      <c r="S145" s="64" t="s">
        <v>108</v>
      </c>
      <c r="T145" s="354" cm="1">
        <f t="array" ref="T145">IF(O141,   ASTM(T124+(1-T131)*O133,1),   0)</f>
        <v>0</v>
      </c>
      <c r="U145" s="355" cm="1">
        <f t="array" ref="U145">IF(P141,   ASTM(U124+(1-U131)*P133,1),   0)</f>
        <v>0</v>
      </c>
    </row>
    <row r="146" spans="12:32" ht="15" customHeight="1" thickBot="1">
      <c r="L146" s="115"/>
      <c r="N146" s="116"/>
      <c r="O146" s="116"/>
      <c r="P146" s="116"/>
      <c r="Q146" s="116"/>
      <c r="S146" s="63" t="s">
        <v>109</v>
      </c>
      <c r="T146" s="356" cm="1">
        <f t="array" ref="T146">IF(O141,   ASTM(1/(T115+(1-T131)/O130),4),   0)</f>
        <v>0</v>
      </c>
      <c r="U146" s="357" cm="1">
        <f t="array" ref="U146">IF(P141,   ASTM(1/(U115+(1-U131)/P130),4),   0)</f>
        <v>0</v>
      </c>
    </row>
    <row r="147" spans="12:32" ht="15" customHeight="1">
      <c r="L147" s="115"/>
    </row>
    <row r="148" spans="12:32" ht="15" customHeight="1">
      <c r="L148" s="115"/>
      <c r="M148" s="115"/>
      <c r="N148" s="115"/>
      <c r="O148" s="115"/>
      <c r="P148" s="115"/>
      <c r="Q148" s="115"/>
      <c r="R148" s="115"/>
      <c r="S148" s="90"/>
      <c r="T148" s="311"/>
      <c r="U148" s="311"/>
      <c r="V148" s="115"/>
      <c r="W148" s="115"/>
      <c r="X148" s="115"/>
      <c r="Y148" s="115"/>
      <c r="Z148" s="115"/>
      <c r="AA148" s="115"/>
      <c r="AB148" s="115"/>
      <c r="AC148" s="115"/>
      <c r="AD148" s="115"/>
      <c r="AE148" s="115"/>
      <c r="AF148" s="115"/>
    </row>
  </sheetData>
  <mergeCells count="22">
    <mergeCell ref="N111:Q112"/>
    <mergeCell ref="N105:Q106"/>
    <mergeCell ref="Q101:Q103"/>
    <mergeCell ref="Q52:Q54"/>
    <mergeCell ref="O136:P136"/>
    <mergeCell ref="N56:Q57"/>
    <mergeCell ref="O53:P53"/>
    <mergeCell ref="O54:P54"/>
    <mergeCell ref="N62:Q63"/>
    <mergeCell ref="O102:P102"/>
    <mergeCell ref="O103:P103"/>
    <mergeCell ref="N78:Q78"/>
    <mergeCell ref="N127:Q127"/>
    <mergeCell ref="B1:G2"/>
    <mergeCell ref="Q3:Q5"/>
    <mergeCell ref="O87:P87"/>
    <mergeCell ref="O38:P38"/>
    <mergeCell ref="N7:Q8"/>
    <mergeCell ref="N13:Q14"/>
    <mergeCell ref="O4:P4"/>
    <mergeCell ref="O5:P5"/>
    <mergeCell ref="N29:Q29"/>
  </mergeCells>
  <conditionalFormatting sqref="J18">
    <cfRule type="expression" dxfId="40" priority="48">
      <formula>ISBLANK($J$18)=TRUE</formula>
    </cfRule>
    <cfRule type="expression" dxfId="39" priority="53">
      <formula>AND($J$17="Multiplicative",J18&lt;1)</formula>
    </cfRule>
    <cfRule type="expression" dxfId="38" priority="54">
      <formula>($J$18&lt;0)</formula>
    </cfRule>
    <cfRule type="expression" dxfId="37" priority="55">
      <formula>AND($J$17="Additive",J18*1000000&lt;&gt;INT(J18*1000000))</formula>
    </cfRule>
    <cfRule type="expression" dxfId="36" priority="57">
      <formula>AND($J$17="Multiplicative",J18*1000&lt;&gt;INT(J18*1000))</formula>
    </cfRule>
  </conditionalFormatting>
  <conditionalFormatting sqref="J17">
    <cfRule type="expression" dxfId="35" priority="56">
      <formula>AND(J17&lt;&gt;"Additive",J17&lt;&gt;"Multiplicative")</formula>
    </cfRule>
  </conditionalFormatting>
  <conditionalFormatting sqref="J19">
    <cfRule type="expression" dxfId="34" priority="47">
      <formula>ISBLANK($J$19)=TRUE</formula>
    </cfRule>
    <cfRule type="expression" dxfId="33" priority="49">
      <formula>AND($J$17="Multiplicative",J19&lt;1)</formula>
    </cfRule>
    <cfRule type="expression" dxfId="32" priority="50">
      <formula>($J$18&lt;0)</formula>
    </cfRule>
    <cfRule type="expression" dxfId="31" priority="51">
      <formula>AND($J$17="Additive",J19*1000000&lt;&gt;INT(J19*1000000))</formula>
    </cfRule>
    <cfRule type="expression" dxfId="30" priority="52">
      <formula>AND($J$17="Multiplicative",J19*1000&lt;&gt;INT(J19*1000))</formula>
    </cfRule>
  </conditionalFormatting>
  <conditionalFormatting sqref="J5">
    <cfRule type="expression" dxfId="29" priority="44">
      <formula>$J$5&lt;&gt;INT($J$5)</formula>
    </cfRule>
    <cfRule type="expression" dxfId="28" priority="45">
      <formula>OR($J$5&lt;2017,$J$5&gt;2026)</formula>
    </cfRule>
  </conditionalFormatting>
  <conditionalFormatting sqref="J10">
    <cfRule type="expression" dxfId="27" priority="46">
      <formula>AND($J$10&lt;&gt;"PV",$J$10&lt;&gt;"LT",$J$10&lt;&gt;"HD 2b/3")</formula>
    </cfRule>
  </conditionalFormatting>
  <conditionalFormatting sqref="J15">
    <cfRule type="expression" dxfId="26" priority="43">
      <formula>OR(ISBLANK($J$15)=TRUE,$J$15*10&lt;&gt;INT(J15*10))</formula>
    </cfRule>
  </conditionalFormatting>
  <conditionalFormatting sqref="J7:J8">
    <cfRule type="expression" dxfId="25" priority="41">
      <formula>$J$7&lt;&gt;INT($J$7)</formula>
    </cfRule>
    <cfRule type="expression" dxfId="24" priority="42">
      <formula>OR($J$7&lt;1,$J$7&gt;999)</formula>
    </cfRule>
  </conditionalFormatting>
  <conditionalFormatting sqref="J6">
    <cfRule type="expression" dxfId="23" priority="37">
      <formula>OR(CODE(LEFT($J$6,1))&lt;65,CODE(LEFT($J$6,1))&gt;90)</formula>
    </cfRule>
    <cfRule type="expression" dxfId="22" priority="38">
      <formula>OR(CODE(MID($J$6,2,1))&lt;65,CODE(MID($J$6,2,1))&gt;90)</formula>
    </cfRule>
    <cfRule type="expression" dxfId="21" priority="39">
      <formula>OR(CODE(RIGHT($J$6,1))&lt;65,CODE(RIGHT($J$6,1))&gt;90)</formula>
    </cfRule>
    <cfRule type="expression" dxfId="20" priority="40">
      <formula>LEN($J$6)&lt;&gt;3</formula>
    </cfRule>
  </conditionalFormatting>
  <conditionalFormatting sqref="B5:G5">
    <cfRule type="expression" dxfId="19" priority="6">
      <formula>$F$10="YES"</formula>
    </cfRule>
  </conditionalFormatting>
  <conditionalFormatting sqref="B8:G9">
    <cfRule type="expression" dxfId="18" priority="8">
      <formula>$F$10="NO"</formula>
    </cfRule>
  </conditionalFormatting>
  <conditionalFormatting sqref="B8:B9 G8:G9">
    <cfRule type="expression" dxfId="17" priority="9">
      <formula>$F$10="YES"</formula>
    </cfRule>
  </conditionalFormatting>
  <conditionalFormatting sqref="B5 G5">
    <cfRule type="expression" dxfId="16" priority="10">
      <formula>$F$10="NO"</formula>
    </cfRule>
  </conditionalFormatting>
  <conditionalFormatting sqref="C8:F9">
    <cfRule type="expression" dxfId="15" priority="7">
      <formula>$F$10="YES"</formula>
    </cfRule>
  </conditionalFormatting>
  <conditionalFormatting sqref="C5:F5">
    <cfRule type="expression" dxfId="14" priority="5">
      <formula>$F$10="NO"</formula>
    </cfRule>
  </conditionalFormatting>
  <conditionalFormatting sqref="B6:G6">
    <cfRule type="expression" dxfId="13" priority="11">
      <formula>OR(   AND($J$5&lt;2016,$F$10="YES"),  AND($J$5&gt;2015,$F$6&gt;$F$7)  )</formula>
    </cfRule>
  </conditionalFormatting>
  <conditionalFormatting sqref="B7:G7">
    <cfRule type="expression" dxfId="12" priority="12">
      <formula>AND($F$10="YES",$J$5&gt;2015,$F$7&gt;$F$6)</formula>
    </cfRule>
  </conditionalFormatting>
  <conditionalFormatting sqref="B6 G6">
    <cfRule type="expression" dxfId="11" priority="13">
      <formula>OR( $F$10="NO", AND($F$10="YES", $J$5&gt;2015,$F$6&lt;$F$7) )</formula>
    </cfRule>
  </conditionalFormatting>
  <conditionalFormatting sqref="B7 G7">
    <cfRule type="expression" dxfId="10" priority="14">
      <formula>OR($J$5&lt;2016, AND($J$5&gt;2015,$F$10="NO"), AND($J$5&gt;2015,$F$10="YES",$F$7&lt;$F$6)   )</formula>
    </cfRule>
    <cfRule type="expression" dxfId="9" priority="15">
      <formula>OR($J$5&lt;2016, AND($J$5&gt;2015,$F$10="NO") )</formula>
    </cfRule>
  </conditionalFormatting>
  <conditionalFormatting sqref="C7:F7">
    <cfRule type="expression" dxfId="8" priority="16">
      <formula>OR($J$5&lt;2016, AND($J$5&gt;2015,$F$10="NO"), AND($J$5&gt;2015,$F$10="YES",$F$7&lt;$F$6)   )</formula>
    </cfRule>
  </conditionalFormatting>
  <conditionalFormatting sqref="C6:F6">
    <cfRule type="expression" dxfId="7" priority="17">
      <formula>OR( $F$10="NO", AND($F$10="YES", $J$5&gt;2015,$F$6&lt;$F$7) )</formula>
    </cfRule>
  </conditionalFormatting>
  <conditionalFormatting sqref="C10:F12">
    <cfRule type="expression" dxfId="6" priority="18" stopIfTrue="1">
      <formula>AND( $J$6="PV", OR($D$12&lt;7.5,$E$12&lt;10.2) )</formula>
    </cfRule>
    <cfRule type="expression" dxfId="5" priority="19">
      <formula>OR( $J$6="LT", AND($J$6="PV", $D$12&gt;=7.5,$E$12&gt;=10.2) )</formula>
    </cfRule>
  </conditionalFormatting>
  <conditionalFormatting sqref="B5:G9">
    <cfRule type="expression" dxfId="4" priority="59" stopIfTrue="1">
      <formula>OR($O$5&lt;&gt;0,$O$54&lt;&gt;0,$O$103&lt;&gt;0)</formula>
    </cfRule>
  </conditionalFormatting>
  <conditionalFormatting sqref="J13">
    <cfRule type="expression" dxfId="3" priority="4">
      <formula>AND($J$13&lt;&gt;"Regular Unleaded",$J$13&lt;&gt;"Mid-Grade Unleaded",$J$13&lt;&gt;"Premium Unleaded",$J$13&lt;&gt;"Diesel")</formula>
    </cfRule>
  </conditionalFormatting>
  <conditionalFormatting sqref="J11">
    <cfRule type="expression" dxfId="2" priority="3">
      <formula>$J$11=""</formula>
    </cfRule>
  </conditionalFormatting>
  <conditionalFormatting sqref="J14">
    <cfRule type="expression" dxfId="1" priority="2">
      <formula>$J$14=""</formula>
    </cfRule>
  </conditionalFormatting>
  <conditionalFormatting sqref="J12">
    <cfRule type="expression" dxfId="0" priority="1">
      <formula>$J$12=""</formula>
    </cfRule>
  </conditionalFormatting>
  <dataValidations count="7">
    <dataValidation type="list" showInputMessage="1" showErrorMessage="1" errorTitle="Vehicle Category" error="Please choose the appropriate vehicle category from the list" promptTitle="Vehicle Category" prompt="PV = Passenger Vehicle_x000a_LT = Light Truck_x000a_HD 2b/3 = Heavy Duty" sqref="J10" xr:uid="{F7CD0439-1623-43D8-86BA-884241F855F0}">
      <formula1>"PV,LT,HD 2b/3"</formula1>
    </dataValidation>
    <dataValidation type="list" allowBlank="1" showInputMessage="1" showErrorMessage="1" sqref="J5" xr:uid="{2C3F3325-D5D3-44C8-A306-886D7EC5EE32}">
      <formula1>"2021,2022,2023,2024,2025,2026,2027,2028,2029,2030,2031"</formula1>
    </dataValidation>
    <dataValidation type="list" allowBlank="1" showInputMessage="1" showErrorMessage="1" errorTitle="Incorrect Entry" error="Please select a value from the menu" promptTitle="Select Fuel Type" prompt="Choose Regular Unleaded unless the vehicle REQUIRES a different fuel." sqref="J13" xr:uid="{321AAAE2-6BED-4968-90AE-80809315527F}">
      <formula1>"Regular Unleaded, Mid-Grade Unleaded, Premium Unleaded, Diesel"</formula1>
    </dataValidation>
    <dataValidation type="list" showInputMessage="1" showErrorMessage="1" errorTitle="Invalid Value" error="Invalid Value" promptTitle="Type of DF" prompt="Choose the type of DF you will apply to the City and Highway GHG values._x000a_" sqref="J17" xr:uid="{D77B4254-C78A-4FB9-83D4-F098E987660F}">
      <formula1>"Additive,Multiplicative"</formula1>
    </dataValidation>
    <dataValidation type="decimal" operator="greaterThanOrEqual" showInputMessage="1" showErrorMessage="1" sqref="J18" xr:uid="{DB930F2B-B3DC-4DF1-9E85-146FB0B6E513}">
      <formula1>0</formula1>
    </dataValidation>
    <dataValidation type="decimal" operator="greaterThanOrEqual" allowBlank="1" showInputMessage="1" showErrorMessage="1" sqref="J19" xr:uid="{9C3A65E8-BB67-4B6A-A62B-38F51CBC9CE1}">
      <formula1>0</formula1>
    </dataValidation>
    <dataValidation type="custom" allowBlank="1" showInputMessage="1" showErrorMessage="1" errorTitle="Too many decimal places" error="Please round fuel tank size to the nearest 0.1 U.S. gallons." promptTitle="Fuel tank size" prompt="Round fuel tank size to nearest 0.1 U.S. gallons" sqref="J15" xr:uid="{DF100CD4-7DF1-4035-9760-C82C363EDFCB}">
      <formula1>OR(IF(ISERROR(FIND(".",$J15)),LEN($J15)&gt;0,LEN(MID($J15,FIND(".",$J15)+1,25))&lt;2))</formula1>
    </dataValidation>
  </dataValidations>
  <printOptions horizontalCentered="1"/>
  <pageMargins left="0.2" right="0.2" top="0.5" bottom="0.5" header="0.3" footer="0.3"/>
  <pageSetup scale="23" fitToHeight="0" orientation="landscape" r:id="rId1"/>
  <headerFooter>
    <oddFooter>&amp;L&amp;F
&amp;A&amp;C
&amp;1#&amp;"BMW Group Condensed,Regular"&amp;12&amp;KC00000 CONFIDENTIAL&amp;R&amp;P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72" r:id="rId4" name="Button 148">
              <controlPr defaultSize="0" print="0" autoFill="0" autoPict="0" macro="[0]!PHEV_Import_Charge_Depleting_Dataset_1">
                <anchor moveWithCells="1" sizeWithCells="1">
                  <from>
                    <xdr:col>14</xdr:col>
                    <xdr:colOff>381000</xdr:colOff>
                    <xdr:row>6</xdr:row>
                    <xdr:rowOff>68580</xdr:rowOff>
                  </from>
                  <to>
                    <xdr:col>15</xdr:col>
                    <xdr:colOff>670560</xdr:colOff>
                    <xdr:row>7</xdr:row>
                    <xdr:rowOff>137160</xdr:rowOff>
                  </to>
                </anchor>
              </controlPr>
            </control>
          </mc:Choice>
        </mc:AlternateContent>
        <mc:AlternateContent xmlns:mc="http://schemas.openxmlformats.org/markup-compatibility/2006">
          <mc:Choice Requires="x14">
            <control shapeId="1173" r:id="rId5" name="Button 149">
              <controlPr defaultSize="0" print="0" autoFill="0" autoPict="0" macro="[0]!PHEV_Import_Charge_Sustaining_Dataset_1">
                <anchor moveWithCells="1" sizeWithCells="1">
                  <from>
                    <xdr:col>14</xdr:col>
                    <xdr:colOff>335280</xdr:colOff>
                    <xdr:row>12</xdr:row>
                    <xdr:rowOff>68580</xdr:rowOff>
                  </from>
                  <to>
                    <xdr:col>15</xdr:col>
                    <xdr:colOff>746760</xdr:colOff>
                    <xdr:row>13</xdr:row>
                    <xdr:rowOff>137160</xdr:rowOff>
                  </to>
                </anchor>
              </controlPr>
            </control>
          </mc:Choice>
        </mc:AlternateContent>
        <mc:AlternateContent xmlns:mc="http://schemas.openxmlformats.org/markup-compatibility/2006">
          <mc:Choice Requires="x14">
            <control shapeId="1244" r:id="rId6" name="Button 220">
              <controlPr defaultSize="0" print="0" autoFill="0" autoPict="0" macro="[0]!PHEV_Clear_Charge_Depleting_Dataset_1">
                <anchor moveWithCells="1" sizeWithCells="1">
                  <from>
                    <xdr:col>16</xdr:col>
                    <xdr:colOff>83820</xdr:colOff>
                    <xdr:row>6</xdr:row>
                    <xdr:rowOff>68580</xdr:rowOff>
                  </from>
                  <to>
                    <xdr:col>16</xdr:col>
                    <xdr:colOff>1013460</xdr:colOff>
                    <xdr:row>7</xdr:row>
                    <xdr:rowOff>137160</xdr:rowOff>
                  </to>
                </anchor>
              </controlPr>
            </control>
          </mc:Choice>
        </mc:AlternateContent>
        <mc:AlternateContent xmlns:mc="http://schemas.openxmlformats.org/markup-compatibility/2006">
          <mc:Choice Requires="x14">
            <control shapeId="1245" r:id="rId7" name="Button 221">
              <controlPr defaultSize="0" print="0" autoFill="0" autoPict="0" macro="[0]!PHEV_Clear_Charge_Depleting_Dataset_2">
                <anchor moveWithCells="1" sizeWithCells="1">
                  <from>
                    <xdr:col>16</xdr:col>
                    <xdr:colOff>121920</xdr:colOff>
                    <xdr:row>55</xdr:row>
                    <xdr:rowOff>60960</xdr:rowOff>
                  </from>
                  <to>
                    <xdr:col>16</xdr:col>
                    <xdr:colOff>1051560</xdr:colOff>
                    <xdr:row>56</xdr:row>
                    <xdr:rowOff>121920</xdr:rowOff>
                  </to>
                </anchor>
              </controlPr>
            </control>
          </mc:Choice>
        </mc:AlternateContent>
        <mc:AlternateContent xmlns:mc="http://schemas.openxmlformats.org/markup-compatibility/2006">
          <mc:Choice Requires="x14">
            <control shapeId="1247" r:id="rId8" name="Button 223">
              <controlPr defaultSize="0" print="0" autoFill="0" autoPict="0" macro="[0]!PHEV_Clear_Charge_Depleting_Dataset_3">
                <anchor moveWithCells="1" sizeWithCells="1">
                  <from>
                    <xdr:col>16</xdr:col>
                    <xdr:colOff>121920</xdr:colOff>
                    <xdr:row>104</xdr:row>
                    <xdr:rowOff>60960</xdr:rowOff>
                  </from>
                  <to>
                    <xdr:col>16</xdr:col>
                    <xdr:colOff>1051560</xdr:colOff>
                    <xdr:row>105</xdr:row>
                    <xdr:rowOff>121920</xdr:rowOff>
                  </to>
                </anchor>
              </controlPr>
            </control>
          </mc:Choice>
        </mc:AlternateContent>
        <mc:AlternateContent xmlns:mc="http://schemas.openxmlformats.org/markup-compatibility/2006">
          <mc:Choice Requires="x14">
            <control shapeId="1251" r:id="rId9" name="Button 227">
              <controlPr defaultSize="0" print="0" autoFill="0" autoPict="0" macro="[0]!PHEV_Clear_Charge_Sustaining_Dataset_3">
                <anchor moveWithCells="1" sizeWithCells="1">
                  <from>
                    <xdr:col>16</xdr:col>
                    <xdr:colOff>137160</xdr:colOff>
                    <xdr:row>110</xdr:row>
                    <xdr:rowOff>60960</xdr:rowOff>
                  </from>
                  <to>
                    <xdr:col>16</xdr:col>
                    <xdr:colOff>1059180</xdr:colOff>
                    <xdr:row>111</xdr:row>
                    <xdr:rowOff>121920</xdr:rowOff>
                  </to>
                </anchor>
              </controlPr>
            </control>
          </mc:Choice>
        </mc:AlternateContent>
        <mc:AlternateContent xmlns:mc="http://schemas.openxmlformats.org/markup-compatibility/2006">
          <mc:Choice Requires="x14">
            <control shapeId="1252" r:id="rId10" name="Button 228">
              <controlPr defaultSize="0" print="0" autoFill="0" autoPict="0" macro="[0]!PHEV_Clear_Charge_Sustaining_Dataset_2">
                <anchor moveWithCells="1" sizeWithCells="1">
                  <from>
                    <xdr:col>16</xdr:col>
                    <xdr:colOff>137160</xdr:colOff>
                    <xdr:row>61</xdr:row>
                    <xdr:rowOff>60960</xdr:rowOff>
                  </from>
                  <to>
                    <xdr:col>16</xdr:col>
                    <xdr:colOff>1059180</xdr:colOff>
                    <xdr:row>62</xdr:row>
                    <xdr:rowOff>121920</xdr:rowOff>
                  </to>
                </anchor>
              </controlPr>
            </control>
          </mc:Choice>
        </mc:AlternateContent>
        <mc:AlternateContent xmlns:mc="http://schemas.openxmlformats.org/markup-compatibility/2006">
          <mc:Choice Requires="x14">
            <control shapeId="1253" r:id="rId11" name="Button 229">
              <controlPr defaultSize="0" print="0" autoFill="0" autoPict="0" macro="[0]!PHEV_Clear_Charge_Sustaining_Dataset_1">
                <anchor moveWithCells="1" sizeWithCells="1">
                  <from>
                    <xdr:col>16</xdr:col>
                    <xdr:colOff>99060</xdr:colOff>
                    <xdr:row>12</xdr:row>
                    <xdr:rowOff>60960</xdr:rowOff>
                  </from>
                  <to>
                    <xdr:col>16</xdr:col>
                    <xdr:colOff>1021080</xdr:colOff>
                    <xdr:row>13</xdr:row>
                    <xdr:rowOff>121920</xdr:rowOff>
                  </to>
                </anchor>
              </controlPr>
            </control>
          </mc:Choice>
        </mc:AlternateContent>
        <mc:AlternateContent xmlns:mc="http://schemas.openxmlformats.org/markup-compatibility/2006">
          <mc:Choice Requires="x14">
            <control shapeId="1256" r:id="rId12" name="Button 232">
              <controlPr defaultSize="0" print="0" autoFill="0" autoPict="0" macro="[0]!PHEV_Import_Charge_Depleting_Dataset_2">
                <anchor moveWithCells="1" sizeWithCells="1">
                  <from>
                    <xdr:col>14</xdr:col>
                    <xdr:colOff>388620</xdr:colOff>
                    <xdr:row>55</xdr:row>
                    <xdr:rowOff>68580</xdr:rowOff>
                  </from>
                  <to>
                    <xdr:col>15</xdr:col>
                    <xdr:colOff>685800</xdr:colOff>
                    <xdr:row>56</xdr:row>
                    <xdr:rowOff>137160</xdr:rowOff>
                  </to>
                </anchor>
              </controlPr>
            </control>
          </mc:Choice>
        </mc:AlternateContent>
        <mc:AlternateContent xmlns:mc="http://schemas.openxmlformats.org/markup-compatibility/2006">
          <mc:Choice Requires="x14">
            <control shapeId="1257" r:id="rId13" name="Button 233">
              <controlPr defaultSize="0" print="0" autoFill="0" autoPict="0" macro="[0]!PHEV_Import_Charge_Depleting_Dataset_3">
                <anchor moveWithCells="1" sizeWithCells="1">
                  <from>
                    <xdr:col>14</xdr:col>
                    <xdr:colOff>373380</xdr:colOff>
                    <xdr:row>104</xdr:row>
                    <xdr:rowOff>60960</xdr:rowOff>
                  </from>
                  <to>
                    <xdr:col>15</xdr:col>
                    <xdr:colOff>655320</xdr:colOff>
                    <xdr:row>105</xdr:row>
                    <xdr:rowOff>121920</xdr:rowOff>
                  </to>
                </anchor>
              </controlPr>
            </control>
          </mc:Choice>
        </mc:AlternateContent>
        <mc:AlternateContent xmlns:mc="http://schemas.openxmlformats.org/markup-compatibility/2006">
          <mc:Choice Requires="x14">
            <control shapeId="1259" r:id="rId14" name="Button 235">
              <controlPr defaultSize="0" print="0" autoFill="0" autoPict="0" macro="[0]!PHEV_Import_Charge_Sustaining_Dataset_2">
                <anchor moveWithCells="1" sizeWithCells="1">
                  <from>
                    <xdr:col>14</xdr:col>
                    <xdr:colOff>327660</xdr:colOff>
                    <xdr:row>61</xdr:row>
                    <xdr:rowOff>68580</xdr:rowOff>
                  </from>
                  <to>
                    <xdr:col>15</xdr:col>
                    <xdr:colOff>731520</xdr:colOff>
                    <xdr:row>62</xdr:row>
                    <xdr:rowOff>137160</xdr:rowOff>
                  </to>
                </anchor>
              </controlPr>
            </control>
          </mc:Choice>
        </mc:AlternateContent>
        <mc:AlternateContent xmlns:mc="http://schemas.openxmlformats.org/markup-compatibility/2006">
          <mc:Choice Requires="x14">
            <control shapeId="1260" r:id="rId15" name="Button 236">
              <controlPr defaultSize="0" print="0" autoFill="0" autoPict="0" macro="[0]!PHEV_Import_Charge_Sustaining_Dataset_3">
                <anchor moveWithCells="1" sizeWithCells="1">
                  <from>
                    <xdr:col>14</xdr:col>
                    <xdr:colOff>297180</xdr:colOff>
                    <xdr:row>110</xdr:row>
                    <xdr:rowOff>60960</xdr:rowOff>
                  </from>
                  <to>
                    <xdr:col>15</xdr:col>
                    <xdr:colOff>716280</xdr:colOff>
                    <xdr:row>111</xdr:row>
                    <xdr:rowOff>121920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Instructions</vt:lpstr>
      <vt:lpstr>Version Notes</vt:lpstr>
      <vt:lpstr>Label Inputs</vt:lpstr>
      <vt:lpstr>PHEV Calculator</vt:lpstr>
      <vt:lpstr>'Label Inputs'!Print_Titles</vt:lpstr>
      <vt:lpstr>'Version Notes'!Print_Titles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 EPA Plug-In Hybrid Electric Vehicle Calculator, Version 28b – Excel Spreadsheet (April 2025)</dc:title>
  <dc:subject>Calculates CAFE, GHG and Label Values from charge-depleting and charge-sustaining test results.</dc:subject>
  <dc:creator>U.S. EPA;OAR;Office of Transportation and Air Quality;Implementation, Analysis, and Compliance Division</dc:creator>
  <cp:keywords>plug-in hybrid electric vehicle;PHEV;tool;version 28b;CAFE;GHG;label values;MPG;ratings;CD;CO2;range;model year;vehicle;UDDS;HFET;ASTM;fuel;price;economy;cost</cp:keywords>
  <cp:lastModifiedBy>Pugliese, Holly</cp:lastModifiedBy>
  <cp:lastPrinted>2025-09-18T17:52:21Z</cp:lastPrinted>
  <dcterms:created xsi:type="dcterms:W3CDTF">2015-06-05T18:17:20Z</dcterms:created>
  <dcterms:modified xsi:type="dcterms:W3CDTF">2025-10-20T18:44:43Z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6935750-240b-48e4-a615-66942a738439_Enabled">
    <vt:lpwstr>true</vt:lpwstr>
  </property>
  <property fmtid="{D5CDD505-2E9C-101B-9397-08002B2CF9AE}" pid="3" name="MSIP_Label_e6935750-240b-48e4-a615-66942a738439_SetDate">
    <vt:lpwstr>2025-03-26T15:39:38Z</vt:lpwstr>
  </property>
  <property fmtid="{D5CDD505-2E9C-101B-9397-08002B2CF9AE}" pid="4" name="MSIP_Label_e6935750-240b-48e4-a615-66942a738439_Method">
    <vt:lpwstr>Standard</vt:lpwstr>
  </property>
  <property fmtid="{D5CDD505-2E9C-101B-9397-08002B2CF9AE}" pid="5" name="MSIP_Label_e6935750-240b-48e4-a615-66942a738439_Name">
    <vt:lpwstr>e6935750-240b-48e4-a615-66942a738439</vt:lpwstr>
  </property>
  <property fmtid="{D5CDD505-2E9C-101B-9397-08002B2CF9AE}" pid="6" name="MSIP_Label_e6935750-240b-48e4-a615-66942a738439_SiteId">
    <vt:lpwstr>ce849bab-cc1c-465b-b62e-18f07c9ac198</vt:lpwstr>
  </property>
  <property fmtid="{D5CDD505-2E9C-101B-9397-08002B2CF9AE}" pid="7" name="MSIP_Label_e6935750-240b-48e4-a615-66942a738439_ActionId">
    <vt:lpwstr>e3e1b9ab-ab8e-4ca5-b006-1f9bb19726a1</vt:lpwstr>
  </property>
  <property fmtid="{D5CDD505-2E9C-101B-9397-08002B2CF9AE}" pid="8" name="MSIP_Label_e6935750-240b-48e4-a615-66942a738439_ContentBits">
    <vt:lpwstr>2</vt:lpwstr>
  </property>
</Properties>
</file>