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codeName="ThisWorkbook" defaultThemeVersion="124226"/>
  <mc:AlternateContent xmlns:mc="http://schemas.openxmlformats.org/markup-compatibility/2006">
    <mc:Choice Requires="x15">
      <x15ac:absPath xmlns:x15ac="http://schemas.microsoft.com/office/spreadsheetml/2010/11/ac" url="H:\CCD\ICR\ICR 0783.66 (Tier 3 2025 renewal)\Second FR Notice\forms\Forms\"/>
    </mc:Choice>
  </mc:AlternateContent>
  <xr:revisionPtr revIDLastSave="0" documentId="13_ncr:1_{5EDAB857-EADB-4B41-9A2A-AC3E671D9C90}" xr6:coauthVersionLast="47" xr6:coauthVersionMax="47" xr10:uidLastSave="{00000000-0000-0000-0000-000000000000}"/>
  <bookViews>
    <workbookView xWindow="-23148" yWindow="-108" windowWidth="23256" windowHeight="12456" xr2:uid="{00000000-000D-0000-FFFF-FFFF00000000}"/>
  </bookViews>
  <sheets>
    <sheet name="Instructions" sheetId="8" r:id="rId1"/>
    <sheet name="EV Calculations (Calcs)" sheetId="3" r:id="rId2"/>
    <sheet name="EV Calcs - Vountarily Adjusted" sheetId="5"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9" i="3" l="1"/>
  <c r="K20" i="5"/>
  <c r="J20" i="5"/>
  <c r="K20" i="3"/>
  <c r="J20" i="3"/>
  <c r="M64" i="5" l="1" a="1"/>
  <c r="M64" i="5" s="1"/>
  <c r="G39" i="5" l="1"/>
  <c r="G54" i="5"/>
  <c r="F38" i="5"/>
  <c r="E38" i="5"/>
  <c r="G37" i="5"/>
  <c r="G38" i="5" s="1"/>
  <c r="H38" i="5" s="1" a="1"/>
  <c r="H38" i="5" s="1"/>
  <c r="K24" i="5" a="1"/>
  <c r="K24" i="5" s="1"/>
  <c r="J24" i="5" a="1"/>
  <c r="J24" i="5" s="1"/>
  <c r="F20" i="5"/>
  <c r="K19" i="5" s="1"/>
  <c r="K23" i="5" s="1" a="1"/>
  <c r="K23" i="5" s="1"/>
  <c r="E20" i="5"/>
  <c r="G19" i="5"/>
  <c r="L20" i="5" s="1"/>
  <c r="L24" i="5" s="1" a="1"/>
  <c r="L24" i="5" s="1"/>
  <c r="E34" i="3"/>
  <c r="F34" i="3"/>
  <c r="K24" i="3" a="1"/>
  <c r="K24" i="3" s="1"/>
  <c r="J24" i="3" a="1"/>
  <c r="J24" i="3" s="1"/>
  <c r="G19" i="3"/>
  <c r="F20" i="3"/>
  <c r="K19" i="3" s="1"/>
  <c r="K23" i="3" s="1" a="1"/>
  <c r="K23" i="3" s="1"/>
  <c r="E20" i="3"/>
  <c r="J19" i="3" s="1"/>
  <c r="J23" i="3" s="1" a="1"/>
  <c r="J23" i="3" s="1"/>
  <c r="I44" i="3" l="1"/>
  <c r="L20" i="3"/>
  <c r="L24" i="3" s="1" a="1"/>
  <c r="L24" i="3" s="1"/>
  <c r="F39" i="5" a="1"/>
  <c r="F39" i="5" s="1"/>
  <c r="E39" i="5" a="1"/>
  <c r="E39" i="5" s="1"/>
  <c r="G20" i="3"/>
  <c r="L19" i="3" s="1"/>
  <c r="L23" i="3" s="1" a="1"/>
  <c r="L23" i="3" s="1"/>
  <c r="M58" i="3" s="1" a="1"/>
  <c r="M58" i="3" s="1"/>
  <c r="J19" i="5"/>
  <c r="J23" i="5" s="1" a="1"/>
  <c r="J23" i="5" s="1"/>
  <c r="G20" i="5"/>
  <c r="H37" i="5" a="1"/>
  <c r="H37" i="5" s="1"/>
  <c r="I45" i="3" l="1" a="1"/>
  <c r="I45" i="3" s="1"/>
  <c r="I49" i="3"/>
  <c r="L19" i="5"/>
  <c r="L27" i="5" s="1"/>
  <c r="L28" i="5" s="1" a="1"/>
  <c r="L28" i="5" s="1"/>
  <c r="I49" i="5" s="1"/>
  <c r="J26" i="5" l="1"/>
  <c r="J25" i="5" s="1" a="1"/>
  <c r="J25" i="5" s="1"/>
  <c r="J27" i="5"/>
  <c r="J28" i="5" s="1" a="1"/>
  <c r="J28" i="5" s="1"/>
  <c r="I50" i="5" a="1"/>
  <c r="I50" i="5" s="1"/>
  <c r="K26" i="5"/>
  <c r="K25" i="5" s="1" a="1"/>
  <c r="K25" i="5" s="1"/>
  <c r="L23" i="5" a="1"/>
  <c r="L23" i="5" s="1"/>
  <c r="K27" i="5"/>
  <c r="K28" i="5" s="1" a="1"/>
  <c r="K28" i="5" s="1"/>
  <c r="I54" i="5" l="1"/>
  <c r="M54" i="5" s="1" a="1"/>
  <c r="M54" i="5" s="1"/>
  <c r="O54" i="5" s="1"/>
  <c r="M49" i="3" a="1"/>
  <c r="M49" i="3" s="1"/>
  <c r="O49" i="3" s="1"/>
  <c r="G33" i="3"/>
  <c r="H33" i="3" l="1" a="1"/>
  <c r="H33" i="3" s="1"/>
  <c r="G34" i="3"/>
  <c r="H34" i="3" s="1" a="1"/>
  <c r="H34"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tc={0546E428-1237-4EAE-A212-164370F0BE13}</author>
    <author>tc={B7278F26-0C59-41C3-8D38-EC398C4079F3}</author>
  </authors>
  <commentList>
    <comment ref="C1" authorId="0" shapeId="0" xr:uid="{0546E428-1237-4EAE-A212-164370F0BE13}">
      <text>
        <t>[Threaded comment]
Your version of Excel allows you to read this threaded comment; however, any edits to it will get removed if the file is opened in a newer version of Excel. Learn more: https://go.microsoft.com/fwlink/?linkid=870924
Comment:
    Add functionality to bucket with FE rating</t>
      </text>
    </comment>
    <comment ref="C14" authorId="1" shapeId="0" xr:uid="{B7278F26-0C59-41C3-8D38-EC398C4079F3}">
      <text>
        <t>[Threaded comment]
Your version of Excel allows you to read this threaded comment; however, any edits to it will get removed if the file is opened in a newer version of Excel. Learn more: https://go.microsoft.com/fwlink/?linkid=870924
Comment:
    Who decided rounding to five decimal places and why?</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tc={49FF8E4B-7338-406A-91E6-FD598EE0FE54}</author>
    <author>tc={EE30103B-40FD-4E03-9EB4-9B97C85159EB}</author>
  </authors>
  <commentList>
    <comment ref="C1" authorId="0" shapeId="0" xr:uid="{49FF8E4B-7338-406A-91E6-FD598EE0FE54}">
      <text>
        <t>[Threaded comment]
Your version of Excel allows you to read this threaded comment; however, any edits to it will get removed if the file is opened in a newer version of Excel. Learn more: https://go.microsoft.com/fwlink/?linkid=870924
Comment:
    Add functionality to bucket with FE rating</t>
      </text>
    </comment>
    <comment ref="C14" authorId="1" shapeId="0" xr:uid="{EE30103B-40FD-4E03-9EB4-9B97C85159EB}">
      <text>
        <t>[Threaded comment]
Your version of Excel allows you to read this threaded comment; however, any edits to it will get removed if the file is opened in a newer version of Excel. Learn more: https://go.microsoft.com/fwlink/?linkid=870924
Comment:
    Who decided rounding to five decimal places and why?</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<sst xmlns="http://schemas.openxmlformats.org/spreadsheetml/2006/main" count="221" uniqueCount="122">
  <si>
    <t xml:space="preserve">2026 Generic Electric Vehicle (EV) Label Calculator </t>
  </si>
  <si>
    <t>OMB Control #</t>
  </si>
  <si>
    <t>2060-0104</t>
  </si>
  <si>
    <t>Expires MM/DD/YYYY</t>
  </si>
  <si>
    <t xml:space="preserve">Paperwork Redcution Act Burden Statement </t>
  </si>
  <si>
    <t>This collection of information is approved by OMB under the Paperwork Reduction Act, 44 U.S.C. 3501 et seq. (OMB Control No. 2060-0104). Responses to this collection of information is voluntary. An agency may not conduct or sponsor, and a person is not required to respond to, a collection of information unless it displays a currently valid OMB control number. The public reporting and recordkeeping burden for this collection of information is estimated to be 5 minutes to 30 minutes per response. Send comments on the Agency’s need for this information, the accuracy of the provided burden estimates and any suggested methods for minimizing respondent burden to the Information Engagement Division Director, U.S. Environmental Protection Agency (2821T), 1200 Pennsylvania Ave., NW, Washington, D.C. 20460. Include the OMB control number in any correspondence. Do not send the completed form to this address.</t>
  </si>
  <si>
    <t xml:space="preserve">The purpose of this form is to assist manufacturers in calculating fuel economy (FE) label values for the electric vehicles (EVs) they produce. The form may also be used to share information with the U.S. Environmental Protection Agency (EPA) to assist in review of fuel economy data under 40 CFR 600.312-08(a).  The completed form should be emailed to the staff responsible for fuel economy label data, currently Hannah Frame (frame.hannah@epa.gov) and Joshua Kimball (kimball.joshua@epa.gov). </t>
  </si>
  <si>
    <t>Form #</t>
  </si>
  <si>
    <t>PFN-3420-3</t>
  </si>
  <si>
    <t>Model Year (MY) 26 Fuel Economy (FE) Label Miles Per Gallon (MPG) Calculations For Electric Vehicles</t>
  </si>
  <si>
    <t>This sheet is designed to be able use "Set Precision As Displayed" to reduce floating point errors if needed, at the cost of calculation accuracy (minimal here due to most calculation paths being short). Do not change number formatting except to increase decimal places. If you encounter a floating point error, enable "Set Precision As Displayed" and re-enter your starting values.</t>
  </si>
  <si>
    <t>Please Enter:</t>
  </si>
  <si>
    <t>Model Year:</t>
  </si>
  <si>
    <t>Manufacturer Name:</t>
  </si>
  <si>
    <t>xxxxxxx</t>
  </si>
  <si>
    <t>Values in Yellow fill are used on FE Labels (window stickers)</t>
  </si>
  <si>
    <t>Model Name</t>
  </si>
  <si>
    <t>yyyyyyyy</t>
  </si>
  <si>
    <t>H. Frame</t>
  </si>
  <si>
    <t>Test Date:</t>
  </si>
  <si>
    <t>xx/yy/2025</t>
  </si>
  <si>
    <t xml:space="preserve">I(a).   Enter the EPA approved 5-cycle Adjustment Factor per SAE J1634 (July 2017): </t>
  </si>
  <si>
    <t>Use at least six significant digits when transmitting this intermediate value</t>
  </si>
  <si>
    <t xml:space="preserve">(Enter 0.70 if not using the SAE J1634 5-cycle method)                    </t>
  </si>
  <si>
    <t>See 40 CFR 1065.20 for more information on rounding and precision</t>
  </si>
  <si>
    <t>I.  Calculate Electric vehicle FE Label city, Highway (Hwy), Combined FE values using the SAE J1634  5-cycle Adjustment Factor or the 0.7 Adjustment Factor:</t>
  </si>
  <si>
    <t>I(b). Enter unrounded, unadjusted AC Wh/mi Values (in grey shaded text blocks) as determined from SAE J1634:</t>
  </si>
  <si>
    <t>*Use at least six significant digits when transmitting these intermediate values, as perscribed by 40 CFR 1065.20</t>
  </si>
  <si>
    <t>-----Unadjusted Values-----</t>
  </si>
  <si>
    <t>City</t>
  </si>
  <si>
    <t>Highway</t>
  </si>
  <si>
    <t>Combined</t>
  </si>
  <si>
    <t>Units</t>
  </si>
  <si>
    <t>Hwy</t>
  </si>
  <si>
    <t>Vehicle FE</t>
  </si>
  <si>
    <t>unadjusted W-hr/mi*</t>
  </si>
  <si>
    <t>W-hr/ mi</t>
  </si>
  <si>
    <t>MPGe (5-cycle method, unrounded, adjusted)</t>
  </si>
  <si>
    <t>converted to Miles Per Gallon equivalent (MPGe)</t>
  </si>
  <si>
    <t>MPGe</t>
  </si>
  <si>
    <t>kW-hr/100 mi (5-cycle method, unrounded, adjusted)</t>
  </si>
  <si>
    <t>2026MY Label Values:</t>
  </si>
  <si>
    <t xml:space="preserve">Rounded MPGe Using SAE J1634 (5-cycle) or 0.7 Adjustment Factor:  </t>
  </si>
  <si>
    <t xml:space="preserve">Rounded kW-hr/100 mi Using SAE J1634 (5-cycle) or 0.7 Adjustment Factor:  </t>
  </si>
  <si>
    <t>II.  Calculate the adjusted electric vehicle driving ranges using the SAE J1634  5-cycle Adjustment Factor or the 0.7 Adjustment Factor:</t>
  </si>
  <si>
    <t>II(a). Enter unrounded, unadjusted City &amp; Hwy Range Values in miles (in red text blocks) as determined from SAE J1634:</t>
  </si>
  <si>
    <t>*Use at least six significant digits when transmitting these intermediate values, as prescribed by 40 CFR 1065.20</t>
  </si>
  <si>
    <t>City Range</t>
  </si>
  <si>
    <t>Hwy Range</t>
  </si>
  <si>
    <r>
      <t xml:space="preserve">Combined </t>
    </r>
    <r>
      <rPr>
        <u/>
        <sz val="10"/>
        <rFont val="Arial"/>
        <family val="2"/>
      </rPr>
      <t>Range</t>
    </r>
  </si>
  <si>
    <t>Rounded Range</t>
  </si>
  <si>
    <t>Method:</t>
  </si>
  <si>
    <t>Calculate unadjusted combined driving range*:</t>
  </si>
  <si>
    <t>miles</t>
  </si>
  <si>
    <t>Unadjusted (SAE J1634)</t>
  </si>
  <si>
    <t>Calculate adjusted driving range (5-cycle or 0.7 Adj Factor):</t>
  </si>
  <si>
    <t>(Adjusted driving range using 5-cycle or 0.7 Adjustment Factor)</t>
  </si>
  <si>
    <t>III. Calculate Electric vehicle annual fuel cost and 5-year savings, per 40 CFR 600.311-12(e)</t>
  </si>
  <si>
    <t xml:space="preserve">III(a). Enter Average 2026MY 5-year Fuel Cost: </t>
  </si>
  <si>
    <t>(Whole number)</t>
  </si>
  <si>
    <t xml:space="preserve">III(b). Enter 2026MY U.S. average electricity cost: </t>
  </si>
  <si>
    <t>(2 decimal places)</t>
  </si>
  <si>
    <t xml:space="preserve">     (from IACD-2025-03 (Revised) for 2026 model year)</t>
  </si>
  <si>
    <t>Calculate adjusted, combined miles per kW-hr:</t>
  </si>
  <si>
    <t>2026 Label</t>
  </si>
  <si>
    <t xml:space="preserve"> … and round to the nearest 0.001 (see 40 CFR 600.210-12(c)(1)(iii)):</t>
  </si>
  <si>
    <t xml:space="preserve">Rounded </t>
  </si>
  <si>
    <t>5-year</t>
  </si>
  <si>
    <t xml:space="preserve">Unrounded </t>
  </si>
  <si>
    <t>Annual</t>
  </si>
  <si>
    <t>Amount</t>
  </si>
  <si>
    <t>Petroleum Equivalency Factor for FE Labels;</t>
  </si>
  <si>
    <t>Annual Miles</t>
  </si>
  <si>
    <t>Cost</t>
  </si>
  <si>
    <t>Annual Fuel Cost*</t>
  </si>
  <si>
    <t>Method</t>
  </si>
  <si>
    <t>Fuel Cost**</t>
  </si>
  <si>
    <t>You Save**</t>
  </si>
  <si>
    <t>ref. 40 CFR 600.002 "Gasoline gallon equivalent" definition</t>
  </si>
  <si>
    <t>per kw-hr</t>
  </si>
  <si>
    <t xml:space="preserve"> (Using SAE J1634 5-cycle or 0.7 Adjustment Factor)</t>
  </si>
  <si>
    <t>watt-hr/gallon</t>
  </si>
  <si>
    <t>*Note: Annual fuel costs should be rounded to the nearest $50 using the method prescribed by 40 CFR 1065.20(e)(5).</t>
  </si>
  <si>
    <t xml:space="preserve">**Note:  These values are used on the window stickers.  </t>
  </si>
  <si>
    <t xml:space="preserve">(They may be different from the www.fueleconomy.gov values, </t>
  </si>
  <si>
    <t>because www.fueleconomy.gov uses a floating fuel cost).</t>
  </si>
  <si>
    <t>Model Year 2026 Rating Scale For Fuel Economy</t>
  </si>
  <si>
    <t>Fuel Economy Rating</t>
  </si>
  <si>
    <t>Lower Bound (MPG)</t>
  </si>
  <si>
    <t>Upper Bound (MPG)</t>
  </si>
  <si>
    <t>Greenhouse Gas Rating</t>
  </si>
  <si>
    <t>**Greenhouse Gas Rating label values are 10 for all fully electric vehicles, as tailpipe CO2 emissions for EVs are defined to be zero by 40 CFR 600.113-12(n)</t>
  </si>
  <si>
    <t>These ratings are from IACD-2025-03 (Revised)</t>
  </si>
  <si>
    <t>MY26 FE Label MPG Calculations For Electric Vehicles with Voluntarily Adjusted Label Values</t>
  </si>
  <si>
    <t>Values in Blue fill are used on FE Labels (window stickers)</t>
  </si>
  <si>
    <t>I.  Calculate Electric vehicle FE Label city, Hwy, Combined FE values using the SAE J1634  5-cycle Adjustment Factor or the 0.7 Adjustment Factor:</t>
  </si>
  <si>
    <t>converted to MPGe</t>
  </si>
  <si>
    <t xml:space="preserve">Voluntarily Reduced MPGe values shown on Label -------------------------&gt;  </t>
  </si>
  <si>
    <t>&lt;-------- Enter only voluntarily reduced combined MPG (or leave blank); (other values are automatically calculated)</t>
  </si>
  <si>
    <t>-</t>
  </si>
  <si>
    <t>Unrounded adjusted voluntarily lowered city/hwy MPGe values (for reference only)</t>
  </si>
  <si>
    <t>Unrounded adjusted voluntarily raised kW-hr/100 mi energy consumption values (for reference only)</t>
  </si>
  <si>
    <t xml:space="preserve">Voluntarily Increased kW-hr/100 mi values -------------------------&gt;  </t>
  </si>
  <si>
    <t xml:space="preserve">                  </t>
  </si>
  <si>
    <t>II(a). Enter unrounded, unadjusted City &amp; Hwy Range Values in miles (in grey shaded text blocks) as determined from SAE J1634:</t>
  </si>
  <si>
    <t>Voluntarily Reduced Range Values</t>
  </si>
  <si>
    <t xml:space="preserve">miles </t>
  </si>
  <si>
    <t>&lt;------------------------ II(b). Enter Voluntary Reduced (Combined) Range Value shown on label</t>
  </si>
  <si>
    <t>Calculate voluntarily raised, adjusted, combined miles per kW-hr:</t>
  </si>
  <si>
    <t>... and round to the nearest 0.001 (see 40 CFR 600.210-12(c)(1)(iii)):</t>
  </si>
  <si>
    <t>Authorities and References</t>
  </si>
  <si>
    <t>40 CFR 600.002 "Gasoline gallon equivalent" definition</t>
  </si>
  <si>
    <t>40 CFR 1065.20(e)(5)</t>
  </si>
  <si>
    <t>40 CFR 600.210-12(c)(1)(iii)</t>
  </si>
  <si>
    <t>IACD-2025-03 (Revised)</t>
  </si>
  <si>
    <t>40 CFR 600.311-12(e)</t>
  </si>
  <si>
    <t>SAE J1634 (July 2017)</t>
  </si>
  <si>
    <t>40 CFR 600.113-12(n)</t>
  </si>
  <si>
    <t>www.fueleconomy.gov</t>
  </si>
  <si>
    <t>40 CFR 1065.20</t>
  </si>
  <si>
    <t>For a simple EV label, please use the second tab, "EV Calculations (Calcs)."  If voluntary adjustment of label values under 40 CFR 600.210-12(a) is intended, please use the third tab, "EV Calcs - Voluntarily Adjusted." Please note neither tab of this form is intended to calculate label fuel economy values for vehicles with multiple base levels. Please see 40 CFR 600.209-12 for more information on calculating the FE label values for a model type. Further instructions for completing  the form may be found on the next two tabs.</t>
  </si>
  <si>
    <t xml:space="preserve">Instructions for Completing This Form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</si>
</sst>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0"/>
    <numFmt numFmtId="165" formatCode="0.0"/>
    <numFmt numFmtId="166" formatCode="0.0000"/>
    <numFmt numFmtId="167" formatCode="&quot;$&quot;#,##0.00"/>
    <numFmt numFmtId="168" formatCode="0.0%"/>
    <numFmt numFmtId="169" formatCode="&quot;$&quot;#,##0"/>
    <numFmt numFmtId="170" formatCode="yyyy\-mm\-dd;@"/>
    <numFmt numFmtId="171" formatCode="0.0000000000"/>
  </numFmts>
  <fonts count="28" x14ac:knownFonts="1">
    <font>
      <sz val="10"/>
      <name val="Arial"/>
    </font>
    <font>
      <sz val="11"/>
      <color theme="1"/>
      <name val="Calibri"/>
      <family val="2"/>
      <scheme val="minor"/>
    </font>
    <font>
      <sz val="11"/>
      <color theme="1"/>
      <name val="Calibri"/>
      <family val="2"/>
      <scheme val="minor"/>
    </font>
    <font>
      <sz val="10"/>
      <name val="Arial"/>
      <family val="2"/>
    </font>
    <font>
      <sz val="8"/>
      <name val="Arial"/>
      <family val="2"/>
    </font>
    <font>
      <b/>
      <sz val="10"/>
      <name val="Arial"/>
      <family val="2"/>
    </font>
    <font>
      <b/>
      <sz val="14"/>
      <name val="Arial"/>
      <family val="2"/>
    </font>
    <font>
      <b/>
      <u/>
      <sz val="10"/>
      <name val="Arial"/>
      <family val="2"/>
    </font>
    <font>
      <b/>
      <sz val="10"/>
      <color indexed="10"/>
      <name val="Arial"/>
      <family val="2"/>
    </font>
    <font>
      <sz val="10"/>
      <color indexed="10"/>
      <name val="Arial"/>
      <family val="2"/>
    </font>
    <font>
      <b/>
      <sz val="10"/>
      <color indexed="12"/>
      <name val="Arial"/>
      <family val="2"/>
    </font>
    <font>
      <sz val="10"/>
      <color indexed="12"/>
      <name val="Arial"/>
      <family val="2"/>
    </font>
    <font>
      <u/>
      <sz val="10"/>
      <name val="Arial"/>
      <family val="2"/>
    </font>
    <font>
      <sz val="12"/>
      <name val="Arial"/>
      <family val="2"/>
    </font>
    <font>
      <b/>
      <sz val="10"/>
      <color rgb="FF0000FF"/>
      <name val="Arial"/>
      <family val="2"/>
    </font>
    <font>
      <sz val="12"/>
      <color rgb="FF0000FF"/>
      <name val="Arial"/>
      <family val="2"/>
    </font>
    <font>
      <sz val="10"/>
      <color rgb="FF0000FF"/>
      <name val="Arial"/>
      <family val="2"/>
    </font>
    <font>
      <b/>
      <sz val="10"/>
      <color rgb="FFFF0000"/>
      <name val="Arial"/>
      <family val="2"/>
    </font>
    <font>
      <sz val="10"/>
      <color rgb="FFFF0000"/>
      <name val="Arial"/>
      <family val="2"/>
    </font>
    <font>
      <sz val="12"/>
      <color rgb="FFFF0000"/>
      <name val="Arial"/>
      <family val="2"/>
    </font>
    <font>
      <u/>
      <sz val="10"/>
      <color theme="10"/>
      <name val="Arial"/>
      <family val="2"/>
    </font>
    <font>
      <sz val="10"/>
      <color theme="1" tint="0.249977111117893"/>
      <name val="Arial"/>
      <family val="2"/>
    </font>
    <font>
      <sz val="10"/>
      <color theme="1" tint="0.14999847407452621"/>
      <name val="Arial"/>
      <family val="2"/>
    </font>
    <font>
      <b/>
      <sz val="11"/>
      <color theme="1"/>
      <name val="Calibri"/>
      <family val="2"/>
      <scheme val="minor"/>
    </font>
    <font>
      <sz val="11"/>
      <name val="Calibri"/>
      <family val="2"/>
    </font>
    <font>
      <sz val="11"/>
      <color theme="1"/>
      <name val="Calibri"/>
      <family val="2"/>
    </font>
    <font>
      <b/>
      <sz val="11"/>
      <color theme="1"/>
      <name val="Calibri"/>
      <family val="2"/>
    </font>
    <font>
      <sz val="11"/>
      <name val="Calibri"/>
      <family val="2"/>
      <scheme val="minor"/>
    </font>
  </fonts>
  <fills count="10">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rgb="FFE4DFEC"/>
        <bgColor indexed="64"/>
      </patternFill>
    </fill>
    <fill>
      <patternFill patternType="solid">
        <fgColor rgb="FFB3E6FF"/>
        <bgColor indexed="64"/>
      </patternFill>
    </fill>
    <fill>
      <patternFill patternType="gray0625">
        <bgColor rgb="FFB3E6FF"/>
      </patternFill>
    </fill>
  </fills>
  <borders count="22">
    <border>
      <left/>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auto="1"/>
      </left>
      <right/>
      <top/>
      <bottom/>
      <diagonal/>
    </border>
    <border>
      <left/>
      <right style="medium">
        <color indexed="64"/>
      </right>
      <top/>
      <bottom/>
      <diagonal/>
    </border>
    <border>
      <left style="medium">
        <color auto="1"/>
      </left>
      <right/>
      <top/>
      <bottom style="medium">
        <color auto="1"/>
      </bottom>
      <diagonal/>
    </border>
    <border>
      <left/>
      <right style="medium">
        <color indexed="64"/>
      </right>
      <top/>
      <bottom style="medium">
        <color indexed="64"/>
      </bottom>
      <diagonal/>
    </border>
  </borders>
  <cellStyleXfs count="2">
    <xf numFmtId="0" fontId="0" fillId="0" borderId="0"/>
    <xf numFmtId="0" fontId="20" fillId="0" borderId="0" applyNumberFormat="0" applyFill="0" applyBorder="0" applyAlignment="0" applyProtection="0"/>
  </cellStyleXfs>
  <cellXfs count="226">
    <xf numFmtId="0" fontId="0" fillId="0" borderId="0" xfId="0"/>
    <xf numFmtId="0" fontId="6" fillId="0" borderId="0" xfId="0" applyFont="1"/>
    <xf numFmtId="0" fontId="0" fillId="0" borderId="0" xfId="0" applyAlignment="1">
      <alignment wrapText="1"/>
    </xf>
    <xf numFmtId="0" fontId="8" fillId="0" borderId="0" xfId="0" applyFont="1"/>
    <xf numFmtId="164" fontId="0" fillId="0" borderId="0" xfId="0" applyNumberFormat="1"/>
    <xf numFmtId="0" fontId="9" fillId="0" borderId="0" xfId="0" applyFont="1"/>
    <xf numFmtId="0" fontId="10" fillId="0" borderId="0" xfId="0" applyFont="1"/>
    <xf numFmtId="166" fontId="0" fillId="0" borderId="0" xfId="0" applyNumberFormat="1"/>
    <xf numFmtId="166" fontId="5" fillId="0" borderId="0" xfId="0" applyNumberFormat="1" applyFont="1"/>
    <xf numFmtId="0" fontId="7" fillId="0" borderId="0" xfId="0" applyFont="1" applyAlignment="1">
      <alignment horizontal="center"/>
    </xf>
    <xf numFmtId="0" fontId="5" fillId="0" borderId="0" xfId="0" applyFont="1" applyAlignment="1">
      <alignment horizontal="center"/>
    </xf>
    <xf numFmtId="165" fontId="8" fillId="0" borderId="0" xfId="0" applyNumberFormat="1" applyFont="1"/>
    <xf numFmtId="164" fontId="10" fillId="0" borderId="0" xfId="0" applyNumberFormat="1" applyFont="1" applyBorder="1"/>
    <xf numFmtId="166" fontId="3" fillId="0" borderId="0" xfId="0" applyNumberFormat="1" applyFont="1"/>
    <xf numFmtId="0" fontId="0" fillId="0" borderId="0" xfId="0" applyAlignment="1">
      <alignment horizontal="left"/>
    </xf>
    <xf numFmtId="0" fontId="5" fillId="0" borderId="0" xfId="0" applyFont="1"/>
    <xf numFmtId="165" fontId="5" fillId="0" borderId="0" xfId="0" applyNumberFormat="1" applyFont="1"/>
    <xf numFmtId="168" fontId="5" fillId="0" borderId="0" xfId="0" applyNumberFormat="1" applyFont="1" applyBorder="1"/>
    <xf numFmtId="167" fontId="8" fillId="0" borderId="0" xfId="0" applyNumberFormat="1" applyFont="1" applyAlignment="1">
      <alignment horizontal="center"/>
    </xf>
    <xf numFmtId="0" fontId="12" fillId="0" borderId="0" xfId="0" applyFont="1"/>
    <xf numFmtId="165" fontId="11" fillId="0" borderId="0" xfId="0" applyNumberFormat="1" applyFont="1"/>
    <xf numFmtId="1" fontId="10" fillId="0" borderId="1" xfId="0" applyNumberFormat="1" applyFont="1" applyBorder="1" applyAlignment="1">
      <alignment horizontal="center"/>
    </xf>
    <xf numFmtId="0" fontId="0" fillId="0" borderId="0" xfId="0" applyBorder="1"/>
    <xf numFmtId="0" fontId="13" fillId="0" borderId="0" xfId="0" applyFont="1" applyBorder="1" applyAlignment="1">
      <alignment horizontal="center" vertical="top" wrapText="1"/>
    </xf>
    <xf numFmtId="1" fontId="0" fillId="0" borderId="0" xfId="0" applyNumberFormat="1"/>
    <xf numFmtId="0" fontId="7" fillId="0" borderId="0" xfId="0" applyFont="1"/>
    <xf numFmtId="1" fontId="13" fillId="0" borderId="0" xfId="0" applyNumberFormat="1" applyFont="1" applyBorder="1" applyAlignment="1">
      <alignment horizontal="center" vertical="top" wrapText="1"/>
    </xf>
    <xf numFmtId="0" fontId="0" fillId="0" borderId="0" xfId="0" applyBorder="1" applyAlignment="1">
      <alignment horizontal="right"/>
    </xf>
    <xf numFmtId="0" fontId="8" fillId="0" borderId="0" xfId="0" applyFont="1" applyBorder="1"/>
    <xf numFmtId="0" fontId="0" fillId="0" borderId="3" xfId="0" applyBorder="1"/>
    <xf numFmtId="0" fontId="0" fillId="0" borderId="4" xfId="0" applyBorder="1"/>
    <xf numFmtId="0" fontId="0" fillId="0" borderId="5" xfId="0" applyBorder="1"/>
    <xf numFmtId="0" fontId="0" fillId="0" borderId="6" xfId="0" applyBorder="1"/>
    <xf numFmtId="3" fontId="0" fillId="0" borderId="5" xfId="0" applyNumberFormat="1" applyBorder="1"/>
    <xf numFmtId="0" fontId="0" fillId="0" borderId="7" xfId="0" applyBorder="1"/>
    <xf numFmtId="0" fontId="0" fillId="0" borderId="8" xfId="0" applyBorder="1"/>
    <xf numFmtId="0" fontId="0" fillId="0" borderId="9" xfId="0" applyBorder="1"/>
    <xf numFmtId="1" fontId="10" fillId="0" borderId="0" xfId="0" applyNumberFormat="1" applyFont="1" applyBorder="1"/>
    <xf numFmtId="1" fontId="10" fillId="2" borderId="10" xfId="0" applyNumberFormat="1" applyFont="1" applyFill="1" applyBorder="1"/>
    <xf numFmtId="1" fontId="10" fillId="2" borderId="1" xfId="0" applyNumberFormat="1" applyFont="1" applyFill="1" applyBorder="1"/>
    <xf numFmtId="0" fontId="15" fillId="0" borderId="0" xfId="0" applyFont="1" applyBorder="1" applyAlignment="1">
      <alignment horizontal="center" vertical="top" wrapText="1"/>
    </xf>
    <xf numFmtId="1" fontId="10" fillId="2" borderId="1" xfId="0" applyNumberFormat="1" applyFont="1" applyFill="1" applyBorder="1" applyAlignment="1">
      <alignment horizontal="center"/>
    </xf>
    <xf numFmtId="0" fontId="16" fillId="0" borderId="0" xfId="0" applyFont="1" applyFill="1" applyBorder="1"/>
    <xf numFmtId="0" fontId="0" fillId="0" borderId="0" xfId="0" applyBorder="1" applyAlignment="1">
      <alignment wrapText="1"/>
    </xf>
    <xf numFmtId="165" fontId="10" fillId="0" borderId="0" xfId="0" applyNumberFormat="1" applyFont="1" applyBorder="1"/>
    <xf numFmtId="0" fontId="5" fillId="0" borderId="0" xfId="0" applyFont="1" applyBorder="1"/>
    <xf numFmtId="1" fontId="10" fillId="0" borderId="0" xfId="0" applyNumberFormat="1" applyFont="1" applyFill="1" applyBorder="1"/>
    <xf numFmtId="0" fontId="18" fillId="0" borderId="0" xfId="0" applyFont="1"/>
    <xf numFmtId="0" fontId="19" fillId="0" borderId="0" xfId="0" applyFont="1" applyBorder="1" applyAlignment="1">
      <alignment horizontal="center" vertical="top" wrapText="1"/>
    </xf>
    <xf numFmtId="1" fontId="18" fillId="0" borderId="0" xfId="0" applyNumberFormat="1" applyFont="1"/>
    <xf numFmtId="0" fontId="17" fillId="0" borderId="0" xfId="0" applyFont="1"/>
    <xf numFmtId="0" fontId="0" fillId="0" borderId="0" xfId="0" applyBorder="1" applyAlignment="1">
      <alignment horizontal="center"/>
    </xf>
    <xf numFmtId="0" fontId="10" fillId="0" borderId="0" xfId="0" applyFont="1" applyBorder="1"/>
    <xf numFmtId="3" fontId="0" fillId="0" borderId="0" xfId="0" applyNumberFormat="1" applyAlignment="1">
      <alignment horizontal="center"/>
    </xf>
    <xf numFmtId="0" fontId="17" fillId="0" borderId="0" xfId="0" applyFont="1" applyAlignment="1">
      <alignment horizontal="right"/>
    </xf>
    <xf numFmtId="0" fontId="0" fillId="0" borderId="0" xfId="0" applyAlignment="1">
      <alignment horizontal="center"/>
    </xf>
    <xf numFmtId="0" fontId="7" fillId="0" borderId="0" xfId="0" applyFont="1" applyAlignment="1"/>
    <xf numFmtId="0" fontId="0" fillId="0" borderId="0" xfId="0" applyAlignment="1"/>
    <xf numFmtId="0" fontId="3" fillId="0" borderId="0" xfId="0" applyFont="1"/>
    <xf numFmtId="0" fontId="7" fillId="0" borderId="0" xfId="0" applyFont="1" applyAlignment="1">
      <alignment horizontal="left"/>
    </xf>
    <xf numFmtId="0" fontId="3" fillId="0" borderId="5" xfId="0" applyFont="1" applyBorder="1"/>
    <xf numFmtId="0" fontId="3" fillId="0" borderId="2" xfId="0" applyFont="1" applyBorder="1"/>
    <xf numFmtId="0" fontId="17" fillId="0" borderId="0" xfId="0" applyFont="1" applyFill="1"/>
    <xf numFmtId="0" fontId="17" fillId="0" borderId="0" xfId="0" applyFont="1" applyFill="1" applyAlignment="1">
      <alignment horizontal="right"/>
    </xf>
    <xf numFmtId="0" fontId="0" fillId="0" borderId="0" xfId="0" applyFill="1"/>
    <xf numFmtId="0" fontId="3" fillId="0" borderId="0" xfId="0" applyFont="1" applyAlignment="1">
      <alignment horizontal="right"/>
    </xf>
    <xf numFmtId="0" fontId="0" fillId="4" borderId="0" xfId="0" applyFill="1"/>
    <xf numFmtId="0" fontId="3" fillId="4" borderId="0" xfId="0" applyFont="1" applyFill="1" applyAlignment="1">
      <alignment horizontal="left"/>
    </xf>
    <xf numFmtId="0" fontId="0" fillId="4" borderId="0" xfId="0" applyFill="1" applyAlignment="1">
      <alignment horizontal="center"/>
    </xf>
    <xf numFmtId="164" fontId="3" fillId="4" borderId="0" xfId="0" applyNumberFormat="1" applyFont="1" applyFill="1"/>
    <xf numFmtId="166" fontId="0" fillId="4" borderId="0" xfId="0" applyNumberFormat="1" applyFill="1"/>
    <xf numFmtId="0" fontId="3" fillId="4" borderId="0" xfId="0" applyFont="1" applyFill="1"/>
    <xf numFmtId="0" fontId="10" fillId="4" borderId="0" xfId="0" applyFont="1" applyFill="1"/>
    <xf numFmtId="166" fontId="3" fillId="0" borderId="0" xfId="0" applyNumberFormat="1" applyFont="1" applyFill="1"/>
    <xf numFmtId="0" fontId="17" fillId="0" borderId="0" xfId="0" applyFont="1" applyFill="1" applyBorder="1" applyAlignment="1">
      <alignment horizontal="right"/>
    </xf>
    <xf numFmtId="164" fontId="17" fillId="0" borderId="0" xfId="0" applyNumberFormat="1" applyFont="1" applyAlignment="1">
      <alignment horizontal="left"/>
    </xf>
    <xf numFmtId="0" fontId="3" fillId="0" borderId="0" xfId="0" applyFont="1" applyAlignment="1">
      <alignment horizontal="left"/>
    </xf>
    <xf numFmtId="0" fontId="3" fillId="0" borderId="0" xfId="0" applyFont="1" applyFill="1"/>
    <xf numFmtId="165" fontId="3" fillId="0" borderId="0" xfId="0" applyNumberFormat="1" applyFont="1"/>
    <xf numFmtId="165" fontId="3" fillId="0" borderId="0" xfId="0" applyNumberFormat="1" applyFont="1" applyBorder="1"/>
    <xf numFmtId="1" fontId="3" fillId="0" borderId="0" xfId="0" applyNumberFormat="1" applyFont="1" applyAlignment="1">
      <alignment horizontal="center"/>
    </xf>
    <xf numFmtId="0" fontId="3" fillId="0" borderId="0" xfId="0" applyFont="1" applyFill="1" applyBorder="1"/>
    <xf numFmtId="167" fontId="0" fillId="0" borderId="0" xfId="0" applyNumberFormat="1" applyFill="1" applyBorder="1"/>
    <xf numFmtId="0" fontId="13" fillId="0" borderId="0" xfId="0" applyFont="1" applyFill="1" applyBorder="1" applyAlignment="1">
      <alignment horizontal="center" vertical="top" wrapText="1"/>
    </xf>
    <xf numFmtId="166" fontId="10" fillId="0" borderId="0" xfId="0" applyNumberFormat="1" applyFont="1" applyBorder="1"/>
    <xf numFmtId="0" fontId="5" fillId="0" borderId="0" xfId="0" applyFont="1" applyFill="1"/>
    <xf numFmtId="0" fontId="18" fillId="0" borderId="0" xfId="0" applyFont="1" applyFill="1" applyAlignment="1">
      <alignment horizontal="left"/>
    </xf>
    <xf numFmtId="0" fontId="18" fillId="0" borderId="0" xfId="0" applyFont="1" applyFill="1"/>
    <xf numFmtId="164" fontId="17" fillId="0" borderId="0" xfId="0" applyNumberFormat="1" applyFont="1" applyFill="1" applyBorder="1" applyAlignment="1">
      <alignment horizontal="right"/>
    </xf>
    <xf numFmtId="169" fontId="17" fillId="0" borderId="1" xfId="0" applyNumberFormat="1" applyFont="1" applyFill="1" applyBorder="1" applyAlignment="1">
      <alignment horizontal="center"/>
    </xf>
    <xf numFmtId="0" fontId="8" fillId="0" borderId="0" xfId="0" applyFont="1" applyFill="1"/>
    <xf numFmtId="167" fontId="8" fillId="0" borderId="1" xfId="0" applyNumberFormat="1" applyFont="1" applyFill="1" applyBorder="1" applyAlignment="1">
      <alignment horizontal="center"/>
    </xf>
    <xf numFmtId="164" fontId="3" fillId="0" borderId="0" xfId="0" applyNumberFormat="1" applyFont="1" applyFill="1" applyBorder="1"/>
    <xf numFmtId="0" fontId="3" fillId="0" borderId="0" xfId="0" applyFont="1" applyFill="1" applyAlignment="1">
      <alignment horizontal="center"/>
    </xf>
    <xf numFmtId="0" fontId="0" fillId="0" borderId="0" xfId="0" applyFill="1" applyBorder="1" applyAlignment="1">
      <alignment horizontal="center"/>
    </xf>
    <xf numFmtId="0" fontId="12" fillId="0" borderId="0" xfId="0" applyFont="1" applyAlignment="1">
      <alignment horizontal="center"/>
    </xf>
    <xf numFmtId="170" fontId="3" fillId="0" borderId="0" xfId="0" quotePrefix="1" applyNumberFormat="1" applyFont="1" applyFill="1"/>
    <xf numFmtId="171" fontId="17" fillId="5" borderId="1" xfId="0" applyNumberFormat="1" applyFont="1" applyFill="1" applyBorder="1" applyAlignment="1">
      <alignment horizontal="left" indent="1"/>
    </xf>
    <xf numFmtId="171" fontId="17" fillId="5" borderId="1" xfId="0" applyNumberFormat="1" applyFont="1" applyFill="1" applyBorder="1"/>
    <xf numFmtId="171" fontId="3" fillId="0" borderId="0" xfId="0" applyNumberFormat="1" applyFont="1"/>
    <xf numFmtId="171" fontId="5" fillId="0" borderId="0" xfId="0" applyNumberFormat="1" applyFont="1"/>
    <xf numFmtId="0" fontId="14" fillId="0" borderId="0" xfId="0" applyFont="1" applyFill="1" applyAlignment="1">
      <alignment horizontal="left"/>
    </xf>
    <xf numFmtId="0" fontId="14" fillId="0" borderId="0" xfId="0" applyFont="1" applyFill="1" applyBorder="1" applyAlignment="1">
      <alignment horizontal="left"/>
    </xf>
    <xf numFmtId="171" fontId="14" fillId="0" borderId="0" xfId="0" applyNumberFormat="1" applyFont="1" applyFill="1" applyBorder="1"/>
    <xf numFmtId="0" fontId="7" fillId="0" borderId="0" xfId="0" applyFont="1" applyAlignment="1">
      <alignment horizontal="center" vertical="center" wrapText="1"/>
    </xf>
    <xf numFmtId="0" fontId="7" fillId="0" borderId="0" xfId="0" applyFont="1" applyAlignment="1">
      <alignment horizontal="center" vertical="center"/>
    </xf>
    <xf numFmtId="0" fontId="0" fillId="0" borderId="0" xfId="0" applyAlignment="1">
      <alignment vertical="center"/>
    </xf>
    <xf numFmtId="164" fontId="10" fillId="0" borderId="11" xfId="0" applyNumberFormat="1" applyFont="1" applyBorder="1" applyAlignment="1"/>
    <xf numFmtId="0" fontId="14" fillId="0" borderId="0" xfId="0" applyFont="1" applyFill="1" applyAlignment="1"/>
    <xf numFmtId="1" fontId="10" fillId="6" borderId="10" xfId="0" applyNumberFormat="1" applyFont="1" applyFill="1" applyBorder="1"/>
    <xf numFmtId="171" fontId="0" fillId="0" borderId="0" xfId="0" applyNumberFormat="1"/>
    <xf numFmtId="167" fontId="5" fillId="3" borderId="1" xfId="0" applyNumberFormat="1" applyFont="1" applyFill="1" applyBorder="1" applyAlignment="1">
      <alignment horizontal="center"/>
    </xf>
    <xf numFmtId="0" fontId="21" fillId="0" borderId="0" xfId="0" applyFont="1" applyFill="1" applyBorder="1" applyAlignment="1">
      <alignment horizontal="left"/>
    </xf>
    <xf numFmtId="1" fontId="14" fillId="0" borderId="10" xfId="0" applyNumberFormat="1" applyFont="1" applyFill="1" applyBorder="1"/>
    <xf numFmtId="1" fontId="10" fillId="6" borderId="1" xfId="0" applyNumberFormat="1" applyFont="1" applyFill="1" applyBorder="1"/>
    <xf numFmtId="1" fontId="3" fillId="0" borderId="0" xfId="0" applyNumberFormat="1" applyFont="1"/>
    <xf numFmtId="171" fontId="22" fillId="0" borderId="0" xfId="0" applyNumberFormat="1" applyFont="1" applyFill="1" applyBorder="1"/>
    <xf numFmtId="1" fontId="22" fillId="0" borderId="0" xfId="0" quotePrefix="1" applyNumberFormat="1" applyFont="1" applyFill="1" applyBorder="1" applyAlignment="1">
      <alignment horizontal="center"/>
    </xf>
    <xf numFmtId="171" fontId="17" fillId="7" borderId="1" xfId="0" applyNumberFormat="1" applyFont="1" applyFill="1" applyBorder="1"/>
    <xf numFmtId="0" fontId="17" fillId="7" borderId="0" xfId="0" applyFont="1" applyFill="1"/>
    <xf numFmtId="0" fontId="17" fillId="7" borderId="0" xfId="0" applyFont="1" applyFill="1" applyAlignment="1">
      <alignment horizontal="right"/>
    </xf>
    <xf numFmtId="171" fontId="0" fillId="0" borderId="0" xfId="0" applyNumberFormat="1" applyFill="1"/>
    <xf numFmtId="0" fontId="3" fillId="0" borderId="0" xfId="0" applyFont="1" applyAlignment="1">
      <alignment horizontal="center"/>
    </xf>
    <xf numFmtId="1" fontId="14" fillId="2" borderId="1" xfId="0" applyNumberFormat="1" applyFont="1" applyFill="1" applyBorder="1" applyAlignment="1">
      <alignment horizontal="center"/>
    </xf>
    <xf numFmtId="3" fontId="14" fillId="2" borderId="1" xfId="0" applyNumberFormat="1" applyFont="1" applyFill="1" applyBorder="1" applyAlignment="1">
      <alignment horizontal="center"/>
    </xf>
    <xf numFmtId="0" fontId="0" fillId="0" borderId="0" xfId="0" applyAlignment="1">
      <alignment horizontal="left" indent="1"/>
    </xf>
    <xf numFmtId="0" fontId="0" fillId="0" borderId="0" xfId="0" applyBorder="1" applyAlignment="1">
      <alignment horizontal="right" indent="1"/>
    </xf>
    <xf numFmtId="0" fontId="0" fillId="0" borderId="6" xfId="0" applyBorder="1" applyAlignment="1">
      <alignment horizontal="left" indent="1"/>
    </xf>
    <xf numFmtId="0" fontId="0" fillId="0" borderId="8" xfId="0" applyBorder="1" applyAlignment="1">
      <alignment horizontal="right" indent="1"/>
    </xf>
    <xf numFmtId="0" fontId="0" fillId="0" borderId="9" xfId="0" applyBorder="1" applyAlignment="1">
      <alignment horizontal="left" inden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xf>
    <xf numFmtId="1" fontId="14" fillId="8" borderId="10" xfId="0" applyNumberFormat="1" applyFont="1" applyFill="1" applyBorder="1"/>
    <xf numFmtId="1" fontId="14" fillId="8" borderId="1" xfId="0" applyNumberFormat="1" applyFont="1" applyFill="1" applyBorder="1"/>
    <xf numFmtId="1" fontId="17" fillId="9" borderId="1" xfId="0" applyNumberFormat="1" applyFont="1" applyFill="1" applyBorder="1" applyAlignment="1">
      <alignment horizontal="center"/>
    </xf>
    <xf numFmtId="1" fontId="17" fillId="9" borderId="1" xfId="0" applyNumberFormat="1" applyFont="1" applyFill="1" applyBorder="1"/>
    <xf numFmtId="169" fontId="14" fillId="8" borderId="1" xfId="0" applyNumberFormat="1" applyFont="1" applyFill="1" applyBorder="1" applyAlignment="1">
      <alignment horizontal="center"/>
    </xf>
    <xf numFmtId="1" fontId="14" fillId="8" borderId="1" xfId="0" applyNumberFormat="1" applyFont="1" applyFill="1" applyBorder="1" applyAlignment="1">
      <alignment horizontal="center"/>
    </xf>
    <xf numFmtId="167" fontId="14" fillId="2" borderId="1" xfId="0" applyNumberFormat="1" applyFont="1" applyFill="1" applyBorder="1" applyAlignment="1">
      <alignment horizontal="center"/>
    </xf>
    <xf numFmtId="169" fontId="14" fillId="2" borderId="1" xfId="0" applyNumberFormat="1" applyFont="1" applyFill="1" applyBorder="1" applyAlignment="1">
      <alignment horizontal="center"/>
    </xf>
    <xf numFmtId="0" fontId="0" fillId="0" borderId="16" xfId="0" applyBorder="1"/>
    <xf numFmtId="0" fontId="0" fillId="0" borderId="12" xfId="0" applyBorder="1"/>
    <xf numFmtId="0" fontId="0" fillId="0" borderId="18" xfId="0" applyBorder="1"/>
    <xf numFmtId="0" fontId="0" fillId="0" borderId="19" xfId="0" applyBorder="1"/>
    <xf numFmtId="0" fontId="3" fillId="0" borderId="18" xfId="0" applyFont="1" applyBorder="1" applyAlignment="1">
      <alignment wrapText="1"/>
    </xf>
    <xf numFmtId="0" fontId="3" fillId="0" borderId="19" xfId="0" applyFont="1" applyBorder="1" applyAlignment="1">
      <alignment wrapText="1"/>
    </xf>
    <xf numFmtId="0" fontId="3" fillId="0" borderId="0" xfId="0" applyFont="1" applyAlignment="1">
      <alignment wrapText="1"/>
    </xf>
    <xf numFmtId="0" fontId="0" fillId="0" borderId="15" xfId="0" applyBorder="1"/>
    <xf numFmtId="0" fontId="25" fillId="0" borderId="0" xfId="0" applyFont="1"/>
    <xf numFmtId="0" fontId="25" fillId="0" borderId="11" xfId="0" applyFont="1" applyBorder="1"/>
    <xf numFmtId="0" fontId="25" fillId="0" borderId="21" xfId="0" applyFont="1" applyBorder="1"/>
    <xf numFmtId="0" fontId="24" fillId="0" borderId="18" xfId="0" applyFont="1" applyBorder="1" applyAlignment="1">
      <alignment horizontal="left" vertical="top" wrapText="1"/>
    </xf>
    <xf numFmtId="0" fontId="24" fillId="0" borderId="0" xfId="0" applyFont="1" applyAlignment="1">
      <alignment horizontal="left" vertical="top" wrapText="1"/>
    </xf>
    <xf numFmtId="0" fontId="24" fillId="0" borderId="19" xfId="0" applyFont="1" applyBorder="1" applyAlignment="1">
      <alignment horizontal="left" vertical="top" wrapText="1"/>
    </xf>
    <xf numFmtId="0" fontId="2" fillId="0" borderId="12" xfId="0" applyFont="1" applyBorder="1" applyAlignment="1">
      <alignment horizontal="left" vertical="center" wrapText="1"/>
    </xf>
    <xf numFmtId="0" fontId="2" fillId="0" borderId="17" xfId="0" applyFont="1" applyBorder="1" applyAlignment="1">
      <alignment horizontal="left" vertical="center" wrapText="1"/>
    </xf>
    <xf numFmtId="0" fontId="2" fillId="0" borderId="0" xfId="0" applyFont="1" applyBorder="1" applyAlignment="1">
      <alignment horizontal="left" vertical="center" wrapText="1"/>
    </xf>
    <xf numFmtId="0" fontId="2" fillId="0" borderId="19" xfId="0" applyFont="1" applyBorder="1" applyAlignment="1">
      <alignment horizontal="left" vertical="center" wrapText="1"/>
    </xf>
    <xf numFmtId="166" fontId="3" fillId="0" borderId="0" xfId="0" applyNumberFormat="1" applyFont="1" applyAlignment="1">
      <alignment horizontal="center" wrapText="1"/>
    </xf>
    <xf numFmtId="0" fontId="12" fillId="0" borderId="0" xfId="0" applyFont="1" applyAlignment="1">
      <alignment horizontal="center" wrapText="1"/>
    </xf>
    <xf numFmtId="171" fontId="3" fillId="0" borderId="0" xfId="0" applyNumberFormat="1" applyFont="1" applyBorder="1"/>
    <xf numFmtId="171" fontId="3" fillId="0" borderId="10" xfId="0" applyNumberFormat="1" applyFont="1" applyBorder="1"/>
    <xf numFmtId="171" fontId="3" fillId="0" borderId="1" xfId="0" applyNumberFormat="1" applyFont="1" applyBorder="1"/>
    <xf numFmtId="169" fontId="3" fillId="0" borderId="0" xfId="0" applyNumberFormat="1" applyFont="1" applyBorder="1"/>
    <xf numFmtId="167" fontId="3" fillId="0" borderId="0" xfId="0" applyNumberFormat="1" applyFont="1" applyFill="1" applyAlignment="1">
      <alignment horizontal="center"/>
    </xf>
    <xf numFmtId="169" fontId="3" fillId="0" borderId="0" xfId="0" applyNumberFormat="1" applyFont="1" applyFill="1" applyBorder="1"/>
    <xf numFmtId="0" fontId="27" fillId="0" borderId="16" xfId="0" applyFont="1" applyFill="1" applyBorder="1" applyAlignment="1">
      <alignment horizontal="left" vertical="center" wrapText="1"/>
    </xf>
    <xf numFmtId="0" fontId="27" fillId="0" borderId="12" xfId="0" applyFont="1" applyFill="1" applyBorder="1" applyAlignment="1">
      <alignment horizontal="left" vertical="center" wrapText="1"/>
    </xf>
    <xf numFmtId="0" fontId="27" fillId="0" borderId="17" xfId="0" applyFont="1" applyFill="1" applyBorder="1" applyAlignment="1">
      <alignment horizontal="left" vertical="center" wrapText="1"/>
    </xf>
    <xf numFmtId="0" fontId="27" fillId="0" borderId="18" xfId="0" applyFont="1" applyFill="1" applyBorder="1" applyAlignment="1">
      <alignment horizontal="left" vertical="center" wrapText="1"/>
    </xf>
    <xf numFmtId="0" fontId="27" fillId="0" borderId="0" xfId="0" applyFont="1" applyFill="1" applyBorder="1" applyAlignment="1">
      <alignment horizontal="left" vertical="center" wrapText="1"/>
    </xf>
    <xf numFmtId="0" fontId="27" fillId="0" borderId="19" xfId="0" applyFont="1" applyFill="1" applyBorder="1" applyAlignment="1">
      <alignment horizontal="left" vertical="center" wrapText="1"/>
    </xf>
    <xf numFmtId="0" fontId="27" fillId="0" borderId="20" xfId="0" applyFont="1" applyFill="1" applyBorder="1" applyAlignment="1">
      <alignment horizontal="left" vertical="center" wrapText="1"/>
    </xf>
    <xf numFmtId="0" fontId="27" fillId="0" borderId="11" xfId="0" applyFont="1" applyFill="1" applyBorder="1" applyAlignment="1">
      <alignment horizontal="left" vertical="center" wrapText="1"/>
    </xf>
    <xf numFmtId="0" fontId="27" fillId="0" borderId="21" xfId="0" applyFont="1" applyFill="1" applyBorder="1" applyAlignment="1">
      <alignment horizontal="left" vertical="center" wrapText="1"/>
    </xf>
    <xf numFmtId="0" fontId="26" fillId="0" borderId="16" xfId="0" applyFont="1" applyBorder="1" applyAlignment="1">
      <alignment horizontal="center"/>
    </xf>
    <xf numFmtId="0" fontId="26" fillId="0" borderId="17" xfId="0" applyFont="1" applyBorder="1" applyAlignment="1">
      <alignment horizontal="center"/>
    </xf>
    <xf numFmtId="0" fontId="26" fillId="0" borderId="20" xfId="0" applyFont="1" applyBorder="1" applyAlignment="1">
      <alignment horizontal="center"/>
    </xf>
    <xf numFmtId="0" fontId="26" fillId="0" borderId="21" xfId="0" applyFont="1" applyBorder="1" applyAlignment="1">
      <alignment horizontal="center"/>
    </xf>
    <xf numFmtId="0" fontId="23" fillId="0" borderId="16" xfId="0" applyFont="1" applyBorder="1" applyAlignment="1">
      <alignment horizontal="center" vertical="center" wrapText="1"/>
    </xf>
    <xf numFmtId="0" fontId="23" fillId="0" borderId="12" xfId="0" applyFont="1" applyBorder="1" applyAlignment="1">
      <alignment horizontal="center" vertical="center"/>
    </xf>
    <xf numFmtId="0" fontId="23" fillId="0" borderId="17" xfId="0" applyFont="1" applyBorder="1" applyAlignment="1">
      <alignment horizontal="center" vertical="center"/>
    </xf>
    <xf numFmtId="0" fontId="23" fillId="0" borderId="20" xfId="0" applyFont="1" applyBorder="1" applyAlignment="1">
      <alignment horizontal="center" vertical="center"/>
    </xf>
    <xf numFmtId="0" fontId="23" fillId="0" borderId="11" xfId="0" applyFont="1" applyBorder="1" applyAlignment="1">
      <alignment horizontal="center" vertical="center"/>
    </xf>
    <xf numFmtId="0" fontId="23" fillId="0" borderId="21" xfId="0" applyFont="1" applyBorder="1" applyAlignment="1">
      <alignment horizontal="center" vertical="center"/>
    </xf>
    <xf numFmtId="0" fontId="23" fillId="0" borderId="16" xfId="0" applyFont="1" applyBorder="1" applyAlignment="1">
      <alignment horizontal="center"/>
    </xf>
    <xf numFmtId="0" fontId="23" fillId="0" borderId="17" xfId="0" applyFont="1" applyBorder="1" applyAlignment="1">
      <alignment horizontal="center"/>
    </xf>
    <xf numFmtId="0" fontId="23" fillId="0" borderId="18" xfId="0" applyFont="1" applyBorder="1" applyAlignment="1">
      <alignment horizontal="center"/>
    </xf>
    <xf numFmtId="0" fontId="23" fillId="0" borderId="19" xfId="0" applyFont="1"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5" fillId="0" borderId="13" xfId="0" applyFont="1" applyBorder="1" applyAlignment="1">
      <alignment horizontal="center"/>
    </xf>
    <xf numFmtId="0" fontId="5" fillId="0" borderId="14" xfId="0" applyFont="1" applyBorder="1" applyAlignment="1">
      <alignment horizontal="center"/>
    </xf>
    <xf numFmtId="0" fontId="24" fillId="0" borderId="18" xfId="0" applyFont="1" applyBorder="1" applyAlignment="1">
      <alignment horizontal="left" vertical="top" wrapText="1"/>
    </xf>
    <xf numFmtId="0" fontId="24" fillId="0" borderId="0" xfId="0" applyFont="1" applyAlignment="1">
      <alignment horizontal="left" vertical="top" wrapText="1"/>
    </xf>
    <xf numFmtId="0" fontId="24" fillId="0" borderId="19" xfId="0" applyFont="1" applyBorder="1" applyAlignment="1">
      <alignment horizontal="left" vertical="top" wrapText="1"/>
    </xf>
    <xf numFmtId="0" fontId="24" fillId="0" borderId="20" xfId="0" applyFont="1" applyBorder="1" applyAlignment="1">
      <alignment horizontal="left" vertical="top" wrapText="1"/>
    </xf>
    <xf numFmtId="0" fontId="24" fillId="0" borderId="11" xfId="0" applyFont="1" applyBorder="1" applyAlignment="1">
      <alignment horizontal="left" vertical="top" wrapText="1"/>
    </xf>
    <xf numFmtId="0" fontId="24" fillId="0" borderId="21" xfId="0" applyFont="1" applyBorder="1" applyAlignment="1">
      <alignment horizontal="left" vertical="top" wrapText="1"/>
    </xf>
    <xf numFmtId="0" fontId="6" fillId="0" borderId="0" xfId="0" applyFont="1" applyAlignment="1">
      <alignment horizontal="center"/>
    </xf>
    <xf numFmtId="0" fontId="5" fillId="0" borderId="0" xfId="0" quotePrefix="1" applyFont="1" applyAlignment="1">
      <alignment horizontal="center" wrapText="1"/>
    </xf>
    <xf numFmtId="0" fontId="5" fillId="0" borderId="0" xfId="0" applyFont="1" applyAlignment="1">
      <alignment horizontal="center" wrapText="1"/>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0" fontId="3" fillId="0" borderId="1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top" wrapText="1"/>
    </xf>
    <xf numFmtId="0" fontId="20" fillId="2" borderId="0" xfId="1" applyFill="1" applyAlignment="1">
      <alignment horizontal="center" vertical="center" wrapText="1"/>
    </xf>
    <xf numFmtId="0" fontId="20" fillId="0" borderId="0" xfId="1" applyBorder="1"/>
    <xf numFmtId="0" fontId="20" fillId="0" borderId="0" xfId="1" applyFill="1" applyBorder="1"/>
    <xf numFmtId="0" fontId="0" fillId="0" borderId="20" xfId="0" applyBorder="1"/>
    <xf numFmtId="0" fontId="20" fillId="0" borderId="11" xfId="1" applyBorder="1"/>
    <xf numFmtId="0" fontId="0" fillId="0" borderId="11" xfId="0" applyBorder="1"/>
    <xf numFmtId="0" fontId="0" fillId="0" borderId="21" xfId="0" applyBorder="1"/>
    <xf numFmtId="0" fontId="1" fillId="0" borderId="18" xfId="0" applyFont="1" applyBorder="1" applyAlignment="1">
      <alignment horizontal="left" vertical="center" wrapText="1"/>
    </xf>
    <xf numFmtId="0" fontId="1" fillId="0" borderId="0" xfId="0" applyFont="1" applyBorder="1" applyAlignment="1">
      <alignment horizontal="left" vertical="center" wrapText="1"/>
    </xf>
    <xf numFmtId="0" fontId="1" fillId="0" borderId="19" xfId="0" applyFont="1" applyBorder="1" applyAlignment="1">
      <alignment horizontal="left" vertical="center" wrapText="1"/>
    </xf>
    <xf numFmtId="0" fontId="1" fillId="0" borderId="20" xfId="0" applyFont="1" applyBorder="1" applyAlignment="1">
      <alignment horizontal="left" vertical="center" wrapText="1"/>
    </xf>
    <xf numFmtId="0" fontId="1" fillId="0" borderId="11" xfId="0" applyFont="1" applyBorder="1" applyAlignment="1">
      <alignment horizontal="left" vertical="center" wrapText="1"/>
    </xf>
    <xf numFmtId="0" fontId="1" fillId="0" borderId="21" xfId="0" applyFont="1" applyBorder="1" applyAlignment="1">
      <alignment horizontal="left" vertical="center" wrapText="1"/>
    </xf>
    <xf numFmtId="0" fontId="23" fillId="0" borderId="16" xfId="0" applyFont="1" applyBorder="1"/>
    <xf numFmtId="0" fontId="25" fillId="0" borderId="12" xfId="0" applyFont="1" applyBorder="1"/>
    <xf numFmtId="0" fontId="25" fillId="0" borderId="17" xfId="0" applyFont="1" applyBorder="1"/>
    <xf numFmtId="0" fontId="26" fillId="0" borderId="16" xfId="0" applyFont="1" applyBorder="1"/>
  </cellXfs>
  <cellStyles count="2">
    <cellStyle name="Hyperlink" xfId="1" builtinId="8"/>
    <cellStyle name="Normal" xfId="0" builtinId="0"/>
  </cellStyles>
  <dxfs count="0"/>
  <tableStyles count="0" defaultTableStyle="TableStyleMedium9" defaultPivotStyle="PivotStyleLight16"/>
  <colors>
    <mruColors>
      <color rgb="FFB3E6FF"/>
      <color rgb="FFADD4DD"/>
      <color rgb="FFB7CCD3"/>
      <color rgb="FF0000FF"/>
      <color rgb="FFE4DFEC"/>
      <color rgb="FF9CC0D0"/>
      <color rgb="FF99D6F1"/>
      <color rgb="FF05BEFF"/>
      <color rgb="FF20FC64"/>
      <color rgb="FF3FC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tiff"/></Relationships>
</file>

<file path=xl/drawings/_rels/vmlDrawing4.vml.rels><?xml version="1.0" encoding="UTF-8" standalone="yes"?>
<Relationships xmlns="http://schemas.openxmlformats.org/package/2006/relationships"><Relationship Id="rId1" Type="http://schemas.openxmlformats.org/officeDocument/2006/relationships/image" Target="../media/image2.tiff"/></Relationships>
</file>

<file path=xl/drawings/drawing1.xml><?xml version="1.0" encoding="utf-8"?>
<xdr:wsDr xmlns:xdr="http://schemas.openxmlformats.org/drawingml/2006/spreadsheetDrawing" xmlns:a="http://schemas.openxmlformats.org/drawingml/2006/main">
  <xdr:twoCellAnchor editAs="oneCell">
    <xdr:from>
      <xdr:col>1</xdr:col>
      <xdr:colOff>15240</xdr:colOff>
      <xdr:row>2</xdr:row>
      <xdr:rowOff>45720</xdr:rowOff>
    </xdr:from>
    <xdr:to>
      <xdr:col>2</xdr:col>
      <xdr:colOff>1247775</xdr:colOff>
      <xdr:row>4</xdr:row>
      <xdr:rowOff>114353</xdr:rowOff>
    </xdr:to>
    <xdr:pic>
      <xdr:nvPicPr>
        <xdr:cNvPr id="2" name="Picture 1">
          <a:extLst>
            <a:ext uri="{FF2B5EF4-FFF2-40B4-BE49-F238E27FC236}">
              <a16:creationId xmlns:a16="http://schemas.microsoft.com/office/drawing/2014/main" id="{079DB813-6D60-4174-9757-2DC28953112F}"/>
            </a:ext>
          </a:extLst>
        </xdr:cNvPr>
        <xdr:cNvPicPr>
          <a:picLocks noChangeAspect="1"/>
        </xdr:cNvPicPr>
      </xdr:nvPicPr>
      <xdr:blipFill>
        <a:blip xmlns:r="http://schemas.openxmlformats.org/officeDocument/2006/relationships" r:embed="rId1"/>
        <a:stretch>
          <a:fillRect/>
        </a:stretch>
      </xdr:blipFill>
      <xdr:spPr>
        <a:xfrm>
          <a:off x="624840" y="388620"/>
          <a:ext cx="1842135" cy="44201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Frame, Hannah" id="{24AF1C58-A67D-4EAE-A810-6D78E01D4D4B}" userId="S::Frame.Hannah@epa.gov::3cdcfbf2-8067-431f-a723-977c3df622ce"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1" dT="2025-09-19T22:37:35.35" personId="{24AF1C58-A67D-4EAE-A810-6D78E01D4D4B}" id="{0546E428-1237-4EAE-A212-164370F0BE13}" done="1">
    <text>Add functionality to bucket with FE rating</text>
  </threadedComment>
  <threadedComment ref="C14" dT="2025-09-19T12:52:23.76" personId="{24AF1C58-A67D-4EAE-A810-6D78E01D4D4B}" id="{B7278F26-0C59-41C3-8D38-EC398C4079F3}">
    <text>Who decided rounding to five decimal places and why?</text>
  </threadedComment>
</ThreadedComments>
</file>

<file path=xl/threadedComments/threadedComment2.xml><?xml version="1.0" encoding="utf-8"?>
<ThreadedComments xmlns="http://schemas.microsoft.com/office/spreadsheetml/2018/threadedcomments" xmlns:x="http://schemas.openxmlformats.org/spreadsheetml/2006/main">
  <threadedComment ref="C1" dT="2025-09-19T22:37:35.35" personId="{24AF1C58-A67D-4EAE-A810-6D78E01D4D4B}" id="{49FF8E4B-7338-406A-91E6-FD598EE0FE54}">
    <text>Add functionality to bucket with FE rating</text>
  </threadedComment>
  <threadedComment ref="C14" dT="2025-09-19T12:52:23.76" personId="{24AF1C58-A67D-4EAE-A810-6D78E01D4D4B}" id="{EE30103B-40FD-4E03-9EB4-9B97C85159EB}">
    <text>Who decided rounding to five decimal places and why?</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http://www.fueleconomy.gov/" TargetMode="External"/><Relationship Id="rId3" Type="http://schemas.openxmlformats.org/officeDocument/2006/relationships/hyperlink" Target="https://www.ecfr.gov/current/title-40/part-600/section-600.311-12" TargetMode="External"/><Relationship Id="rId7" Type="http://schemas.openxmlformats.org/officeDocument/2006/relationships/hyperlink" Target="https://www.sae.org/standards/j1634_201707-battery-electric-vehicle-energy-consumption-range-test-procedure" TargetMode="External"/><Relationship Id="rId2" Type="http://schemas.openxmlformats.org/officeDocument/2006/relationships/hyperlink" Target="https://www.ecfr.gov/current/title-40/part-600/section-600.210-12" TargetMode="External"/><Relationship Id="rId1" Type="http://schemas.openxmlformats.org/officeDocument/2006/relationships/hyperlink" Target="https://www.ecfr.gov/current/title-40/part-600/section-600.002" TargetMode="External"/><Relationship Id="rId6" Type="http://schemas.openxmlformats.org/officeDocument/2006/relationships/hyperlink" Target="https://dis.epa.gov/otaqpub/display_file.jsp?docid=62574&amp;flag=1" TargetMode="External"/><Relationship Id="rId11" Type="http://schemas.openxmlformats.org/officeDocument/2006/relationships/drawing" Target="../drawings/drawing1.xml"/><Relationship Id="rId5" Type="http://schemas.openxmlformats.org/officeDocument/2006/relationships/hyperlink" Target="https://www.ecfr.gov/current/title-40/part-1065/section-1065.20" TargetMode="External"/><Relationship Id="rId10" Type="http://schemas.openxmlformats.org/officeDocument/2006/relationships/printerSettings" Target="../printerSettings/printerSettings1.bin"/><Relationship Id="rId4" Type="http://schemas.openxmlformats.org/officeDocument/2006/relationships/hyperlink" Target="https://www.ecfr.gov/current/title-40/section-1065.20" TargetMode="External"/><Relationship Id="rId9" Type="http://schemas.openxmlformats.org/officeDocument/2006/relationships/hyperlink" Target="https://www.ecfr.gov/current/title-40/part-600/section-600.113-12"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https://support.microsoft.com/en-us/office/set-rounding-precision-e5d707e3-07a8-4df2-810c-218c531eb06a"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3.bin"/><Relationship Id="rId1" Type="http://schemas.openxmlformats.org/officeDocument/2006/relationships/hyperlink" Target="https://support.microsoft.com/en-us/office/set-rounding-precision-e5d707e3-07a8-4df2-810c-218c531eb06a" TargetMode="External"/><Relationship Id="rId6" Type="http://schemas.microsoft.com/office/2017/10/relationships/threadedComment" Target="../threadedComments/threadedComment2.xml"/><Relationship Id="rId5" Type="http://schemas.openxmlformats.org/officeDocument/2006/relationships/comments" Target="../comments2.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F61D6-BA6F-4026-BBBC-70500D4F38BD}">
  <dimension ref="B2:P42"/>
  <sheetViews>
    <sheetView tabSelected="1" topLeftCell="A21" workbookViewId="0">
      <selection activeCell="Q12" sqref="Q12"/>
    </sheetView>
  </sheetViews>
  <sheetFormatPr defaultRowHeight="13.2" x14ac:dyDescent="0.25"/>
  <cols>
    <col min="3" max="3" width="24.5546875" bestFit="1" customWidth="1"/>
  </cols>
  <sheetData>
    <row r="2" spans="2:11" ht="13.8" thickBot="1" x14ac:dyDescent="0.3"/>
    <row r="3" spans="2:11" ht="14.4" x14ac:dyDescent="0.3">
      <c r="B3" s="141"/>
      <c r="C3" s="142"/>
      <c r="D3" s="142"/>
      <c r="E3" s="180" t="s">
        <v>0</v>
      </c>
      <c r="F3" s="181"/>
      <c r="G3" s="181"/>
      <c r="H3" s="182"/>
      <c r="I3" s="142"/>
      <c r="J3" s="186" t="s">
        <v>1</v>
      </c>
      <c r="K3" s="187"/>
    </row>
    <row r="4" spans="2:11" ht="15" thickBot="1" x14ac:dyDescent="0.35">
      <c r="B4" s="143"/>
      <c r="E4" s="183"/>
      <c r="F4" s="184"/>
      <c r="G4" s="184"/>
      <c r="H4" s="185"/>
      <c r="J4" s="188" t="s">
        <v>2</v>
      </c>
      <c r="K4" s="189"/>
    </row>
    <row r="5" spans="2:11" ht="13.8" thickBot="1" x14ac:dyDescent="0.3">
      <c r="B5" s="143"/>
      <c r="J5" s="190" t="s">
        <v>3</v>
      </c>
      <c r="K5" s="191"/>
    </row>
    <row r="6" spans="2:11" x14ac:dyDescent="0.25">
      <c r="B6" s="143"/>
      <c r="K6" s="144"/>
    </row>
    <row r="7" spans="2:11" x14ac:dyDescent="0.25">
      <c r="B7" s="145"/>
      <c r="C7" s="147"/>
      <c r="D7" s="147"/>
      <c r="E7" s="147"/>
      <c r="F7" s="147"/>
      <c r="G7" s="147"/>
      <c r="H7" s="147"/>
      <c r="I7" s="147"/>
      <c r="J7" s="147"/>
      <c r="K7" s="146"/>
    </row>
    <row r="8" spans="2:11" x14ac:dyDescent="0.25">
      <c r="B8" s="192" t="s">
        <v>4</v>
      </c>
      <c r="C8" s="193"/>
      <c r="D8" s="193"/>
      <c r="E8" s="193"/>
      <c r="F8" s="193"/>
      <c r="G8" s="193"/>
      <c r="H8" s="193"/>
      <c r="I8" s="193"/>
      <c r="J8" s="193"/>
      <c r="K8" s="148"/>
    </row>
    <row r="9" spans="2:11" x14ac:dyDescent="0.25">
      <c r="B9" s="194" t="s">
        <v>5</v>
      </c>
      <c r="C9" s="195"/>
      <c r="D9" s="195"/>
      <c r="E9" s="195"/>
      <c r="F9" s="195"/>
      <c r="G9" s="195"/>
      <c r="H9" s="195"/>
      <c r="I9" s="195"/>
      <c r="J9" s="195"/>
      <c r="K9" s="196"/>
    </row>
    <row r="10" spans="2:11" x14ac:dyDescent="0.25">
      <c r="B10" s="194"/>
      <c r="C10" s="195"/>
      <c r="D10" s="195"/>
      <c r="E10" s="195"/>
      <c r="F10" s="195"/>
      <c r="G10" s="195"/>
      <c r="H10" s="195"/>
      <c r="I10" s="195"/>
      <c r="J10" s="195"/>
      <c r="K10" s="196"/>
    </row>
    <row r="11" spans="2:11" x14ac:dyDescent="0.25">
      <c r="B11" s="194"/>
      <c r="C11" s="195"/>
      <c r="D11" s="195"/>
      <c r="E11" s="195"/>
      <c r="F11" s="195"/>
      <c r="G11" s="195"/>
      <c r="H11" s="195"/>
      <c r="I11" s="195"/>
      <c r="J11" s="195"/>
      <c r="K11" s="196"/>
    </row>
    <row r="12" spans="2:11" x14ac:dyDescent="0.25">
      <c r="B12" s="194"/>
      <c r="C12" s="195"/>
      <c r="D12" s="195"/>
      <c r="E12" s="195"/>
      <c r="F12" s="195"/>
      <c r="G12" s="195"/>
      <c r="H12" s="195"/>
      <c r="I12" s="195"/>
      <c r="J12" s="195"/>
      <c r="K12" s="196"/>
    </row>
    <row r="13" spans="2:11" x14ac:dyDescent="0.25">
      <c r="B13" s="194"/>
      <c r="C13" s="195"/>
      <c r="D13" s="195"/>
      <c r="E13" s="195"/>
      <c r="F13" s="195"/>
      <c r="G13" s="195"/>
      <c r="H13" s="195"/>
      <c r="I13" s="195"/>
      <c r="J13" s="195"/>
      <c r="K13" s="196"/>
    </row>
    <row r="14" spans="2:11" x14ac:dyDescent="0.25">
      <c r="B14" s="194"/>
      <c r="C14" s="195"/>
      <c r="D14" s="195"/>
      <c r="E14" s="195"/>
      <c r="F14" s="195"/>
      <c r="G14" s="195"/>
      <c r="H14" s="195"/>
      <c r="I14" s="195"/>
      <c r="J14" s="195"/>
      <c r="K14" s="196"/>
    </row>
    <row r="15" spans="2:11" x14ac:dyDescent="0.25">
      <c r="B15" s="194"/>
      <c r="C15" s="195"/>
      <c r="D15" s="195"/>
      <c r="E15" s="195"/>
      <c r="F15" s="195"/>
      <c r="G15" s="195"/>
      <c r="H15" s="195"/>
      <c r="I15" s="195"/>
      <c r="J15" s="195"/>
      <c r="K15" s="196"/>
    </row>
    <row r="16" spans="2:11" x14ac:dyDescent="0.25">
      <c r="B16" s="194"/>
      <c r="C16" s="195"/>
      <c r="D16" s="195"/>
      <c r="E16" s="195"/>
      <c r="F16" s="195"/>
      <c r="G16" s="195"/>
      <c r="H16" s="195"/>
      <c r="I16" s="195"/>
      <c r="J16" s="195"/>
      <c r="K16" s="196"/>
    </row>
    <row r="17" spans="2:16" ht="21.75" customHeight="1" thickBot="1" x14ac:dyDescent="0.3">
      <c r="B17" s="197"/>
      <c r="C17" s="198"/>
      <c r="D17" s="198"/>
      <c r="E17" s="198"/>
      <c r="F17" s="198"/>
      <c r="G17" s="198"/>
      <c r="H17" s="198"/>
      <c r="I17" s="198"/>
      <c r="J17" s="198"/>
      <c r="K17" s="199"/>
    </row>
    <row r="18" spans="2:16" ht="15" thickBot="1" x14ac:dyDescent="0.3">
      <c r="B18" s="152"/>
      <c r="C18" s="153"/>
      <c r="D18" s="153"/>
      <c r="E18" s="153"/>
      <c r="F18" s="153"/>
      <c r="G18" s="153"/>
      <c r="H18" s="153"/>
      <c r="I18" s="153"/>
      <c r="J18" s="153"/>
      <c r="K18" s="154"/>
    </row>
    <row r="19" spans="2:16" x14ac:dyDescent="0.25">
      <c r="B19" s="167" t="s">
        <v>6</v>
      </c>
      <c r="C19" s="168"/>
      <c r="D19" s="168"/>
      <c r="E19" s="168"/>
      <c r="F19" s="168"/>
      <c r="G19" s="168"/>
      <c r="H19" s="168"/>
      <c r="I19" s="168"/>
      <c r="J19" s="168"/>
      <c r="K19" s="169"/>
    </row>
    <row r="20" spans="2:16" x14ac:dyDescent="0.25">
      <c r="B20" s="170"/>
      <c r="C20" s="171"/>
      <c r="D20" s="171"/>
      <c r="E20" s="171"/>
      <c r="F20" s="171"/>
      <c r="G20" s="171"/>
      <c r="H20" s="171"/>
      <c r="I20" s="171"/>
      <c r="J20" s="171"/>
      <c r="K20" s="172"/>
    </row>
    <row r="21" spans="2:16" ht="55.5" customHeight="1" thickBot="1" x14ac:dyDescent="0.3">
      <c r="B21" s="173"/>
      <c r="C21" s="174"/>
      <c r="D21" s="174"/>
      <c r="E21" s="174"/>
      <c r="F21" s="174"/>
      <c r="G21" s="174"/>
      <c r="H21" s="174"/>
      <c r="I21" s="174"/>
      <c r="J21" s="174"/>
      <c r="K21" s="175"/>
    </row>
    <row r="22" spans="2:16" ht="15" thickBot="1" x14ac:dyDescent="0.35">
      <c r="B22" s="149"/>
      <c r="C22" s="149"/>
      <c r="D22" s="149"/>
      <c r="E22" s="149"/>
      <c r="F22" s="149"/>
      <c r="G22" s="149"/>
      <c r="H22" s="149"/>
      <c r="I22" s="149"/>
      <c r="J22" s="149"/>
      <c r="K22" s="149"/>
    </row>
    <row r="23" spans="2:16" ht="15" customHeight="1" x14ac:dyDescent="0.3">
      <c r="B23" s="225" t="s">
        <v>121</v>
      </c>
      <c r="C23" s="223"/>
      <c r="D23" s="223"/>
      <c r="E23" s="223"/>
      <c r="F23" s="223"/>
      <c r="G23" s="223"/>
      <c r="H23" s="223"/>
      <c r="I23" s="223"/>
      <c r="J23" s="223"/>
      <c r="K23" s="224"/>
    </row>
    <row r="24" spans="2:16" ht="13.2" customHeight="1" x14ac:dyDescent="0.25">
      <c r="B24" s="216" t="s">
        <v>120</v>
      </c>
      <c r="C24" s="217"/>
      <c r="D24" s="217"/>
      <c r="E24" s="217"/>
      <c r="F24" s="217"/>
      <c r="G24" s="217"/>
      <c r="H24" s="217"/>
      <c r="I24" s="217"/>
      <c r="J24" s="217"/>
      <c r="K24" s="218"/>
    </row>
    <row r="25" spans="2:16" ht="12.75" customHeight="1" x14ac:dyDescent="0.25">
      <c r="B25" s="216"/>
      <c r="C25" s="217"/>
      <c r="D25" s="217"/>
      <c r="E25" s="217"/>
      <c r="F25" s="217"/>
      <c r="G25" s="217"/>
      <c r="H25" s="217"/>
      <c r="I25" s="217"/>
      <c r="J25" s="217"/>
      <c r="K25" s="218"/>
    </row>
    <row r="26" spans="2:16" ht="12.75" customHeight="1" x14ac:dyDescent="0.25">
      <c r="B26" s="216"/>
      <c r="C26" s="217"/>
      <c r="D26" s="217"/>
      <c r="E26" s="217"/>
      <c r="F26" s="217"/>
      <c r="G26" s="217"/>
      <c r="H26" s="217"/>
      <c r="I26" s="217"/>
      <c r="J26" s="217"/>
      <c r="K26" s="218"/>
    </row>
    <row r="27" spans="2:16" ht="12.75" customHeight="1" x14ac:dyDescent="0.25">
      <c r="B27" s="216"/>
      <c r="C27" s="217"/>
      <c r="D27" s="217"/>
      <c r="E27" s="217"/>
      <c r="F27" s="217"/>
      <c r="G27" s="217"/>
      <c r="H27" s="217"/>
      <c r="I27" s="217"/>
      <c r="J27" s="217"/>
      <c r="K27" s="218"/>
    </row>
    <row r="28" spans="2:16" ht="13.2" customHeight="1" x14ac:dyDescent="0.25">
      <c r="B28" s="216"/>
      <c r="C28" s="217"/>
      <c r="D28" s="217"/>
      <c r="E28" s="217"/>
      <c r="F28" s="217"/>
      <c r="G28" s="217"/>
      <c r="H28" s="217"/>
      <c r="I28" s="217"/>
      <c r="J28" s="217"/>
      <c r="K28" s="218"/>
    </row>
    <row r="29" spans="2:16" ht="13.2" customHeight="1" x14ac:dyDescent="0.25">
      <c r="B29" s="216"/>
      <c r="C29" s="217"/>
      <c r="D29" s="217"/>
      <c r="E29" s="217"/>
      <c r="F29" s="217"/>
      <c r="G29" s="217"/>
      <c r="H29" s="217"/>
      <c r="I29" s="217"/>
      <c r="J29" s="217"/>
      <c r="K29" s="218"/>
    </row>
    <row r="30" spans="2:16" ht="13.2" customHeight="1" x14ac:dyDescent="0.25">
      <c r="B30" s="216"/>
      <c r="C30" s="217"/>
      <c r="D30" s="217"/>
      <c r="E30" s="217"/>
      <c r="F30" s="217"/>
      <c r="G30" s="217"/>
      <c r="H30" s="217"/>
      <c r="I30" s="217"/>
      <c r="J30" s="217"/>
      <c r="K30" s="218"/>
    </row>
    <row r="31" spans="2:16" ht="13.8" customHeight="1" thickBot="1" x14ac:dyDescent="0.3">
      <c r="B31" s="219"/>
      <c r="C31" s="220"/>
      <c r="D31" s="220"/>
      <c r="E31" s="220"/>
      <c r="F31" s="220"/>
      <c r="G31" s="220"/>
      <c r="H31" s="220"/>
      <c r="I31" s="220"/>
      <c r="J31" s="220"/>
      <c r="K31" s="221"/>
      <c r="P31" s="14"/>
    </row>
    <row r="32" spans="2:16" ht="14.4" x14ac:dyDescent="0.25">
      <c r="B32" s="157"/>
      <c r="C32" s="157"/>
      <c r="D32" s="157"/>
      <c r="E32" s="157"/>
      <c r="F32" s="157"/>
      <c r="G32" s="157"/>
      <c r="H32" s="157"/>
      <c r="I32" s="157"/>
      <c r="J32" s="157"/>
      <c r="K32" s="158"/>
      <c r="P32" s="14"/>
    </row>
    <row r="33" spans="2:16" ht="15" thickBot="1" x14ac:dyDescent="0.3">
      <c r="C33" s="157"/>
      <c r="D33" s="157"/>
      <c r="E33" s="157"/>
      <c r="F33" s="157"/>
      <c r="G33" s="157"/>
      <c r="H33" s="157"/>
      <c r="I33" s="157"/>
      <c r="J33" s="157"/>
      <c r="K33" s="158"/>
      <c r="P33" s="14"/>
    </row>
    <row r="34" spans="2:16" ht="14.4" x14ac:dyDescent="0.3">
      <c r="B34" s="222" t="s">
        <v>110</v>
      </c>
      <c r="C34" s="155"/>
      <c r="D34" s="155"/>
      <c r="E34" s="155"/>
      <c r="F34" s="155"/>
      <c r="G34" s="155"/>
      <c r="H34" s="155"/>
      <c r="I34" s="155"/>
      <c r="J34" s="155"/>
      <c r="K34" s="156"/>
      <c r="P34" s="14"/>
    </row>
    <row r="35" spans="2:16" x14ac:dyDescent="0.25">
      <c r="B35" s="143"/>
      <c r="C35" s="210" t="s">
        <v>111</v>
      </c>
      <c r="D35" s="22"/>
      <c r="E35" s="22"/>
      <c r="F35" s="22"/>
      <c r="G35" s="22"/>
      <c r="H35" s="22"/>
      <c r="I35" s="210" t="s">
        <v>112</v>
      </c>
      <c r="J35" s="22"/>
      <c r="K35" s="144"/>
      <c r="P35" s="14"/>
    </row>
    <row r="36" spans="2:16" x14ac:dyDescent="0.25">
      <c r="B36" s="143"/>
      <c r="C36" s="210" t="s">
        <v>113</v>
      </c>
      <c r="D36" s="22"/>
      <c r="E36" s="22"/>
      <c r="F36" s="22"/>
      <c r="G36" s="22"/>
      <c r="H36" s="22"/>
      <c r="I36" s="211" t="s">
        <v>114</v>
      </c>
      <c r="J36" s="22"/>
      <c r="K36" s="144"/>
      <c r="P36" s="14"/>
    </row>
    <row r="37" spans="2:16" x14ac:dyDescent="0.25">
      <c r="B37" s="143"/>
      <c r="C37" s="210" t="s">
        <v>115</v>
      </c>
      <c r="D37" s="22"/>
      <c r="E37" s="22"/>
      <c r="F37" s="22"/>
      <c r="G37" s="22"/>
      <c r="H37" s="22"/>
      <c r="I37" s="210" t="s">
        <v>116</v>
      </c>
      <c r="J37" s="22"/>
      <c r="K37" s="144"/>
    </row>
    <row r="38" spans="2:16" x14ac:dyDescent="0.25">
      <c r="B38" s="143"/>
      <c r="C38" s="210" t="s">
        <v>117</v>
      </c>
      <c r="D38" s="22"/>
      <c r="E38" s="22"/>
      <c r="F38" s="22"/>
      <c r="G38" s="22"/>
      <c r="H38" s="22"/>
      <c r="I38" s="210" t="s">
        <v>118</v>
      </c>
      <c r="J38" s="22"/>
      <c r="K38" s="144"/>
    </row>
    <row r="39" spans="2:16" x14ac:dyDescent="0.25">
      <c r="B39" s="143"/>
      <c r="C39" s="210" t="s">
        <v>119</v>
      </c>
      <c r="D39" s="22"/>
      <c r="E39" s="22"/>
      <c r="F39" s="22"/>
      <c r="G39" s="22"/>
      <c r="H39" s="22"/>
      <c r="I39" s="22"/>
      <c r="J39" s="22"/>
      <c r="K39" s="144"/>
    </row>
    <row r="40" spans="2:16" ht="13.8" thickBot="1" x14ac:dyDescent="0.3">
      <c r="B40" s="212"/>
      <c r="C40" s="213"/>
      <c r="D40" s="214"/>
      <c r="E40" s="214"/>
      <c r="F40" s="214"/>
      <c r="G40" s="214"/>
      <c r="H40" s="214"/>
      <c r="I40" s="214"/>
      <c r="J40" s="214"/>
      <c r="K40" s="215"/>
    </row>
    <row r="41" spans="2:16" ht="14.4" x14ac:dyDescent="0.3">
      <c r="B41" s="176" t="s">
        <v>7</v>
      </c>
      <c r="C41" s="177"/>
      <c r="D41" s="223"/>
      <c r="E41" s="223"/>
      <c r="F41" s="223"/>
      <c r="G41" s="223"/>
      <c r="H41" s="223"/>
      <c r="I41" s="223"/>
      <c r="J41" s="223"/>
      <c r="K41" s="224"/>
    </row>
    <row r="42" spans="2:16" ht="15" thickBot="1" x14ac:dyDescent="0.35">
      <c r="B42" s="178" t="s">
        <v>8</v>
      </c>
      <c r="C42" s="179"/>
      <c r="D42" s="150"/>
      <c r="E42" s="150"/>
      <c r="F42" s="150"/>
      <c r="G42" s="150"/>
      <c r="H42" s="150"/>
      <c r="I42" s="150"/>
      <c r="J42" s="150"/>
      <c r="K42" s="151"/>
    </row>
  </sheetData>
  <mergeCells count="10">
    <mergeCell ref="B19:K21"/>
    <mergeCell ref="B41:C41"/>
    <mergeCell ref="B42:C42"/>
    <mergeCell ref="E3:H4"/>
    <mergeCell ref="J3:K3"/>
    <mergeCell ref="J4:K4"/>
    <mergeCell ref="J5:K5"/>
    <mergeCell ref="B8:J8"/>
    <mergeCell ref="B9:K17"/>
    <mergeCell ref="B24:K31"/>
  </mergeCells>
  <hyperlinks>
    <hyperlink ref="C35" r:id="rId1" location="p-600.002(Gasoline%20gallon%20equivalent)" xr:uid="{AEDB83D7-AF7E-48C6-AEDB-5E29B61400F5}"/>
    <hyperlink ref="C36" r:id="rId2" location="p-600.210-12(c)(1)(iii)" xr:uid="{5904F83F-7B4E-4943-8B2A-913B482B83F6}"/>
    <hyperlink ref="C37" r:id="rId3" location="p-600.311-12(e)" xr:uid="{ACC3C7D6-BE7A-4F49-9355-110DF6E7E857}"/>
    <hyperlink ref="C39" r:id="rId4" xr:uid="{3026E1C9-2717-484A-AC40-BE7420C5EFF5}"/>
    <hyperlink ref="I35" r:id="rId5" location="p-1065.20(e)(5)" xr:uid="{74F8AE84-1722-4A1C-8900-10CDBEF5F029}"/>
    <hyperlink ref="I36" r:id="rId6" xr:uid="{39B67431-CB86-43A8-8DD2-A18F129DE30B}"/>
    <hyperlink ref="I37" r:id="rId7" xr:uid="{0857AA8C-1160-483C-BD5F-F7EBF8420E53}"/>
    <hyperlink ref="I38" r:id="rId8" xr:uid="{FDB32D05-485B-4D46-B58C-50DBAF724D63}"/>
    <hyperlink ref="C38" r:id="rId9" location="p-600.113-12(n)" xr:uid="{8C2C52F6-9492-4E06-BA84-378C6FA8FF73}"/>
  </hyperlinks>
  <pageMargins left="0.7" right="0.7" top="0.75" bottom="0.75" header="0.3" footer="0.3"/>
  <pageSetup orientation="landscape" r:id="rId10"/>
  <drawing r:id="rId1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pageSetUpPr fitToPage="1"/>
  </sheetPr>
  <dimension ref="B1:T66"/>
  <sheetViews>
    <sheetView zoomScale="80" zoomScaleNormal="80" workbookViewId="0">
      <selection activeCell="J16" sqref="J16"/>
    </sheetView>
  </sheetViews>
  <sheetFormatPr defaultRowHeight="13.5" customHeight="1" x14ac:dyDescent="0.25"/>
  <cols>
    <col min="1" max="1" width="3.33203125" customWidth="1"/>
    <col min="2" max="2" width="12.6640625" customWidth="1"/>
    <col min="3" max="3" width="12.44140625" customWidth="1"/>
    <col min="4" max="4" width="41" bestFit="1" customWidth="1"/>
    <col min="5" max="7" width="15.6640625" customWidth="1"/>
    <col min="8" max="8" width="12.6640625" customWidth="1"/>
    <col min="9" max="9" width="15.88671875" customWidth="1"/>
    <col min="10" max="12" width="15.6640625" customWidth="1"/>
    <col min="13" max="13" width="20.33203125" customWidth="1"/>
    <col min="14" max="14" width="7.88671875" customWidth="1"/>
    <col min="15" max="15" width="20.33203125" customWidth="1"/>
    <col min="16" max="16" width="9" customWidth="1"/>
    <col min="17" max="17" width="9.5546875" bestFit="1" customWidth="1"/>
    <col min="19" max="19" width="11.5546875" customWidth="1"/>
  </cols>
  <sheetData>
    <row r="1" spans="2:16" ht="18" customHeight="1" x14ac:dyDescent="0.3">
      <c r="C1" s="200" t="s">
        <v>9</v>
      </c>
      <c r="D1" s="200"/>
      <c r="E1" s="200"/>
      <c r="F1" s="200"/>
      <c r="G1" s="200"/>
      <c r="H1" s="200"/>
      <c r="I1" s="200"/>
      <c r="J1" s="200"/>
      <c r="K1" s="200"/>
    </row>
    <row r="2" spans="2:16" s="2" customFormat="1" ht="42" customHeight="1" x14ac:dyDescent="0.25">
      <c r="C2" s="209" t="s">
        <v>10</v>
      </c>
      <c r="D2" s="209"/>
      <c r="E2" s="209"/>
      <c r="F2" s="209"/>
      <c r="G2" s="209"/>
      <c r="H2" s="209"/>
      <c r="I2" s="209"/>
      <c r="J2" s="209"/>
      <c r="K2" s="209"/>
    </row>
    <row r="3" spans="2:16" ht="13.5" customHeight="1" x14ac:dyDescent="0.3">
      <c r="F3" s="1"/>
    </row>
    <row r="4" spans="2:16" ht="13.5" customHeight="1" x14ac:dyDescent="0.25">
      <c r="B4" s="50" t="s">
        <v>11</v>
      </c>
      <c r="D4" s="15"/>
    </row>
    <row r="5" spans="2:16" ht="13.5" customHeight="1" x14ac:dyDescent="0.3">
      <c r="B5" s="15" t="s">
        <v>12</v>
      </c>
      <c r="D5" s="119">
        <v>2026</v>
      </c>
      <c r="F5" s="1"/>
    </row>
    <row r="6" spans="2:16" ht="13.5" customHeight="1" x14ac:dyDescent="0.3">
      <c r="B6" s="15" t="s">
        <v>13</v>
      </c>
      <c r="D6" s="120" t="s">
        <v>14</v>
      </c>
      <c r="F6" s="1"/>
      <c r="G6" s="58" t="s">
        <v>15</v>
      </c>
    </row>
    <row r="7" spans="2:16" ht="13.5" customHeight="1" x14ac:dyDescent="0.3">
      <c r="B7" s="15" t="s">
        <v>16</v>
      </c>
      <c r="D7" s="120" t="s">
        <v>17</v>
      </c>
      <c r="F7" s="1"/>
      <c r="L7" s="77" t="s">
        <v>18</v>
      </c>
      <c r="M7" s="96">
        <v>45922</v>
      </c>
      <c r="O7" s="64"/>
    </row>
    <row r="8" spans="2:16" ht="13.5" customHeight="1" thickBot="1" x14ac:dyDescent="0.35">
      <c r="B8" s="15" t="s">
        <v>19</v>
      </c>
      <c r="D8" s="120" t="s">
        <v>20</v>
      </c>
      <c r="F8" s="1"/>
    </row>
    <row r="9" spans="2:16" ht="13.5" customHeight="1" thickBot="1" x14ac:dyDescent="0.35">
      <c r="B9" s="15"/>
      <c r="D9" s="63"/>
      <c r="F9" s="1"/>
      <c r="K9" s="54" t="s">
        <v>21</v>
      </c>
      <c r="L9" s="97">
        <v>0.72004000000000001</v>
      </c>
      <c r="M9" s="47" t="s">
        <v>22</v>
      </c>
    </row>
    <row r="10" spans="2:16" ht="13.5" customHeight="1" x14ac:dyDescent="0.3">
      <c r="B10" s="15"/>
      <c r="D10" s="63"/>
      <c r="F10" s="1"/>
      <c r="K10" s="54" t="s">
        <v>23</v>
      </c>
      <c r="M10" s="47" t="s">
        <v>24</v>
      </c>
    </row>
    <row r="12" spans="2:16" ht="13.5" customHeight="1" x14ac:dyDescent="0.25">
      <c r="B12" s="15" t="s">
        <v>25</v>
      </c>
    </row>
    <row r="13" spans="2:16" ht="13.5" customHeight="1" x14ac:dyDescent="0.25">
      <c r="O13" s="10"/>
    </row>
    <row r="14" spans="2:16" ht="13.5" customHeight="1" x14ac:dyDescent="0.25">
      <c r="C14" s="3" t="s">
        <v>26</v>
      </c>
      <c r="J14" s="43"/>
      <c r="K14" s="65"/>
      <c r="L14" s="79"/>
      <c r="M14" s="79"/>
      <c r="N14" s="78"/>
      <c r="O14" s="58"/>
    </row>
    <row r="15" spans="2:16" ht="13.5" customHeight="1" x14ac:dyDescent="0.25">
      <c r="C15" s="86" t="s">
        <v>27</v>
      </c>
      <c r="J15" s="44"/>
      <c r="P15" s="58"/>
    </row>
    <row r="16" spans="2:16" ht="13.5" customHeight="1" x14ac:dyDescent="0.25">
      <c r="C16" s="86"/>
      <c r="J16" s="45"/>
    </row>
    <row r="17" spans="2:19" ht="13.5" customHeight="1" x14ac:dyDescent="0.25">
      <c r="E17" s="201" t="s">
        <v>28</v>
      </c>
      <c r="F17" s="202"/>
      <c r="G17" s="202"/>
      <c r="H17" s="3"/>
      <c r="I17" s="3"/>
      <c r="J17" s="201"/>
      <c r="K17" s="201"/>
      <c r="L17" s="201"/>
      <c r="M17" s="201"/>
    </row>
    <row r="18" spans="2:19" ht="21" customHeight="1" thickBot="1" x14ac:dyDescent="0.3">
      <c r="E18" s="104" t="s">
        <v>29</v>
      </c>
      <c r="F18" s="105" t="s">
        <v>30</v>
      </c>
      <c r="G18" s="105" t="s">
        <v>31</v>
      </c>
      <c r="H18" s="104" t="s">
        <v>32</v>
      </c>
      <c r="I18" s="106"/>
      <c r="J18" s="104" t="s">
        <v>29</v>
      </c>
      <c r="K18" s="105" t="s">
        <v>33</v>
      </c>
      <c r="L18" s="105" t="s">
        <v>31</v>
      </c>
      <c r="M18" s="104" t="s">
        <v>32</v>
      </c>
      <c r="P18" s="6"/>
    </row>
    <row r="19" spans="2:19" ht="13.5" customHeight="1" thickBot="1" x14ac:dyDescent="0.3">
      <c r="B19" s="2"/>
      <c r="C19" s="58" t="s">
        <v>34</v>
      </c>
      <c r="D19" s="76" t="s">
        <v>35</v>
      </c>
      <c r="E19" s="118">
        <v>173.32164599818489</v>
      </c>
      <c r="F19" s="98">
        <v>204.32660060514286</v>
      </c>
      <c r="G19" s="99">
        <f>1/((0.55/E19)+(0.45/F19))</f>
        <v>186.02410894973943</v>
      </c>
      <c r="H19" s="58" t="s">
        <v>36</v>
      </c>
      <c r="I19" s="2"/>
      <c r="J19" s="103">
        <f>$L$9*E20</f>
        <v>140.02260398712204</v>
      </c>
      <c r="K19" s="103">
        <f>$L$9*F20</f>
        <v>118.77527511407713</v>
      </c>
      <c r="L19" s="103">
        <f>$L$9*G20</f>
        <v>130.46130599425183</v>
      </c>
      <c r="M19" s="6" t="s">
        <v>37</v>
      </c>
    </row>
    <row r="20" spans="2:19" ht="13.5" customHeight="1" x14ac:dyDescent="0.25">
      <c r="B20" s="2"/>
      <c r="C20" s="58" t="s">
        <v>34</v>
      </c>
      <c r="D20" s="76" t="s">
        <v>38</v>
      </c>
      <c r="E20" s="100">
        <f>$B$51/E19</f>
        <v>194.46503525793295</v>
      </c>
      <c r="F20" s="100">
        <f>$B$51/F19</f>
        <v>164.95649563090541</v>
      </c>
      <c r="G20" s="99">
        <f>$B$51/G19</f>
        <v>181.18619242577057</v>
      </c>
      <c r="H20" s="58" t="s">
        <v>39</v>
      </c>
      <c r="J20" s="103">
        <f>(E19/10)/$L$9</f>
        <v>24.071113548995182</v>
      </c>
      <c r="K20" s="103">
        <f>(F19/10)/$L$9</f>
        <v>28.377118021935292</v>
      </c>
      <c r="L20" s="103">
        <f>(G19/10)/$L$9</f>
        <v>25.835246507102305</v>
      </c>
      <c r="M20" s="6" t="s">
        <v>40</v>
      </c>
    </row>
    <row r="21" spans="2:19" ht="13.5" customHeight="1" x14ac:dyDescent="0.25">
      <c r="J21" s="84"/>
      <c r="K21" s="23"/>
      <c r="L21" s="78"/>
    </row>
    <row r="22" spans="2:19" ht="13.8" thickBot="1" x14ac:dyDescent="0.3">
      <c r="J22" s="108" t="s">
        <v>41</v>
      </c>
      <c r="K22" s="107"/>
      <c r="L22" s="107"/>
    </row>
    <row r="23" spans="2:19" ht="13.5" customHeight="1" thickBot="1" x14ac:dyDescent="0.3">
      <c r="E23" s="15"/>
      <c r="F23" s="15"/>
      <c r="J23" s="38" cm="1">
        <f t="array" ref="J23">_xlfn.IFS(OR(MOD(J19,1)&gt;0.5,MOD(J19,1)&lt;0.5),ROUND(J19,0),MOD(J19,1)=0.5,IF(ISEVEN(ROUND(J19,0))=TRUE,ROUND(J19,0),ROUND(J19,0)-1))</f>
        <v>140</v>
      </c>
      <c r="K23" s="38" cm="1">
        <f t="array" ref="K23">_xlfn.IFS(OR(MOD(K19,1)&gt;0.5,MOD(K19,1)&lt;0.5),ROUND(K19,0),MOD(K19,1)=0.5,IF(ISEVEN(ROUND(K19,0))=TRUE,ROUND(K19,0),ROUND(K19,0)-1))</f>
        <v>119</v>
      </c>
      <c r="L23" s="39" cm="1">
        <f t="array" ref="L23">_xlfn.IFS(OR(MOD(L19,1)&gt;0.5,MOD(L19,1)&lt;0.5),ROUND(L19,0),MOD(L19,1)=0.5,IF(ISEVEN(ROUND(L19,0))=TRUE,ROUND(L19,0),ROUND(L19,0)-1))</f>
        <v>130</v>
      </c>
      <c r="M23" s="101" t="s">
        <v>42</v>
      </c>
    </row>
    <row r="24" spans="2:19" ht="13.5" customHeight="1" thickBot="1" x14ac:dyDescent="0.3">
      <c r="D24" s="86"/>
      <c r="E24" s="62"/>
      <c r="F24" s="15"/>
      <c r="G24" s="13"/>
      <c r="J24" s="109" cm="1">
        <f t="array" ref="J24">_xlfn.IFS(OR(MOD(J20,1)&gt;0.5,MOD(J20,1)&lt;0.5),ROUND(J20,0),MOD(J20,1)=0.5,IF(ISEVEN(ROUND(J20,0))=TRUE,ROUND(J20,0),ROUND(J20,0)-1))</f>
        <v>24</v>
      </c>
      <c r="K24" s="109" cm="1">
        <f t="array" ref="K24">_xlfn.IFS(OR(MOD(K20,1)&gt;0.5,MOD(K20,1)&lt;0.5),ROUND(K20,0),MOD(K20,1)=0.5,IF(ISEVEN(ROUND(K20,0))=TRUE,ROUND(K20,0),ROUND(K20,0)-1))</f>
        <v>28</v>
      </c>
      <c r="L24" s="39" cm="1">
        <f t="array" ref="L24">_xlfn.IFS(OR(MOD(L20,1)&gt;0.5,MOD(L20,1)&lt;0.5),ROUND(L20,0),MOD(L20,1)=0.5,IF(ISEVEN(ROUND(L20,0))=TRUE,ROUND(L20,0),ROUND(L20,0)-1))</f>
        <v>26</v>
      </c>
      <c r="M24" s="102" t="s">
        <v>43</v>
      </c>
      <c r="S24" s="6"/>
    </row>
    <row r="25" spans="2:19" ht="13.5" customHeight="1" x14ac:dyDescent="0.25">
      <c r="D25" s="14"/>
      <c r="E25" s="15"/>
      <c r="F25" s="15"/>
      <c r="G25" s="13"/>
    </row>
    <row r="26" spans="2:19" ht="13.5" customHeight="1" x14ac:dyDescent="0.25">
      <c r="D26" s="14"/>
      <c r="E26" s="15"/>
      <c r="F26" s="15"/>
      <c r="G26" s="13"/>
      <c r="J26" s="4"/>
      <c r="K26" s="7"/>
      <c r="M26" s="42"/>
      <c r="N26" s="37"/>
      <c r="O26" s="37"/>
      <c r="P26" s="46"/>
    </row>
    <row r="27" spans="2:19" ht="13.5" customHeight="1" x14ac:dyDescent="0.25">
      <c r="B27" s="15" t="s">
        <v>44</v>
      </c>
      <c r="D27" s="14"/>
      <c r="E27" s="15"/>
      <c r="F27" s="15"/>
      <c r="G27" s="13"/>
      <c r="J27" s="4"/>
      <c r="K27" s="7"/>
      <c r="L27" s="22"/>
      <c r="M27" s="27"/>
      <c r="N27" s="17"/>
      <c r="O27" s="17"/>
      <c r="P27" s="17"/>
      <c r="Q27" s="22"/>
    </row>
    <row r="28" spans="2:19" ht="13.5" customHeight="1" x14ac:dyDescent="0.25">
      <c r="B28" s="15"/>
      <c r="D28" s="14"/>
      <c r="E28" s="15"/>
      <c r="F28" s="15"/>
      <c r="G28" s="13"/>
      <c r="J28" s="4"/>
      <c r="K28" s="7"/>
      <c r="L28" s="22"/>
      <c r="M28" s="28"/>
      <c r="N28" s="17"/>
      <c r="O28" s="17"/>
      <c r="P28" s="17"/>
      <c r="Q28" s="22"/>
    </row>
    <row r="29" spans="2:19" ht="13.5" customHeight="1" x14ac:dyDescent="0.25">
      <c r="B29" s="15"/>
      <c r="C29" s="3" t="s">
        <v>45</v>
      </c>
      <c r="F29" s="15"/>
      <c r="G29" s="13"/>
      <c r="J29" s="4"/>
      <c r="K29" s="7"/>
      <c r="N29" s="12"/>
      <c r="O29" s="12"/>
      <c r="P29" s="8"/>
    </row>
    <row r="30" spans="2:19" ht="13.5" customHeight="1" x14ac:dyDescent="0.25">
      <c r="C30" s="86" t="s">
        <v>46</v>
      </c>
      <c r="J30" s="44"/>
      <c r="P30" s="58"/>
    </row>
    <row r="31" spans="2:19" ht="13.5" customHeight="1" x14ac:dyDescent="0.25">
      <c r="B31" s="15"/>
      <c r="D31" s="14"/>
      <c r="E31" s="3"/>
      <c r="F31" s="15"/>
      <c r="G31" s="13"/>
      <c r="J31" s="4"/>
      <c r="K31" s="7"/>
    </row>
    <row r="32" spans="2:19" ht="13.5" customHeight="1" thickBot="1" x14ac:dyDescent="0.3">
      <c r="D32" s="14"/>
      <c r="E32" s="19" t="s">
        <v>47</v>
      </c>
      <c r="F32" s="19" t="s">
        <v>48</v>
      </c>
      <c r="G32" s="159" t="s">
        <v>49</v>
      </c>
      <c r="H32" s="160" t="s">
        <v>50</v>
      </c>
      <c r="I32" s="19" t="s">
        <v>32</v>
      </c>
      <c r="J32" s="19" t="s">
        <v>51</v>
      </c>
      <c r="L32" s="7"/>
      <c r="N32" s="17"/>
      <c r="O32" s="17"/>
      <c r="P32" s="8"/>
    </row>
    <row r="33" spans="2:20" ht="13.5" customHeight="1" thickBot="1" x14ac:dyDescent="0.3">
      <c r="B33" s="76" t="s">
        <v>52</v>
      </c>
      <c r="D33" s="85"/>
      <c r="E33" s="98">
        <v>380.73374863224569</v>
      </c>
      <c r="F33" s="98">
        <v>322.96039675971127</v>
      </c>
      <c r="G33" s="161">
        <f>0.55*E33+0.45*F33</f>
        <v>354.73574028960525</v>
      </c>
      <c r="H33" s="21" cm="1">
        <f t="array" ref="H33">_xlfn.IFS(OR(MOD(G33,1)&gt;0.5,MOD(G33,1)&lt;0.5),ROUND(G33,0),MOD(G33,1)=0.5,IF(ISEVEN(ROUND(G33,0))=TRUE,ROUND(G33,0),ROUND(G33,0)-1))</f>
        <v>355</v>
      </c>
      <c r="I33" t="s">
        <v>53</v>
      </c>
      <c r="J33" s="58" t="s">
        <v>54</v>
      </c>
      <c r="K33" s="64"/>
      <c r="L33" s="64"/>
      <c r="M33" s="64"/>
    </row>
    <row r="34" spans="2:20" ht="13.5" customHeight="1" thickBot="1" x14ac:dyDescent="0.3">
      <c r="B34" s="67" t="s">
        <v>55</v>
      </c>
      <c r="C34" s="68"/>
      <c r="D34" s="68"/>
      <c r="E34" s="162">
        <f>E33*$L$9</f>
        <v>274.14352836516218</v>
      </c>
      <c r="F34" s="163">
        <f>F33*$L$9</f>
        <v>232.54440408286251</v>
      </c>
      <c r="G34" s="99">
        <f>G33*$L$9</f>
        <v>255.42392243812736</v>
      </c>
      <c r="H34" s="41" cm="1">
        <f t="array" ref="H34">_xlfn.IFS(OR(MOD(G34,1)&gt;0.5,MOD(G34,1)&lt;0.5),ROUND(G34,0),MOD(G34,1)=0.5,IF(ISEVEN(ROUND(G34,0))=TRUE,ROUND(G34,0),ROUND(G34,0)-1))</f>
        <v>255</v>
      </c>
      <c r="I34" s="58" t="s">
        <v>53</v>
      </c>
      <c r="J34" s="69" t="s">
        <v>56</v>
      </c>
      <c r="K34" s="70"/>
      <c r="L34" s="70"/>
      <c r="M34" s="66"/>
      <c r="N34" s="12"/>
      <c r="O34" s="23"/>
      <c r="P34" s="115"/>
    </row>
    <row r="35" spans="2:20" ht="13.5" customHeight="1" x14ac:dyDescent="0.25">
      <c r="B35" s="9"/>
      <c r="C35" s="55"/>
      <c r="D35" s="86"/>
      <c r="E35" s="20"/>
      <c r="F35" s="11"/>
      <c r="G35" s="13"/>
      <c r="J35" s="4"/>
      <c r="K35" s="7"/>
      <c r="L35" s="7"/>
      <c r="N35" s="12"/>
      <c r="O35" s="23"/>
      <c r="P35" s="115"/>
      <c r="Q35" s="25"/>
    </row>
    <row r="36" spans="2:20" ht="13.5" customHeight="1" x14ac:dyDescent="0.25">
      <c r="B36" s="9"/>
      <c r="C36" s="55"/>
      <c r="D36" s="86"/>
      <c r="E36" s="11"/>
      <c r="F36" s="11"/>
      <c r="G36" s="13"/>
      <c r="J36" s="4"/>
      <c r="K36" s="7"/>
      <c r="L36" s="7"/>
      <c r="N36" s="12"/>
      <c r="O36" s="23"/>
      <c r="P36" s="115"/>
      <c r="Q36" s="26"/>
      <c r="S36" s="24"/>
      <c r="T36" s="24"/>
    </row>
    <row r="37" spans="2:20" ht="13.5" customHeight="1" x14ac:dyDescent="0.25">
      <c r="B37" s="9"/>
      <c r="C37" s="55"/>
      <c r="D37" s="55"/>
      <c r="E37" s="11"/>
      <c r="F37" s="11"/>
      <c r="G37" s="13"/>
      <c r="J37" s="4"/>
      <c r="K37" s="7"/>
      <c r="L37" s="7"/>
      <c r="N37" s="12"/>
      <c r="O37" s="23"/>
      <c r="P37" s="115"/>
      <c r="Q37" s="26"/>
      <c r="S37" s="24"/>
      <c r="T37" s="24"/>
    </row>
    <row r="38" spans="2:20" ht="13.5" customHeight="1" x14ac:dyDescent="0.25">
      <c r="B38" s="9"/>
      <c r="C38" s="55"/>
      <c r="D38" s="55"/>
      <c r="E38" s="16" t="s">
        <v>57</v>
      </c>
      <c r="F38" s="11"/>
      <c r="G38" s="13"/>
      <c r="J38" s="4"/>
      <c r="K38" s="7"/>
      <c r="O38" s="23"/>
      <c r="P38" s="115"/>
      <c r="Q38" s="26"/>
      <c r="S38" s="24"/>
      <c r="T38" s="24"/>
    </row>
    <row r="39" spans="2:20" ht="13.5" customHeight="1" thickBot="1" x14ac:dyDescent="0.3">
      <c r="B39" s="59"/>
      <c r="C39" s="14"/>
      <c r="D39" s="14"/>
      <c r="E39" s="11"/>
      <c r="F39" s="16"/>
      <c r="G39" s="7"/>
      <c r="J39" s="4"/>
      <c r="K39" s="7"/>
      <c r="O39" s="23"/>
      <c r="P39" s="115"/>
      <c r="Q39" s="26"/>
      <c r="S39" s="24"/>
      <c r="T39" s="24"/>
    </row>
    <row r="40" spans="2:20" ht="13.5" customHeight="1" thickBot="1" x14ac:dyDescent="0.3">
      <c r="B40" s="56"/>
      <c r="C40" s="57"/>
      <c r="D40" s="55"/>
      <c r="E40" s="64"/>
      <c r="F40" s="64"/>
      <c r="G40" s="87"/>
      <c r="H40" s="88" t="s">
        <v>58</v>
      </c>
      <c r="I40" s="89">
        <v>8500</v>
      </c>
      <c r="J40" s="58" t="s">
        <v>59</v>
      </c>
      <c r="O40" s="23"/>
      <c r="Q40" s="26"/>
      <c r="S40" s="24"/>
      <c r="T40" s="24"/>
    </row>
    <row r="41" spans="2:20" ht="13.5" customHeight="1" thickBot="1" x14ac:dyDescent="0.3">
      <c r="E41" s="90"/>
      <c r="F41" s="64"/>
      <c r="G41" s="64"/>
      <c r="H41" s="63" t="s">
        <v>60</v>
      </c>
      <c r="I41" s="91">
        <v>0.17</v>
      </c>
      <c r="J41" s="58" t="s">
        <v>61</v>
      </c>
      <c r="Q41" s="26"/>
      <c r="S41" s="24"/>
      <c r="T41" s="24"/>
    </row>
    <row r="42" spans="2:20" ht="13.5" customHeight="1" x14ac:dyDescent="0.25">
      <c r="E42" s="90"/>
      <c r="F42" s="92" t="s">
        <v>62</v>
      </c>
      <c r="G42" s="64"/>
      <c r="H42" s="64"/>
      <c r="I42" s="64"/>
      <c r="K42" s="48"/>
      <c r="L42" s="49"/>
      <c r="Q42" s="26"/>
      <c r="S42" s="24"/>
      <c r="T42" s="24"/>
    </row>
    <row r="43" spans="2:20" ht="13.5" customHeight="1" x14ac:dyDescent="0.25">
      <c r="E43" s="90"/>
      <c r="F43" s="92"/>
      <c r="G43" s="64"/>
      <c r="H43" s="64"/>
      <c r="I43" s="64"/>
      <c r="K43" s="48"/>
      <c r="L43" s="49"/>
      <c r="Q43" s="26"/>
      <c r="S43" s="24"/>
      <c r="T43" s="24"/>
    </row>
    <row r="44" spans="2:20" ht="13.5" customHeight="1" x14ac:dyDescent="0.25">
      <c r="E44" s="58"/>
      <c r="H44" s="65" t="s">
        <v>63</v>
      </c>
      <c r="I44" s="110">
        <f>1/((G19/1000)/L9)</f>
        <v>3.8706810857217584</v>
      </c>
      <c r="M44" s="93" t="s">
        <v>64</v>
      </c>
      <c r="N44" s="94"/>
      <c r="O44" s="93" t="s">
        <v>64</v>
      </c>
      <c r="Q44" s="26"/>
      <c r="S44" s="24"/>
      <c r="T44" s="24"/>
    </row>
    <row r="45" spans="2:20" ht="13.5" customHeight="1" x14ac:dyDescent="0.25">
      <c r="E45" s="58"/>
      <c r="H45" s="65" t="s">
        <v>65</v>
      </c>
      <c r="I45" s="4" cm="1">
        <f t="array" ref="I45">_xlfn.IFS(OR(MOD(I44*1000,1)&gt;0.5,MOD(I44*1000,1)&lt;0.5),ROUND(I44,3),MOD(I44*1000,1)=0.5,IF(ISEVEN(ROUND(I44*1000,0))=TRUE,ROUND(I44,3),(ROUND(I44*1000,0)-1)/1000))</f>
        <v>3.871</v>
      </c>
      <c r="M45" s="93"/>
      <c r="N45" s="94"/>
      <c r="O45" s="93"/>
      <c r="Q45" s="26"/>
      <c r="S45" s="24"/>
      <c r="T45" s="24"/>
    </row>
    <row r="46" spans="2:20" ht="13.5" customHeight="1" x14ac:dyDescent="0.25">
      <c r="M46" s="55" t="s">
        <v>66</v>
      </c>
      <c r="N46" s="51"/>
      <c r="O46" s="80" t="s">
        <v>67</v>
      </c>
      <c r="Q46" s="26"/>
      <c r="S46" s="24"/>
      <c r="T46" s="24"/>
    </row>
    <row r="47" spans="2:20" ht="13.5" customHeight="1" x14ac:dyDescent="0.25">
      <c r="G47" s="5"/>
      <c r="I47" s="122" t="s">
        <v>68</v>
      </c>
      <c r="M47" s="55" t="s">
        <v>69</v>
      </c>
      <c r="N47" s="23"/>
      <c r="O47" s="80" t="s">
        <v>70</v>
      </c>
      <c r="Q47" s="164"/>
      <c r="S47" s="24"/>
      <c r="T47" s="24"/>
    </row>
    <row r="48" spans="2:20" ht="13.5" customHeight="1" thickBot="1" x14ac:dyDescent="0.3">
      <c r="B48" s="61" t="s">
        <v>71</v>
      </c>
      <c r="C48" s="29"/>
      <c r="D48" s="30"/>
      <c r="F48" s="19" t="s">
        <v>72</v>
      </c>
      <c r="G48" s="95" t="s">
        <v>73</v>
      </c>
      <c r="H48" s="19" t="s">
        <v>32</v>
      </c>
      <c r="I48" s="95" t="s">
        <v>74</v>
      </c>
      <c r="J48" s="95" t="s">
        <v>75</v>
      </c>
      <c r="M48" s="95" t="s">
        <v>76</v>
      </c>
      <c r="N48" s="23"/>
      <c r="O48" s="80" t="s">
        <v>77</v>
      </c>
      <c r="Q48" s="164"/>
      <c r="S48" s="24"/>
      <c r="T48" s="24"/>
    </row>
    <row r="49" spans="2:20" ht="13.5" customHeight="1" thickBot="1" x14ac:dyDescent="0.3">
      <c r="B49" s="60" t="s">
        <v>78</v>
      </c>
      <c r="C49" s="22"/>
      <c r="D49" s="32"/>
      <c r="F49" s="53">
        <v>15000</v>
      </c>
      <c r="G49" s="165">
        <f>I41</f>
        <v>0.17</v>
      </c>
      <c r="H49" t="s">
        <v>79</v>
      </c>
      <c r="I49" s="111">
        <f>$F$49*$G$49*(1/$I$44)</f>
        <v>658.79878593110868</v>
      </c>
      <c r="J49" s="71" t="s">
        <v>80</v>
      </c>
      <c r="K49" s="72"/>
      <c r="L49" s="66"/>
      <c r="M49" s="139" cm="1">
        <f t="array" ref="M49">_xlfn.IFS(OR(MOD((I49/50),1)&gt;0.5,MOD((I49/50),1)&lt;0.5),ROUND((I49/50),0),MOD((I49/50),1)=0.5,IF(ISEVEN(ROUND((I49/50),0))=TRUE,ROUND((I49/50),0),ROUND((I49/50),0)-1))*50</f>
        <v>650</v>
      </c>
      <c r="N49" s="40"/>
      <c r="O49" s="140">
        <f>$I$40 - 5*$M$49</f>
        <v>5250</v>
      </c>
      <c r="Q49" s="164"/>
      <c r="S49" s="24"/>
      <c r="T49" s="24"/>
    </row>
    <row r="50" spans="2:20" ht="13.5" customHeight="1" x14ac:dyDescent="0.25">
      <c r="B50" s="31"/>
      <c r="C50" s="22"/>
      <c r="D50" s="32"/>
      <c r="Q50" s="164"/>
      <c r="S50" s="24"/>
      <c r="T50" s="24"/>
    </row>
    <row r="51" spans="2:20" ht="13.5" customHeight="1" x14ac:dyDescent="0.25">
      <c r="B51" s="33">
        <v>33705</v>
      </c>
      <c r="C51" s="22" t="s">
        <v>81</v>
      </c>
      <c r="D51" s="32"/>
      <c r="G51" s="18"/>
      <c r="H51" s="208" t="s">
        <v>82</v>
      </c>
      <c r="I51" s="208"/>
      <c r="J51" s="208"/>
      <c r="K51" s="52"/>
      <c r="L51" s="81" t="s">
        <v>83</v>
      </c>
      <c r="N51" s="82"/>
      <c r="O51" s="83"/>
      <c r="Q51" s="164"/>
      <c r="S51" s="24"/>
      <c r="T51" s="24"/>
    </row>
    <row r="52" spans="2:20" ht="13.5" customHeight="1" x14ac:dyDescent="0.25">
      <c r="B52" s="34"/>
      <c r="C52" s="35"/>
      <c r="D52" s="36"/>
      <c r="H52" s="208"/>
      <c r="I52" s="208"/>
      <c r="J52" s="208"/>
      <c r="L52" s="58" t="s">
        <v>84</v>
      </c>
      <c r="P52" s="166"/>
      <c r="Q52" s="166"/>
      <c r="S52" s="24"/>
      <c r="T52" s="24"/>
    </row>
    <row r="53" spans="2:20" ht="13.5" customHeight="1" x14ac:dyDescent="0.25">
      <c r="H53" s="208"/>
      <c r="I53" s="208"/>
      <c r="J53" s="208"/>
      <c r="L53" t="s">
        <v>85</v>
      </c>
      <c r="Q53" s="26"/>
      <c r="S53" s="24"/>
      <c r="T53" s="24"/>
    </row>
    <row r="54" spans="2:20" ht="13.5" customHeight="1" x14ac:dyDescent="0.25">
      <c r="B54" s="203" t="s">
        <v>86</v>
      </c>
      <c r="C54" s="204"/>
      <c r="D54" s="205"/>
      <c r="Q54" s="26"/>
      <c r="S54" s="24"/>
      <c r="T54" s="24"/>
    </row>
    <row r="55" spans="2:20" ht="31.5" customHeight="1" x14ac:dyDescent="0.25">
      <c r="B55" s="130" t="s">
        <v>87</v>
      </c>
      <c r="C55" s="131" t="s">
        <v>88</v>
      </c>
      <c r="D55" s="132" t="s">
        <v>89</v>
      </c>
      <c r="Q55" s="26"/>
      <c r="S55" s="24"/>
      <c r="T55" s="24"/>
    </row>
    <row r="56" spans="2:20" ht="13.5" customHeight="1" x14ac:dyDescent="0.25">
      <c r="B56" s="31">
        <v>10</v>
      </c>
      <c r="C56" s="126">
        <v>121</v>
      </c>
      <c r="D56" s="127">
        <v>999</v>
      </c>
      <c r="M56" s="122" t="s">
        <v>64</v>
      </c>
      <c r="O56" s="122" t="s">
        <v>64</v>
      </c>
    </row>
    <row r="57" spans="2:20" ht="13.5" customHeight="1" thickBot="1" x14ac:dyDescent="0.3">
      <c r="B57" s="31">
        <v>9</v>
      </c>
      <c r="C57" s="126">
        <v>67</v>
      </c>
      <c r="D57" s="127">
        <v>120</v>
      </c>
      <c r="M57" s="122" t="s">
        <v>87</v>
      </c>
      <c r="O57" s="122" t="s">
        <v>90</v>
      </c>
    </row>
    <row r="58" spans="2:20" ht="13.5" customHeight="1" thickBot="1" x14ac:dyDescent="0.3">
      <c r="B58" s="31">
        <v>8</v>
      </c>
      <c r="C58" s="126">
        <v>47</v>
      </c>
      <c r="D58" s="127">
        <v>66</v>
      </c>
      <c r="M58" s="124" cm="1">
        <f t="array" ref="M58">_xlfn.IFS(L23&gt;=C56,B56,L23&gt;=C57,B57,L23&gt;=C58,B58,L23&gt;=C59,B59,L23&gt;=C60,B60,L23&gt;=C61,B61,L23&gt;=C62,B62,L23&gt;=C63,B63,L23&gt;=C64,B64,TRUE,B65)</f>
        <v>10</v>
      </c>
      <c r="O58" s="123">
        <v>10</v>
      </c>
    </row>
    <row r="59" spans="2:20" ht="13.5" customHeight="1" x14ac:dyDescent="0.25">
      <c r="B59" s="31">
        <v>7</v>
      </c>
      <c r="C59" s="126">
        <v>36</v>
      </c>
      <c r="D59" s="127">
        <v>46</v>
      </c>
      <c r="O59" s="206" t="s">
        <v>91</v>
      </c>
    </row>
    <row r="60" spans="2:20" ht="13.5" customHeight="1" x14ac:dyDescent="0.25">
      <c r="B60" s="31">
        <v>6</v>
      </c>
      <c r="C60" s="126">
        <v>29</v>
      </c>
      <c r="D60" s="127">
        <v>35</v>
      </c>
      <c r="O60" s="207"/>
    </row>
    <row r="61" spans="2:20" ht="13.5" customHeight="1" x14ac:dyDescent="0.25">
      <c r="B61" s="31">
        <v>5</v>
      </c>
      <c r="C61" s="126">
        <v>23</v>
      </c>
      <c r="D61" s="127">
        <v>28</v>
      </c>
      <c r="O61" s="207"/>
    </row>
    <row r="62" spans="2:20" ht="13.5" customHeight="1" x14ac:dyDescent="0.25">
      <c r="B62" s="31">
        <v>4</v>
      </c>
      <c r="C62" s="126">
        <v>19</v>
      </c>
      <c r="D62" s="127">
        <v>22</v>
      </c>
      <c r="O62" s="207"/>
    </row>
    <row r="63" spans="2:20" ht="13.5" customHeight="1" x14ac:dyDescent="0.25">
      <c r="B63" s="31">
        <v>3</v>
      </c>
      <c r="C63" s="126">
        <v>16</v>
      </c>
      <c r="D63" s="127">
        <v>18</v>
      </c>
      <c r="O63" s="207"/>
    </row>
    <row r="64" spans="2:20" ht="13.5" customHeight="1" x14ac:dyDescent="0.25">
      <c r="B64" s="31">
        <v>2</v>
      </c>
      <c r="C64" s="126">
        <v>14</v>
      </c>
      <c r="D64" s="127">
        <v>15</v>
      </c>
      <c r="O64" s="207"/>
    </row>
    <row r="65" spans="2:15" ht="13.5" customHeight="1" x14ac:dyDescent="0.25">
      <c r="B65" s="34">
        <v>1</v>
      </c>
      <c r="C65" s="128">
        <v>0</v>
      </c>
      <c r="D65" s="129">
        <v>13</v>
      </c>
      <c r="E65" s="58" t="s">
        <v>92</v>
      </c>
      <c r="O65" s="207"/>
    </row>
    <row r="66" spans="2:15" ht="13.5" customHeight="1" x14ac:dyDescent="0.25">
      <c r="D66" s="125"/>
      <c r="O66" s="207"/>
    </row>
  </sheetData>
  <mergeCells count="7">
    <mergeCell ref="C1:K1"/>
    <mergeCell ref="E17:G17"/>
    <mergeCell ref="B54:D54"/>
    <mergeCell ref="O59:O66"/>
    <mergeCell ref="H51:J53"/>
    <mergeCell ref="J17:M17"/>
    <mergeCell ref="C2:K2"/>
  </mergeCells>
  <phoneticPr fontId="4" type="noConversion"/>
  <dataValidations count="4">
    <dataValidation type="whole" allowBlank="1" showInputMessage="1" showErrorMessage="1" sqref="I40" xr:uid="{4C0D29AF-43D0-4EF7-B4C1-E13ACCBA018E}">
      <formula1>999</formula1>
      <formula2>99999</formula2>
    </dataValidation>
    <dataValidation type="custom" allowBlank="1" showInputMessage="1" showErrorMessage="1" sqref="E19:F19 L9" xr:uid="{ABCA921A-D373-4BA4-8334-F97F891905A0}">
      <formula1>OR(IF(ISERROR(FIND(".",E9)),LEN(E9)&gt;0,LEN(MID(E9,FIND(".",E9)+1,25))&lt;6))</formula1>
    </dataValidation>
    <dataValidation type="custom" allowBlank="1" showInputMessage="1" showErrorMessage="1" sqref="E33:F33" xr:uid="{CAB786ED-804C-4560-8A13-E0266F537B1B}">
      <formula1>OR(IF(ISERROR(FIND(".",E33)),LEN(E33)&gt;0,LEN(MID(E33,FIND(".",E33)+1,25))&lt;4))</formula1>
    </dataValidation>
    <dataValidation type="custom" allowBlank="1" showInputMessage="1" showErrorMessage="1" sqref="I41" xr:uid="{BBC48C15-D566-4B81-AD10-AC266AA8BB8E}">
      <formula1>OR(IF(ISERROR(FIND(".",I41)),LEN(I41)&gt;0,LEN(MID(I41,FIND(".",I41)+1,25))&lt;3))</formula1>
    </dataValidation>
  </dataValidations>
  <hyperlinks>
    <hyperlink ref="C2:K2" r:id="rId1" display="This sheet is designed to be able use &quot;Set Precision As Displayed&quot; to reduce floating point errors if needed. Do not change number formatting except to increase decimial places if needed. If you encounter a floating point error, enable &quot;Set Precision As Displayed&quot;." xr:uid="{76CEC806-0199-42F0-B32E-BFE6BA4C9E1A}"/>
  </hyperlinks>
  <printOptions horizontalCentered="1"/>
  <pageMargins left="0.45" right="0.45" top="1" bottom="0.5" header="0.5" footer="0"/>
  <pageSetup scale="50" fitToHeight="0" orientation="landscape" r:id="rId2"/>
  <headerFooter alignWithMargins="0">
    <oddHeader>&amp;L&amp;G&amp;C&amp;"Calibri,Bold"&amp;11EPA 2026 Generic EV Label Calculator &amp;R&amp;"Calibri,Regular"&amp;11Office of Transportation and Air Quality
September 2025</oddHeader>
  </headerFooter>
  <legacyDrawing r:id="rId3"/>
  <legacyDrawingHF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D3ACD-FCEF-473D-8566-FAB94AA8D6E1}">
  <sheetPr codeName="Sheet5">
    <pageSetUpPr fitToPage="1"/>
  </sheetPr>
  <dimension ref="B1:U71"/>
  <sheetViews>
    <sheetView zoomScale="80" zoomScaleNormal="80" workbookViewId="0">
      <selection activeCell="K9" sqref="K9"/>
    </sheetView>
  </sheetViews>
  <sheetFormatPr defaultRowHeight="13.5" customHeight="1" x14ac:dyDescent="0.25"/>
  <cols>
    <col min="1" max="1" width="4.44140625" customWidth="1"/>
    <col min="2" max="2" width="14.33203125" customWidth="1"/>
    <col min="3" max="3" width="12.44140625" customWidth="1"/>
    <col min="4" max="4" width="24.33203125" customWidth="1"/>
    <col min="5" max="7" width="15.6640625" customWidth="1"/>
    <col min="8" max="8" width="12.6640625" customWidth="1"/>
    <col min="9" max="9" width="15.88671875" customWidth="1"/>
    <col min="10" max="12" width="15.6640625" customWidth="1"/>
    <col min="13" max="13" width="14.109375" customWidth="1"/>
    <col min="14" max="14" width="10.33203125" customWidth="1"/>
    <col min="15" max="15" width="10" customWidth="1"/>
    <col min="16" max="16" width="9" customWidth="1"/>
    <col min="17" max="17" width="9.5546875" bestFit="1" customWidth="1"/>
    <col min="19" max="19" width="11.5546875" customWidth="1"/>
  </cols>
  <sheetData>
    <row r="1" spans="2:16" ht="18" customHeight="1" x14ac:dyDescent="0.3">
      <c r="C1" s="200" t="s">
        <v>93</v>
      </c>
      <c r="D1" s="200"/>
      <c r="E1" s="200"/>
      <c r="F1" s="200"/>
      <c r="G1" s="200"/>
      <c r="H1" s="200"/>
      <c r="I1" s="200"/>
      <c r="J1" s="200"/>
      <c r="K1" s="200"/>
    </row>
    <row r="2" spans="2:16" s="2" customFormat="1" ht="42" customHeight="1" x14ac:dyDescent="0.25">
      <c r="C2" s="209" t="s">
        <v>10</v>
      </c>
      <c r="D2" s="209"/>
      <c r="E2" s="209"/>
      <c r="F2" s="209"/>
      <c r="G2" s="209"/>
      <c r="H2" s="209"/>
      <c r="I2" s="209"/>
      <c r="J2" s="209"/>
      <c r="K2" s="209"/>
    </row>
    <row r="3" spans="2:16" ht="13.5" customHeight="1" x14ac:dyDescent="0.3">
      <c r="F3" s="1"/>
    </row>
    <row r="4" spans="2:16" ht="13.5" customHeight="1" x14ac:dyDescent="0.25">
      <c r="B4" s="50" t="s">
        <v>11</v>
      </c>
      <c r="D4" s="15"/>
    </row>
    <row r="5" spans="2:16" ht="13.5" customHeight="1" x14ac:dyDescent="0.3">
      <c r="B5" s="15" t="s">
        <v>12</v>
      </c>
      <c r="D5" s="119">
        <v>2026</v>
      </c>
      <c r="F5" s="1"/>
    </row>
    <row r="6" spans="2:16" ht="13.5" customHeight="1" x14ac:dyDescent="0.3">
      <c r="B6" s="15" t="s">
        <v>13</v>
      </c>
      <c r="D6" s="120" t="s">
        <v>14</v>
      </c>
      <c r="F6" s="1"/>
      <c r="G6" s="58" t="s">
        <v>94</v>
      </c>
    </row>
    <row r="7" spans="2:16" ht="13.5" customHeight="1" x14ac:dyDescent="0.3">
      <c r="B7" s="15" t="s">
        <v>16</v>
      </c>
      <c r="D7" s="120" t="s">
        <v>17</v>
      </c>
      <c r="F7" s="1"/>
      <c r="L7" s="77" t="s">
        <v>18</v>
      </c>
      <c r="M7" s="96">
        <v>45922</v>
      </c>
      <c r="O7" s="64"/>
    </row>
    <row r="8" spans="2:16" ht="13.5" customHeight="1" thickBot="1" x14ac:dyDescent="0.35">
      <c r="B8" s="15" t="s">
        <v>19</v>
      </c>
      <c r="D8" s="120" t="s">
        <v>20</v>
      </c>
      <c r="F8" s="1"/>
    </row>
    <row r="9" spans="2:16" ht="13.5" customHeight="1" thickBot="1" x14ac:dyDescent="0.35">
      <c r="B9" s="15"/>
      <c r="D9" s="63"/>
      <c r="F9" s="1"/>
      <c r="K9" s="54" t="s">
        <v>21</v>
      </c>
      <c r="L9" s="97">
        <v>0.72004000000000001</v>
      </c>
      <c r="M9" s="47" t="s">
        <v>22</v>
      </c>
    </row>
    <row r="10" spans="2:16" ht="13.5" customHeight="1" x14ac:dyDescent="0.3">
      <c r="B10" s="15"/>
      <c r="D10" s="63"/>
      <c r="F10" s="1"/>
      <c r="K10" s="54" t="s">
        <v>23</v>
      </c>
      <c r="M10" s="47" t="s">
        <v>24</v>
      </c>
    </row>
    <row r="12" spans="2:16" ht="13.5" customHeight="1" x14ac:dyDescent="0.25">
      <c r="B12" s="15" t="s">
        <v>95</v>
      </c>
    </row>
    <row r="13" spans="2:16" ht="13.5" customHeight="1" x14ac:dyDescent="0.25">
      <c r="O13" s="10"/>
    </row>
    <row r="14" spans="2:16" ht="13.5" customHeight="1" x14ac:dyDescent="0.25">
      <c r="C14" s="3" t="s">
        <v>26</v>
      </c>
      <c r="J14" s="43"/>
      <c r="K14" s="65"/>
      <c r="L14" s="79"/>
      <c r="M14" s="79"/>
      <c r="N14" s="78"/>
      <c r="O14" s="58"/>
    </row>
    <row r="15" spans="2:16" ht="13.5" customHeight="1" x14ac:dyDescent="0.25">
      <c r="C15" s="86" t="s">
        <v>46</v>
      </c>
      <c r="J15" s="44"/>
      <c r="P15" s="58"/>
    </row>
    <row r="16" spans="2:16" ht="13.5" customHeight="1" x14ac:dyDescent="0.25">
      <c r="C16" s="86"/>
      <c r="J16" s="45"/>
    </row>
    <row r="17" spans="2:21" ht="13.5" customHeight="1" x14ac:dyDescent="0.25">
      <c r="E17" s="201" t="s">
        <v>28</v>
      </c>
      <c r="F17" s="202"/>
      <c r="G17" s="202"/>
      <c r="H17" s="3"/>
      <c r="I17" s="3"/>
      <c r="J17" s="201"/>
      <c r="K17" s="201"/>
      <c r="L17" s="201"/>
      <c r="M17" s="201"/>
    </row>
    <row r="18" spans="2:21" ht="21" customHeight="1" thickBot="1" x14ac:dyDescent="0.3">
      <c r="E18" s="104" t="s">
        <v>29</v>
      </c>
      <c r="F18" s="105" t="s">
        <v>30</v>
      </c>
      <c r="G18" s="105" t="s">
        <v>31</v>
      </c>
      <c r="H18" s="104" t="s">
        <v>32</v>
      </c>
      <c r="I18" s="106"/>
      <c r="J18" s="104" t="s">
        <v>29</v>
      </c>
      <c r="K18" s="105" t="s">
        <v>33</v>
      </c>
      <c r="L18" s="105" t="s">
        <v>31</v>
      </c>
      <c r="M18" s="104" t="s">
        <v>32</v>
      </c>
      <c r="P18" s="6"/>
    </row>
    <row r="19" spans="2:21" ht="13.5" customHeight="1" thickBot="1" x14ac:dyDescent="0.3">
      <c r="B19" s="2"/>
      <c r="C19" s="58" t="s">
        <v>34</v>
      </c>
      <c r="D19" s="76" t="s">
        <v>35</v>
      </c>
      <c r="E19" s="118">
        <v>173.32164599818489</v>
      </c>
      <c r="F19" s="118">
        <v>204.32660060514286</v>
      </c>
      <c r="G19" s="99">
        <f>1/((0.55/E19)+(0.45/F19))</f>
        <v>186.02410894973943</v>
      </c>
      <c r="H19" s="58" t="s">
        <v>36</v>
      </c>
      <c r="I19" s="2"/>
      <c r="J19" s="103">
        <f>$L$9*E20</f>
        <v>140.02260398712204</v>
      </c>
      <c r="K19" s="103">
        <f>$L$9*F20</f>
        <v>118.77527511407713</v>
      </c>
      <c r="L19" s="103">
        <f>$L$9*G20</f>
        <v>130.46130599425183</v>
      </c>
      <c r="M19" s="6" t="s">
        <v>37</v>
      </c>
    </row>
    <row r="20" spans="2:21" ht="13.5" customHeight="1" x14ac:dyDescent="0.25">
      <c r="B20" s="2"/>
      <c r="C20" s="58" t="s">
        <v>34</v>
      </c>
      <c r="D20" s="76" t="s">
        <v>96</v>
      </c>
      <c r="E20" s="100">
        <f>$B$56/E19</f>
        <v>194.46503525793295</v>
      </c>
      <c r="F20" s="100">
        <f>$B$56/F19</f>
        <v>164.95649563090541</v>
      </c>
      <c r="G20" s="99">
        <f>$B$56/G19</f>
        <v>181.18619242577057</v>
      </c>
      <c r="H20" s="58" t="s">
        <v>39</v>
      </c>
      <c r="J20" s="103">
        <f>(E19/10)/$L$9</f>
        <v>24.071113548995182</v>
      </c>
      <c r="K20" s="103">
        <f>(F19/10)/$L$9</f>
        <v>28.377118021935292</v>
      </c>
      <c r="L20" s="103">
        <f>(G19/10)/$L$9</f>
        <v>25.835246507102305</v>
      </c>
      <c r="M20" s="6" t="s">
        <v>40</v>
      </c>
    </row>
    <row r="21" spans="2:21" ht="13.5" customHeight="1" x14ac:dyDescent="0.25">
      <c r="J21" s="84"/>
      <c r="K21" s="23"/>
      <c r="L21" s="78"/>
    </row>
    <row r="22" spans="2:21" ht="13.8" thickBot="1" x14ac:dyDescent="0.3">
      <c r="J22" s="108" t="s">
        <v>41</v>
      </c>
      <c r="K22" s="107"/>
      <c r="L22" s="107"/>
    </row>
    <row r="23" spans="2:21" ht="13.5" customHeight="1" thickBot="1" x14ac:dyDescent="0.3">
      <c r="E23" s="15"/>
      <c r="F23" s="15"/>
      <c r="J23" s="38" cm="1">
        <f t="array" ref="J23">_xlfn.IFS(OR(MOD(J19,1)&gt;0.5,MOD(J19,1)&lt;0.5),ROUND(J19,0),MOD(J19,1)=0.5,IF(ISEVEN(ROUND(J19,0))=TRUE,ROUND(J19,0),ROUND(J19,0)-1))</f>
        <v>140</v>
      </c>
      <c r="K23" s="38" cm="1">
        <f t="array" ref="K23">_xlfn.IFS(OR(MOD(K19,1)&gt;0.5,MOD(K19,1)&lt;0.5),ROUND(K19,0),MOD(K19,1)=0.5,IF(ISEVEN(ROUND(K19,0))=TRUE,ROUND(K19,0),ROUND(K19,0)-1))</f>
        <v>119</v>
      </c>
      <c r="L23" s="39" cm="1">
        <f t="array" ref="L23">_xlfn.IFS(OR(MOD(L19,1)&gt;0.5,MOD(L19,1)&lt;0.5),ROUND(L19,0),MOD(L19,1)=0.5,IF(ISEVEN(ROUND(L19,0))=TRUE,ROUND(L19,0),ROUND(L19,0)-1))</f>
        <v>130</v>
      </c>
      <c r="M23" s="101" t="s">
        <v>42</v>
      </c>
    </row>
    <row r="24" spans="2:21" ht="13.5" customHeight="1" thickBot="1" x14ac:dyDescent="0.3">
      <c r="D24" s="86"/>
      <c r="E24" s="62"/>
      <c r="F24" s="15"/>
      <c r="G24" s="13"/>
      <c r="J24" s="109" cm="1">
        <f t="array" ref="J24">_xlfn.IFS(OR(MOD(J20,1)&gt;0.5,MOD(J20,1)&lt;0.5),ROUND(J20,0),MOD(J20,1)=0.5,IF(ISEVEN(ROUND(J20,0))=TRUE,ROUND(J20,0),ROUND(J20,0)-1))</f>
        <v>24</v>
      </c>
      <c r="K24" s="109" cm="1">
        <f t="array" ref="K24">_xlfn.IFS(OR(MOD(K20,1)&gt;0.5,MOD(K20,1)&lt;0.5),ROUND(K20,0),MOD(K20,1)=0.5,IF(ISEVEN(ROUND(K20,0))=TRUE,ROUND(K20,0),ROUND(K20,0)-1))</f>
        <v>28</v>
      </c>
      <c r="L24" s="114" cm="1">
        <f t="array" ref="L24">_xlfn.IFS(OR(MOD(L20,1)&gt;0.5,MOD(L20,1)&lt;0.5),ROUND(L20,0),MOD(L20,1)=0.5,IF(ISEVEN(ROUND(L20,0))=TRUE,ROUND(L20,0),ROUND(L20,0)-1))</f>
        <v>26</v>
      </c>
      <c r="M24" s="102" t="s">
        <v>43</v>
      </c>
      <c r="S24" s="6"/>
    </row>
    <row r="25" spans="2:21" ht="13.5" customHeight="1" thickBot="1" x14ac:dyDescent="0.3">
      <c r="D25" s="14"/>
      <c r="E25" s="15"/>
      <c r="F25" s="15"/>
      <c r="G25" s="73"/>
      <c r="H25" s="64"/>
      <c r="I25" s="63" t="s">
        <v>97</v>
      </c>
      <c r="J25" s="133" cm="1">
        <f t="array" ref="J25">IF(ISBLANK($L$25),"",_xlfn.IFS(OR(MOD(J26,1)&gt;0.5,MOD(J26,1)&lt;0.5),ROUND(J26,0),MOD(J26,1)=0.5,IF(ISEVEN(ROUND(J26,0))=TRUE,ROUND(J26,0),ROUND(J26,0)-1)))</f>
        <v>129</v>
      </c>
      <c r="K25" s="133" cm="1">
        <f t="array" ref="K25">IF(ISBLANK($L$25),"",_xlfn.IFS(OR(MOD(K26,1)&gt;0.5,MOD(K26,1)&lt;0.5),ROUND(K26,0),MOD(K26,1)=0.5,IF(ISEVEN(ROUND(K26,0))=TRUE,ROUND(K26,0),ROUND(K26,0)-1)))</f>
        <v>109</v>
      </c>
      <c r="L25" s="136">
        <v>120</v>
      </c>
      <c r="M25" s="50" t="s">
        <v>98</v>
      </c>
      <c r="U25" s="7"/>
    </row>
    <row r="26" spans="2:21" ht="13.5" customHeight="1" x14ac:dyDescent="0.25">
      <c r="D26" s="86"/>
      <c r="E26" s="62"/>
      <c r="F26" s="15"/>
      <c r="G26" s="13"/>
      <c r="J26" s="116">
        <f>IF(ISBLANK($L$25),"",((E20*$L$9*$L$25)/$L$19))</f>
        <v>128.79460580591595</v>
      </c>
      <c r="K26" s="116">
        <f>IF(ISBLANK($L$25),"",((F20*$L$9*$L$25)/$L$19))</f>
        <v>109.25103734832494</v>
      </c>
      <c r="L26" s="117" t="s">
        <v>99</v>
      </c>
      <c r="M26" s="112" t="s">
        <v>100</v>
      </c>
      <c r="S26" s="6"/>
    </row>
    <row r="27" spans="2:21" ht="13.5" customHeight="1" thickBot="1" x14ac:dyDescent="0.3">
      <c r="D27" s="14"/>
      <c r="E27" s="15"/>
      <c r="F27" s="15"/>
      <c r="G27" s="73"/>
      <c r="H27" s="64"/>
      <c r="I27" s="63"/>
      <c r="J27" s="116">
        <f>IF(ISBLANK($L$25),"",($B$56*0.1)/((E20*$L$9*$L$25)/$L$19))</f>
        <v>26.169574252815348</v>
      </c>
      <c r="K27" s="116">
        <f>IF(ISBLANK($L$25),"",($B$56*0.1)/((F20*$L$9*$L$25)/$L$19))</f>
        <v>30.850965645789149</v>
      </c>
      <c r="L27" s="116">
        <f>IF(ISBLANK($L$25),"",($B$56*0.1)/((G20*$L$9*$L$25)/$L$19))</f>
        <v>28.087499999999999</v>
      </c>
      <c r="M27" s="112" t="s">
        <v>101</v>
      </c>
      <c r="U27" s="7"/>
    </row>
    <row r="28" spans="2:21" ht="13.5" customHeight="1" thickBot="1" x14ac:dyDescent="0.3">
      <c r="D28" s="14"/>
      <c r="E28" s="15"/>
      <c r="F28" s="15"/>
      <c r="G28" s="73"/>
      <c r="H28" s="64"/>
      <c r="I28" s="74" t="s">
        <v>102</v>
      </c>
      <c r="J28" s="113" cm="1">
        <f t="array" ref="J28">IF(ISBLANK($L$25),"",_xlfn.IFS(OR(MOD(J27,1)&gt;0.5,MOD(J27,1)&lt;0.5),ROUND(J27,0),MOD(J27,1)=0.5,IF(ISEVEN(ROUND(J27,0))=TRUE,ROUND(J27,0),ROUND(J27,0)-1)))</f>
        <v>26</v>
      </c>
      <c r="K28" s="113" cm="1">
        <f t="array" ref="K28">IF(ISBLANK($L$25),"",_xlfn.IFS(OR(MOD(K27,1)&gt;0.5,MOD(K27,1)&lt;0.5),ROUND(K27,0),MOD(K27,1)=0.5,IF(ISEVEN(ROUND(K27,0))=TRUE,ROUND(K27,0),ROUND(K27,0)-1)))</f>
        <v>31</v>
      </c>
      <c r="L28" s="134" cm="1">
        <f t="array" ref="L28">IF(ISBLANK($L$25),"",_xlfn.IFS(OR(MOD(L27,1)&gt;0.5,MOD(L27,1)&lt;0.5),ROUND(L27,0),MOD(L27,1)=0.5,IF(ISEVEN(ROUND(L27,0))=TRUE,ROUND(L27,0),ROUND(L27,0)-1)))</f>
        <v>28</v>
      </c>
      <c r="N28" s="50" t="s">
        <v>103</v>
      </c>
      <c r="U28" s="7"/>
    </row>
    <row r="29" spans="2:21" ht="13.5" customHeight="1" x14ac:dyDescent="0.25">
      <c r="D29" s="14"/>
      <c r="E29" s="15"/>
      <c r="F29" s="15"/>
      <c r="G29" s="13"/>
    </row>
    <row r="30" spans="2:21" ht="13.5" customHeight="1" x14ac:dyDescent="0.25">
      <c r="D30" s="14"/>
      <c r="E30" s="15"/>
      <c r="F30" s="15"/>
      <c r="G30" s="13"/>
      <c r="J30" s="4"/>
      <c r="K30" s="7"/>
      <c r="M30" s="42"/>
      <c r="N30" s="37"/>
      <c r="O30" s="37"/>
      <c r="P30" s="46"/>
    </row>
    <row r="31" spans="2:21" ht="13.5" customHeight="1" x14ac:dyDescent="0.25">
      <c r="B31" s="15" t="s">
        <v>44</v>
      </c>
      <c r="D31" s="14"/>
      <c r="E31" s="15"/>
      <c r="F31" s="15"/>
      <c r="G31" s="13"/>
      <c r="J31" s="4"/>
      <c r="K31" s="7"/>
      <c r="L31" s="22"/>
      <c r="M31" s="27"/>
      <c r="N31" s="17"/>
      <c r="O31" s="17"/>
      <c r="P31" s="17"/>
      <c r="Q31" s="22"/>
    </row>
    <row r="32" spans="2:21" ht="13.5" customHeight="1" x14ac:dyDescent="0.25">
      <c r="B32" s="15"/>
      <c r="D32" s="14"/>
      <c r="E32" s="15"/>
      <c r="F32" s="15"/>
      <c r="G32" s="13"/>
      <c r="J32" s="4"/>
      <c r="K32" s="7"/>
      <c r="L32" s="22"/>
      <c r="M32" s="28"/>
      <c r="N32" s="17"/>
      <c r="O32" s="17"/>
      <c r="P32" s="17"/>
      <c r="Q32" s="22"/>
    </row>
    <row r="33" spans="2:20" ht="13.5" customHeight="1" x14ac:dyDescent="0.25">
      <c r="B33" s="15"/>
      <c r="C33" s="3" t="s">
        <v>104</v>
      </c>
      <c r="F33" s="15"/>
      <c r="G33" s="13"/>
      <c r="J33" s="4"/>
      <c r="K33" s="7"/>
      <c r="N33" s="12"/>
      <c r="O33" s="12"/>
      <c r="P33" s="8"/>
    </row>
    <row r="34" spans="2:20" ht="13.5" customHeight="1" x14ac:dyDescent="0.25">
      <c r="C34" s="86" t="s">
        <v>46</v>
      </c>
      <c r="J34" s="44"/>
      <c r="P34" s="58"/>
    </row>
    <row r="35" spans="2:20" ht="13.5" customHeight="1" x14ac:dyDescent="0.25">
      <c r="B35" s="15"/>
      <c r="D35" s="14"/>
      <c r="E35" s="3"/>
      <c r="F35" s="15"/>
      <c r="G35" s="13"/>
      <c r="J35" s="4"/>
      <c r="K35" s="7"/>
    </row>
    <row r="36" spans="2:20" ht="13.5" customHeight="1" thickBot="1" x14ac:dyDescent="0.3">
      <c r="D36" s="14"/>
      <c r="E36" s="19" t="s">
        <v>47</v>
      </c>
      <c r="F36" s="19" t="s">
        <v>48</v>
      </c>
      <c r="G36" s="159" t="s">
        <v>49</v>
      </c>
      <c r="H36" s="160" t="s">
        <v>50</v>
      </c>
      <c r="I36" s="19" t="s">
        <v>32</v>
      </c>
      <c r="J36" s="19" t="s">
        <v>51</v>
      </c>
      <c r="L36" s="7"/>
      <c r="N36" s="17"/>
      <c r="O36" s="17"/>
      <c r="P36" s="8"/>
    </row>
    <row r="37" spans="2:20" ht="13.5" customHeight="1" thickBot="1" x14ac:dyDescent="0.3">
      <c r="B37" s="76" t="s">
        <v>52</v>
      </c>
      <c r="D37" s="85"/>
      <c r="E37" s="118">
        <v>380.73374863224569</v>
      </c>
      <c r="F37" s="118">
        <v>322.96039675971127</v>
      </c>
      <c r="G37" s="161">
        <f>0.55*E37+0.45*F37</f>
        <v>354.73574028960525</v>
      </c>
      <c r="H37" s="21" cm="1">
        <f t="array" ref="H37">_xlfn.IFS(OR(MOD(G37,1)&gt;0.5,MOD(G37,1)&lt;0.5),ROUND(G37,0),MOD(G37,1)=0.5,IF(ISEVEN(ROUND(G37,0))=TRUE,ROUND(G37,0),ROUND(G37,0)-1))</f>
        <v>355</v>
      </c>
      <c r="I37" t="s">
        <v>53</v>
      </c>
      <c r="J37" s="58" t="s">
        <v>54</v>
      </c>
      <c r="K37" s="64"/>
      <c r="L37" s="64"/>
      <c r="M37" s="64"/>
    </row>
    <row r="38" spans="2:20" ht="13.5" customHeight="1" thickBot="1" x14ac:dyDescent="0.3">
      <c r="B38" s="67" t="s">
        <v>55</v>
      </c>
      <c r="C38" s="68"/>
      <c r="D38" s="68"/>
      <c r="E38" s="162">
        <f>E37*$L$9</f>
        <v>274.14352836516218</v>
      </c>
      <c r="F38" s="163">
        <f>F37*$L$9</f>
        <v>232.54440408286251</v>
      </c>
      <c r="G38" s="99">
        <f>G37*$L$9</f>
        <v>255.42392243812736</v>
      </c>
      <c r="H38" s="41" cm="1">
        <f t="array" ref="H38">_xlfn.IFS(OR(MOD(G38,1)&gt;0.5,MOD(G38,1)&lt;0.5),ROUND(G38,0),MOD(G38,1)=0.5,IF(ISEVEN(ROUND(G38,0))=TRUE,ROUND(G38,0),ROUND(G38,0)-1))</f>
        <v>255</v>
      </c>
      <c r="I38" s="58" t="s">
        <v>53</v>
      </c>
      <c r="J38" s="69" t="s">
        <v>56</v>
      </c>
      <c r="K38" s="70"/>
      <c r="L38" s="70"/>
      <c r="M38" s="66"/>
      <c r="N38" s="12"/>
      <c r="O38" s="23"/>
      <c r="P38" s="115"/>
    </row>
    <row r="39" spans="2:20" ht="13.5" customHeight="1" thickBot="1" x14ac:dyDescent="0.3">
      <c r="B39" s="76" t="s">
        <v>105</v>
      </c>
      <c r="C39" s="55"/>
      <c r="D39" s="55"/>
      <c r="E39" s="115" cm="1">
        <f t="array" ref="E39">_xlfn.IFS(OR(MOD(E38*G39/G38,1)&gt;0.5,MOD(E38*G39/G38,1)&lt;0.5),ROUND(E38*G39/G38,0),MOD(E38*G39/G38,1)=0.5,IF(ISEVEN(ROUND(E38*G39/G38,0))=TRUE,ROUND(E38*G39/G38,0),ROUND(E38*G39/G38,0)-1))</f>
        <v>241</v>
      </c>
      <c r="F39" s="115" cm="1">
        <f t="array" ref="F39">_xlfn.IFS(OR(MOD(F38*G39/G38,1)&gt;0.5,MOD(F38*G39/G38,1)&lt;0.5),ROUND(F38*G39/G38,0),MOD(F38*G39/G38,1)=0.5,IF(ISEVEN(ROUND(F38*G39/G38,0))=TRUE,ROUND(F38*G39/G38,0),ROUND(F38*G39/G38,0)-1))</f>
        <v>205</v>
      </c>
      <c r="G39" s="115">
        <f>H39</f>
        <v>225</v>
      </c>
      <c r="H39" s="135">
        <v>225</v>
      </c>
      <c r="I39" s="58" t="s">
        <v>106</v>
      </c>
      <c r="J39" s="75" t="s">
        <v>107</v>
      </c>
      <c r="K39" s="75"/>
      <c r="L39" s="75"/>
      <c r="M39" s="75"/>
      <c r="N39" s="75"/>
      <c r="O39" s="75"/>
      <c r="P39" s="23"/>
      <c r="Q39" s="115"/>
      <c r="R39" s="25"/>
    </row>
    <row r="40" spans="2:20" ht="13.5" customHeight="1" x14ac:dyDescent="0.25">
      <c r="B40" s="9"/>
      <c r="C40" s="55"/>
      <c r="D40" s="86"/>
      <c r="E40" s="20"/>
      <c r="F40" s="11"/>
      <c r="G40" s="13"/>
      <c r="J40" s="4"/>
      <c r="K40" s="7"/>
      <c r="L40" s="7"/>
      <c r="N40" s="12"/>
      <c r="O40" s="23"/>
      <c r="P40" s="115"/>
      <c r="Q40" s="25"/>
    </row>
    <row r="41" spans="2:20" ht="13.5" customHeight="1" x14ac:dyDescent="0.25">
      <c r="B41" s="9"/>
      <c r="C41" s="55"/>
      <c r="D41" s="86"/>
      <c r="E41" s="11"/>
      <c r="F41" s="11"/>
      <c r="G41" s="13"/>
      <c r="J41" s="4"/>
      <c r="K41" s="7"/>
      <c r="L41" s="7"/>
      <c r="N41" s="12"/>
      <c r="O41" s="23"/>
      <c r="P41" s="115"/>
      <c r="Q41" s="26"/>
      <c r="S41" s="24"/>
      <c r="T41" s="24"/>
    </row>
    <row r="42" spans="2:20" ht="13.5" customHeight="1" x14ac:dyDescent="0.25">
      <c r="B42" s="9"/>
      <c r="C42" s="55"/>
      <c r="D42" s="55"/>
      <c r="E42" s="11"/>
      <c r="F42" s="11"/>
      <c r="G42" s="13"/>
      <c r="J42" s="4"/>
      <c r="K42" s="7"/>
      <c r="L42" s="7"/>
      <c r="N42" s="12"/>
      <c r="O42" s="23"/>
      <c r="P42" s="115"/>
      <c r="Q42" s="26"/>
      <c r="S42" s="24"/>
      <c r="T42" s="24"/>
    </row>
    <row r="43" spans="2:20" ht="13.5" customHeight="1" x14ac:dyDescent="0.25">
      <c r="B43" s="9"/>
      <c r="C43" s="55"/>
      <c r="D43" s="55"/>
      <c r="E43" s="16" t="s">
        <v>57</v>
      </c>
      <c r="F43" s="11"/>
      <c r="G43" s="13"/>
      <c r="J43" s="4"/>
      <c r="K43" s="7"/>
      <c r="O43" s="23"/>
      <c r="P43" s="115"/>
      <c r="Q43" s="26"/>
      <c r="S43" s="24"/>
      <c r="T43" s="24"/>
    </row>
    <row r="44" spans="2:20" ht="13.5" customHeight="1" thickBot="1" x14ac:dyDescent="0.3">
      <c r="B44" s="59"/>
      <c r="C44" s="14"/>
      <c r="D44" s="14"/>
      <c r="E44" s="11"/>
      <c r="F44" s="16"/>
      <c r="G44" s="7"/>
      <c r="J44" s="4"/>
      <c r="K44" s="7"/>
      <c r="O44" s="23"/>
      <c r="P44" s="115"/>
      <c r="Q44" s="26"/>
      <c r="S44" s="24"/>
      <c r="T44" s="24"/>
    </row>
    <row r="45" spans="2:20" ht="13.5" customHeight="1" thickBot="1" x14ac:dyDescent="0.3">
      <c r="B45" s="56"/>
      <c r="C45" s="57"/>
      <c r="D45" s="55"/>
      <c r="E45" s="64"/>
      <c r="F45" s="64"/>
      <c r="G45" s="87"/>
      <c r="H45" s="88" t="s">
        <v>58</v>
      </c>
      <c r="I45" s="89">
        <v>8500</v>
      </c>
      <c r="J45" s="58" t="s">
        <v>59</v>
      </c>
      <c r="O45" s="23"/>
      <c r="Q45" s="26"/>
      <c r="S45" s="24"/>
      <c r="T45" s="24"/>
    </row>
    <row r="46" spans="2:20" ht="13.5" customHeight="1" thickBot="1" x14ac:dyDescent="0.3">
      <c r="E46" s="90"/>
      <c r="F46" s="64"/>
      <c r="G46" s="64"/>
      <c r="H46" s="63" t="s">
        <v>60</v>
      </c>
      <c r="I46" s="91">
        <v>0.17</v>
      </c>
      <c r="J46" s="58" t="s">
        <v>61</v>
      </c>
      <c r="Q46" s="26"/>
      <c r="S46" s="24"/>
      <c r="T46" s="24"/>
    </row>
    <row r="47" spans="2:20" ht="13.5" customHeight="1" x14ac:dyDescent="0.25">
      <c r="E47" s="90"/>
      <c r="F47" s="92" t="s">
        <v>62</v>
      </c>
      <c r="G47" s="64"/>
      <c r="H47" s="64"/>
      <c r="I47" s="64"/>
      <c r="K47" s="48"/>
      <c r="L47" s="49"/>
      <c r="Q47" s="26"/>
      <c r="S47" s="24"/>
      <c r="T47" s="24"/>
    </row>
    <row r="48" spans="2:20" ht="13.5" customHeight="1" x14ac:dyDescent="0.25">
      <c r="E48" s="90"/>
      <c r="F48" s="92"/>
      <c r="G48" s="64"/>
      <c r="H48" s="64"/>
      <c r="I48" s="64"/>
      <c r="K48" s="48"/>
      <c r="L48" s="49"/>
      <c r="Q48" s="26"/>
      <c r="S48" s="24"/>
      <c r="T48" s="24"/>
    </row>
    <row r="49" spans="2:20" ht="13.5" customHeight="1" x14ac:dyDescent="0.25">
      <c r="E49" s="58"/>
      <c r="H49" s="65" t="s">
        <v>108</v>
      </c>
      <c r="I49" s="121">
        <f>IF(ISBLANK(L25),1/((G19/1000)/L9),100/L28)</f>
        <v>3.5714285714285716</v>
      </c>
      <c r="M49" s="93" t="s">
        <v>64</v>
      </c>
      <c r="N49" s="94"/>
      <c r="O49" s="93" t="s">
        <v>64</v>
      </c>
      <c r="Q49" s="26"/>
      <c r="S49" s="24"/>
      <c r="T49" s="24"/>
    </row>
    <row r="50" spans="2:20" ht="13.5" customHeight="1" x14ac:dyDescent="0.25">
      <c r="E50" s="58"/>
      <c r="H50" s="65" t="s">
        <v>109</v>
      </c>
      <c r="I50" s="4" cm="1">
        <f t="array" ref="I50">_xlfn.IFS(OR(MOD(I49*1000,1)&gt;0.5,MOD(I49*1000,1)&lt;0.5),ROUND(I49,3),MOD(I49*1000,1)=0.5,IF(ISEVEN(ROUND(I49*1000,0))=TRUE,ROUND(I49,3),(ROUND(I49*1000,0)-1)/1000))</f>
        <v>3.5710000000000002</v>
      </c>
      <c r="M50" s="93"/>
      <c r="N50" s="94"/>
      <c r="O50" s="93"/>
      <c r="Q50" s="26"/>
      <c r="S50" s="24"/>
      <c r="T50" s="24"/>
    </row>
    <row r="51" spans="2:20" ht="13.5" customHeight="1" x14ac:dyDescent="0.25">
      <c r="M51" s="55" t="s">
        <v>66</v>
      </c>
      <c r="N51" s="51"/>
      <c r="O51" s="80" t="s">
        <v>67</v>
      </c>
      <c r="Q51" s="26"/>
      <c r="S51" s="24"/>
      <c r="T51" s="24"/>
    </row>
    <row r="52" spans="2:20" ht="13.5" customHeight="1" x14ac:dyDescent="0.25">
      <c r="G52" s="5"/>
      <c r="I52" s="122" t="s">
        <v>68</v>
      </c>
      <c r="M52" s="55" t="s">
        <v>69</v>
      </c>
      <c r="N52" s="23"/>
      <c r="O52" s="80" t="s">
        <v>70</v>
      </c>
      <c r="Q52" s="164"/>
      <c r="S52" s="24"/>
      <c r="T52" s="24"/>
    </row>
    <row r="53" spans="2:20" ht="13.5" customHeight="1" thickBot="1" x14ac:dyDescent="0.3">
      <c r="B53" s="61" t="s">
        <v>71</v>
      </c>
      <c r="C53" s="29"/>
      <c r="D53" s="30"/>
      <c r="F53" s="19" t="s">
        <v>72</v>
      </c>
      <c r="G53" s="95" t="s">
        <v>73</v>
      </c>
      <c r="H53" s="19" t="s">
        <v>32</v>
      </c>
      <c r="I53" s="95" t="s">
        <v>74</v>
      </c>
      <c r="J53" s="95" t="s">
        <v>75</v>
      </c>
      <c r="M53" s="95" t="s">
        <v>76</v>
      </c>
      <c r="N53" s="23"/>
      <c r="O53" s="80" t="s">
        <v>77</v>
      </c>
      <c r="Q53" s="164"/>
      <c r="S53" s="24"/>
      <c r="T53" s="24"/>
    </row>
    <row r="54" spans="2:20" ht="13.5" customHeight="1" thickBot="1" x14ac:dyDescent="0.3">
      <c r="B54" s="60" t="s">
        <v>78</v>
      </c>
      <c r="C54" s="22"/>
      <c r="D54" s="32"/>
      <c r="F54" s="53">
        <v>15000</v>
      </c>
      <c r="G54" s="165">
        <f>I46</f>
        <v>0.17</v>
      </c>
      <c r="H54" t="s">
        <v>79</v>
      </c>
      <c r="I54" s="111">
        <f>$F$54*$G$54*(1/$I$49)</f>
        <v>713.99999999999989</v>
      </c>
      <c r="J54" s="71" t="s">
        <v>80</v>
      </c>
      <c r="K54" s="72"/>
      <c r="L54" s="66"/>
      <c r="M54" s="137" cm="1">
        <f t="array" ref="M54">_xlfn.IFS(OR(MOD((I54/50),1)&gt;0.5,MOD((I54/50),1)&lt;0.5),ROUND((I54/50),0),MOD((I54/50),1)=0.5,IF(ISEVEN(ROUND((I54/50),0))=TRUE,ROUND((I54/50),0),ROUND((I54/50),0)-1))*50</f>
        <v>700</v>
      </c>
      <c r="N54" s="40"/>
      <c r="O54" s="137">
        <f>$I$45 - 5*$M$54</f>
        <v>5000</v>
      </c>
      <c r="Q54" s="164"/>
      <c r="S54" s="24"/>
      <c r="T54" s="24"/>
    </row>
    <row r="55" spans="2:20" ht="13.5" customHeight="1" x14ac:dyDescent="0.25">
      <c r="B55" s="31"/>
      <c r="C55" s="22"/>
      <c r="D55" s="32"/>
      <c r="Q55" s="164"/>
      <c r="S55" s="24"/>
      <c r="T55" s="24"/>
    </row>
    <row r="56" spans="2:20" ht="13.5" customHeight="1" x14ac:dyDescent="0.25">
      <c r="B56" s="33">
        <v>33705</v>
      </c>
      <c r="C56" s="22" t="s">
        <v>81</v>
      </c>
      <c r="D56" s="32"/>
      <c r="G56" s="18"/>
      <c r="H56" s="208" t="s">
        <v>82</v>
      </c>
      <c r="I56" s="208"/>
      <c r="J56" s="208"/>
      <c r="K56" s="52"/>
      <c r="L56" s="81" t="s">
        <v>83</v>
      </c>
      <c r="N56" s="82"/>
      <c r="O56" s="83"/>
      <c r="Q56" s="164"/>
      <c r="S56" s="24"/>
      <c r="T56" s="24"/>
    </row>
    <row r="57" spans="2:20" ht="13.5" customHeight="1" x14ac:dyDescent="0.25">
      <c r="B57" s="34"/>
      <c r="C57" s="35"/>
      <c r="D57" s="36"/>
      <c r="H57" s="208"/>
      <c r="I57" s="208"/>
      <c r="J57" s="208"/>
      <c r="L57" t="s">
        <v>84</v>
      </c>
      <c r="P57" s="166"/>
      <c r="Q57" s="166"/>
      <c r="S57" s="24"/>
      <c r="T57" s="24"/>
    </row>
    <row r="58" spans="2:20" ht="13.5" customHeight="1" x14ac:dyDescent="0.25">
      <c r="H58" s="208"/>
      <c r="I58" s="208"/>
      <c r="J58" s="208"/>
      <c r="L58" t="s">
        <v>85</v>
      </c>
      <c r="Q58" s="26"/>
      <c r="S58" s="24"/>
      <c r="T58" s="24"/>
    </row>
    <row r="59" spans="2:20" ht="13.5" customHeight="1" x14ac:dyDescent="0.25">
      <c r="Q59" s="26"/>
      <c r="S59" s="24"/>
      <c r="T59" s="24"/>
    </row>
    <row r="60" spans="2:20" ht="13.5" customHeight="1" x14ac:dyDescent="0.25">
      <c r="B60" s="203" t="s">
        <v>86</v>
      </c>
      <c r="C60" s="204"/>
      <c r="D60" s="205"/>
      <c r="Q60" s="26"/>
      <c r="S60" s="24"/>
      <c r="T60" s="24"/>
    </row>
    <row r="61" spans="2:20" ht="33" customHeight="1" x14ac:dyDescent="0.25">
      <c r="B61" s="130" t="s">
        <v>87</v>
      </c>
      <c r="C61" s="131" t="s">
        <v>88</v>
      </c>
      <c r="D61" s="132" t="s">
        <v>89</v>
      </c>
    </row>
    <row r="62" spans="2:20" ht="13.5" customHeight="1" x14ac:dyDescent="0.25">
      <c r="B62" s="31">
        <v>10</v>
      </c>
      <c r="C62" s="126">
        <v>121</v>
      </c>
      <c r="D62" s="127">
        <v>999</v>
      </c>
      <c r="M62" s="122" t="s">
        <v>64</v>
      </c>
      <c r="O62" s="122" t="s">
        <v>64</v>
      </c>
    </row>
    <row r="63" spans="2:20" ht="13.5" customHeight="1" thickBot="1" x14ac:dyDescent="0.3">
      <c r="B63" s="31">
        <v>9</v>
      </c>
      <c r="C63" s="126">
        <v>67</v>
      </c>
      <c r="D63" s="127">
        <v>120</v>
      </c>
      <c r="M63" s="122" t="s">
        <v>87</v>
      </c>
      <c r="O63" s="122" t="s">
        <v>90</v>
      </c>
    </row>
    <row r="64" spans="2:20" ht="13.5" customHeight="1" thickBot="1" x14ac:dyDescent="0.3">
      <c r="B64" s="31">
        <v>8</v>
      </c>
      <c r="C64" s="126">
        <v>47</v>
      </c>
      <c r="D64" s="127">
        <v>66</v>
      </c>
      <c r="M64" s="138" cm="1">
        <f t="array" ref="M64">_xlfn.IFS(L25&gt;=C62,B62,L25&gt;=C63,B63,L25&gt;=C64,B64,L25&gt;=C65,B65,L25&gt;=C66,B66,L25&gt;=C67,B67,L25&gt;=C68,B68,L25&gt;=C69,B69,L25&gt;=C70,B70,TRUE,B71)</f>
        <v>9</v>
      </c>
      <c r="O64" s="138">
        <v>10</v>
      </c>
    </row>
    <row r="65" spans="2:16" ht="13.5" customHeight="1" x14ac:dyDescent="0.25">
      <c r="B65" s="31">
        <v>7</v>
      </c>
      <c r="C65" s="126">
        <v>36</v>
      </c>
      <c r="D65" s="127">
        <v>46</v>
      </c>
      <c r="N65" s="207" t="s">
        <v>91</v>
      </c>
      <c r="O65" s="207"/>
      <c r="P65" s="207"/>
    </row>
    <row r="66" spans="2:16" ht="13.5" customHeight="1" x14ac:dyDescent="0.25">
      <c r="B66" s="31">
        <v>6</v>
      </c>
      <c r="C66" s="126">
        <v>29</v>
      </c>
      <c r="D66" s="127">
        <v>35</v>
      </c>
      <c r="N66" s="207"/>
      <c r="O66" s="207"/>
      <c r="P66" s="207"/>
    </row>
    <row r="67" spans="2:16" ht="13.5" customHeight="1" x14ac:dyDescent="0.25">
      <c r="B67" s="31">
        <v>5</v>
      </c>
      <c r="C67" s="126">
        <v>23</v>
      </c>
      <c r="D67" s="127">
        <v>28</v>
      </c>
      <c r="N67" s="207"/>
      <c r="O67" s="207"/>
      <c r="P67" s="207"/>
    </row>
    <row r="68" spans="2:16" ht="13.5" customHeight="1" x14ac:dyDescent="0.25">
      <c r="B68" s="31">
        <v>4</v>
      </c>
      <c r="C68" s="126">
        <v>19</v>
      </c>
      <c r="D68" s="127">
        <v>22</v>
      </c>
      <c r="N68" s="207"/>
      <c r="O68" s="207"/>
      <c r="P68" s="207"/>
    </row>
    <row r="69" spans="2:16" ht="13.5" customHeight="1" x14ac:dyDescent="0.25">
      <c r="B69" s="31">
        <v>3</v>
      </c>
      <c r="C69" s="126">
        <v>16</v>
      </c>
      <c r="D69" s="127">
        <v>18</v>
      </c>
      <c r="N69" s="207"/>
      <c r="O69" s="207"/>
      <c r="P69" s="207"/>
    </row>
    <row r="70" spans="2:16" ht="13.5" customHeight="1" x14ac:dyDescent="0.25">
      <c r="B70" s="31">
        <v>2</v>
      </c>
      <c r="C70" s="126">
        <v>14</v>
      </c>
      <c r="D70" s="127">
        <v>15</v>
      </c>
      <c r="N70" s="207"/>
      <c r="O70" s="207"/>
      <c r="P70" s="207"/>
    </row>
    <row r="71" spans="2:16" ht="13.5" customHeight="1" x14ac:dyDescent="0.25">
      <c r="B71" s="34">
        <v>1</v>
      </c>
      <c r="C71" s="128">
        <v>0</v>
      </c>
      <c r="D71" s="129">
        <v>13</v>
      </c>
      <c r="E71" s="58" t="s">
        <v>92</v>
      </c>
    </row>
  </sheetData>
  <mergeCells count="7">
    <mergeCell ref="B60:D60"/>
    <mergeCell ref="N65:P70"/>
    <mergeCell ref="C1:K1"/>
    <mergeCell ref="C2:K2"/>
    <mergeCell ref="E17:G17"/>
    <mergeCell ref="J17:M17"/>
    <mergeCell ref="H56:J58"/>
  </mergeCells>
  <dataValidations count="5">
    <dataValidation type="custom" allowBlank="1" showInputMessage="1" showErrorMessage="1" sqref="I46" xr:uid="{ABA68D5C-EE4C-41CA-962F-C9468D3C36D0}">
      <formula1>OR(IF(ISERROR(FIND(".",I46)),LEN(I46)&gt;0,LEN(MID(I46,FIND(".",I46)+1,25))&lt;3))</formula1>
    </dataValidation>
    <dataValidation type="custom" allowBlank="1" showInputMessage="1" showErrorMessage="1" sqref="E37:F37" xr:uid="{6DC59F66-7CA8-4DB6-A13F-CF0B3786F709}">
      <formula1>OR(IF(ISERROR(FIND(".",E37)),LEN(E37)&gt;0,LEN(MID(E37,FIND(".",E37)+1,25))&lt;4))</formula1>
    </dataValidation>
    <dataValidation type="custom" allowBlank="1" showInputMessage="1" showErrorMessage="1" sqref="E19:F19 L9" xr:uid="{057E6B64-62AE-470D-BD6F-967999AC3049}">
      <formula1>OR(IF(ISERROR(FIND(".",E9)),LEN(E9)&gt;0,LEN(MID(E9,FIND(".",E9)+1,25))&lt;6))</formula1>
    </dataValidation>
    <dataValidation type="whole" allowBlank="1" showInputMessage="1" showErrorMessage="1" sqref="I45" xr:uid="{4BDB25B4-CC40-45EB-93C0-A6EE32B0A676}">
      <formula1>999</formula1>
      <formula2>99999</formula2>
    </dataValidation>
    <dataValidation type="whole" allowBlank="1" showInputMessage="1" showErrorMessage="1" sqref="L25:L26" xr:uid="{4F5CAB74-BA86-45CF-BE65-F68738D8CD48}">
      <formula1>1</formula1>
      <formula2>9999</formula2>
    </dataValidation>
  </dataValidations>
  <hyperlinks>
    <hyperlink ref="C2:K2" r:id="rId1" display="This sheet is designed to be able use &quot;Set Precision As Displayed&quot; to reduce floating point errors if needed. Do not change number formatting except to increase decimial places if needed. If you encounter a floating point error, enable &quot;Set Precision As Displayed&quot;." xr:uid="{B6811CB5-56BE-4235-BA3F-BB3EC87AB827}"/>
  </hyperlinks>
  <printOptions horizontalCentered="1"/>
  <pageMargins left="0.45" right="0.45" top="1" bottom="0.5" header="0.5" footer="0"/>
  <pageSetup scale="47" fitToHeight="0" orientation="landscape" r:id="rId2"/>
  <headerFooter alignWithMargins="0">
    <oddHeader>&amp;L&amp;G&amp;C&amp;"Calibri,Bold"&amp;11EPA 2026 Generic EV Label Calculator &amp;R&amp;"Calibri,Regular"&amp;11Office of Transportation and Air Quality
September 2025</oddHeader>
  </headerFooter>
  <legacyDrawing r:id="rId3"/>
  <legacyDrawingHF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EV Calculations (Calcs)</vt:lpstr>
      <vt:lpstr>EV Calcs - Vountarily Adjusted</vt:lpstr>
    </vt:vector>
  </TitlesOfParts>
  <Manager/>
  <Company>EPA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EPA 2024 Generic EV Label Calculator - FE Label MPG Calculations for Electric Vehicles (February 2023)</dc:title>
  <dc:subject>EPA calculator: calculates electric vehicle FE label city, highway, combined FE values; also, calculates the adjusted EV city and highway driving range values using the SAE J1634 method and 2017MY and later model year derived 5-cycle coefficients method.</dc:subject>
  <dc:creator>U.S. EPA;OAR;Office of Transportation and Air Quality;Compliance Division</dc:creator>
  <cp:keywords/>
  <dc:description/>
  <cp:lastModifiedBy>Pugliese, Holly</cp:lastModifiedBy>
  <cp:revision/>
  <dcterms:created xsi:type="dcterms:W3CDTF">2006-12-28T20:41:45Z</dcterms:created>
  <dcterms:modified xsi:type="dcterms:W3CDTF">2025-10-20T18:45:47Z</dcterms:modified>
  <cp:category/>
  <cp:contentStatus/>
</cp:coreProperties>
</file>