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defaultThemeVersion="124226"/>
  <mc:AlternateContent xmlns:mc="http://schemas.openxmlformats.org/markup-compatibility/2006">
    <mc:Choice Requires="x15">
      <x15ac:absPath xmlns:x15ac="http://schemas.microsoft.com/office/spreadsheetml/2010/11/ac" url="https://easternresearchgroup.sharepoint.com/sites/CAAICRRenewals/Shared Documents/General/FY25_Drafts/1055.14 NSPS for Kraft Pulp Mills (40 CFR Part 60, Subpart BB)/Send to EPA/"/>
    </mc:Choice>
  </mc:AlternateContent>
  <xr:revisionPtr revIDLastSave="0" documentId="8_{1A26B82D-5A4F-4869-A9BA-356CFEB92864}" xr6:coauthVersionLast="47" xr6:coauthVersionMax="47" xr10:uidLastSave="{00000000-0000-0000-0000-000000000000}"/>
  <bookViews>
    <workbookView xWindow="22932" yWindow="-108" windowWidth="23256" windowHeight="12456" xr2:uid="{00000000-000D-0000-FFFF-FFFF00000000}"/>
  </bookViews>
  <sheets>
    <sheet name="Summary" sheetId="4" r:id="rId1"/>
    <sheet name="Table 1" sheetId="1" r:id="rId2"/>
    <sheet name="Table 2" sheetId="2" r:id="rId3"/>
    <sheet name="Capital O&amp;M" sheetId="3" r:id="rId4"/>
    <sheet name="Respondents" sheetId="5" r:id="rId5"/>
    <sheet name="Responses" sheetId="6" r:id="rId6"/>
  </sheets>
  <calcPr calcId="191028"/>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1" i="3" l="1"/>
  <c r="I16" i="2"/>
  <c r="I29" i="1"/>
  <c r="I31" i="1"/>
  <c r="F31" i="1"/>
  <c r="F30" i="1"/>
  <c r="F22" i="1"/>
  <c r="L33" i="1"/>
  <c r="B3" i="4"/>
  <c r="E8" i="5"/>
  <c r="D8" i="5"/>
  <c r="B8" i="5"/>
  <c r="F5" i="5"/>
  <c r="E12" i="6"/>
  <c r="E11" i="6"/>
  <c r="E10" i="6"/>
  <c r="E9" i="6"/>
  <c r="E8" i="6"/>
  <c r="E7" i="6"/>
  <c r="E6" i="6"/>
  <c r="E5" i="6"/>
  <c r="E4" i="6"/>
  <c r="E13" i="6" s="1"/>
  <c r="E8" i="3"/>
  <c r="E7" i="3"/>
  <c r="E6" i="3"/>
  <c r="B10" i="3"/>
  <c r="B9" i="3"/>
  <c r="B8" i="3"/>
  <c r="B7" i="3"/>
  <c r="B6" i="3"/>
  <c r="C6" i="5" l="1"/>
  <c r="G9" i="3"/>
  <c r="G10" i="3"/>
  <c r="D21" i="1"/>
  <c r="D20" i="1"/>
  <c r="D18" i="1"/>
  <c r="F18" i="1" s="1"/>
  <c r="C10" i="1"/>
  <c r="C14" i="1" s="1"/>
  <c r="D16" i="2"/>
  <c r="D14" i="2"/>
  <c r="F14" i="2" s="1"/>
  <c r="C14" i="2"/>
  <c r="C6" i="2"/>
  <c r="C9" i="2" s="1"/>
  <c r="D9" i="2" s="1"/>
  <c r="F9" i="2" s="1"/>
  <c r="F6" i="5" l="1"/>
  <c r="G18" i="1"/>
  <c r="H18" i="1"/>
  <c r="G14" i="2"/>
  <c r="H14" i="2"/>
  <c r="G9" i="2"/>
  <c r="H9" i="2"/>
  <c r="C7" i="5" l="1"/>
  <c r="I18" i="1"/>
  <c r="I14" i="2"/>
  <c r="I9" i="2"/>
  <c r="F7" i="5" l="1"/>
  <c r="F8" i="5" s="1"/>
  <c r="C8" i="5"/>
  <c r="G7" i="3"/>
  <c r="G8" i="3"/>
  <c r="G6" i="3"/>
  <c r="F16" i="2"/>
  <c r="D13" i="2"/>
  <c r="F13" i="2" s="1"/>
  <c r="G13" i="2" s="1"/>
  <c r="D12" i="2"/>
  <c r="F12" i="2" s="1"/>
  <c r="G12" i="2" s="1"/>
  <c r="D11" i="2"/>
  <c r="F11" i="2" s="1"/>
  <c r="G11" i="2" s="1"/>
  <c r="D10" i="2"/>
  <c r="F10" i="2" s="1"/>
  <c r="G10" i="2" s="1"/>
  <c r="D8" i="2"/>
  <c r="F8" i="2" s="1"/>
  <c r="G8" i="2" s="1"/>
  <c r="D6" i="2"/>
  <c r="F6" i="2" s="1"/>
  <c r="D5" i="2"/>
  <c r="F5" i="2" s="1"/>
  <c r="D29" i="1"/>
  <c r="D17" i="1"/>
  <c r="F17" i="1" s="1"/>
  <c r="G17" i="1" s="1"/>
  <c r="D16" i="1"/>
  <c r="F16" i="1" s="1"/>
  <c r="G16" i="1" s="1"/>
  <c r="D15" i="1"/>
  <c r="F15" i="1" s="1"/>
  <c r="G15" i="1" s="1"/>
  <c r="D14" i="1"/>
  <c r="F14" i="1" s="1"/>
  <c r="G14" i="1" s="1"/>
  <c r="D13" i="1"/>
  <c r="F13" i="1" s="1"/>
  <c r="G13" i="1" s="1"/>
  <c r="D10" i="1"/>
  <c r="F10" i="1" s="1"/>
  <c r="G10" i="1" s="1"/>
  <c r="D9" i="1"/>
  <c r="F9" i="1" s="1"/>
  <c r="D7" i="1"/>
  <c r="I32" i="1" l="1"/>
  <c r="B6" i="4" s="1"/>
  <c r="E20" i="1"/>
  <c r="F20" i="1" s="1"/>
  <c r="E21" i="1"/>
  <c r="F21" i="1" s="1"/>
  <c r="G9" i="1"/>
  <c r="F29" i="1"/>
  <c r="F7" i="1"/>
  <c r="G16" i="2"/>
  <c r="H16" i="2"/>
  <c r="G6" i="2"/>
  <c r="H6" i="2"/>
  <c r="G5" i="2"/>
  <c r="H5" i="2"/>
  <c r="H8" i="2"/>
  <c r="I8" i="2" s="1"/>
  <c r="H10" i="2"/>
  <c r="I10" i="2" s="1"/>
  <c r="H11" i="2"/>
  <c r="I11" i="2" s="1"/>
  <c r="H12" i="2"/>
  <c r="I12" i="2" s="1"/>
  <c r="H13" i="2"/>
  <c r="I13" i="2" s="1"/>
  <c r="H13" i="1"/>
  <c r="I13" i="1" s="1"/>
  <c r="H14" i="1"/>
  <c r="I14" i="1" s="1"/>
  <c r="H15" i="1"/>
  <c r="I15" i="1" s="1"/>
  <c r="H16" i="1"/>
  <c r="I16" i="1" s="1"/>
  <c r="H17" i="1"/>
  <c r="I17" i="1" s="1"/>
  <c r="H10" i="1"/>
  <c r="I10" i="1" s="1"/>
  <c r="H9" i="1"/>
  <c r="F17" i="2" l="1"/>
  <c r="H7" i="1"/>
  <c r="H29" i="1"/>
  <c r="G20" i="1"/>
  <c r="H20" i="1"/>
  <c r="H21" i="1"/>
  <c r="G21" i="1"/>
  <c r="I9" i="1"/>
  <c r="G29" i="1"/>
  <c r="G7" i="1"/>
  <c r="I6" i="2"/>
  <c r="I5" i="2"/>
  <c r="I17" i="2" l="1"/>
  <c r="I7" i="1"/>
  <c r="I21" i="1"/>
  <c r="I30" i="1"/>
  <c r="I20" i="1"/>
  <c r="I22" i="1" l="1"/>
  <c r="F33" i="1"/>
  <c r="B4" i="4" s="1"/>
  <c r="L34" i="1"/>
  <c r="B2" i="4" s="1"/>
  <c r="I33" i="1" l="1"/>
  <c r="B5" i="4" s="1"/>
</calcChain>
</file>

<file path=xl/sharedStrings.xml><?xml version="1.0" encoding="utf-8"?>
<sst xmlns="http://schemas.openxmlformats.org/spreadsheetml/2006/main" count="177" uniqueCount="144">
  <si>
    <t>ICR Summary Information</t>
  </si>
  <si>
    <t>Hours Per Response</t>
  </si>
  <si>
    <t>Number of Respondents</t>
  </si>
  <si>
    <t>Total Estimated Burden Hours</t>
  </si>
  <si>
    <t>Total Estimated Costs</t>
  </si>
  <si>
    <t>Annualized Capital O&amp;M</t>
  </si>
  <si>
    <t>Form Number</t>
  </si>
  <si>
    <t>Not Applicable</t>
  </si>
  <si>
    <t>Table 1:  Annual Respondent Burden and Cost – NSPS for Kraft Pulp Mills (40 CFR Part 60, Subpart BB) (Renewal)</t>
  </si>
  <si>
    <t>Burden item</t>
  </si>
  <si>
    <t>(A)
Person hours per occurrence</t>
  </si>
  <si>
    <t>(B)
No. of occurrences per respondent per year</t>
  </si>
  <si>
    <t>(C)
Person hours per respondent per year
(C = A x B)</t>
  </si>
  <si>
    <r>
      <t xml:space="preserve">(D)
Respondents per year </t>
    </r>
    <r>
      <rPr>
        <b/>
        <vertAlign val="superscript"/>
        <sz val="10"/>
        <color theme="1"/>
        <rFont val="Times New Roman"/>
        <family val="1"/>
      </rPr>
      <t>a</t>
    </r>
  </si>
  <si>
    <t>(E)
Technical person- hours per year 
(E = C x D)</t>
  </si>
  <si>
    <t>(F)
Management person hours per year 
(E x 0.05)</t>
  </si>
  <si>
    <t>(G)
Clerical person hours per year 
(E x 0.1)</t>
  </si>
  <si>
    <r>
      <t xml:space="preserve">(H)
Total Cost Per year </t>
    </r>
    <r>
      <rPr>
        <b/>
        <vertAlign val="superscript"/>
        <sz val="10"/>
        <color theme="1"/>
        <rFont val="Times New Roman"/>
        <family val="1"/>
      </rPr>
      <t>b</t>
    </r>
  </si>
  <si>
    <t>1.  Applications</t>
  </si>
  <si>
    <t>N/A</t>
  </si>
  <si>
    <t>Labor Rates</t>
  </si>
  <si>
    <t>2.  Survey and Studies</t>
  </si>
  <si>
    <t>Management</t>
  </si>
  <si>
    <t>3.  Reporting requirements</t>
  </si>
  <si>
    <t>Technical</t>
  </si>
  <si>
    <r>
      <t xml:space="preserve">A.  Familiarization with rule requirements </t>
    </r>
    <r>
      <rPr>
        <vertAlign val="superscript"/>
        <sz val="10"/>
        <color theme="1"/>
        <rFont val="Times New Roman"/>
        <family val="1"/>
      </rPr>
      <t>c</t>
    </r>
  </si>
  <si>
    <t>Clerical</t>
  </si>
  <si>
    <t>B.  Required activities</t>
  </si>
  <si>
    <r>
      <t xml:space="preserve">Initial performance tests </t>
    </r>
    <r>
      <rPr>
        <vertAlign val="superscript"/>
        <sz val="10"/>
        <color theme="1"/>
        <rFont val="Times New Roman"/>
        <family val="1"/>
      </rPr>
      <t>d</t>
    </r>
  </si>
  <si>
    <r>
      <t xml:space="preserve">Repeat of performance tests </t>
    </r>
    <r>
      <rPr>
        <vertAlign val="superscript"/>
        <sz val="10"/>
        <color theme="1"/>
        <rFont val="Times New Roman"/>
        <family val="1"/>
      </rPr>
      <t>e</t>
    </r>
  </si>
  <si>
    <t>C.  Gather existing information</t>
  </si>
  <si>
    <t xml:space="preserve">See 3B </t>
  </si>
  <si>
    <t>D.  Write Report</t>
  </si>
  <si>
    <t>Notification of construction/ reconstruction</t>
  </si>
  <si>
    <t xml:space="preserve">Notification of performance test   </t>
  </si>
  <si>
    <t>Notification of actual startup</t>
  </si>
  <si>
    <t>Notification of CMS demonstration</t>
  </si>
  <si>
    <t>Notification of physical changes</t>
  </si>
  <si>
    <t>Notification of opacity or visible emissions observations</t>
  </si>
  <si>
    <t>Report of performance test</t>
  </si>
  <si>
    <t>See 3B</t>
  </si>
  <si>
    <r>
      <t xml:space="preserve">Semiannual report </t>
    </r>
    <r>
      <rPr>
        <vertAlign val="superscript"/>
        <sz val="10"/>
        <color theme="1"/>
        <rFont val="Times New Roman"/>
        <family val="1"/>
      </rPr>
      <t>f</t>
    </r>
  </si>
  <si>
    <r>
      <t xml:space="preserve">Excess emissions report </t>
    </r>
    <r>
      <rPr>
        <vertAlign val="superscript"/>
        <sz val="10"/>
        <color theme="1"/>
        <rFont val="Times New Roman"/>
        <family val="1"/>
      </rPr>
      <t>g</t>
    </r>
  </si>
  <si>
    <t>Subtotal  for Reporting  Requirements</t>
  </si>
  <si>
    <t>4.  Recordkeeping requirements</t>
  </si>
  <si>
    <t>A.  Familiarization with rule requirements</t>
  </si>
  <si>
    <t>See 3A</t>
  </si>
  <si>
    <t>B.  Plan activities</t>
  </si>
  <si>
    <t xml:space="preserve">C.  Implement Activities </t>
  </si>
  <si>
    <t>D.  Develop record system</t>
  </si>
  <si>
    <t>E.  Time to enter and transmit information</t>
  </si>
  <si>
    <r>
      <t xml:space="preserve">Records of operating parameters </t>
    </r>
    <r>
      <rPr>
        <vertAlign val="superscript"/>
        <sz val="10"/>
        <color theme="1"/>
        <rFont val="Times New Roman"/>
        <family val="1"/>
      </rPr>
      <t>h</t>
    </r>
  </si>
  <si>
    <t xml:space="preserve">Subtotal  for Recordkeeping Requirements  </t>
  </si>
  <si>
    <r>
      <t xml:space="preserve">Total Labor Burden and Costs (rounded) </t>
    </r>
    <r>
      <rPr>
        <b/>
        <vertAlign val="superscript"/>
        <sz val="10"/>
        <color theme="1"/>
        <rFont val="Times New Roman"/>
        <family val="1"/>
      </rPr>
      <t>j</t>
    </r>
  </si>
  <si>
    <r>
      <t xml:space="preserve">Total Capital and O&amp;M Cost (rounded) </t>
    </r>
    <r>
      <rPr>
        <b/>
        <vertAlign val="superscript"/>
        <sz val="10"/>
        <color rgb="FF000000"/>
        <rFont val="Times New Roman"/>
        <family val="1"/>
      </rPr>
      <t>j</t>
    </r>
  </si>
  <si>
    <r>
      <t xml:space="preserve">GRAND TOTAL (rounded) </t>
    </r>
    <r>
      <rPr>
        <b/>
        <vertAlign val="superscript"/>
        <sz val="10"/>
        <color theme="1"/>
        <rFont val="Times New Roman"/>
        <family val="1"/>
      </rPr>
      <t>j</t>
    </r>
  </si>
  <si>
    <t>Responses</t>
  </si>
  <si>
    <t>Hours/response</t>
  </si>
  <si>
    <t>Assumptions:</t>
  </si>
  <si>
    <r>
      <rPr>
        <vertAlign val="superscript"/>
        <sz val="10"/>
        <color rgb="FF000000"/>
        <rFont val="Times New Roman"/>
        <family val="1"/>
      </rPr>
      <t>a</t>
    </r>
    <r>
      <rPr>
        <sz val="10"/>
        <color rgb="FF000000"/>
        <rFont val="Times New Roman"/>
        <family val="1"/>
      </rPr>
      <t xml:space="preserve">  We have assumed an average of 85 existing respondents per year over the next three years. No new respondents are anticipated over the next three years.</t>
    </r>
  </si>
  <si>
    <r>
      <t>b</t>
    </r>
    <r>
      <rPr>
        <sz val="10"/>
        <color rgb="FF000000"/>
        <rFont val="Times New Roman"/>
        <family val="1"/>
      </rPr>
      <t xml:space="preserve">  This ICR uses the following labor rates: Managerial $172.41 ($82.10+ 110%); Technical $141.75 ($67.50 + 110%); and Clerical $71.36 ($33.98 + 110%). These rates are from the United States Department of Labor, Bureau of Labor Statistics, December 2023, “Table 2. Civilian workers by occupational and industry group.” The rates are from column 1, “Total compensation.” The rates are increased by 110 percent to account for varying industry wage rates and the additional overhead business costs of employing workers beyond their wages and benefits, including business expenses associated with hiring, training, and equipping their employees.</t>
    </r>
  </si>
  <si>
    <r>
      <t>c</t>
    </r>
    <r>
      <rPr>
        <sz val="10"/>
        <color theme="1"/>
        <rFont val="Times New Roman"/>
        <family val="1"/>
      </rPr>
      <t xml:space="preserve">  We have assumed that each source will re-familiarize with the requirements each year.</t>
    </r>
  </si>
  <si>
    <r>
      <t>d</t>
    </r>
    <r>
      <rPr>
        <sz val="10"/>
        <color theme="1"/>
        <rFont val="Times New Roman"/>
        <family val="1"/>
      </rPr>
      <t xml:space="preserve">  We have assumed that it will take 374 hours for each new respondent to perform the initial performance test.</t>
    </r>
  </si>
  <si>
    <r>
      <rPr>
        <vertAlign val="superscript"/>
        <sz val="10"/>
        <color rgb="FF000000"/>
        <rFont val="Times New Roman"/>
        <family val="1"/>
      </rPr>
      <t>e</t>
    </r>
    <r>
      <rPr>
        <sz val="10"/>
        <color rgb="FF000000"/>
        <rFont val="Times New Roman"/>
        <family val="1"/>
      </rPr>
      <t xml:space="preserve">  We have assumed that 20 percent of new respondents would repeat performance test due to failure.</t>
    </r>
  </si>
  <si>
    <r>
      <t>f</t>
    </r>
    <r>
      <rPr>
        <sz val="10"/>
        <color theme="1"/>
        <rFont val="Times New Roman"/>
        <family val="1"/>
      </rPr>
      <t xml:space="preserve">  We have assumed that all respondents will each take eight hours to complete the semiannual report.</t>
    </r>
  </si>
  <si>
    <r>
      <t>g</t>
    </r>
    <r>
      <rPr>
        <sz val="10"/>
        <color theme="1"/>
        <rFont val="Times New Roman"/>
        <family val="1"/>
      </rPr>
      <t xml:space="preserve">  We have assumed that each respondent will take eight hours to two times per year to complete the excess emissions report.</t>
    </r>
  </si>
  <si>
    <r>
      <t>h</t>
    </r>
    <r>
      <rPr>
        <sz val="10"/>
        <color theme="1"/>
        <rFont val="Times New Roman"/>
        <family val="1"/>
      </rPr>
      <t xml:space="preserve">  We have assumed that it will take each respondent 15 minutes per day to record operating parameters.</t>
    </r>
  </si>
  <si>
    <r>
      <t xml:space="preserve">i   </t>
    </r>
    <r>
      <rPr>
        <sz val="10"/>
        <color theme="1"/>
        <rFont val="Times New Roman"/>
        <family val="1"/>
      </rPr>
      <t>Totals have been rounded to 3 significant figures. Figures may not add exactly due to rounding.</t>
    </r>
  </si>
  <si>
    <t>Table 2:  Average Annual EPA Burden and Cost - NSPS for Kraft Pulp Mills (40 CFR Part 60, Subpart BB) (Renewal)</t>
  </si>
  <si>
    <t>Activity</t>
  </si>
  <si>
    <t>(A)</t>
  </si>
  <si>
    <t>(B)</t>
  </si>
  <si>
    <t>(C)</t>
  </si>
  <si>
    <t>(D)</t>
  </si>
  <si>
    <t>(E)</t>
  </si>
  <si>
    <t>(F)</t>
  </si>
  <si>
    <t>(G)</t>
  </si>
  <si>
    <t>(H)</t>
  </si>
  <si>
    <t>EPA person- hours per occurrence</t>
  </si>
  <si>
    <t>No. of occurrences per plant per year</t>
  </si>
  <si>
    <t>EPA person- hours per plant per year (C=AxB)</t>
  </si>
  <si>
    <r>
      <t xml:space="preserve">Plants per year  </t>
    </r>
    <r>
      <rPr>
        <b/>
        <vertAlign val="superscript"/>
        <sz val="10"/>
        <color theme="1"/>
        <rFont val="Times New Roman"/>
        <family val="1"/>
      </rPr>
      <t>a</t>
    </r>
  </si>
  <si>
    <t>Technical person- hours per year (E=CxD)</t>
  </si>
  <si>
    <t>Management person-hours per year (Ex0.05)</t>
  </si>
  <si>
    <t>Clerical person-hours per year (Ex0.1)</t>
  </si>
  <si>
    <r>
      <t xml:space="preserve">Cost, $ </t>
    </r>
    <r>
      <rPr>
        <b/>
        <vertAlign val="superscript"/>
        <sz val="10"/>
        <color theme="1"/>
        <rFont val="Times New Roman"/>
        <family val="1"/>
      </rPr>
      <t>b</t>
    </r>
  </si>
  <si>
    <r>
      <t xml:space="preserve">Initial performance test (new plant) </t>
    </r>
    <r>
      <rPr>
        <vertAlign val="superscript"/>
        <sz val="10"/>
        <color theme="1"/>
        <rFont val="Times New Roman"/>
        <family val="1"/>
      </rPr>
      <t>c</t>
    </r>
  </si>
  <si>
    <r>
      <t xml:space="preserve">Repeat performance test (new plant) </t>
    </r>
    <r>
      <rPr>
        <vertAlign val="superscript"/>
        <sz val="10"/>
        <color theme="1"/>
        <rFont val="Times New Roman"/>
        <family val="1"/>
      </rPr>
      <t>d</t>
    </r>
  </si>
  <si>
    <t>Review reports (new plant)</t>
  </si>
  <si>
    <t>Notification of construction</t>
  </si>
  <si>
    <t>Notification of performance test</t>
  </si>
  <si>
    <t>Notification of physical/operational changes</t>
  </si>
  <si>
    <t>Review test results</t>
  </si>
  <si>
    <t>Existing plants</t>
  </si>
  <si>
    <r>
      <t xml:space="preserve">Semiannual report and excess emissions report </t>
    </r>
    <r>
      <rPr>
        <vertAlign val="superscript"/>
        <sz val="10"/>
        <color rgb="FF000000"/>
        <rFont val="Times New Roman"/>
        <family val="1"/>
      </rPr>
      <t>e</t>
    </r>
  </si>
  <si>
    <r>
      <t xml:space="preserve">TOTAL (rounded) </t>
    </r>
    <r>
      <rPr>
        <b/>
        <vertAlign val="superscript"/>
        <sz val="10"/>
        <color theme="1"/>
        <rFont val="Times New Roman"/>
        <family val="1"/>
      </rPr>
      <t>f</t>
    </r>
  </si>
  <si>
    <r>
      <rPr>
        <vertAlign val="superscript"/>
        <sz val="10"/>
        <color rgb="FF000000"/>
        <rFont val="Times New Roman"/>
        <family val="1"/>
      </rPr>
      <t>b</t>
    </r>
    <r>
      <rPr>
        <sz val="10"/>
        <color rgb="FF000000"/>
        <rFont val="Times New Roman"/>
        <family val="1"/>
      </rPr>
      <t xml:space="preserve">  This cost is based on the average hourly labor rate as follows: Managerial $76.91 (GS-13, Step 5, $48.07 + 60%); Technical $57.07 (GS-12, Step 1, $35.67 + 60%); and Clerical $30.88 (GS-6, Step 3, $19.30+ 60%). This ICR assumes that Managerial hours are 5 percent of Technical hours, and Clerical hours are 10 percent of Technical hours. These rates are from the Office of Personnel Management (OPM), 2024 General Schedule, which excludes locality, rates of pay. The rates have been increased by 60 percent to account for the benefit packages available to government employees.</t>
    </r>
  </si>
  <si>
    <r>
      <t>c</t>
    </r>
    <r>
      <rPr>
        <sz val="10"/>
        <color theme="1"/>
        <rFont val="Times New Roman"/>
        <family val="1"/>
      </rPr>
      <t xml:space="preserve">  We have assumed that it will take twenty-four hours for the Agency to observe the initial performance test.</t>
    </r>
  </si>
  <si>
    <r>
      <t>d</t>
    </r>
    <r>
      <rPr>
        <sz val="10"/>
        <color theme="1"/>
        <rFont val="Times New Roman"/>
        <family val="1"/>
      </rPr>
      <t xml:space="preserve">  We have assumed that 20 percent of respondents would repeat performance test due to failure and that it will take twenty-four hours for Agency observation of a repeat of the performance test due to failure.</t>
    </r>
  </si>
  <si>
    <r>
      <t>e</t>
    </r>
    <r>
      <rPr>
        <sz val="10"/>
        <color theme="1"/>
        <rFont val="Times New Roman"/>
        <family val="1"/>
      </rPr>
      <t xml:space="preserve">  We have assumed that it will take the Agency four hours to review the semiannual report and the excess emissions report. </t>
    </r>
  </si>
  <si>
    <r>
      <t xml:space="preserve">f   </t>
    </r>
    <r>
      <rPr>
        <sz val="10"/>
        <color theme="1"/>
        <rFont val="Times New Roman"/>
        <family val="1"/>
      </rPr>
      <t>Totals have been rounded to 3 significant figures. Figures may not add exactly due to rounding.</t>
    </r>
  </si>
  <si>
    <t>Capital/Startup vs. Operation and Maintenance (O&amp;M) Costs</t>
  </si>
  <si>
    <t>Continuous Monitoring Device</t>
  </si>
  <si>
    <r>
      <t xml:space="preserve">Capital/Startup Cost for One Respondent </t>
    </r>
    <r>
      <rPr>
        <vertAlign val="superscript"/>
        <sz val="10"/>
        <color rgb="FF000000"/>
        <rFont val="Times New Roman"/>
        <family val="1"/>
      </rPr>
      <t>a</t>
    </r>
  </si>
  <si>
    <t xml:space="preserve">Number of New Respondents </t>
  </si>
  <si>
    <t>Total Capital/Startup Cost, (B X C)</t>
  </si>
  <si>
    <r>
      <t xml:space="preserve">Annual O&amp;M Costs for One Respondent </t>
    </r>
    <r>
      <rPr>
        <vertAlign val="superscript"/>
        <sz val="10"/>
        <color rgb="FF000000"/>
        <rFont val="Times New Roman"/>
        <family val="1"/>
      </rPr>
      <t>a</t>
    </r>
  </si>
  <si>
    <t>Number of Respondents with O&amp;M</t>
  </si>
  <si>
    <t>Total O&amp;M, (ExF)</t>
  </si>
  <si>
    <t>CEPCI Index</t>
  </si>
  <si>
    <t>Opacity monitor</t>
  </si>
  <si>
    <t>Year</t>
  </si>
  <si>
    <t>Index</t>
  </si>
  <si>
    <t>TRS monitor</t>
  </si>
  <si>
    <t>Incinerator temperature monitor</t>
  </si>
  <si>
    <t>Scrubber liquid supply pressure monitor</t>
  </si>
  <si>
    <t>Scrubber liquid flow rate monitor</t>
  </si>
  <si>
    <t>Total</t>
  </si>
  <si>
    <r>
      <rPr>
        <vertAlign val="superscript"/>
        <sz val="10"/>
        <color rgb="FF000000"/>
        <rFont val="Times New Roman"/>
        <family val="1"/>
      </rPr>
      <t>a</t>
    </r>
    <r>
      <rPr>
        <sz val="10"/>
        <color rgb="FF000000"/>
        <rFont val="Times New Roman"/>
        <family val="1"/>
      </rPr>
      <t xml:space="preserve">  Capital/Startup and Annual O&amp;M costs have been updated from 2009 to 2023 using the CEPCI Index.  </t>
    </r>
  </si>
  <si>
    <r>
      <rPr>
        <vertAlign val="superscript"/>
        <sz val="10"/>
        <color rgb="FF000000"/>
        <rFont val="Times New Roman"/>
        <family val="1"/>
      </rPr>
      <t xml:space="preserve">b   </t>
    </r>
    <r>
      <rPr>
        <sz val="10"/>
        <color rgb="FF000000"/>
        <rFont val="Times New Roman"/>
        <family val="1"/>
      </rPr>
      <t>Totals have been rounded to 3 significant figures. Figures may not add exactly due to rounding.</t>
    </r>
  </si>
  <si>
    <t>Respondents That Submit Reports</t>
  </si>
  <si>
    <t>Respondents That Do Not Submit Any Reports</t>
  </si>
  <si>
    <r>
      <t xml:space="preserve">Number of New Respondents </t>
    </r>
    <r>
      <rPr>
        <vertAlign val="superscript"/>
        <sz val="10"/>
        <color rgb="FF000000"/>
        <rFont val="Times New Roman"/>
        <family val="1"/>
      </rPr>
      <t>1</t>
    </r>
  </si>
  <si>
    <t>Number of Existing Respondents</t>
  </si>
  <si>
    <t>Number of Existing Respondents that keep records but do not submit reports</t>
  </si>
  <si>
    <t>Number of Existing Respondents That Are Also New Respondents</t>
  </si>
  <si>
    <t>Number of Respondents
(E=A+B+C-D)</t>
  </si>
  <si>
    <t>Average</t>
  </si>
  <si>
    <r>
      <t>1</t>
    </r>
    <r>
      <rPr>
        <sz val="10"/>
        <color rgb="FF000000"/>
        <rFont val="Times New Roman"/>
        <family val="1"/>
      </rPr>
      <t xml:space="preserve"> New respondents include sources with constructed, reconstructed and modified affected facilities. </t>
    </r>
  </si>
  <si>
    <t>Total Annual Responses</t>
  </si>
  <si>
    <t>Information Collection Activity</t>
  </si>
  <si>
    <t>Number of Responses</t>
  </si>
  <si>
    <t>Number of Existing Respondents That Keep Records But Do Not Submit Reports</t>
  </si>
  <si>
    <t>Total Annual Responses
E=(BxC)+D</t>
  </si>
  <si>
    <t>Notification of construction or modification </t>
  </si>
  <si>
    <t>Notification of actual startup </t>
  </si>
  <si>
    <t>Notification of performance test </t>
  </si>
  <si>
    <t>Notification of CMS demonstration </t>
  </si>
  <si>
    <t>Notification of physical or operational changes </t>
  </si>
  <si>
    <t>Notification of opacity or visible emission observations </t>
  </si>
  <si>
    <t>Report of performance test </t>
  </si>
  <si>
    <t>Semiannual report </t>
  </si>
  <si>
    <t>Excess emissions report </t>
  </si>
  <si>
    <t>Total (rounded)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</si>
</sst>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8" formatCode="&quot;$&quot;#,##0.00_);[Red]\(&quot;$&quot;#,##0.00\)"/>
    <numFmt numFmtId="164" formatCode="0.0"/>
    <numFmt numFmtId="165" formatCode="&quot;$&quot;#,##0.00"/>
  </numFmts>
  <fonts count="18" x14ac:knownFonts="1">
    <font>
      <sz val="11"/>
      <color theme="1"/>
      <name val="Calibri"/>
      <family val="2"/>
      <scheme val="minor"/>
    </font>
    <font>
      <b/>
      <sz val="10"/>
      <color theme="1"/>
      <name val="Times New Roman"/>
      <family val="1"/>
    </font>
    <font>
      <b/>
      <vertAlign val="superscript"/>
      <sz val="10"/>
      <color theme="1"/>
      <name val="Times New Roman"/>
      <family val="1"/>
    </font>
    <font>
      <sz val="10"/>
      <color theme="1"/>
      <name val="Times New Roman"/>
      <family val="1"/>
    </font>
    <font>
      <vertAlign val="superscript"/>
      <sz val="10"/>
      <color theme="1"/>
      <name val="Times New Roman"/>
      <family val="1"/>
    </font>
    <font>
      <b/>
      <sz val="12"/>
      <color theme="1"/>
      <name val="Times New Roman"/>
      <family val="1"/>
    </font>
    <font>
      <b/>
      <i/>
      <sz val="10"/>
      <color theme="1"/>
      <name val="Times New Roman"/>
      <family val="1"/>
    </font>
    <font>
      <b/>
      <sz val="10"/>
      <color rgb="FF000000"/>
      <name val="Times New Roman"/>
      <family val="1"/>
    </font>
    <font>
      <b/>
      <vertAlign val="superscript"/>
      <sz val="10"/>
      <color rgb="FF000000"/>
      <name val="Times New Roman"/>
      <family val="1"/>
    </font>
    <font>
      <sz val="10"/>
      <name val="Times New Roman"/>
      <family val="1"/>
    </font>
    <font>
      <i/>
      <sz val="10"/>
      <color theme="1"/>
      <name val="Times New Roman"/>
      <family val="1"/>
    </font>
    <font>
      <sz val="11"/>
      <color theme="1"/>
      <name val="Times New Roman"/>
      <family val="1"/>
    </font>
    <font>
      <sz val="12"/>
      <color rgb="FF000000"/>
      <name val="Times New Roman"/>
      <family val="1"/>
    </font>
    <font>
      <b/>
      <sz val="12"/>
      <color rgb="FF000000"/>
      <name val="Times New Roman"/>
      <family val="1"/>
    </font>
    <font>
      <sz val="10"/>
      <color rgb="FF000000"/>
      <name val="Times New Roman"/>
      <family val="1"/>
    </font>
    <font>
      <vertAlign val="superscript"/>
      <sz val="10"/>
      <color rgb="FF000000"/>
      <name val="Times New Roman"/>
      <family val="1"/>
    </font>
    <font>
      <b/>
      <sz val="11"/>
      <color rgb="FF000000"/>
      <name val="Times New Roman"/>
      <family val="1"/>
    </font>
    <font>
      <vertAlign val="superscript"/>
      <sz val="10"/>
      <color rgb="FF000000"/>
      <name val="Times New Roman"/>
      <family val="1"/>
    </font>
  </fonts>
  <fills count="2">
    <fill>
      <patternFill patternType="none"/>
    </fill>
    <fill>
      <patternFill patternType="gray125"/>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11">
    <xf numFmtId="0" fontId="0" fillId="0" borderId="0" xfId="0"/>
    <xf numFmtId="0" fontId="3" fillId="0" borderId="1" xfId="0" applyFont="1" applyBorder="1" applyAlignment="1">
      <alignment horizontal="left" vertical="top" wrapText="1" indent="1"/>
    </xf>
    <xf numFmtId="0" fontId="3" fillId="0" borderId="1" xfId="0" applyFont="1" applyBorder="1" applyAlignment="1">
      <alignment horizontal="center" vertical="top" wrapText="1"/>
    </xf>
    <xf numFmtId="0" fontId="3" fillId="0" borderId="1" xfId="0" applyFont="1" applyBorder="1" applyAlignment="1">
      <alignment horizontal="right" vertical="top" wrapText="1" indent="1"/>
    </xf>
    <xf numFmtId="6" fontId="3" fillId="0" borderId="1" xfId="0" applyNumberFormat="1" applyFont="1" applyBorder="1" applyAlignment="1">
      <alignment horizontal="right" vertical="top" wrapText="1" indent="1"/>
    </xf>
    <xf numFmtId="3" fontId="3" fillId="0" borderId="1" xfId="0" applyNumberFormat="1" applyFont="1" applyBorder="1" applyAlignment="1">
      <alignment horizontal="center" vertical="top" wrapText="1"/>
    </xf>
    <xf numFmtId="0" fontId="1" fillId="0" borderId="0" xfId="0" applyFont="1"/>
    <xf numFmtId="0" fontId="3" fillId="0" borderId="0" xfId="0" applyFont="1"/>
    <xf numFmtId="164" fontId="3" fillId="0" borderId="1" xfId="0" applyNumberFormat="1" applyFont="1" applyBorder="1" applyAlignment="1">
      <alignment horizontal="center" vertical="top" wrapText="1"/>
    </xf>
    <xf numFmtId="6" fontId="1" fillId="0" borderId="1" xfId="0" applyNumberFormat="1" applyFont="1" applyBorder="1" applyAlignment="1">
      <alignment horizontal="right" vertical="top" wrapText="1" indent="1"/>
    </xf>
    <xf numFmtId="6" fontId="6" fillId="0" borderId="1" xfId="0" applyNumberFormat="1" applyFont="1" applyBorder="1" applyAlignment="1">
      <alignment horizontal="right" vertical="top" wrapText="1" indent="1"/>
    </xf>
    <xf numFmtId="0" fontId="1" fillId="0" borderId="1" xfId="0" applyFont="1" applyBorder="1" applyAlignment="1">
      <alignment vertical="top"/>
    </xf>
    <xf numFmtId="0" fontId="7" fillId="0" borderId="1" xfId="0" applyFont="1" applyBorder="1" applyAlignment="1">
      <alignment horizontal="left"/>
    </xf>
    <xf numFmtId="0" fontId="9" fillId="0" borderId="1" xfId="0" applyFont="1" applyBorder="1" applyAlignment="1">
      <alignment horizontal="center" vertical="top" wrapText="1"/>
    </xf>
    <xf numFmtId="8" fontId="3" fillId="0" borderId="1" xfId="0" applyNumberFormat="1" applyFont="1" applyBorder="1" applyAlignment="1">
      <alignment horizontal="right" vertical="top" wrapText="1" indent="1"/>
    </xf>
    <xf numFmtId="0" fontId="11" fillId="0" borderId="0" xfId="0" applyFont="1"/>
    <xf numFmtId="0" fontId="3" fillId="0" borderId="1" xfId="0" applyFont="1" applyBorder="1"/>
    <xf numFmtId="165" fontId="3" fillId="0" borderId="1" xfId="0" applyNumberFormat="1" applyFont="1" applyBorder="1"/>
    <xf numFmtId="0" fontId="10" fillId="0" borderId="3" xfId="0" applyFont="1" applyBorder="1" applyAlignment="1">
      <alignment horizontal="left" vertical="top" wrapText="1"/>
    </xf>
    <xf numFmtId="0" fontId="10" fillId="0" borderId="4" xfId="0" applyFont="1" applyBorder="1" applyAlignment="1">
      <alignment horizontal="left" vertical="top" wrapText="1"/>
    </xf>
    <xf numFmtId="6" fontId="3" fillId="0" borderId="0" xfId="0" applyNumberFormat="1" applyFont="1"/>
    <xf numFmtId="0" fontId="14" fillId="0" borderId="1" xfId="0" applyFont="1" applyBorder="1" applyAlignment="1">
      <alignment vertical="center" wrapText="1"/>
    </xf>
    <xf numFmtId="0" fontId="14" fillId="0" borderId="1" xfId="0" applyFont="1" applyBorder="1" applyAlignment="1">
      <alignment horizontal="center" vertical="center" wrapText="1"/>
    </xf>
    <xf numFmtId="6" fontId="14" fillId="0" borderId="1" xfId="0" applyNumberFormat="1" applyFont="1" applyBorder="1" applyAlignment="1">
      <alignment horizontal="center" vertical="center" wrapText="1"/>
    </xf>
    <xf numFmtId="0" fontId="7" fillId="0" borderId="1" xfId="0" applyFont="1" applyBorder="1" applyAlignment="1">
      <alignment horizontal="center" vertical="center" wrapText="1"/>
    </xf>
    <xf numFmtId="6" fontId="7" fillId="0" borderId="1" xfId="0" applyNumberFormat="1" applyFont="1" applyBorder="1" applyAlignment="1">
      <alignment horizontal="center" vertical="center" wrapText="1"/>
    </xf>
    <xf numFmtId="0" fontId="12" fillId="0" borderId="0" xfId="0" applyFont="1" applyAlignment="1">
      <alignment vertical="center" wrapText="1"/>
    </xf>
    <xf numFmtId="0" fontId="3" fillId="0" borderId="1" xfId="0" applyFont="1" applyBorder="1" applyAlignment="1">
      <alignment vertical="center" wrapText="1"/>
    </xf>
    <xf numFmtId="1" fontId="3" fillId="0" borderId="0" xfId="0" applyNumberFormat="1" applyFont="1"/>
    <xf numFmtId="0" fontId="1" fillId="0" borderId="1" xfId="0" applyFont="1" applyBorder="1" applyAlignment="1">
      <alignment horizontal="center" vertical="top" wrapText="1"/>
    </xf>
    <xf numFmtId="0" fontId="1" fillId="0" borderId="5" xfId="0" applyFont="1" applyBorder="1" applyAlignment="1">
      <alignment horizontal="center" vertical="center" wrapText="1"/>
    </xf>
    <xf numFmtId="0" fontId="3" fillId="0" borderId="1" xfId="0" applyFont="1" applyBorder="1" applyAlignment="1">
      <alignment horizontal="center"/>
    </xf>
    <xf numFmtId="0" fontId="7" fillId="0" borderId="1" xfId="0" applyFont="1" applyBorder="1" applyAlignment="1">
      <alignment vertical="center" wrapText="1"/>
    </xf>
    <xf numFmtId="0" fontId="3" fillId="0" borderId="1" xfId="0" applyFont="1" applyBorder="1" applyAlignment="1">
      <alignment horizontal="left" vertical="top" wrapText="1"/>
    </xf>
    <xf numFmtId="0" fontId="3" fillId="0" borderId="1" xfId="0" applyFont="1" applyBorder="1" applyAlignment="1">
      <alignment horizontal="left" vertical="top" wrapText="1" indent="2"/>
    </xf>
    <xf numFmtId="1" fontId="3" fillId="0" borderId="1" xfId="0" applyNumberFormat="1" applyFont="1" applyBorder="1" applyAlignment="1">
      <alignment horizontal="center" vertical="top" wrapText="1"/>
    </xf>
    <xf numFmtId="0" fontId="3" fillId="0" borderId="0" xfId="0" applyFont="1" applyAlignment="1">
      <alignment vertical="center"/>
    </xf>
    <xf numFmtId="0" fontId="3" fillId="0" borderId="0" xfId="0" applyFont="1" applyAlignment="1">
      <alignment horizontal="center" vertical="center"/>
    </xf>
    <xf numFmtId="8" fontId="3" fillId="0" borderId="0" xfId="0" applyNumberFormat="1" applyFont="1" applyAlignment="1">
      <alignment horizontal="right" vertical="center"/>
    </xf>
    <xf numFmtId="0" fontId="3" fillId="0" borderId="0" xfId="0" applyFont="1" applyAlignment="1">
      <alignment horizontal="right" vertical="center"/>
    </xf>
    <xf numFmtId="6" fontId="3" fillId="0" borderId="0" xfId="0" applyNumberFormat="1" applyFont="1" applyAlignment="1">
      <alignment horizontal="right" vertical="center"/>
    </xf>
    <xf numFmtId="3" fontId="3" fillId="0" borderId="0" xfId="0" applyNumberFormat="1" applyFont="1" applyAlignment="1">
      <alignment horizontal="center" vertical="center"/>
    </xf>
    <xf numFmtId="0" fontId="6" fillId="0" borderId="0" xfId="0" applyFont="1" applyAlignment="1">
      <alignment vertical="center"/>
    </xf>
    <xf numFmtId="6" fontId="6" fillId="0" borderId="0" xfId="0" applyNumberFormat="1" applyFont="1" applyAlignment="1">
      <alignment horizontal="right" vertical="center"/>
    </xf>
    <xf numFmtId="0" fontId="3" fillId="0" borderId="0" xfId="0" applyFont="1" applyAlignment="1">
      <alignment vertical="top"/>
    </xf>
    <xf numFmtId="4" fontId="14" fillId="0" borderId="0" xfId="0" applyNumberFormat="1" applyFont="1" applyAlignment="1">
      <alignment horizontal="center" vertical="center"/>
    </xf>
    <xf numFmtId="0" fontId="14" fillId="0" borderId="0" xfId="0" applyFont="1" applyAlignment="1">
      <alignment horizontal="center" vertical="center"/>
    </xf>
    <xf numFmtId="0" fontId="15" fillId="0" borderId="0" xfId="0" applyFont="1" applyAlignment="1">
      <alignment vertical="center"/>
    </xf>
    <xf numFmtId="0" fontId="15" fillId="0" borderId="0" xfId="0" applyFont="1" applyAlignment="1">
      <alignment vertical="center" wrapText="1"/>
    </xf>
    <xf numFmtId="0" fontId="14" fillId="0" borderId="0" xfId="0" applyFont="1" applyAlignment="1">
      <alignment vertical="center"/>
    </xf>
    <xf numFmtId="0" fontId="7" fillId="0" borderId="0" xfId="0" applyFont="1" applyAlignment="1">
      <alignment vertical="center"/>
    </xf>
    <xf numFmtId="0" fontId="3" fillId="0" borderId="4" xfId="0" applyFont="1" applyBorder="1" applyAlignment="1">
      <alignment horizontal="center" vertical="top" wrapText="1"/>
    </xf>
    <xf numFmtId="0" fontId="3" fillId="0" borderId="5" xfId="0" applyFont="1" applyBorder="1" applyAlignment="1">
      <alignment horizontal="left" vertical="top" wrapText="1" indent="1"/>
    </xf>
    <xf numFmtId="0" fontId="14" fillId="0" borderId="1" xfId="0" applyFont="1" applyBorder="1" applyAlignment="1">
      <alignment horizontal="left" vertical="center" indent="1"/>
    </xf>
    <xf numFmtId="0" fontId="14" fillId="0" borderId="1" xfId="0" applyFont="1" applyBorder="1" applyAlignment="1">
      <alignment horizontal="left" vertical="center"/>
    </xf>
    <xf numFmtId="6" fontId="1" fillId="0" borderId="1" xfId="0" applyNumberFormat="1" applyFont="1" applyBorder="1" applyAlignment="1">
      <alignment horizontal="right" vertical="center" wrapText="1"/>
    </xf>
    <xf numFmtId="0" fontId="3" fillId="0" borderId="1" xfId="0" applyFont="1" applyBorder="1" applyAlignment="1">
      <alignment horizontal="left" vertical="center" wrapText="1" indent="2"/>
    </xf>
    <xf numFmtId="0" fontId="3" fillId="0" borderId="1" xfId="0" applyFont="1" applyBorder="1" applyAlignment="1">
      <alignment horizontal="center" vertical="center" wrapText="1"/>
    </xf>
    <xf numFmtId="0" fontId="9" fillId="0" borderId="0" xfId="0" applyFont="1"/>
    <xf numFmtId="0" fontId="11" fillId="0" borderId="0" xfId="0" applyFont="1" applyAlignment="1">
      <alignment vertical="center" wrapText="1"/>
    </xf>
    <xf numFmtId="1" fontId="11" fillId="0" borderId="0" xfId="0" applyNumberFormat="1" applyFont="1"/>
    <xf numFmtId="3" fontId="11" fillId="0" borderId="0" xfId="0" applyNumberFormat="1" applyFont="1"/>
    <xf numFmtId="6" fontId="11" fillId="0" borderId="0" xfId="0" applyNumberFormat="1" applyFont="1"/>
    <xf numFmtId="0" fontId="7" fillId="0" borderId="0" xfId="0" applyFont="1" applyAlignment="1">
      <alignment vertical="center" wrapText="1"/>
    </xf>
    <xf numFmtId="0" fontId="14" fillId="0" borderId="0" xfId="0" applyFont="1" applyAlignment="1">
      <alignment vertical="center" wrapText="1"/>
    </xf>
    <xf numFmtId="0" fontId="14" fillId="0" borderId="0" xfId="0" applyFont="1" applyAlignment="1">
      <alignment horizontal="center" vertical="center" wrapText="1"/>
    </xf>
    <xf numFmtId="0" fontId="7" fillId="0" borderId="0" xfId="0" applyFont="1" applyAlignment="1">
      <alignment horizontal="center" vertical="center" wrapText="1"/>
    </xf>
    <xf numFmtId="0" fontId="3" fillId="0" borderId="0" xfId="0" applyFont="1" applyAlignment="1">
      <alignment vertical="center" wrapText="1"/>
    </xf>
    <xf numFmtId="0" fontId="3" fillId="0" borderId="0" xfId="0" applyFont="1" applyAlignment="1">
      <alignment horizontal="center" vertical="center" wrapText="1"/>
    </xf>
    <xf numFmtId="0" fontId="1" fillId="0" borderId="0" xfId="0" applyFont="1" applyAlignment="1">
      <alignment horizontal="center" vertical="center" wrapText="1"/>
    </xf>
    <xf numFmtId="0" fontId="9" fillId="0" borderId="8" xfId="0" applyFont="1" applyBorder="1" applyAlignment="1">
      <alignment wrapText="1"/>
    </xf>
    <xf numFmtId="0" fontId="4" fillId="0" borderId="0" xfId="0" applyFont="1" applyAlignment="1">
      <alignment horizontal="left" vertical="top"/>
    </xf>
    <xf numFmtId="0" fontId="16" fillId="0" borderId="0" xfId="0" applyFont="1" applyAlignment="1">
      <alignment horizontal="center"/>
    </xf>
    <xf numFmtId="0" fontId="1" fillId="0" borderId="1" xfId="0" applyFont="1" applyBorder="1" applyAlignment="1">
      <alignment horizontal="center" wrapText="1"/>
    </xf>
    <xf numFmtId="0" fontId="5" fillId="0" borderId="0" xfId="0" applyFont="1" applyAlignment="1">
      <alignment horizontal="left" vertical="top"/>
    </xf>
    <xf numFmtId="0" fontId="15" fillId="0" borderId="0" xfId="0" applyFont="1" applyAlignment="1">
      <alignment horizontal="left" vertical="top"/>
    </xf>
    <xf numFmtId="0" fontId="4" fillId="0" borderId="0" xfId="0" applyFont="1" applyAlignment="1">
      <alignment horizontal="left" vertical="top"/>
    </xf>
    <xf numFmtId="0" fontId="15" fillId="0" borderId="0" xfId="0" applyFont="1" applyAlignment="1">
      <alignment horizontal="left" vertical="top" wrapText="1"/>
    </xf>
    <xf numFmtId="0" fontId="4" fillId="0" borderId="0" xfId="0" applyFont="1" applyAlignment="1">
      <alignment horizontal="left" vertical="top" wrapText="1"/>
    </xf>
    <xf numFmtId="3" fontId="6" fillId="0" borderId="2" xfId="0" applyNumberFormat="1" applyFont="1" applyBorder="1" applyAlignment="1">
      <alignment horizontal="center" vertical="top" wrapText="1"/>
    </xf>
    <xf numFmtId="3" fontId="6" fillId="0" borderId="3" xfId="0" applyNumberFormat="1" applyFont="1" applyBorder="1" applyAlignment="1">
      <alignment horizontal="center" vertical="top" wrapText="1"/>
    </xf>
    <xf numFmtId="3" fontId="6" fillId="0" borderId="4" xfId="0" applyNumberFormat="1" applyFont="1" applyBorder="1" applyAlignment="1">
      <alignment horizontal="center" vertical="top" wrapText="1"/>
    </xf>
    <xf numFmtId="0" fontId="6" fillId="0" borderId="2" xfId="0" applyFont="1" applyBorder="1" applyAlignment="1">
      <alignment horizontal="left" vertical="top" wrapText="1"/>
    </xf>
    <xf numFmtId="0" fontId="6" fillId="0" borderId="3" xfId="0" applyFont="1" applyBorder="1" applyAlignment="1">
      <alignment horizontal="left" vertical="top" wrapText="1"/>
    </xf>
    <xf numFmtId="0" fontId="6" fillId="0" borderId="4" xfId="0" applyFont="1" applyBorder="1" applyAlignment="1">
      <alignment horizontal="left" vertical="top" wrapText="1"/>
    </xf>
    <xf numFmtId="0" fontId="10" fillId="0" borderId="3" xfId="0" applyFont="1" applyBorder="1" applyAlignment="1">
      <alignment horizontal="left" vertical="top" wrapText="1"/>
    </xf>
    <xf numFmtId="0" fontId="10" fillId="0" borderId="4" xfId="0" applyFont="1" applyBorder="1" applyAlignment="1">
      <alignment horizontal="left" vertical="top" wrapText="1"/>
    </xf>
    <xf numFmtId="0" fontId="1" fillId="0" borderId="2" xfId="0" applyFont="1" applyBorder="1" applyAlignment="1">
      <alignment horizontal="left" vertical="top" wrapText="1"/>
    </xf>
    <xf numFmtId="0" fontId="1" fillId="0" borderId="3" xfId="0" applyFont="1" applyBorder="1" applyAlignment="1">
      <alignment horizontal="left" vertical="top" wrapText="1"/>
    </xf>
    <xf numFmtId="0" fontId="1" fillId="0" borderId="4" xfId="0" applyFont="1" applyBorder="1" applyAlignment="1">
      <alignment horizontal="left" vertical="top" wrapText="1"/>
    </xf>
    <xf numFmtId="3" fontId="1" fillId="0" borderId="2" xfId="0" applyNumberFormat="1" applyFont="1" applyBorder="1" applyAlignment="1">
      <alignment horizontal="center" vertical="top" wrapText="1"/>
    </xf>
    <xf numFmtId="3" fontId="1" fillId="0" borderId="3" xfId="0" applyNumberFormat="1" applyFont="1" applyBorder="1" applyAlignment="1">
      <alignment horizontal="center" vertical="top" wrapText="1"/>
    </xf>
    <xf numFmtId="3" fontId="1" fillId="0" borderId="4" xfId="0" applyNumberFormat="1" applyFont="1" applyBorder="1" applyAlignment="1">
      <alignment horizontal="center" vertical="top" wrapText="1"/>
    </xf>
    <xf numFmtId="3" fontId="6" fillId="0" borderId="0" xfId="0" applyNumberFormat="1" applyFont="1" applyAlignment="1">
      <alignment horizontal="center" vertical="center"/>
    </xf>
    <xf numFmtId="0" fontId="7" fillId="0" borderId="0" xfId="0" applyFont="1" applyAlignment="1">
      <alignment horizontal="center" vertical="center"/>
    </xf>
    <xf numFmtId="0" fontId="5" fillId="0" borderId="0" xfId="0" applyFont="1" applyAlignment="1">
      <alignment horizontal="left"/>
    </xf>
    <xf numFmtId="0" fontId="1" fillId="0" borderId="1" xfId="0" applyFont="1" applyBorder="1" applyAlignment="1">
      <alignment horizontal="center" vertical="center" wrapText="1"/>
    </xf>
    <xf numFmtId="0" fontId="1" fillId="0" borderId="1" xfId="0" applyFont="1" applyBorder="1" applyAlignment="1">
      <alignment horizontal="left" vertical="top" wrapText="1"/>
    </xf>
    <xf numFmtId="1" fontId="1" fillId="0" borderId="1" xfId="0" applyNumberFormat="1" applyFont="1" applyBorder="1" applyAlignment="1">
      <alignment horizontal="center" vertical="center" wrapText="1"/>
    </xf>
    <xf numFmtId="0" fontId="13" fillId="0" borderId="0" xfId="0" applyFont="1" applyAlignment="1">
      <alignment horizontal="center" vertical="center" wrapText="1"/>
    </xf>
    <xf numFmtId="0" fontId="14" fillId="0" borderId="6" xfId="0" applyFont="1" applyBorder="1" applyAlignment="1">
      <alignment horizontal="left" vertical="top" wrapText="1"/>
    </xf>
    <xf numFmtId="0" fontId="14" fillId="0" borderId="7" xfId="0" applyFont="1" applyBorder="1" applyAlignment="1">
      <alignment horizontal="left" vertical="top" wrapText="1"/>
    </xf>
    <xf numFmtId="0" fontId="3" fillId="0" borderId="1" xfId="0" applyFont="1" applyBorder="1" applyAlignment="1">
      <alignment horizontal="center"/>
    </xf>
    <xf numFmtId="0" fontId="13" fillId="0" borderId="1" xfId="0" applyFont="1" applyBorder="1" applyAlignment="1">
      <alignment horizontal="center" vertical="center" wrapText="1"/>
    </xf>
    <xf numFmtId="0" fontId="14" fillId="0" borderId="0" xfId="0" applyFont="1" applyAlignment="1">
      <alignment vertical="center" wrapText="1"/>
    </xf>
    <xf numFmtId="0" fontId="17" fillId="0" borderId="0" xfId="0" applyFont="1" applyAlignment="1">
      <alignment horizontal="left" vertical="top"/>
    </xf>
    <xf numFmtId="0" fontId="0" fillId="0" borderId="0" xfId="0" applyAlignment="1">
      <alignment horizontal="left" vertical="top"/>
    </xf>
    <xf numFmtId="0" fontId="14" fillId="0" borderId="1" xfId="0" applyFont="1" applyBorder="1" applyAlignment="1">
      <alignment vertical="center" wrapText="1"/>
    </xf>
    <xf numFmtId="0" fontId="15" fillId="0" borderId="7" xfId="0" applyFont="1" applyBorder="1" applyAlignment="1">
      <alignment horizontal="left" vertical="top" wrapText="1"/>
    </xf>
    <xf numFmtId="0" fontId="7" fillId="0" borderId="2" xfId="0" applyFont="1" applyBorder="1" applyAlignment="1">
      <alignment horizontal="center" vertical="center" wrapText="1"/>
    </xf>
    <xf numFmtId="0" fontId="7" fillId="0" borderId="4" xfId="0" applyFont="1" applyBorder="1" applyAlignment="1">
      <alignment horizontal="center"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F121D4-DA3F-4C16-8BEB-93BE87BD4BD6}">
  <dimension ref="A1:B7"/>
  <sheetViews>
    <sheetView tabSelected="1" workbookViewId="0">
      <selection sqref="A1:B1"/>
    </sheetView>
  </sheetViews>
  <sheetFormatPr defaultRowHeight="15" x14ac:dyDescent="0.25"/>
  <cols>
    <col min="1" max="1" width="27.140625" bestFit="1" customWidth="1"/>
    <col min="2" max="2" width="13.7109375" bestFit="1" customWidth="1"/>
  </cols>
  <sheetData>
    <row r="1" spans="1:2" x14ac:dyDescent="0.25">
      <c r="A1" s="72" t="s">
        <v>0</v>
      </c>
      <c r="B1" s="72"/>
    </row>
    <row r="2" spans="1:2" x14ac:dyDescent="0.25">
      <c r="A2" s="59" t="s">
        <v>1</v>
      </c>
      <c r="B2" s="60">
        <f>'Table 1'!L34</f>
        <v>35.588235294117645</v>
      </c>
    </row>
    <row r="3" spans="1:2" x14ac:dyDescent="0.25">
      <c r="A3" s="59" t="s">
        <v>2</v>
      </c>
      <c r="B3" s="15">
        <f>Respondents!F8</f>
        <v>85</v>
      </c>
    </row>
    <row r="4" spans="1:2" ht="15" customHeight="1" x14ac:dyDescent="0.25">
      <c r="A4" s="59" t="s">
        <v>3</v>
      </c>
      <c r="B4" s="61">
        <f>'Table 1'!F33</f>
        <v>12100</v>
      </c>
    </row>
    <row r="5" spans="1:2" x14ac:dyDescent="0.25">
      <c r="A5" s="59" t="s">
        <v>4</v>
      </c>
      <c r="B5" s="62">
        <f>'Table 1'!I33</f>
        <v>6360000</v>
      </c>
    </row>
    <row r="6" spans="1:2" x14ac:dyDescent="0.25">
      <c r="A6" s="59" t="s">
        <v>5</v>
      </c>
      <c r="B6" s="62">
        <f>'Table 1'!I32</f>
        <v>4700000</v>
      </c>
    </row>
    <row r="7" spans="1:2" x14ac:dyDescent="0.25">
      <c r="A7" s="59" t="s">
        <v>6</v>
      </c>
      <c r="B7" s="15" t="s">
        <v>7</v>
      </c>
    </row>
  </sheetData>
  <mergeCells count="1">
    <mergeCell ref="A1:B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48"/>
  <sheetViews>
    <sheetView zoomScale="110" zoomScaleNormal="110" workbookViewId="0">
      <selection activeCell="A2" sqref="A2"/>
    </sheetView>
  </sheetViews>
  <sheetFormatPr defaultRowHeight="15" x14ac:dyDescent="0.25"/>
  <cols>
    <col min="1" max="1" width="40.7109375" style="15" customWidth="1"/>
    <col min="2" max="8" width="11.28515625" style="15" customWidth="1"/>
    <col min="9" max="9" width="14.85546875" style="15" customWidth="1"/>
    <col min="10" max="10" width="3.5703125" style="15" customWidth="1"/>
    <col min="11" max="11" width="12.7109375" style="15" customWidth="1"/>
    <col min="12" max="12" width="9.140625" style="15"/>
    <col min="13" max="13" width="2.85546875" style="15" customWidth="1"/>
    <col min="14" max="14" width="33.28515625" style="15" customWidth="1"/>
    <col min="15" max="16384" width="9.140625" style="15"/>
  </cols>
  <sheetData>
    <row r="1" spans="1:22" ht="15.75" x14ac:dyDescent="0.25">
      <c r="A1" s="74" t="s">
        <v>8</v>
      </c>
      <c r="B1" s="74"/>
      <c r="C1" s="74"/>
      <c r="D1" s="74"/>
      <c r="E1" s="74"/>
      <c r="F1" s="74"/>
      <c r="G1" s="74"/>
      <c r="H1" s="74"/>
      <c r="I1" s="74"/>
    </row>
    <row r="3" spans="1:22" s="7" customFormat="1" ht="83.25" customHeight="1" x14ac:dyDescent="0.2">
      <c r="A3" s="30" t="s">
        <v>9</v>
      </c>
      <c r="B3" s="29" t="s">
        <v>10</v>
      </c>
      <c r="C3" s="29" t="s">
        <v>11</v>
      </c>
      <c r="D3" s="29" t="s">
        <v>12</v>
      </c>
      <c r="E3" s="29" t="s">
        <v>13</v>
      </c>
      <c r="F3" s="29" t="s">
        <v>14</v>
      </c>
      <c r="G3" s="29" t="s">
        <v>15</v>
      </c>
      <c r="H3" s="29" t="s">
        <v>16</v>
      </c>
      <c r="I3" s="29" t="s">
        <v>17</v>
      </c>
    </row>
    <row r="4" spans="1:22" s="7" customFormat="1" ht="12.75" x14ac:dyDescent="0.2">
      <c r="A4" s="33" t="s">
        <v>18</v>
      </c>
      <c r="B4" s="2" t="s">
        <v>19</v>
      </c>
      <c r="C4" s="1"/>
      <c r="D4" s="2"/>
      <c r="E4" s="2"/>
      <c r="F4" s="2"/>
      <c r="G4" s="2"/>
      <c r="H4" s="2"/>
      <c r="I4" s="3"/>
      <c r="K4" s="73" t="s">
        <v>20</v>
      </c>
      <c r="L4" s="73"/>
      <c r="N4" s="36"/>
      <c r="O4" s="37"/>
      <c r="P4" s="36"/>
      <c r="Q4" s="36"/>
      <c r="R4" s="36"/>
      <c r="S4" s="36"/>
      <c r="T4" s="36"/>
      <c r="U4" s="36"/>
      <c r="V4" s="36"/>
    </row>
    <row r="5" spans="1:22" s="7" customFormat="1" ht="12.75" x14ac:dyDescent="0.2">
      <c r="A5" s="33" t="s">
        <v>21</v>
      </c>
      <c r="B5" s="2" t="s">
        <v>19</v>
      </c>
      <c r="C5" s="1"/>
      <c r="D5" s="2"/>
      <c r="E5" s="2"/>
      <c r="F5" s="2"/>
      <c r="G5" s="2"/>
      <c r="H5" s="2"/>
      <c r="I5" s="3"/>
      <c r="K5" s="16" t="s">
        <v>22</v>
      </c>
      <c r="L5" s="17">
        <v>172.41</v>
      </c>
      <c r="N5" s="36"/>
      <c r="O5" s="37"/>
      <c r="P5" s="36"/>
      <c r="Q5" s="36"/>
      <c r="R5" s="36"/>
      <c r="S5" s="36"/>
      <c r="T5" s="36"/>
      <c r="U5" s="36"/>
      <c r="V5" s="36"/>
    </row>
    <row r="6" spans="1:22" s="7" customFormat="1" ht="12.75" x14ac:dyDescent="0.2">
      <c r="A6" s="33" t="s">
        <v>23</v>
      </c>
      <c r="B6" s="2"/>
      <c r="C6" s="2"/>
      <c r="D6" s="2"/>
      <c r="E6" s="2"/>
      <c r="F6" s="2"/>
      <c r="G6" s="2"/>
      <c r="H6" s="2"/>
      <c r="I6" s="3"/>
      <c r="K6" s="16" t="s">
        <v>24</v>
      </c>
      <c r="L6" s="17">
        <v>141.75</v>
      </c>
      <c r="N6" s="36"/>
      <c r="O6" s="36"/>
      <c r="P6" s="36"/>
      <c r="Q6" s="36"/>
      <c r="R6" s="36"/>
      <c r="S6" s="36"/>
      <c r="T6" s="36"/>
      <c r="U6" s="36"/>
      <c r="V6" s="36"/>
    </row>
    <row r="7" spans="1:22" s="7" customFormat="1" ht="15.75" x14ac:dyDescent="0.2">
      <c r="A7" s="1" t="s">
        <v>25</v>
      </c>
      <c r="B7" s="2">
        <v>1</v>
      </c>
      <c r="C7" s="2">
        <v>1</v>
      </c>
      <c r="D7" s="2">
        <f>B7*C7</f>
        <v>1</v>
      </c>
      <c r="E7" s="2">
        <v>85</v>
      </c>
      <c r="F7" s="2">
        <f>D7*E7</f>
        <v>85</v>
      </c>
      <c r="G7" s="8">
        <f>F7*0.05</f>
        <v>4.25</v>
      </c>
      <c r="H7" s="2">
        <f>F7*0.1</f>
        <v>8.5</v>
      </c>
      <c r="I7" s="14">
        <f>F7*$L$6+G7*$L$5+H7*$L$7</f>
        <v>13388.0525</v>
      </c>
      <c r="K7" s="16" t="s">
        <v>26</v>
      </c>
      <c r="L7" s="17">
        <v>71.36</v>
      </c>
      <c r="N7" s="36"/>
      <c r="O7" s="37"/>
      <c r="P7" s="37"/>
      <c r="Q7" s="37"/>
      <c r="R7" s="37"/>
      <c r="S7" s="37"/>
      <c r="T7" s="37"/>
      <c r="U7" s="37"/>
      <c r="V7" s="38"/>
    </row>
    <row r="8" spans="1:22" s="7" customFormat="1" ht="12.75" x14ac:dyDescent="0.2">
      <c r="A8" s="1" t="s">
        <v>27</v>
      </c>
      <c r="B8" s="2"/>
      <c r="C8" s="2"/>
      <c r="D8" s="2"/>
      <c r="E8" s="2"/>
      <c r="F8" s="2"/>
      <c r="G8" s="2"/>
      <c r="H8" s="2"/>
      <c r="I8" s="3"/>
      <c r="N8" s="36"/>
      <c r="O8" s="36"/>
      <c r="P8" s="36"/>
      <c r="Q8" s="36"/>
      <c r="R8" s="36"/>
      <c r="S8" s="36"/>
      <c r="T8" s="36"/>
      <c r="U8" s="36"/>
      <c r="V8" s="39"/>
    </row>
    <row r="9" spans="1:22" s="7" customFormat="1" ht="15.75" x14ac:dyDescent="0.2">
      <c r="A9" s="34" t="s">
        <v>28</v>
      </c>
      <c r="B9" s="2">
        <v>374</v>
      </c>
      <c r="C9" s="2">
        <v>1</v>
      </c>
      <c r="D9" s="2">
        <f t="shared" ref="D9:D10" si="0">B9*C9</f>
        <v>374</v>
      </c>
      <c r="E9" s="2">
        <v>0</v>
      </c>
      <c r="F9" s="2">
        <f>D9*E9</f>
        <v>0</v>
      </c>
      <c r="G9" s="2">
        <f>F9*0.05</f>
        <v>0</v>
      </c>
      <c r="H9" s="2">
        <f>F9*0.1</f>
        <v>0</v>
      </c>
      <c r="I9" s="4">
        <f>F9*$L$6+G9*$L$5+H9*$L$7</f>
        <v>0</v>
      </c>
      <c r="N9" s="36"/>
      <c r="O9" s="37"/>
      <c r="P9" s="37"/>
      <c r="Q9" s="37"/>
      <c r="R9" s="37"/>
      <c r="S9" s="37"/>
      <c r="T9" s="37"/>
      <c r="U9" s="37"/>
      <c r="V9" s="40"/>
    </row>
    <row r="10" spans="1:22" s="7" customFormat="1" ht="15.75" x14ac:dyDescent="0.2">
      <c r="A10" s="34" t="s">
        <v>29</v>
      </c>
      <c r="B10" s="2">
        <v>374</v>
      </c>
      <c r="C10" s="2">
        <f>C9*0.2</f>
        <v>0.2</v>
      </c>
      <c r="D10" s="2">
        <f t="shared" si="0"/>
        <v>74.8</v>
      </c>
      <c r="E10" s="2">
        <v>0</v>
      </c>
      <c r="F10" s="2">
        <f>D10*E10</f>
        <v>0</v>
      </c>
      <c r="G10" s="2">
        <f>F10*0.05</f>
        <v>0</v>
      </c>
      <c r="H10" s="2">
        <f>F10*0.1</f>
        <v>0</v>
      </c>
      <c r="I10" s="4">
        <f>F10*$L$6+G10*$L$5+H10*$L$7</f>
        <v>0</v>
      </c>
      <c r="N10" s="36"/>
      <c r="O10" s="37"/>
      <c r="P10" s="37"/>
      <c r="Q10" s="37"/>
      <c r="R10" s="37"/>
      <c r="S10" s="37"/>
      <c r="T10" s="37"/>
      <c r="U10" s="37"/>
      <c r="V10" s="40"/>
    </row>
    <row r="11" spans="1:22" s="7" customFormat="1" ht="12.75" x14ac:dyDescent="0.2">
      <c r="A11" s="1" t="s">
        <v>30</v>
      </c>
      <c r="B11" s="2" t="s">
        <v>31</v>
      </c>
      <c r="C11" s="2"/>
      <c r="D11" s="2"/>
      <c r="E11" s="2"/>
      <c r="F11" s="2"/>
      <c r="G11" s="2"/>
      <c r="H11" s="2"/>
      <c r="I11" s="3"/>
      <c r="N11" s="36"/>
      <c r="O11" s="37"/>
      <c r="P11" s="36"/>
      <c r="Q11" s="36"/>
      <c r="R11" s="36"/>
      <c r="S11" s="36"/>
      <c r="T11" s="36"/>
      <c r="U11" s="36"/>
      <c r="V11" s="39"/>
    </row>
    <row r="12" spans="1:22" s="7" customFormat="1" ht="12.75" x14ac:dyDescent="0.2">
      <c r="A12" s="1" t="s">
        <v>32</v>
      </c>
      <c r="B12" s="2"/>
      <c r="C12" s="2"/>
      <c r="D12" s="2"/>
      <c r="E12" s="2"/>
      <c r="F12" s="2"/>
      <c r="G12" s="2"/>
      <c r="H12" s="2"/>
      <c r="I12" s="3"/>
      <c r="N12" s="36"/>
      <c r="O12" s="36"/>
      <c r="P12" s="36"/>
      <c r="Q12" s="36"/>
      <c r="R12" s="36"/>
      <c r="S12" s="36"/>
      <c r="T12" s="36"/>
      <c r="U12" s="36"/>
      <c r="V12" s="39"/>
    </row>
    <row r="13" spans="1:22" s="7" customFormat="1" ht="12.75" x14ac:dyDescent="0.2">
      <c r="A13" s="56" t="s">
        <v>33</v>
      </c>
      <c r="B13" s="2">
        <v>2</v>
      </c>
      <c r="C13" s="2">
        <v>1</v>
      </c>
      <c r="D13" s="2">
        <f t="shared" ref="D13:D17" si="1">B13*C13</f>
        <v>2</v>
      </c>
      <c r="E13" s="2">
        <v>0</v>
      </c>
      <c r="F13" s="2">
        <f t="shared" ref="F13:F17" si="2">D13*E13</f>
        <v>0</v>
      </c>
      <c r="G13" s="2">
        <f t="shared" ref="G13:G17" si="3">F13*0.05</f>
        <v>0</v>
      </c>
      <c r="H13" s="2">
        <f t="shared" ref="H13:H17" si="4">F13*0.1</f>
        <v>0</v>
      </c>
      <c r="I13" s="4">
        <f t="shared" ref="I13:I17" si="5">F13*$L$6+G13*$L$5+H13*$L$7</f>
        <v>0</v>
      </c>
      <c r="N13" s="36"/>
      <c r="O13" s="37"/>
      <c r="P13" s="37"/>
      <c r="Q13" s="37"/>
      <c r="R13" s="37"/>
      <c r="S13" s="37"/>
      <c r="T13" s="37"/>
      <c r="U13" s="37"/>
      <c r="V13" s="40"/>
    </row>
    <row r="14" spans="1:22" s="7" customFormat="1" ht="12.75" x14ac:dyDescent="0.2">
      <c r="A14" s="56" t="s">
        <v>34</v>
      </c>
      <c r="B14" s="2">
        <v>2</v>
      </c>
      <c r="C14" s="2">
        <f>C9+C10</f>
        <v>1.2</v>
      </c>
      <c r="D14" s="2">
        <f t="shared" si="1"/>
        <v>2.4</v>
      </c>
      <c r="E14" s="2">
        <v>0</v>
      </c>
      <c r="F14" s="2">
        <f t="shared" si="2"/>
        <v>0</v>
      </c>
      <c r="G14" s="2">
        <f t="shared" si="3"/>
        <v>0</v>
      </c>
      <c r="H14" s="2">
        <f t="shared" si="4"/>
        <v>0</v>
      </c>
      <c r="I14" s="4">
        <f t="shared" si="5"/>
        <v>0</v>
      </c>
      <c r="N14" s="36"/>
      <c r="O14" s="37"/>
      <c r="P14" s="37"/>
      <c r="Q14" s="37"/>
      <c r="R14" s="37"/>
      <c r="S14" s="37"/>
      <c r="T14" s="37"/>
      <c r="U14" s="37"/>
      <c r="V14" s="40"/>
    </row>
    <row r="15" spans="1:22" s="7" customFormat="1" ht="12.75" x14ac:dyDescent="0.2">
      <c r="A15" s="56" t="s">
        <v>35</v>
      </c>
      <c r="B15" s="2">
        <v>2</v>
      </c>
      <c r="C15" s="2">
        <v>1</v>
      </c>
      <c r="D15" s="2">
        <f t="shared" si="1"/>
        <v>2</v>
      </c>
      <c r="E15" s="2">
        <v>0</v>
      </c>
      <c r="F15" s="2">
        <f t="shared" si="2"/>
        <v>0</v>
      </c>
      <c r="G15" s="2">
        <f t="shared" si="3"/>
        <v>0</v>
      </c>
      <c r="H15" s="2">
        <f t="shared" si="4"/>
        <v>0</v>
      </c>
      <c r="I15" s="4">
        <f t="shared" si="5"/>
        <v>0</v>
      </c>
      <c r="N15" s="36"/>
      <c r="O15" s="37"/>
      <c r="P15" s="37"/>
      <c r="Q15" s="37"/>
      <c r="R15" s="37"/>
      <c r="S15" s="37"/>
      <c r="T15" s="37"/>
      <c r="U15" s="37"/>
      <c r="V15" s="40"/>
    </row>
    <row r="16" spans="1:22" s="7" customFormat="1" ht="12.75" x14ac:dyDescent="0.2">
      <c r="A16" s="56" t="s">
        <v>36</v>
      </c>
      <c r="B16" s="2">
        <v>2</v>
      </c>
      <c r="C16" s="2">
        <v>1</v>
      </c>
      <c r="D16" s="2">
        <f t="shared" si="1"/>
        <v>2</v>
      </c>
      <c r="E16" s="2">
        <v>0</v>
      </c>
      <c r="F16" s="2">
        <f t="shared" si="2"/>
        <v>0</v>
      </c>
      <c r="G16" s="2">
        <f t="shared" si="3"/>
        <v>0</v>
      </c>
      <c r="H16" s="2">
        <f t="shared" si="4"/>
        <v>0</v>
      </c>
      <c r="I16" s="4">
        <f t="shared" si="5"/>
        <v>0</v>
      </c>
      <c r="N16" s="36"/>
      <c r="O16" s="37"/>
      <c r="P16" s="37"/>
      <c r="Q16" s="37"/>
      <c r="R16" s="37"/>
      <c r="S16" s="37"/>
      <c r="T16" s="37"/>
      <c r="U16" s="37"/>
      <c r="V16" s="40"/>
    </row>
    <row r="17" spans="1:22" s="7" customFormat="1" ht="12.75" x14ac:dyDescent="0.2">
      <c r="A17" s="56" t="s">
        <v>37</v>
      </c>
      <c r="B17" s="2">
        <v>2</v>
      </c>
      <c r="C17" s="2">
        <v>1</v>
      </c>
      <c r="D17" s="2">
        <f t="shared" si="1"/>
        <v>2</v>
      </c>
      <c r="E17" s="2">
        <v>0</v>
      </c>
      <c r="F17" s="2">
        <f t="shared" si="2"/>
        <v>0</v>
      </c>
      <c r="G17" s="2">
        <f t="shared" si="3"/>
        <v>0</v>
      </c>
      <c r="H17" s="2">
        <f t="shared" si="4"/>
        <v>0</v>
      </c>
      <c r="I17" s="4">
        <f t="shared" si="5"/>
        <v>0</v>
      </c>
      <c r="N17" s="36"/>
      <c r="O17" s="37"/>
      <c r="P17" s="37"/>
      <c r="Q17" s="37"/>
      <c r="R17" s="37"/>
      <c r="S17" s="37"/>
      <c r="T17" s="37"/>
      <c r="U17" s="37"/>
      <c r="V17" s="40"/>
    </row>
    <row r="18" spans="1:22" s="7" customFormat="1" ht="25.5" x14ac:dyDescent="0.2">
      <c r="A18" s="56" t="s">
        <v>38</v>
      </c>
      <c r="B18" s="2">
        <v>2</v>
      </c>
      <c r="C18" s="2">
        <v>1</v>
      </c>
      <c r="D18" s="2">
        <f t="shared" ref="D18" si="6">B18*C18</f>
        <v>2</v>
      </c>
      <c r="E18" s="2">
        <v>0</v>
      </c>
      <c r="F18" s="2">
        <f t="shared" ref="F18" si="7">D18*E18</f>
        <v>0</v>
      </c>
      <c r="G18" s="2">
        <f t="shared" ref="G18" si="8">F18*0.05</f>
        <v>0</v>
      </c>
      <c r="H18" s="2">
        <f t="shared" ref="H18" si="9">F18*0.1</f>
        <v>0</v>
      </c>
      <c r="I18" s="4">
        <f t="shared" ref="I18" si="10">F18*$L$6+G18*$L$5+H18*$L$7</f>
        <v>0</v>
      </c>
      <c r="N18" s="36"/>
      <c r="O18" s="37"/>
      <c r="P18" s="37"/>
      <c r="Q18" s="37"/>
      <c r="R18" s="37"/>
      <c r="S18" s="37"/>
      <c r="T18" s="37"/>
      <c r="U18" s="37"/>
      <c r="V18" s="40"/>
    </row>
    <row r="19" spans="1:22" s="7" customFormat="1" ht="12.75" x14ac:dyDescent="0.2">
      <c r="A19" s="56" t="s">
        <v>39</v>
      </c>
      <c r="B19" s="2" t="s">
        <v>40</v>
      </c>
      <c r="C19" s="2"/>
      <c r="D19" s="2"/>
      <c r="E19" s="2"/>
      <c r="F19" s="2"/>
      <c r="G19" s="2"/>
      <c r="H19" s="2"/>
      <c r="I19" s="4"/>
      <c r="N19" s="36"/>
      <c r="O19" s="37"/>
      <c r="P19" s="36"/>
      <c r="Q19" s="36"/>
      <c r="R19" s="36"/>
      <c r="S19" s="36"/>
      <c r="T19" s="36"/>
      <c r="U19" s="36"/>
      <c r="V19" s="39"/>
    </row>
    <row r="20" spans="1:22" s="7" customFormat="1" ht="15.75" x14ac:dyDescent="0.2">
      <c r="A20" s="56" t="s">
        <v>41</v>
      </c>
      <c r="B20" s="2">
        <v>8</v>
      </c>
      <c r="C20" s="2">
        <v>2</v>
      </c>
      <c r="D20" s="2">
        <f t="shared" ref="D20:D21" si="11">B20*C20</f>
        <v>16</v>
      </c>
      <c r="E20" s="2">
        <f>E7</f>
        <v>85</v>
      </c>
      <c r="F20" s="5">
        <f t="shared" ref="F20:F21" si="12">D20*E20</f>
        <v>1360</v>
      </c>
      <c r="G20" s="2">
        <f t="shared" ref="G20:G21" si="13">F20*0.05</f>
        <v>68</v>
      </c>
      <c r="H20" s="35">
        <f t="shared" ref="H20:H21" si="14">F20*0.1</f>
        <v>136</v>
      </c>
      <c r="I20" s="14">
        <f t="shared" ref="I20:I21" si="15">F20*$L$6+G20*$L$5+H20*$L$7</f>
        <v>214208.84</v>
      </c>
      <c r="N20" s="36"/>
      <c r="O20" s="37"/>
      <c r="P20" s="37"/>
      <c r="Q20" s="37"/>
      <c r="R20" s="37"/>
      <c r="S20" s="41"/>
      <c r="T20" s="37"/>
      <c r="U20" s="37"/>
      <c r="V20" s="38"/>
    </row>
    <row r="21" spans="1:22" s="7" customFormat="1" ht="15.75" x14ac:dyDescent="0.2">
      <c r="A21" s="56" t="s">
        <v>42</v>
      </c>
      <c r="B21" s="2">
        <v>8</v>
      </c>
      <c r="C21" s="2">
        <v>2</v>
      </c>
      <c r="D21" s="2">
        <f t="shared" si="11"/>
        <v>16</v>
      </c>
      <c r="E21" s="2">
        <f>E7</f>
        <v>85</v>
      </c>
      <c r="F21" s="5">
        <f t="shared" si="12"/>
        <v>1360</v>
      </c>
      <c r="G21" s="2">
        <f t="shared" si="13"/>
        <v>68</v>
      </c>
      <c r="H21" s="35">
        <f t="shared" si="14"/>
        <v>136</v>
      </c>
      <c r="I21" s="14">
        <f t="shared" si="15"/>
        <v>214208.84</v>
      </c>
      <c r="N21" s="36"/>
      <c r="O21" s="37"/>
      <c r="P21" s="37"/>
      <c r="Q21" s="37"/>
      <c r="R21" s="37"/>
      <c r="S21" s="41"/>
      <c r="T21" s="37"/>
      <c r="U21" s="37"/>
      <c r="V21" s="38"/>
    </row>
    <row r="22" spans="1:22" s="7" customFormat="1" ht="13.5" x14ac:dyDescent="0.2">
      <c r="A22" s="82" t="s">
        <v>43</v>
      </c>
      <c r="B22" s="83"/>
      <c r="C22" s="83"/>
      <c r="D22" s="83"/>
      <c r="E22" s="84"/>
      <c r="F22" s="79">
        <f>SUM(F7:H21)</f>
        <v>3225.75</v>
      </c>
      <c r="G22" s="80"/>
      <c r="H22" s="81"/>
      <c r="I22" s="10">
        <f>SUM(I7:I21)</f>
        <v>441805.73249999998</v>
      </c>
      <c r="N22" s="42"/>
      <c r="O22" s="36"/>
      <c r="P22" s="36"/>
      <c r="Q22" s="36"/>
      <c r="R22" s="36"/>
      <c r="S22" s="93"/>
      <c r="T22" s="93"/>
      <c r="U22" s="93"/>
      <c r="V22" s="43"/>
    </row>
    <row r="23" spans="1:22" s="7" customFormat="1" ht="12.75" x14ac:dyDescent="0.2">
      <c r="A23" s="33" t="s">
        <v>44</v>
      </c>
      <c r="B23" s="2"/>
      <c r="C23" s="2"/>
      <c r="D23" s="2"/>
      <c r="E23" s="2"/>
      <c r="F23" s="2"/>
      <c r="G23" s="2"/>
      <c r="H23" s="2"/>
      <c r="I23" s="3"/>
      <c r="N23" s="36"/>
      <c r="O23" s="36"/>
      <c r="P23" s="36"/>
      <c r="Q23" s="36"/>
      <c r="R23" s="36"/>
      <c r="S23" s="36"/>
      <c r="T23" s="36"/>
      <c r="U23" s="36"/>
      <c r="V23" s="36"/>
    </row>
    <row r="24" spans="1:22" s="7" customFormat="1" ht="12.75" x14ac:dyDescent="0.2">
      <c r="A24" s="1" t="s">
        <v>45</v>
      </c>
      <c r="B24" s="2" t="s">
        <v>46</v>
      </c>
      <c r="C24" s="2"/>
      <c r="D24" s="2"/>
      <c r="E24" s="2"/>
      <c r="F24" s="2"/>
      <c r="G24" s="2"/>
      <c r="H24" s="2"/>
      <c r="I24" s="3"/>
      <c r="N24" s="36"/>
      <c r="O24" s="37"/>
      <c r="P24" s="36"/>
      <c r="Q24" s="36"/>
      <c r="R24" s="36"/>
      <c r="S24" s="36"/>
      <c r="T24" s="36"/>
      <c r="U24" s="36"/>
      <c r="V24" s="36"/>
    </row>
    <row r="25" spans="1:22" s="7" customFormat="1" ht="12.75" x14ac:dyDescent="0.2">
      <c r="A25" s="1" t="s">
        <v>47</v>
      </c>
      <c r="B25" s="2" t="s">
        <v>46</v>
      </c>
      <c r="C25" s="2"/>
      <c r="D25" s="2"/>
      <c r="E25" s="2"/>
      <c r="F25" s="2"/>
      <c r="G25" s="2"/>
      <c r="H25" s="2"/>
      <c r="I25" s="3"/>
      <c r="N25" s="36"/>
      <c r="O25" s="37"/>
      <c r="P25" s="36"/>
      <c r="Q25" s="36"/>
      <c r="R25" s="36"/>
      <c r="S25" s="36"/>
      <c r="T25" s="36"/>
      <c r="U25" s="36"/>
      <c r="V25" s="36"/>
    </row>
    <row r="26" spans="1:22" s="7" customFormat="1" ht="12.75" x14ac:dyDescent="0.2">
      <c r="A26" s="1" t="s">
        <v>48</v>
      </c>
      <c r="B26" s="2" t="s">
        <v>46</v>
      </c>
      <c r="C26" s="2"/>
      <c r="D26" s="2"/>
      <c r="E26" s="2"/>
      <c r="F26" s="2"/>
      <c r="G26" s="2"/>
      <c r="H26" s="2"/>
      <c r="I26" s="3"/>
      <c r="N26" s="36"/>
      <c r="O26" s="37"/>
      <c r="P26" s="36"/>
      <c r="Q26" s="36"/>
      <c r="R26" s="36"/>
      <c r="S26" s="36"/>
      <c r="T26" s="36"/>
      <c r="U26" s="36"/>
      <c r="V26" s="36"/>
    </row>
    <row r="27" spans="1:22" s="7" customFormat="1" ht="12.75" x14ac:dyDescent="0.2">
      <c r="A27" s="1" t="s">
        <v>49</v>
      </c>
      <c r="B27" s="2" t="s">
        <v>19</v>
      </c>
      <c r="C27" s="2"/>
      <c r="D27" s="2"/>
      <c r="E27" s="2"/>
      <c r="F27" s="2"/>
      <c r="G27" s="2"/>
      <c r="H27" s="2"/>
      <c r="I27" s="3"/>
      <c r="N27" s="36"/>
      <c r="O27" s="37"/>
      <c r="P27" s="36"/>
      <c r="Q27" s="36"/>
      <c r="R27" s="36"/>
      <c r="S27" s="36"/>
      <c r="T27" s="36"/>
      <c r="U27" s="36"/>
      <c r="V27" s="36"/>
    </row>
    <row r="28" spans="1:22" s="7" customFormat="1" ht="12.75" x14ac:dyDescent="0.2">
      <c r="A28" s="1" t="s">
        <v>50</v>
      </c>
      <c r="B28" s="2"/>
      <c r="C28" s="2"/>
      <c r="D28" s="2"/>
      <c r="E28" s="2"/>
      <c r="F28" s="2"/>
      <c r="G28" s="8"/>
      <c r="H28" s="2"/>
      <c r="I28" s="3"/>
      <c r="N28" s="36"/>
      <c r="O28" s="44"/>
      <c r="P28" s="44"/>
      <c r="Q28" s="44"/>
      <c r="R28" s="44"/>
      <c r="S28" s="44"/>
      <c r="T28" s="36"/>
      <c r="U28" s="36"/>
      <c r="V28" s="36"/>
    </row>
    <row r="29" spans="1:22" s="7" customFormat="1" ht="15.75" x14ac:dyDescent="0.2">
      <c r="A29" s="34" t="s">
        <v>51</v>
      </c>
      <c r="B29" s="2">
        <v>0.25</v>
      </c>
      <c r="C29" s="2">
        <v>365</v>
      </c>
      <c r="D29" s="13">
        <f t="shared" ref="D29" si="16">B29*C29</f>
        <v>91.25</v>
      </c>
      <c r="E29" s="2">
        <v>85</v>
      </c>
      <c r="F29" s="5">
        <f>D29*E29</f>
        <v>7756.25</v>
      </c>
      <c r="G29" s="5">
        <f t="shared" ref="G29" si="17">F29*0.05</f>
        <v>387.8125</v>
      </c>
      <c r="H29" s="5">
        <f t="shared" ref="H29" si="18">F29*0.1</f>
        <v>775.625</v>
      </c>
      <c r="I29" s="14">
        <f>F29*$L$6+G29*$L$5+H29*$L$7</f>
        <v>1221659.7906250001</v>
      </c>
      <c r="N29" s="36"/>
      <c r="O29" s="37"/>
      <c r="P29" s="37"/>
      <c r="Q29" s="37"/>
      <c r="R29" s="37"/>
      <c r="S29" s="45"/>
      <c r="T29" s="46"/>
      <c r="U29" s="46"/>
      <c r="V29" s="38"/>
    </row>
    <row r="30" spans="1:22" s="7" customFormat="1" ht="13.5" x14ac:dyDescent="0.2">
      <c r="A30" s="82" t="s">
        <v>52</v>
      </c>
      <c r="B30" s="85"/>
      <c r="C30" s="85"/>
      <c r="D30" s="85"/>
      <c r="E30" s="86"/>
      <c r="F30" s="79">
        <f>SUM(F23:H29)</f>
        <v>8919.6875</v>
      </c>
      <c r="G30" s="80"/>
      <c r="H30" s="81"/>
      <c r="I30" s="10">
        <f>SUM(I23:I29)</f>
        <v>1221659.7906250001</v>
      </c>
    </row>
    <row r="31" spans="1:22" s="7" customFormat="1" ht="15.75" x14ac:dyDescent="0.2">
      <c r="A31" s="11" t="s">
        <v>53</v>
      </c>
      <c r="B31" s="18"/>
      <c r="C31" s="18"/>
      <c r="D31" s="18"/>
      <c r="E31" s="19"/>
      <c r="F31" s="90">
        <f>ROUND(SUM(F22,F30),-2)</f>
        <v>12100</v>
      </c>
      <c r="G31" s="91"/>
      <c r="H31" s="92"/>
      <c r="I31" s="9">
        <f>ROUND(I30+I22,-4)</f>
        <v>1660000</v>
      </c>
    </row>
    <row r="32" spans="1:22" s="7" customFormat="1" ht="15.75" x14ac:dyDescent="0.2">
      <c r="A32" s="12" t="s">
        <v>54</v>
      </c>
      <c r="B32" s="18"/>
      <c r="C32" s="18"/>
      <c r="D32" s="18"/>
      <c r="E32" s="19"/>
      <c r="F32" s="2"/>
      <c r="H32" s="2"/>
      <c r="I32" s="9">
        <f>'Capital O&amp;M'!G11</f>
        <v>4700000</v>
      </c>
    </row>
    <row r="33" spans="1:12" s="7" customFormat="1" ht="18.75" customHeight="1" x14ac:dyDescent="0.2">
      <c r="A33" s="87" t="s">
        <v>55</v>
      </c>
      <c r="B33" s="88"/>
      <c r="C33" s="88"/>
      <c r="D33" s="88"/>
      <c r="E33" s="89"/>
      <c r="F33" s="90">
        <f>ROUND(SUM(F22,F30),-2)</f>
        <v>12100</v>
      </c>
      <c r="G33" s="91"/>
      <c r="H33" s="92"/>
      <c r="I33" s="9">
        <f>ROUND(SUM(I30,I22,I32),-4)</f>
        <v>6360000</v>
      </c>
      <c r="J33" s="20"/>
      <c r="K33" s="7" t="s">
        <v>56</v>
      </c>
      <c r="L33" s="7">
        <f>Responses!E13</f>
        <v>340</v>
      </c>
    </row>
    <row r="34" spans="1:12" s="7" customFormat="1" ht="12.75" x14ac:dyDescent="0.2">
      <c r="K34" s="7" t="s">
        <v>57</v>
      </c>
      <c r="L34" s="28">
        <f>F31/L33</f>
        <v>35.588235294117645</v>
      </c>
    </row>
    <row r="35" spans="1:12" s="7" customFormat="1" ht="21" customHeight="1" x14ac:dyDescent="0.2">
      <c r="A35" s="6" t="s">
        <v>58</v>
      </c>
    </row>
    <row r="36" spans="1:12" s="7" customFormat="1" ht="15.75" x14ac:dyDescent="0.2">
      <c r="A36" s="75" t="s">
        <v>59</v>
      </c>
      <c r="B36" s="76"/>
      <c r="C36" s="76"/>
      <c r="D36" s="76"/>
      <c r="E36" s="76"/>
      <c r="F36" s="76"/>
      <c r="G36" s="76"/>
      <c r="H36" s="76"/>
      <c r="I36" s="76"/>
    </row>
    <row r="37" spans="1:12" s="7" customFormat="1" ht="51.75" customHeight="1" x14ac:dyDescent="0.2">
      <c r="A37" s="77" t="s">
        <v>60</v>
      </c>
      <c r="B37" s="78"/>
      <c r="C37" s="78"/>
      <c r="D37" s="78"/>
      <c r="E37" s="78"/>
      <c r="F37" s="78"/>
      <c r="G37" s="78"/>
      <c r="H37" s="78"/>
      <c r="I37" s="78"/>
    </row>
    <row r="38" spans="1:12" s="7" customFormat="1" ht="18.75" customHeight="1" x14ac:dyDescent="0.2">
      <c r="A38" s="76" t="s">
        <v>61</v>
      </c>
      <c r="B38" s="76"/>
      <c r="C38" s="76"/>
      <c r="D38" s="76"/>
      <c r="E38" s="76"/>
      <c r="F38" s="76"/>
      <c r="G38" s="76"/>
      <c r="H38" s="76"/>
      <c r="I38" s="76"/>
      <c r="J38" s="47"/>
    </row>
    <row r="39" spans="1:12" s="7" customFormat="1" ht="19.5" customHeight="1" x14ac:dyDescent="0.2">
      <c r="A39" s="76" t="s">
        <v>62</v>
      </c>
      <c r="B39" s="76"/>
      <c r="C39" s="76"/>
      <c r="D39" s="76"/>
      <c r="E39" s="76"/>
      <c r="F39" s="76"/>
      <c r="G39" s="76"/>
      <c r="H39" s="76"/>
      <c r="I39" s="76"/>
      <c r="J39" s="48"/>
    </row>
    <row r="40" spans="1:12" s="7" customFormat="1" ht="18" customHeight="1" x14ac:dyDescent="0.2">
      <c r="A40" s="75" t="s">
        <v>63</v>
      </c>
      <c r="B40" s="76"/>
      <c r="C40" s="76"/>
      <c r="D40" s="76"/>
      <c r="E40" s="76"/>
      <c r="F40" s="76"/>
      <c r="G40" s="76"/>
      <c r="H40" s="76"/>
      <c r="I40" s="76"/>
      <c r="J40" s="48"/>
    </row>
    <row r="41" spans="1:12" s="7" customFormat="1" ht="15.75" x14ac:dyDescent="0.2">
      <c r="A41" s="76" t="s">
        <v>64</v>
      </c>
      <c r="B41" s="76"/>
      <c r="C41" s="76"/>
      <c r="D41" s="76"/>
      <c r="E41" s="76"/>
      <c r="F41" s="76"/>
      <c r="G41" s="76"/>
      <c r="H41" s="76"/>
      <c r="I41" s="76"/>
      <c r="J41" s="47"/>
    </row>
    <row r="42" spans="1:12" s="7" customFormat="1" ht="15.75" x14ac:dyDescent="0.2">
      <c r="A42" s="76" t="s">
        <v>65</v>
      </c>
      <c r="B42" s="76"/>
      <c r="C42" s="76"/>
      <c r="D42" s="76"/>
      <c r="E42" s="76"/>
      <c r="F42" s="76"/>
      <c r="G42" s="76"/>
      <c r="H42" s="76"/>
      <c r="I42" s="76"/>
      <c r="J42" s="47"/>
    </row>
    <row r="43" spans="1:12" s="7" customFormat="1" ht="15.75" x14ac:dyDescent="0.2">
      <c r="A43" s="76" t="s">
        <v>66</v>
      </c>
      <c r="B43" s="76"/>
      <c r="C43" s="76"/>
      <c r="D43" s="76"/>
      <c r="E43" s="76"/>
      <c r="F43" s="76"/>
      <c r="G43" s="76"/>
      <c r="H43" s="76"/>
      <c r="I43" s="76"/>
      <c r="J43" s="47"/>
    </row>
    <row r="44" spans="1:12" s="7" customFormat="1" ht="15.75" x14ac:dyDescent="0.2">
      <c r="A44" s="76" t="s">
        <v>67</v>
      </c>
      <c r="B44" s="76"/>
      <c r="C44" s="76"/>
      <c r="D44" s="76"/>
      <c r="E44" s="76"/>
      <c r="F44" s="76"/>
      <c r="G44" s="76"/>
      <c r="H44" s="76"/>
      <c r="I44" s="76"/>
      <c r="J44" s="47"/>
    </row>
    <row r="45" spans="1:12" s="7" customFormat="1" ht="15.75" x14ac:dyDescent="0.2">
      <c r="A45" s="76"/>
      <c r="B45" s="76"/>
      <c r="C45" s="76"/>
      <c r="D45" s="76"/>
      <c r="E45" s="76"/>
      <c r="F45" s="76"/>
      <c r="G45" s="76"/>
      <c r="H45" s="76"/>
      <c r="I45" s="76"/>
      <c r="J45" s="47"/>
    </row>
    <row r="46" spans="1:12" s="7" customFormat="1" ht="15.75" x14ac:dyDescent="0.2">
      <c r="A46" s="76"/>
      <c r="B46" s="76"/>
      <c r="C46" s="76"/>
      <c r="D46" s="76"/>
      <c r="E46" s="76"/>
      <c r="F46" s="76"/>
      <c r="G46" s="76"/>
      <c r="H46" s="76"/>
      <c r="I46" s="76"/>
      <c r="J46" s="47"/>
    </row>
    <row r="47" spans="1:12" s="7" customFormat="1" x14ac:dyDescent="0.25">
      <c r="A47" s="15"/>
      <c r="B47" s="15"/>
      <c r="C47" s="15"/>
      <c r="D47" s="15"/>
      <c r="E47" s="15"/>
      <c r="F47" s="15"/>
      <c r="G47" s="15"/>
      <c r="H47" s="15"/>
      <c r="I47" s="15"/>
    </row>
    <row r="48" spans="1:12" s="7" customFormat="1" x14ac:dyDescent="0.25">
      <c r="A48" s="15"/>
      <c r="B48" s="15"/>
      <c r="C48" s="15"/>
      <c r="D48" s="15"/>
      <c r="E48" s="15"/>
      <c r="F48" s="15"/>
      <c r="G48" s="15"/>
      <c r="H48" s="15"/>
      <c r="I48" s="15"/>
    </row>
  </sheetData>
  <mergeCells count="21">
    <mergeCell ref="S22:U22"/>
    <mergeCell ref="A38:I38"/>
    <mergeCell ref="A46:I46"/>
    <mergeCell ref="A41:I41"/>
    <mergeCell ref="A42:I42"/>
    <mergeCell ref="A43:I43"/>
    <mergeCell ref="A44:I44"/>
    <mergeCell ref="A45:I45"/>
    <mergeCell ref="K4:L4"/>
    <mergeCell ref="A1:I1"/>
    <mergeCell ref="A36:I36"/>
    <mergeCell ref="A39:I39"/>
    <mergeCell ref="A40:I40"/>
    <mergeCell ref="A37:I37"/>
    <mergeCell ref="F22:H22"/>
    <mergeCell ref="A22:E22"/>
    <mergeCell ref="A30:E30"/>
    <mergeCell ref="F30:H30"/>
    <mergeCell ref="A33:E33"/>
    <mergeCell ref="F33:H33"/>
    <mergeCell ref="F31:H31"/>
  </mergeCells>
  <pageMargins left="0.7" right="0.7" top="0.75" bottom="0.75" header="0.3" footer="0.3"/>
  <pageSetup orientation="portrait" horizontalDpi="4294967293"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U33"/>
  <sheetViews>
    <sheetView zoomScale="115" zoomScaleNormal="115" workbookViewId="0">
      <selection activeCell="A2" sqref="A2"/>
    </sheetView>
  </sheetViews>
  <sheetFormatPr defaultRowHeight="15" x14ac:dyDescent="0.25"/>
  <cols>
    <col min="1" max="1" width="46.85546875" customWidth="1"/>
    <col min="2" max="9" width="12.140625" customWidth="1"/>
    <col min="11" max="11" width="12.42578125" customWidth="1"/>
    <col min="14" max="14" width="37" customWidth="1"/>
  </cols>
  <sheetData>
    <row r="1" spans="1:21" ht="15.75" x14ac:dyDescent="0.25">
      <c r="A1" s="95" t="s">
        <v>68</v>
      </c>
      <c r="B1" s="95"/>
      <c r="C1" s="95"/>
      <c r="D1" s="95"/>
      <c r="E1" s="95"/>
      <c r="F1" s="95"/>
      <c r="G1" s="95"/>
      <c r="H1" s="95"/>
      <c r="I1" s="95"/>
    </row>
    <row r="3" spans="1:21" s="7" customFormat="1" ht="12.75" x14ac:dyDescent="0.2">
      <c r="A3" s="96" t="s">
        <v>69</v>
      </c>
      <c r="B3" s="29" t="s">
        <v>70</v>
      </c>
      <c r="C3" s="29" t="s">
        <v>71</v>
      </c>
      <c r="D3" s="29" t="s">
        <v>72</v>
      </c>
      <c r="E3" s="29" t="s">
        <v>73</v>
      </c>
      <c r="F3" s="29" t="s">
        <v>74</v>
      </c>
      <c r="G3" s="29" t="s">
        <v>75</v>
      </c>
      <c r="H3" s="29" t="s">
        <v>76</v>
      </c>
      <c r="I3" s="29" t="s">
        <v>77</v>
      </c>
    </row>
    <row r="4" spans="1:21" s="7" customFormat="1" ht="51" x14ac:dyDescent="0.2">
      <c r="A4" s="96"/>
      <c r="B4" s="29" t="s">
        <v>78</v>
      </c>
      <c r="C4" s="29" t="s">
        <v>79</v>
      </c>
      <c r="D4" s="29" t="s">
        <v>80</v>
      </c>
      <c r="E4" s="29" t="s">
        <v>81</v>
      </c>
      <c r="F4" s="29" t="s">
        <v>82</v>
      </c>
      <c r="G4" s="29" t="s">
        <v>83</v>
      </c>
      <c r="H4" s="29" t="s">
        <v>84</v>
      </c>
      <c r="I4" s="29" t="s">
        <v>85</v>
      </c>
    </row>
    <row r="5" spans="1:21" s="7" customFormat="1" ht="15.75" x14ac:dyDescent="0.2">
      <c r="A5" s="33" t="s">
        <v>86</v>
      </c>
      <c r="B5" s="2">
        <v>24</v>
      </c>
      <c r="C5" s="2">
        <v>1</v>
      </c>
      <c r="D5" s="2">
        <f>B5*C5</f>
        <v>24</v>
      </c>
      <c r="E5" s="2">
        <v>0</v>
      </c>
      <c r="F5" s="2">
        <f>D5*E5</f>
        <v>0</v>
      </c>
      <c r="G5" s="2">
        <f>F5*0.05</f>
        <v>0</v>
      </c>
      <c r="H5" s="2">
        <f>F5*0.1</f>
        <v>0</v>
      </c>
      <c r="I5" s="4">
        <f>F5*$L$7+G5*$L$6+H5*$L$8</f>
        <v>0</v>
      </c>
      <c r="K5" s="73" t="s">
        <v>20</v>
      </c>
      <c r="L5" s="73"/>
      <c r="N5" s="49"/>
      <c r="O5" s="49"/>
      <c r="P5" s="49"/>
      <c r="Q5" s="49"/>
      <c r="R5" s="49"/>
      <c r="S5" s="49"/>
      <c r="T5" s="49"/>
      <c r="U5" s="49"/>
    </row>
    <row r="6" spans="1:21" s="7" customFormat="1" ht="15.75" x14ac:dyDescent="0.2">
      <c r="A6" s="33" t="s">
        <v>87</v>
      </c>
      <c r="B6" s="2">
        <v>24</v>
      </c>
      <c r="C6" s="2">
        <f>C5*0.2</f>
        <v>0.2</v>
      </c>
      <c r="D6" s="2">
        <f>B6*C6</f>
        <v>4.8000000000000007</v>
      </c>
      <c r="E6" s="2">
        <v>0</v>
      </c>
      <c r="F6" s="2">
        <f>D6*E6</f>
        <v>0</v>
      </c>
      <c r="G6" s="2">
        <f>F6*0.05</f>
        <v>0</v>
      </c>
      <c r="H6" s="2">
        <f>F6*0.1</f>
        <v>0</v>
      </c>
      <c r="I6" s="4">
        <f>F6*$L$7+G6*$L$6+H6*$L$8</f>
        <v>0</v>
      </c>
      <c r="K6" s="16" t="s">
        <v>22</v>
      </c>
      <c r="L6" s="17">
        <v>76.91</v>
      </c>
      <c r="N6" s="49"/>
      <c r="O6" s="46"/>
      <c r="P6" s="46"/>
      <c r="Q6" s="46"/>
      <c r="R6" s="46"/>
      <c r="S6" s="46"/>
      <c r="T6" s="46"/>
      <c r="U6" s="46"/>
    </row>
    <row r="7" spans="1:21" s="7" customFormat="1" ht="12.75" x14ac:dyDescent="0.2">
      <c r="A7" s="33" t="s">
        <v>88</v>
      </c>
      <c r="B7" s="2"/>
      <c r="C7" s="2"/>
      <c r="D7" s="2"/>
      <c r="E7" s="2"/>
      <c r="F7" s="2"/>
      <c r="G7" s="2"/>
      <c r="H7" s="2"/>
      <c r="I7" s="3"/>
      <c r="K7" s="16" t="s">
        <v>24</v>
      </c>
      <c r="L7" s="17">
        <v>57.07</v>
      </c>
      <c r="N7" s="49"/>
      <c r="O7" s="44"/>
      <c r="P7" s="44"/>
      <c r="Q7" s="44"/>
      <c r="R7" s="44"/>
      <c r="S7" s="44"/>
      <c r="T7" s="44"/>
      <c r="U7" s="44"/>
    </row>
    <row r="8" spans="1:21" s="7" customFormat="1" ht="12.75" x14ac:dyDescent="0.2">
      <c r="A8" s="1" t="s">
        <v>89</v>
      </c>
      <c r="B8" s="2">
        <v>2</v>
      </c>
      <c r="C8" s="2">
        <v>1</v>
      </c>
      <c r="D8" s="2">
        <f t="shared" ref="D8:D13" si="0">B8*C8</f>
        <v>2</v>
      </c>
      <c r="E8" s="2">
        <v>0</v>
      </c>
      <c r="F8" s="2">
        <f t="shared" ref="F8:F13" si="1">D8*E8</f>
        <v>0</v>
      </c>
      <c r="G8" s="2">
        <f t="shared" ref="G8:G13" si="2">F8*0.05</f>
        <v>0</v>
      </c>
      <c r="H8" s="2">
        <f t="shared" ref="H8:H13" si="3">F8*0.1</f>
        <v>0</v>
      </c>
      <c r="I8" s="4">
        <f t="shared" ref="I8:I13" si="4">F8*$L$7+G8*$L$6+H8*$L$8</f>
        <v>0</v>
      </c>
      <c r="K8" s="16" t="s">
        <v>26</v>
      </c>
      <c r="L8" s="17">
        <v>30.88</v>
      </c>
      <c r="N8" s="49"/>
      <c r="O8" s="46"/>
      <c r="P8" s="46"/>
      <c r="Q8" s="46"/>
      <c r="R8" s="46"/>
      <c r="S8" s="46"/>
      <c r="T8" s="46"/>
      <c r="U8" s="46"/>
    </row>
    <row r="9" spans="1:21" s="7" customFormat="1" ht="12.75" x14ac:dyDescent="0.2">
      <c r="A9" s="1" t="s">
        <v>90</v>
      </c>
      <c r="B9" s="2">
        <v>2</v>
      </c>
      <c r="C9" s="2">
        <f>C5+C6</f>
        <v>1.2</v>
      </c>
      <c r="D9" s="2">
        <f t="shared" ref="D9" si="5">B9*C9</f>
        <v>2.4</v>
      </c>
      <c r="E9" s="2">
        <v>0</v>
      </c>
      <c r="F9" s="2">
        <f t="shared" ref="F9" si="6">D9*E9</f>
        <v>0</v>
      </c>
      <c r="G9" s="2">
        <f t="shared" ref="G9" si="7">F9*0.05</f>
        <v>0</v>
      </c>
      <c r="H9" s="2">
        <f t="shared" ref="H9" si="8">F9*0.1</f>
        <v>0</v>
      </c>
      <c r="I9" s="4">
        <f t="shared" ref="I9" si="9">F9*$L$7+G9*$L$6+H9*$L$8</f>
        <v>0</v>
      </c>
      <c r="N9" s="49"/>
      <c r="O9" s="44"/>
      <c r="P9" s="44"/>
      <c r="Q9" s="44"/>
      <c r="R9" s="44"/>
      <c r="S9" s="44"/>
      <c r="T9" s="44"/>
      <c r="U9" s="44"/>
    </row>
    <row r="10" spans="1:21" s="7" customFormat="1" ht="12.75" x14ac:dyDescent="0.2">
      <c r="A10" s="1" t="s">
        <v>35</v>
      </c>
      <c r="B10" s="2">
        <v>0.5</v>
      </c>
      <c r="C10" s="2">
        <v>1</v>
      </c>
      <c r="D10" s="2">
        <f t="shared" si="0"/>
        <v>0.5</v>
      </c>
      <c r="E10" s="2">
        <v>0</v>
      </c>
      <c r="F10" s="2">
        <f t="shared" si="1"/>
        <v>0</v>
      </c>
      <c r="G10" s="2">
        <f t="shared" si="2"/>
        <v>0</v>
      </c>
      <c r="H10" s="2">
        <f t="shared" si="3"/>
        <v>0</v>
      </c>
      <c r="I10" s="4">
        <f t="shared" si="4"/>
        <v>0</v>
      </c>
      <c r="N10" s="49"/>
      <c r="O10" s="44"/>
      <c r="P10" s="44"/>
      <c r="Q10" s="44"/>
      <c r="R10" s="44"/>
      <c r="S10" s="44"/>
      <c r="T10" s="44"/>
      <c r="U10" s="44"/>
    </row>
    <row r="11" spans="1:21" s="7" customFormat="1" ht="12.75" x14ac:dyDescent="0.2">
      <c r="A11" s="52" t="s">
        <v>36</v>
      </c>
      <c r="B11" s="2">
        <v>0.5</v>
      </c>
      <c r="C11" s="2">
        <v>1</v>
      </c>
      <c r="D11" s="2">
        <f t="shared" si="0"/>
        <v>0.5</v>
      </c>
      <c r="E11" s="2">
        <v>0</v>
      </c>
      <c r="F11" s="2">
        <f t="shared" si="1"/>
        <v>0</v>
      </c>
      <c r="G11" s="2">
        <f t="shared" si="2"/>
        <v>0</v>
      </c>
      <c r="H11" s="2">
        <f t="shared" si="3"/>
        <v>0</v>
      </c>
      <c r="I11" s="4">
        <f t="shared" si="4"/>
        <v>0</v>
      </c>
      <c r="N11" s="49"/>
      <c r="O11" s="44"/>
      <c r="P11" s="44"/>
      <c r="Q11" s="44"/>
      <c r="R11" s="44"/>
      <c r="S11" s="44"/>
      <c r="T11" s="44"/>
      <c r="U11" s="44"/>
    </row>
    <row r="12" spans="1:21" s="7" customFormat="1" ht="12.75" x14ac:dyDescent="0.2">
      <c r="A12" s="53" t="s">
        <v>91</v>
      </c>
      <c r="B12" s="2">
        <v>0.5</v>
      </c>
      <c r="C12" s="2">
        <v>1</v>
      </c>
      <c r="D12" s="2">
        <f t="shared" si="0"/>
        <v>0.5</v>
      </c>
      <c r="E12" s="2">
        <v>0</v>
      </c>
      <c r="F12" s="2">
        <f t="shared" si="1"/>
        <v>0</v>
      </c>
      <c r="G12" s="2">
        <f t="shared" si="2"/>
        <v>0</v>
      </c>
      <c r="H12" s="2">
        <f t="shared" si="3"/>
        <v>0</v>
      </c>
      <c r="I12" s="4">
        <f t="shared" si="4"/>
        <v>0</v>
      </c>
      <c r="N12" s="49"/>
      <c r="O12" s="46"/>
      <c r="P12" s="46"/>
      <c r="Q12" s="46"/>
      <c r="R12" s="46"/>
      <c r="S12" s="46"/>
      <c r="T12" s="46"/>
      <c r="U12" s="46"/>
    </row>
    <row r="13" spans="1:21" s="7" customFormat="1" ht="12.75" x14ac:dyDescent="0.2">
      <c r="A13" s="53" t="s">
        <v>38</v>
      </c>
      <c r="B13" s="2">
        <v>0.5</v>
      </c>
      <c r="C13" s="2">
        <v>1</v>
      </c>
      <c r="D13" s="2">
        <f t="shared" si="0"/>
        <v>0.5</v>
      </c>
      <c r="E13" s="2">
        <v>0</v>
      </c>
      <c r="F13" s="2">
        <f t="shared" si="1"/>
        <v>0</v>
      </c>
      <c r="G13" s="2">
        <f t="shared" si="2"/>
        <v>0</v>
      </c>
      <c r="H13" s="2">
        <f t="shared" si="3"/>
        <v>0</v>
      </c>
      <c r="I13" s="4">
        <f t="shared" si="4"/>
        <v>0</v>
      </c>
      <c r="N13" s="49"/>
      <c r="O13" s="46"/>
      <c r="P13" s="46"/>
      <c r="Q13" s="46"/>
      <c r="R13" s="46"/>
      <c r="S13" s="46"/>
      <c r="T13" s="46"/>
      <c r="U13" s="46"/>
    </row>
    <row r="14" spans="1:21" s="7" customFormat="1" ht="12.75" x14ac:dyDescent="0.2">
      <c r="A14" s="53" t="s">
        <v>92</v>
      </c>
      <c r="B14" s="51">
        <v>8</v>
      </c>
      <c r="C14" s="2">
        <f>C9</f>
        <v>1.2</v>
      </c>
      <c r="D14" s="2">
        <f t="shared" ref="D14" si="10">B14*C14</f>
        <v>9.6</v>
      </c>
      <c r="E14" s="2">
        <v>0</v>
      </c>
      <c r="F14" s="2">
        <f t="shared" ref="F14" si="11">D14*E14</f>
        <v>0</v>
      </c>
      <c r="G14" s="2">
        <f t="shared" ref="G14" si="12">F14*0.05</f>
        <v>0</v>
      </c>
      <c r="H14" s="2">
        <f t="shared" ref="H14" si="13">F14*0.1</f>
        <v>0</v>
      </c>
      <c r="I14" s="4">
        <f t="shared" ref="I14" si="14">F14*$L$7+G14*$L$6+H14*$L$8</f>
        <v>0</v>
      </c>
      <c r="N14" s="49"/>
      <c r="O14" s="46"/>
      <c r="P14" s="46"/>
      <c r="Q14" s="46"/>
      <c r="R14" s="46"/>
      <c r="S14" s="46"/>
      <c r="T14" s="46"/>
      <c r="U14" s="46"/>
    </row>
    <row r="15" spans="1:21" s="7" customFormat="1" ht="12.75" x14ac:dyDescent="0.2">
      <c r="A15" s="54" t="s">
        <v>93</v>
      </c>
      <c r="B15" s="51"/>
      <c r="C15" s="2"/>
      <c r="D15" s="2"/>
      <c r="E15" s="2"/>
      <c r="F15" s="2"/>
      <c r="G15" s="2"/>
      <c r="H15" s="2"/>
      <c r="I15" s="4"/>
      <c r="N15" s="49"/>
      <c r="O15" s="46"/>
      <c r="P15" s="46"/>
      <c r="Q15" s="46"/>
      <c r="R15" s="46"/>
      <c r="S15" s="46"/>
      <c r="T15" s="46"/>
      <c r="U15" s="46"/>
    </row>
    <row r="16" spans="1:21" s="7" customFormat="1" ht="15.75" x14ac:dyDescent="0.2">
      <c r="A16" s="53" t="s">
        <v>94</v>
      </c>
      <c r="B16" s="51">
        <v>4</v>
      </c>
      <c r="C16" s="2">
        <v>2</v>
      </c>
      <c r="D16" s="2">
        <f t="shared" ref="D16" si="15">B16*C16</f>
        <v>8</v>
      </c>
      <c r="E16" s="2">
        <v>85</v>
      </c>
      <c r="F16" s="2">
        <f t="shared" ref="F16" si="16">D16*E16</f>
        <v>680</v>
      </c>
      <c r="G16" s="2">
        <f t="shared" ref="G16" si="17">F16*0.05</f>
        <v>34</v>
      </c>
      <c r="H16" s="2">
        <f t="shared" ref="H16" si="18">F16*0.1</f>
        <v>68</v>
      </c>
      <c r="I16" s="14">
        <f>F16*$L$7+G16*$L$6+H16*$L$8</f>
        <v>43522.380000000005</v>
      </c>
      <c r="J16" s="58"/>
      <c r="N16" s="49"/>
      <c r="O16" s="46"/>
      <c r="P16" s="46"/>
      <c r="Q16" s="46"/>
      <c r="R16" s="46"/>
      <c r="S16" s="46"/>
      <c r="T16" s="46"/>
      <c r="U16" s="46"/>
    </row>
    <row r="17" spans="1:21" s="7" customFormat="1" ht="18.75" customHeight="1" x14ac:dyDescent="0.2">
      <c r="A17" s="97" t="s">
        <v>95</v>
      </c>
      <c r="B17" s="97"/>
      <c r="C17" s="97"/>
      <c r="D17" s="97"/>
      <c r="E17" s="97"/>
      <c r="F17" s="98">
        <f>ROUND(SUM(F5:H16),3)</f>
        <v>782</v>
      </c>
      <c r="G17" s="98"/>
      <c r="H17" s="98"/>
      <c r="I17" s="55">
        <f>ROUND(SUM(I5:I16),-2)</f>
        <v>43500</v>
      </c>
      <c r="N17" s="49"/>
      <c r="O17" s="46"/>
      <c r="P17" s="46"/>
      <c r="Q17" s="46"/>
      <c r="R17" s="46"/>
      <c r="S17" s="46"/>
      <c r="T17" s="46"/>
      <c r="U17" s="46"/>
    </row>
    <row r="18" spans="1:21" s="7" customFormat="1" ht="16.5" customHeight="1" x14ac:dyDescent="0.2">
      <c r="N18" s="49"/>
      <c r="O18" s="46"/>
      <c r="P18" s="46"/>
      <c r="Q18" s="46"/>
      <c r="R18" s="46"/>
      <c r="S18" s="46"/>
      <c r="T18" s="46"/>
      <c r="U18" s="46"/>
    </row>
    <row r="19" spans="1:21" s="7" customFormat="1" ht="12.75" x14ac:dyDescent="0.2">
      <c r="A19" s="6" t="s">
        <v>58</v>
      </c>
      <c r="N19" s="49"/>
      <c r="O19" s="46"/>
      <c r="P19" s="46"/>
      <c r="Q19" s="46"/>
      <c r="R19" s="46"/>
      <c r="S19" s="46"/>
      <c r="T19" s="46"/>
      <c r="U19" s="46"/>
    </row>
    <row r="20" spans="1:21" s="7" customFormat="1" ht="15.75" x14ac:dyDescent="0.2">
      <c r="A20" s="75" t="s">
        <v>59</v>
      </c>
      <c r="B20" s="76"/>
      <c r="C20" s="76"/>
      <c r="D20" s="76"/>
      <c r="E20" s="76"/>
      <c r="F20" s="76"/>
      <c r="G20" s="76"/>
      <c r="H20" s="76"/>
      <c r="I20" s="76"/>
      <c r="J20" s="47"/>
      <c r="N20" s="49"/>
      <c r="O20" s="44"/>
      <c r="P20" s="44"/>
      <c r="Q20" s="44"/>
      <c r="R20" s="44"/>
      <c r="S20" s="44"/>
      <c r="T20" s="44"/>
      <c r="U20" s="44"/>
    </row>
    <row r="21" spans="1:21" s="7" customFormat="1" ht="50.25" customHeight="1" x14ac:dyDescent="0.2">
      <c r="A21" s="77" t="s">
        <v>96</v>
      </c>
      <c r="B21" s="78"/>
      <c r="C21" s="78"/>
      <c r="D21" s="78"/>
      <c r="E21" s="78"/>
      <c r="F21" s="78"/>
      <c r="G21" s="78"/>
      <c r="H21" s="78"/>
      <c r="I21" s="78"/>
      <c r="J21" s="48"/>
      <c r="N21" s="49"/>
      <c r="O21" s="46"/>
      <c r="P21" s="46"/>
      <c r="Q21" s="46"/>
      <c r="R21" s="46"/>
      <c r="S21" s="46"/>
      <c r="T21" s="46"/>
      <c r="U21" s="46"/>
    </row>
    <row r="22" spans="1:21" s="7" customFormat="1" ht="18.75" customHeight="1" x14ac:dyDescent="0.2">
      <c r="A22" s="76" t="s">
        <v>97</v>
      </c>
      <c r="B22" s="76"/>
      <c r="C22" s="76"/>
      <c r="D22" s="76"/>
      <c r="E22" s="76"/>
      <c r="F22" s="76"/>
      <c r="G22" s="76"/>
      <c r="H22" s="76"/>
      <c r="I22" s="76"/>
      <c r="J22" s="47"/>
      <c r="N22" s="50"/>
      <c r="O22" s="50"/>
      <c r="P22" s="50"/>
      <c r="Q22" s="50"/>
      <c r="R22" s="50"/>
      <c r="S22" s="94"/>
      <c r="T22" s="94"/>
      <c r="U22" s="94"/>
    </row>
    <row r="23" spans="1:21" s="7" customFormat="1" ht="30" customHeight="1" x14ac:dyDescent="0.2">
      <c r="A23" s="78" t="s">
        <v>98</v>
      </c>
      <c r="B23" s="78"/>
      <c r="C23" s="78"/>
      <c r="D23" s="78"/>
      <c r="E23" s="78"/>
      <c r="F23" s="78"/>
      <c r="G23" s="78"/>
      <c r="H23" s="78"/>
      <c r="I23" s="78"/>
      <c r="J23" s="47"/>
    </row>
    <row r="24" spans="1:21" s="7" customFormat="1" ht="15.75" x14ac:dyDescent="0.2">
      <c r="A24" s="76" t="s">
        <v>99</v>
      </c>
      <c r="B24" s="76"/>
      <c r="C24" s="76"/>
      <c r="D24" s="76"/>
      <c r="E24" s="76"/>
      <c r="F24" s="76"/>
      <c r="G24" s="76"/>
      <c r="H24" s="76"/>
      <c r="I24" s="76"/>
      <c r="J24" s="47"/>
    </row>
    <row r="25" spans="1:21" s="7" customFormat="1" ht="15.75" x14ac:dyDescent="0.2">
      <c r="A25" s="76" t="s">
        <v>100</v>
      </c>
      <c r="B25" s="76"/>
      <c r="C25" s="76"/>
      <c r="D25" s="76"/>
      <c r="E25" s="76"/>
      <c r="F25" s="76"/>
      <c r="G25" s="76"/>
      <c r="H25" s="76"/>
      <c r="I25" s="76"/>
      <c r="J25" s="47"/>
    </row>
    <row r="26" spans="1:21" s="7" customFormat="1" ht="12.75" x14ac:dyDescent="0.2"/>
    <row r="27" spans="1:21" s="7" customFormat="1" ht="12.75" x14ac:dyDescent="0.2"/>
    <row r="28" spans="1:21" s="7" customFormat="1" ht="12.75" x14ac:dyDescent="0.2"/>
    <row r="29" spans="1:21" s="7" customFormat="1" ht="12.75" x14ac:dyDescent="0.2"/>
    <row r="30" spans="1:21" s="7" customFormat="1" ht="12.75" x14ac:dyDescent="0.2"/>
    <row r="31" spans="1:21" s="7" customFormat="1" ht="12.75" x14ac:dyDescent="0.2"/>
    <row r="32" spans="1:21" s="7" customFormat="1" ht="12.75" x14ac:dyDescent="0.2"/>
    <row r="33" spans="1:10" s="7" customFormat="1" x14ac:dyDescent="0.25">
      <c r="A33"/>
      <c r="B33"/>
      <c r="C33"/>
      <c r="D33"/>
      <c r="E33"/>
      <c r="F33"/>
      <c r="G33"/>
      <c r="H33"/>
      <c r="I33"/>
      <c r="J33"/>
    </row>
  </sheetData>
  <mergeCells count="12">
    <mergeCell ref="S22:U22"/>
    <mergeCell ref="K5:L5"/>
    <mergeCell ref="A25:I25"/>
    <mergeCell ref="A1:I1"/>
    <mergeCell ref="A20:I20"/>
    <mergeCell ref="A22:I22"/>
    <mergeCell ref="A23:I23"/>
    <mergeCell ref="A24:I24"/>
    <mergeCell ref="A3:A4"/>
    <mergeCell ref="A21:I21"/>
    <mergeCell ref="A17:E17"/>
    <mergeCell ref="F17:H17"/>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00BAAF-D87A-4BBD-97E6-E7A5D88CA99E}">
  <dimension ref="A2:J37"/>
  <sheetViews>
    <sheetView workbookViewId="0"/>
  </sheetViews>
  <sheetFormatPr defaultRowHeight="15" x14ac:dyDescent="0.25"/>
  <cols>
    <col min="1" max="1" width="29.140625" customWidth="1"/>
    <col min="2" max="7" width="12.85546875" customWidth="1"/>
  </cols>
  <sheetData>
    <row r="2" spans="1:10" ht="15.75" x14ac:dyDescent="0.25">
      <c r="A2" s="26"/>
      <c r="B2" s="26"/>
      <c r="C2" s="26"/>
      <c r="D2" s="26"/>
      <c r="E2" s="26"/>
      <c r="F2" s="26"/>
      <c r="G2" s="26"/>
    </row>
    <row r="3" spans="1:10" ht="15.75" x14ac:dyDescent="0.25">
      <c r="A3" s="103" t="s">
        <v>101</v>
      </c>
      <c r="B3" s="103"/>
      <c r="C3" s="103"/>
      <c r="D3" s="103"/>
      <c r="E3" s="103"/>
      <c r="F3" s="103"/>
      <c r="G3" s="103"/>
    </row>
    <row r="4" spans="1:10" x14ac:dyDescent="0.25">
      <c r="A4" s="22" t="s">
        <v>70</v>
      </c>
      <c r="B4" s="22" t="s">
        <v>71</v>
      </c>
      <c r="C4" s="22" t="s">
        <v>72</v>
      </c>
      <c r="D4" s="22" t="s">
        <v>73</v>
      </c>
      <c r="E4" s="22" t="s">
        <v>74</v>
      </c>
      <c r="F4" s="22" t="s">
        <v>75</v>
      </c>
      <c r="G4" s="22" t="s">
        <v>76</v>
      </c>
    </row>
    <row r="5" spans="1:10" ht="41.25" x14ac:dyDescent="0.25">
      <c r="A5" s="22" t="s">
        <v>102</v>
      </c>
      <c r="B5" s="22" t="s">
        <v>103</v>
      </c>
      <c r="C5" s="22" t="s">
        <v>104</v>
      </c>
      <c r="D5" s="22" t="s">
        <v>105</v>
      </c>
      <c r="E5" s="22" t="s">
        <v>106</v>
      </c>
      <c r="F5" s="22" t="s">
        <v>107</v>
      </c>
      <c r="G5" s="22" t="s">
        <v>108</v>
      </c>
      <c r="I5" s="102" t="s">
        <v>109</v>
      </c>
      <c r="J5" s="102"/>
    </row>
    <row r="6" spans="1:10" x14ac:dyDescent="0.25">
      <c r="A6" s="27" t="s">
        <v>110</v>
      </c>
      <c r="B6" s="23">
        <f>40000*J8/J7</f>
        <v>61153.477677716037</v>
      </c>
      <c r="C6" s="22">
        <v>0</v>
      </c>
      <c r="D6" s="23">
        <v>0</v>
      </c>
      <c r="E6" s="23">
        <f>8600*J8/J7</f>
        <v>13147.997700708949</v>
      </c>
      <c r="F6" s="22">
        <v>85</v>
      </c>
      <c r="G6" s="23">
        <f>E6*F6</f>
        <v>1117579.8045602606</v>
      </c>
      <c r="I6" s="31" t="s">
        <v>111</v>
      </c>
      <c r="J6" s="31" t="s">
        <v>112</v>
      </c>
    </row>
    <row r="7" spans="1:10" x14ac:dyDescent="0.25">
      <c r="A7" s="27" t="s">
        <v>113</v>
      </c>
      <c r="B7" s="23">
        <f>108000*J8/J7</f>
        <v>165114.38972983332</v>
      </c>
      <c r="C7" s="22">
        <v>0</v>
      </c>
      <c r="D7" s="23">
        <v>0</v>
      </c>
      <c r="E7" s="23">
        <f>23000*J8/J7</f>
        <v>35163.249664686722</v>
      </c>
      <c r="F7" s="22">
        <v>85</v>
      </c>
      <c r="G7" s="23">
        <f t="shared" ref="G7:G10" si="0">E7*F7</f>
        <v>2988876.2214983716</v>
      </c>
      <c r="I7" s="31">
        <v>2009</v>
      </c>
      <c r="J7" s="31">
        <v>521.9</v>
      </c>
    </row>
    <row r="8" spans="1:10" x14ac:dyDescent="0.25">
      <c r="A8" s="27" t="s">
        <v>114</v>
      </c>
      <c r="B8" s="23">
        <f>8600*J8/J7</f>
        <v>13147.997700708949</v>
      </c>
      <c r="C8" s="22">
        <v>0</v>
      </c>
      <c r="D8" s="23">
        <v>0</v>
      </c>
      <c r="E8" s="23">
        <f>4600*J8/J7</f>
        <v>7032.6499329373446</v>
      </c>
      <c r="F8" s="22">
        <v>85</v>
      </c>
      <c r="G8" s="23">
        <f t="shared" si="0"/>
        <v>597775.24429967429</v>
      </c>
      <c r="I8" s="31">
        <v>2023</v>
      </c>
      <c r="J8" s="31">
        <v>797.9</v>
      </c>
    </row>
    <row r="9" spans="1:10" ht="25.5" x14ac:dyDescent="0.25">
      <c r="A9" s="27" t="s">
        <v>115</v>
      </c>
      <c r="B9" s="23">
        <f>350*J8/J7</f>
        <v>535.09292968001535</v>
      </c>
      <c r="C9" s="22">
        <v>0</v>
      </c>
      <c r="D9" s="23">
        <v>0</v>
      </c>
      <c r="E9" s="23">
        <v>0</v>
      </c>
      <c r="F9" s="22">
        <v>0</v>
      </c>
      <c r="G9" s="23">
        <f t="shared" si="0"/>
        <v>0</v>
      </c>
    </row>
    <row r="10" spans="1:10" x14ac:dyDescent="0.25">
      <c r="A10" s="27" t="s">
        <v>116</v>
      </c>
      <c r="B10" s="23">
        <f>15500*J8/J7</f>
        <v>23696.972600114965</v>
      </c>
      <c r="C10" s="22">
        <v>0</v>
      </c>
      <c r="D10" s="23">
        <v>0</v>
      </c>
      <c r="E10" s="23">
        <v>0</v>
      </c>
      <c r="F10" s="22">
        <v>0</v>
      </c>
      <c r="G10" s="23">
        <f t="shared" si="0"/>
        <v>0</v>
      </c>
    </row>
    <row r="11" spans="1:10" x14ac:dyDescent="0.25">
      <c r="A11" s="24" t="s">
        <v>117</v>
      </c>
      <c r="B11" s="24"/>
      <c r="C11" s="24"/>
      <c r="D11" s="25">
        <v>0</v>
      </c>
      <c r="E11" s="24"/>
      <c r="F11" s="24"/>
      <c r="G11" s="25">
        <f>ROUND(SUM(G6:G10),-4)</f>
        <v>4700000</v>
      </c>
    </row>
    <row r="12" spans="1:10" ht="15" customHeight="1" x14ac:dyDescent="0.25">
      <c r="A12" s="100" t="s">
        <v>118</v>
      </c>
      <c r="B12" s="101"/>
      <c r="C12" s="101"/>
      <c r="D12" s="101"/>
      <c r="E12" s="101"/>
      <c r="F12" s="101"/>
      <c r="G12" s="101"/>
    </row>
    <row r="13" spans="1:10" ht="15.75" x14ac:dyDescent="0.25">
      <c r="A13" s="105" t="s">
        <v>119</v>
      </c>
      <c r="B13" s="106"/>
      <c r="C13" s="106"/>
      <c r="D13" s="106"/>
      <c r="E13" s="106"/>
      <c r="F13" s="106"/>
      <c r="G13" s="106"/>
      <c r="H13" s="71"/>
      <c r="I13" s="71"/>
    </row>
    <row r="15" spans="1:10" ht="15.75" x14ac:dyDescent="0.25">
      <c r="A15" s="99"/>
      <c r="B15" s="99"/>
      <c r="C15" s="99"/>
      <c r="D15" s="99"/>
      <c r="E15" s="99"/>
      <c r="F15" s="99"/>
    </row>
    <row r="16" spans="1:10" ht="60" customHeight="1" x14ac:dyDescent="0.25">
      <c r="A16" s="63"/>
      <c r="B16" s="104"/>
      <c r="C16" s="104"/>
      <c r="D16" s="64"/>
      <c r="E16" s="64"/>
      <c r="F16" s="64"/>
    </row>
    <row r="17" spans="1:6" x14ac:dyDescent="0.25">
      <c r="A17" s="64"/>
      <c r="B17" s="65"/>
      <c r="C17" s="65"/>
      <c r="D17" s="65"/>
      <c r="E17" s="65"/>
      <c r="F17" s="65"/>
    </row>
    <row r="18" spans="1:6" x14ac:dyDescent="0.25">
      <c r="A18" s="65"/>
      <c r="B18" s="65"/>
      <c r="C18" s="65"/>
      <c r="D18" s="65"/>
      <c r="E18" s="65"/>
      <c r="F18" s="65"/>
    </row>
    <row r="19" spans="1:6" x14ac:dyDescent="0.25">
      <c r="A19" s="65"/>
      <c r="B19" s="65"/>
      <c r="C19" s="65"/>
      <c r="D19" s="65"/>
      <c r="E19" s="65"/>
      <c r="F19" s="65"/>
    </row>
    <row r="20" spans="1:6" x14ac:dyDescent="0.25">
      <c r="A20" s="65"/>
      <c r="B20" s="65"/>
      <c r="C20" s="65"/>
      <c r="D20" s="65"/>
      <c r="E20" s="65"/>
      <c r="F20" s="65"/>
    </row>
    <row r="21" spans="1:6" x14ac:dyDescent="0.25">
      <c r="A21" s="65"/>
      <c r="B21" s="65"/>
      <c r="C21" s="65"/>
      <c r="D21" s="65"/>
      <c r="E21" s="65"/>
      <c r="F21" s="65"/>
    </row>
    <row r="22" spans="1:6" x14ac:dyDescent="0.25">
      <c r="A22" s="66"/>
      <c r="B22" s="66"/>
      <c r="C22" s="66"/>
      <c r="D22" s="66"/>
      <c r="E22" s="66"/>
      <c r="F22" s="66"/>
    </row>
    <row r="25" spans="1:6" ht="15.75" x14ac:dyDescent="0.25">
      <c r="A25" s="99"/>
      <c r="B25" s="99"/>
      <c r="C25" s="99"/>
      <c r="D25" s="99"/>
      <c r="E25" s="99"/>
    </row>
    <row r="26" spans="1:6" x14ac:dyDescent="0.25">
      <c r="A26" s="65"/>
      <c r="B26" s="65"/>
      <c r="C26" s="65"/>
      <c r="D26" s="65"/>
      <c r="E26" s="65"/>
    </row>
    <row r="27" spans="1:6" x14ac:dyDescent="0.25">
      <c r="A27" s="65"/>
      <c r="B27" s="65"/>
      <c r="C27" s="65"/>
      <c r="D27" s="65"/>
      <c r="E27" s="65"/>
    </row>
    <row r="28" spans="1:6" x14ac:dyDescent="0.25">
      <c r="A28" s="67"/>
      <c r="B28" s="65"/>
      <c r="C28" s="65"/>
      <c r="D28" s="68"/>
      <c r="E28" s="65"/>
    </row>
    <row r="29" spans="1:6" x14ac:dyDescent="0.25">
      <c r="A29" s="67"/>
      <c r="B29" s="65"/>
      <c r="C29" s="65"/>
      <c r="D29" s="68"/>
      <c r="E29" s="65"/>
    </row>
    <row r="30" spans="1:6" x14ac:dyDescent="0.25">
      <c r="A30" s="67"/>
      <c r="B30" s="68"/>
      <c r="C30" s="68"/>
      <c r="D30" s="68"/>
      <c r="E30" s="65"/>
    </row>
    <row r="31" spans="1:6" x14ac:dyDescent="0.25">
      <c r="A31" s="67"/>
      <c r="B31" s="68"/>
      <c r="C31" s="68"/>
      <c r="D31" s="68"/>
      <c r="E31" s="65"/>
    </row>
    <row r="32" spans="1:6" x14ac:dyDescent="0.25">
      <c r="A32" s="67"/>
      <c r="B32" s="68"/>
      <c r="C32" s="68"/>
      <c r="D32" s="68"/>
      <c r="E32" s="65"/>
    </row>
    <row r="33" spans="1:5" x14ac:dyDescent="0.25">
      <c r="A33" s="67"/>
      <c r="B33" s="68"/>
      <c r="C33" s="68"/>
      <c r="D33" s="68"/>
      <c r="E33" s="65"/>
    </row>
    <row r="34" spans="1:5" x14ac:dyDescent="0.25">
      <c r="A34" s="67"/>
      <c r="B34" s="68"/>
      <c r="C34" s="68"/>
      <c r="D34" s="68"/>
      <c r="E34" s="65"/>
    </row>
    <row r="35" spans="1:5" x14ac:dyDescent="0.25">
      <c r="A35" s="67"/>
      <c r="B35" s="68"/>
      <c r="C35" s="68"/>
      <c r="D35" s="68"/>
      <c r="E35" s="65"/>
    </row>
    <row r="36" spans="1:5" x14ac:dyDescent="0.25">
      <c r="A36" s="67"/>
      <c r="B36" s="68"/>
      <c r="C36" s="68"/>
      <c r="D36" s="68"/>
      <c r="E36" s="65"/>
    </row>
    <row r="37" spans="1:5" x14ac:dyDescent="0.25">
      <c r="A37" s="64"/>
      <c r="B37" s="65"/>
      <c r="C37" s="65"/>
      <c r="D37" s="66"/>
      <c r="E37" s="69"/>
    </row>
  </sheetData>
  <mergeCells count="7">
    <mergeCell ref="A25:E25"/>
    <mergeCell ref="A12:G12"/>
    <mergeCell ref="I5:J5"/>
    <mergeCell ref="A3:G3"/>
    <mergeCell ref="A15:F15"/>
    <mergeCell ref="B16:C16"/>
    <mergeCell ref="A13:G13"/>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578195-C77C-4616-B7EF-42045CBCFAEA}">
  <dimension ref="A1:F9"/>
  <sheetViews>
    <sheetView workbookViewId="0">
      <selection sqref="A1:F1"/>
    </sheetView>
  </sheetViews>
  <sheetFormatPr defaultRowHeight="15" x14ac:dyDescent="0.25"/>
  <cols>
    <col min="1" max="1" width="13.85546875" customWidth="1"/>
    <col min="2" max="2" width="18.85546875" customWidth="1"/>
    <col min="3" max="3" width="17.85546875" customWidth="1"/>
    <col min="4" max="4" width="21.7109375" customWidth="1"/>
    <col min="5" max="5" width="31.85546875" customWidth="1"/>
    <col min="6" max="6" width="22.85546875" customWidth="1"/>
  </cols>
  <sheetData>
    <row r="1" spans="1:6" ht="15.75" x14ac:dyDescent="0.25">
      <c r="A1" s="103" t="s">
        <v>2</v>
      </c>
      <c r="B1" s="103"/>
      <c r="C1" s="103"/>
      <c r="D1" s="103"/>
      <c r="E1" s="103"/>
      <c r="F1" s="103"/>
    </row>
    <row r="2" spans="1:6" ht="25.5" x14ac:dyDescent="0.25">
      <c r="A2" s="32"/>
      <c r="B2" s="107" t="s">
        <v>120</v>
      </c>
      <c r="C2" s="107"/>
      <c r="D2" s="21" t="s">
        <v>121</v>
      </c>
      <c r="E2" s="21"/>
      <c r="F2" s="21"/>
    </row>
    <row r="3" spans="1:6" x14ac:dyDescent="0.25">
      <c r="A3" s="21"/>
      <c r="B3" s="22" t="s">
        <v>70</v>
      </c>
      <c r="C3" s="22" t="s">
        <v>71</v>
      </c>
      <c r="D3" s="22" t="s">
        <v>72</v>
      </c>
      <c r="E3" s="22" t="s">
        <v>73</v>
      </c>
      <c r="F3" s="22" t="s">
        <v>74</v>
      </c>
    </row>
    <row r="4" spans="1:6" ht="51" x14ac:dyDescent="0.25">
      <c r="A4" s="22" t="s">
        <v>111</v>
      </c>
      <c r="B4" s="21" t="s">
        <v>122</v>
      </c>
      <c r="C4" s="21" t="s">
        <v>123</v>
      </c>
      <c r="D4" s="21" t="s">
        <v>124</v>
      </c>
      <c r="E4" s="21" t="s">
        <v>125</v>
      </c>
      <c r="F4" s="21" t="s">
        <v>126</v>
      </c>
    </row>
    <row r="5" spans="1:6" x14ac:dyDescent="0.25">
      <c r="A5" s="22">
        <v>1</v>
      </c>
      <c r="B5" s="22">
        <v>0</v>
      </c>
      <c r="C5" s="22">
        <v>85</v>
      </c>
      <c r="D5" s="22">
        <v>0</v>
      </c>
      <c r="E5" s="22">
        <v>0</v>
      </c>
      <c r="F5" s="22">
        <f>B5+C5+D5-E5</f>
        <v>85</v>
      </c>
    </row>
    <row r="6" spans="1:6" x14ac:dyDescent="0.25">
      <c r="A6" s="22">
        <v>2</v>
      </c>
      <c r="B6" s="22">
        <v>0</v>
      </c>
      <c r="C6" s="22">
        <f>F5</f>
        <v>85</v>
      </c>
      <c r="D6" s="22">
        <v>0</v>
      </c>
      <c r="E6" s="22">
        <v>0</v>
      </c>
      <c r="F6" s="22">
        <f t="shared" ref="F6:F7" si="0">B6+C6+D6-E6</f>
        <v>85</v>
      </c>
    </row>
    <row r="7" spans="1:6" x14ac:dyDescent="0.25">
      <c r="A7" s="22">
        <v>3</v>
      </c>
      <c r="B7" s="22">
        <v>0</v>
      </c>
      <c r="C7" s="22">
        <f>F6</f>
        <v>85</v>
      </c>
      <c r="D7" s="22">
        <v>0</v>
      </c>
      <c r="E7" s="22">
        <v>0</v>
      </c>
      <c r="F7" s="22">
        <f t="shared" si="0"/>
        <v>85</v>
      </c>
    </row>
    <row r="8" spans="1:6" x14ac:dyDescent="0.25">
      <c r="A8" s="21" t="s">
        <v>127</v>
      </c>
      <c r="B8" s="22">
        <f>AVERAGE(B5:B7)</f>
        <v>0</v>
      </c>
      <c r="C8" s="22">
        <f>AVERAGE(C5:C7)</f>
        <v>85</v>
      </c>
      <c r="D8" s="22">
        <f t="shared" ref="D8:E8" si="1">AVERAGE(D5:D7)</f>
        <v>0</v>
      </c>
      <c r="E8" s="22">
        <f t="shared" si="1"/>
        <v>0</v>
      </c>
      <c r="F8" s="22">
        <f>AVERAGE(F5:F7)</f>
        <v>85</v>
      </c>
    </row>
    <row r="9" spans="1:6" ht="15.75" x14ac:dyDescent="0.25">
      <c r="A9" s="108" t="s">
        <v>128</v>
      </c>
      <c r="B9" s="108"/>
      <c r="C9" s="108"/>
      <c r="D9" s="108"/>
      <c r="E9" s="108"/>
      <c r="F9" s="108"/>
    </row>
  </sheetData>
  <mergeCells count="3">
    <mergeCell ref="A1:F1"/>
    <mergeCell ref="B2:C2"/>
    <mergeCell ref="A9:F9"/>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82733A-706A-4DDB-A3D1-CE479D1E616E}">
  <dimension ref="A1:E13"/>
  <sheetViews>
    <sheetView workbookViewId="0">
      <selection sqref="A1:E1"/>
    </sheetView>
  </sheetViews>
  <sheetFormatPr defaultRowHeight="15" x14ac:dyDescent="0.25"/>
  <cols>
    <col min="1" max="1" width="19.28515625" customWidth="1"/>
    <col min="2" max="2" width="14" customWidth="1"/>
    <col min="4" max="4" width="18.5703125" customWidth="1"/>
    <col min="5" max="5" width="23.140625" customWidth="1"/>
  </cols>
  <sheetData>
    <row r="1" spans="1:5" ht="15.75" x14ac:dyDescent="0.25">
      <c r="A1" s="103" t="s">
        <v>129</v>
      </c>
      <c r="B1" s="103"/>
      <c r="C1" s="103"/>
      <c r="D1" s="103"/>
      <c r="E1" s="103"/>
    </row>
    <row r="2" spans="1:5" x14ac:dyDescent="0.25">
      <c r="A2" s="22" t="s">
        <v>70</v>
      </c>
      <c r="B2" s="22" t="s">
        <v>71</v>
      </c>
      <c r="C2" s="22" t="s">
        <v>72</v>
      </c>
      <c r="D2" s="22" t="s">
        <v>73</v>
      </c>
      <c r="E2" s="22" t="s">
        <v>74</v>
      </c>
    </row>
    <row r="3" spans="1:5" ht="51" x14ac:dyDescent="0.25">
      <c r="A3" s="22" t="s">
        <v>130</v>
      </c>
      <c r="B3" s="22" t="s">
        <v>2</v>
      </c>
      <c r="C3" s="22" t="s">
        <v>131</v>
      </c>
      <c r="D3" s="22" t="s">
        <v>132</v>
      </c>
      <c r="E3" s="22" t="s">
        <v>133</v>
      </c>
    </row>
    <row r="4" spans="1:5" ht="39" x14ac:dyDescent="0.25">
      <c r="A4" s="70" t="s">
        <v>134</v>
      </c>
      <c r="B4" s="57">
        <v>0</v>
      </c>
      <c r="C4" s="57">
        <v>1</v>
      </c>
      <c r="D4" s="22">
        <v>0</v>
      </c>
      <c r="E4" s="22">
        <f>B4*C4</f>
        <v>0</v>
      </c>
    </row>
    <row r="5" spans="1:5" ht="26.25" x14ac:dyDescent="0.25">
      <c r="A5" s="70" t="s">
        <v>135</v>
      </c>
      <c r="B5" s="57">
        <v>0</v>
      </c>
      <c r="C5" s="57">
        <v>1</v>
      </c>
      <c r="D5" s="22">
        <v>0</v>
      </c>
      <c r="E5" s="22">
        <f t="shared" ref="E5:E11" si="0">B5*C5</f>
        <v>0</v>
      </c>
    </row>
    <row r="6" spans="1:5" ht="26.25" x14ac:dyDescent="0.25">
      <c r="A6" s="70" t="s">
        <v>136</v>
      </c>
      <c r="B6" s="57">
        <v>0</v>
      </c>
      <c r="C6" s="57">
        <v>1.2</v>
      </c>
      <c r="D6" s="22">
        <v>0</v>
      </c>
      <c r="E6" s="22">
        <f t="shared" si="0"/>
        <v>0</v>
      </c>
    </row>
    <row r="7" spans="1:5" ht="26.25" x14ac:dyDescent="0.25">
      <c r="A7" s="70" t="s">
        <v>137</v>
      </c>
      <c r="B7" s="57">
        <v>0</v>
      </c>
      <c r="C7" s="57">
        <v>1</v>
      </c>
      <c r="D7" s="22">
        <v>0</v>
      </c>
      <c r="E7" s="22">
        <f t="shared" si="0"/>
        <v>0</v>
      </c>
    </row>
    <row r="8" spans="1:5" ht="39" x14ac:dyDescent="0.25">
      <c r="A8" s="70" t="s">
        <v>138</v>
      </c>
      <c r="B8" s="57">
        <v>0</v>
      </c>
      <c r="C8" s="57">
        <v>1</v>
      </c>
      <c r="D8" s="22">
        <v>0</v>
      </c>
      <c r="E8" s="22">
        <f t="shared" si="0"/>
        <v>0</v>
      </c>
    </row>
    <row r="9" spans="1:5" ht="39" x14ac:dyDescent="0.25">
      <c r="A9" s="70" t="s">
        <v>139</v>
      </c>
      <c r="B9" s="57">
        <v>0</v>
      </c>
      <c r="C9" s="57">
        <v>1</v>
      </c>
      <c r="D9" s="22">
        <v>0</v>
      </c>
      <c r="E9" s="22">
        <f t="shared" si="0"/>
        <v>0</v>
      </c>
    </row>
    <row r="10" spans="1:5" ht="26.25" x14ac:dyDescent="0.25">
      <c r="A10" s="70" t="s">
        <v>140</v>
      </c>
      <c r="B10" s="57">
        <v>0</v>
      </c>
      <c r="C10" s="57">
        <v>1.2</v>
      </c>
      <c r="D10" s="22">
        <v>0</v>
      </c>
      <c r="E10" s="22">
        <f t="shared" si="0"/>
        <v>0</v>
      </c>
    </row>
    <row r="11" spans="1:5" x14ac:dyDescent="0.25">
      <c r="A11" s="70" t="s">
        <v>141</v>
      </c>
      <c r="B11" s="57">
        <v>85</v>
      </c>
      <c r="C11" s="57">
        <v>2</v>
      </c>
      <c r="D11" s="22">
        <v>0</v>
      </c>
      <c r="E11" s="22">
        <f t="shared" si="0"/>
        <v>170</v>
      </c>
    </row>
    <row r="12" spans="1:5" ht="25.5" customHeight="1" x14ac:dyDescent="0.25">
      <c r="A12" s="70" t="s">
        <v>142</v>
      </c>
      <c r="B12" s="57">
        <v>85</v>
      </c>
      <c r="C12" s="57">
        <v>2</v>
      </c>
      <c r="D12" s="22">
        <v>0</v>
      </c>
      <c r="E12" s="22">
        <f>B12*C12</f>
        <v>170</v>
      </c>
    </row>
    <row r="13" spans="1:5" x14ac:dyDescent="0.25">
      <c r="A13" s="21"/>
      <c r="B13" s="22"/>
      <c r="C13" s="109" t="s">
        <v>143</v>
      </c>
      <c r="D13" s="110"/>
      <c r="E13" s="24">
        <f>ROUND(SUM(E4:E12),0)</f>
        <v>340</v>
      </c>
    </row>
  </sheetData>
  <mergeCells count="2">
    <mergeCell ref="A1:E1"/>
    <mergeCell ref="C13:D13"/>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4ffa91fb-a0ff-4ac5-b2db-65c790d184a4" xsi:nil="true"/>
    <_Source xmlns="http://schemas.microsoft.com/sharepoint/v3/fields" xsi:nil="true"/>
    <Language xmlns="http://schemas.microsoft.com/sharepoint/v3">English</Language>
    <_ip_UnifiedCompliancePolicyUIAction xmlns="http://schemas.microsoft.com/sharepoint/v3" xsi:nil="true"/>
    <j747ac98061d40f0aa7bd47e1db5675d xmlns="4ffa91fb-a0ff-4ac5-b2db-65c790d184a4">
      <Terms xmlns="http://schemas.microsoft.com/office/infopath/2007/PartnerControls"/>
    </j747ac98061d40f0aa7bd47e1db5675d>
    <External_x0020_Contributor xmlns="4ffa91fb-a0ff-4ac5-b2db-65c790d184a4" xsi:nil="true"/>
    <TaxKeywordTaxHTField xmlns="4ffa91fb-a0ff-4ac5-b2db-65c790d184a4">
      <Terms xmlns="http://schemas.microsoft.com/office/infopath/2007/PartnerControls"/>
    </TaxKeywordTaxHTField>
    <Record xmlns="4ffa91fb-a0ff-4ac5-b2db-65c790d184a4">Shared</Record>
    <_ip_UnifiedCompliancePolicyProperties xmlns="http://schemas.microsoft.com/sharepoint/v3" xsi:nil="true"/>
    <Rights xmlns="4ffa91fb-a0ff-4ac5-b2db-65c790d184a4" xsi:nil="true"/>
    <Document_x0020_Creation_x0020_Date xmlns="4ffa91fb-a0ff-4ac5-b2db-65c790d184a4">2025-03-25T12:48:52+00:00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SharedWithUsers xmlns="96fc5250-dc30-4f01-945b-7e46a880eeb3">
      <UserInfo>
        <DisplayName/>
        <AccountId xsi:nil="true"/>
        <AccountType/>
      </UserInfo>
    </SharedWithUsers>
    <lcf76f155ced4ddcb4097134ff3c332f xmlns="02fe02c4-dc41-46ff-9d52-90c0a1b1f611">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52C2644CEF3BE14BA984F9E32D274554" ma:contentTypeVersion="18" ma:contentTypeDescription="Create a new document." ma:contentTypeScope="" ma:versionID="312d34f8ed2d9a19618b6e7108fb2491">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02fe02c4-dc41-46ff-9d52-90c0a1b1f611" xmlns:ns6="96fc5250-dc30-4f01-945b-7e46a880eeb3" targetNamespace="http://schemas.microsoft.com/office/2006/metadata/properties" ma:root="true" ma:fieldsID="a04c65d1dfb247c5fe118c04c81543ed" ns1:_="" ns2:_="" ns3:_="" ns4:_="" ns5:_="" ns6:_="">
    <xsd:import namespace="http://schemas.microsoft.com/sharepoint/v3"/>
    <xsd:import namespace="4ffa91fb-a0ff-4ac5-b2db-65c790d184a4"/>
    <xsd:import namespace="http://schemas.microsoft.com/sharepoint.v3"/>
    <xsd:import namespace="http://schemas.microsoft.com/sharepoint/v3/fields"/>
    <xsd:import namespace="02fe02c4-dc41-46ff-9d52-90c0a1b1f611"/>
    <xsd:import namespace="96fc5250-dc30-4f01-945b-7e46a880eeb3"/>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5:MediaServiceMetadata" minOccurs="0"/>
                <xsd:element ref="ns5:MediaServiceFastMetadata" minOccurs="0"/>
                <xsd:element ref="ns6:SharedWithUsers" minOccurs="0"/>
                <xsd:element ref="ns6:SharedWithDetails" minOccurs="0"/>
                <xsd:element ref="ns5:MediaServiceDateTaken" minOccurs="0"/>
                <xsd:element ref="ns5:MediaServiceAutoTags" minOccurs="0"/>
                <xsd:element ref="ns5:MediaServiceOCR" minOccurs="0"/>
                <xsd:element ref="ns5:MediaServiceGenerationTime" minOccurs="0"/>
                <xsd:element ref="ns5:MediaServiceEventHashCode" minOccurs="0"/>
                <xsd:element ref="ns1:_ip_UnifiedCompliancePolicyProperties" minOccurs="0"/>
                <xsd:element ref="ns1:_ip_UnifiedCompliancePolicyUIAction" minOccurs="0"/>
                <xsd:element ref="ns5:MediaLengthInSeconds" minOccurs="0"/>
                <xsd:element ref="ns5:MediaServiceObjectDetectorVersions" minOccurs="0"/>
                <xsd:element ref="ns5:MediaServiceSearchProperties" minOccurs="0"/>
                <xsd:element ref="ns5: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7" nillable="true" ma:displayName="Unified Compliance Policy Properties" ma:hidden="true" ma:internalName="_ip_UnifiedCompliancePolicyProperties">
      <xsd:simpleType>
        <xsd:restriction base="dms:Note"/>
      </xsd:simpleType>
    </xsd:element>
    <xsd:element name="_ip_UnifiedCompliancePolicyUIAction" ma:index="3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ma:readOnly="fals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ma:readOnly="false">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hidden="true" ma:list="{9205dcaf-ae28-4449-b177-6e6c07e37888}" ma:internalName="TaxCatchAllLabel" ma:readOnly="true" ma:showField="CatchAllDataLabel" ma:web="96fc5250-dc30-4f01-945b-7e46a880eeb3">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hidden="true" ma:list="{9205dcaf-ae28-4449-b177-6e6c07e37888}" ma:internalName="TaxCatchAll" ma:showField="CatchAllData" ma:web="96fc5250-dc30-4f01-945b-7e46a880eeb3">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2fe02c4-dc41-46ff-9d52-90c0a1b1f611" elementFormDefault="qualified">
    <xsd:import namespace="http://schemas.microsoft.com/office/2006/documentManagement/types"/>
    <xsd:import namespace="http://schemas.microsoft.com/office/infopath/2007/PartnerControls"/>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element name="MediaServiceDateTaken" ma:index="32" nillable="true" ma:displayName="MediaServiceDateTaken" ma:hidden="true" ma:internalName="MediaServiceDateTaken" ma:readOnly="true">
      <xsd:simpleType>
        <xsd:restriction base="dms:Text"/>
      </xsd:simpleType>
    </xsd:element>
    <xsd:element name="MediaServiceAutoTags" ma:index="33" nillable="true" ma:displayName="Tags" ma:internalName="MediaServiceAutoTags" ma:readOnly="true">
      <xsd:simpleType>
        <xsd:restriction base="dms:Text"/>
      </xsd:simpleType>
    </xsd:element>
    <xsd:element name="MediaServiceOCR" ma:index="34" nillable="true" ma:displayName="Extracted Text" ma:internalName="MediaServiceOCR" ma:readOnly="true">
      <xsd:simpleType>
        <xsd:restriction base="dms:Note">
          <xsd:maxLength value="255"/>
        </xsd:restriction>
      </xsd:simpleType>
    </xsd:element>
    <xsd:element name="MediaServiceGenerationTime" ma:index="35" nillable="true" ma:displayName="MediaServiceGenerationTime" ma:hidden="true" ma:internalName="MediaServiceGenerationTime" ma:readOnly="true">
      <xsd:simpleType>
        <xsd:restriction base="dms:Text"/>
      </xsd:simpleType>
    </xsd:element>
    <xsd:element name="MediaServiceEventHashCode" ma:index="36" nillable="true" ma:displayName="MediaServiceEventHashCode" ma:hidden="true" ma:internalName="MediaServiceEventHashCode" ma:readOnly="true">
      <xsd:simpleType>
        <xsd:restriction base="dms:Text"/>
      </xsd:simpleType>
    </xsd:element>
    <xsd:element name="MediaLengthInSeconds" ma:index="39" nillable="true" ma:displayName="MediaLengthInSeconds" ma:hidden="true" ma:internalName="MediaLengthInSeconds" ma:readOnly="true">
      <xsd:simpleType>
        <xsd:restriction base="dms:Unknown"/>
      </xsd:simpleType>
    </xsd:element>
    <xsd:element name="MediaServiceObjectDetectorVersions" ma:index="40" nillable="true" ma:displayName="MediaServiceObjectDetectorVersions" ma:hidden="true" ma:indexed="true" ma:internalName="MediaServiceObjectDetectorVersions" ma:readOnly="true">
      <xsd:simpleType>
        <xsd:restriction base="dms:Text"/>
      </xsd:simpleType>
    </xsd:element>
    <xsd:element name="MediaServiceSearchProperties" ma:index="41" nillable="true" ma:displayName="MediaServiceSearchProperties" ma:hidden="true" ma:internalName="MediaServiceSearchProperties" ma:readOnly="true">
      <xsd:simpleType>
        <xsd:restriction base="dms:Note"/>
      </xsd:simpleType>
    </xsd:element>
    <xsd:element name="lcf76f155ced4ddcb4097134ff3c332f" ma:index="43"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96fc5250-dc30-4f01-945b-7e46a880eeb3" elementFormDefault="qualified">
    <xsd:import namespace="http://schemas.microsoft.com/office/2006/documentManagement/types"/>
    <xsd:import namespace="http://schemas.microsoft.com/office/infopath/2007/PartnerControls"/>
    <xsd:element name="SharedWithUsers" ma:index="3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haredContentType xmlns="Microsoft.SharePoint.Taxonomy.ContentTypeSync" SourceId="29f62856-1543-49d4-a736-4569d363f533" ContentTypeId="0x0101" PreviousValue="false"/>
</file>

<file path=customXml/itemProps1.xml><?xml version="1.0" encoding="utf-8"?>
<ds:datastoreItem xmlns:ds="http://schemas.openxmlformats.org/officeDocument/2006/customXml" ds:itemID="{DB12B5A8-B041-448B-9630-D58CCD6B418B}">
  <ds:schemaRefs>
    <ds:schemaRef ds:uri="4d6aed1e-57d3-46e3-9aba-f706adbce63b"/>
    <ds:schemaRef ds:uri="http://schemas.microsoft.com/office/infopath/2007/PartnerControls"/>
    <ds:schemaRef ds:uri="http://purl.org/dc/elements/1.1/"/>
    <ds:schemaRef ds:uri="http://schemas.microsoft.com/office/2006/metadata/properties"/>
    <ds:schemaRef ds:uri="http://purl.org/dc/terms/"/>
    <ds:schemaRef ds:uri="http://schemas.microsoft.com/office/2006/documentManagement/types"/>
    <ds:schemaRef ds:uri="http://purl.org/dc/dcmitype/"/>
    <ds:schemaRef ds:uri="http://schemas.openxmlformats.org/package/2006/metadata/core-properties"/>
    <ds:schemaRef ds:uri="1891fcec-84c2-4840-9468-b51a784ab0d1"/>
    <ds:schemaRef ds:uri="http://www.w3.org/XML/1998/namespace"/>
  </ds:schemaRefs>
</ds:datastoreItem>
</file>

<file path=customXml/itemProps2.xml><?xml version="1.0" encoding="utf-8"?>
<ds:datastoreItem xmlns:ds="http://schemas.openxmlformats.org/officeDocument/2006/customXml" ds:itemID="{0A7BE75C-B7FB-42A7-8B6F-3857018881A2}"/>
</file>

<file path=customXml/itemProps3.xml><?xml version="1.0" encoding="utf-8"?>
<ds:datastoreItem xmlns:ds="http://schemas.openxmlformats.org/officeDocument/2006/customXml" ds:itemID="{D6BB6986-B021-4533-B18A-ACAA62C6261E}">
  <ds:schemaRefs>
    <ds:schemaRef ds:uri="http://schemas.microsoft.com/sharepoint/v3/contenttype/forms"/>
  </ds:schemaRefs>
</ds:datastoreItem>
</file>

<file path=customXml/itemProps4.xml><?xml version="1.0" encoding="utf-8"?>
<ds:datastoreItem xmlns:ds="http://schemas.openxmlformats.org/officeDocument/2006/customXml" ds:itemID="{DDFB6631-2DF5-45E5-8553-62D1851FABC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Summary</vt:lpstr>
      <vt:lpstr>Table 1</vt:lpstr>
      <vt:lpstr>Table 2</vt:lpstr>
      <vt:lpstr>Capital O&amp;M</vt:lpstr>
      <vt:lpstr>Respondents</vt:lpstr>
      <vt:lpstr>Responses</vt:lpstr>
    </vt:vector>
  </TitlesOfParts>
  <Manager/>
  <Company>Eastern Research Group, Inc.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DWang</dc:creator>
  <cp:keywords/>
  <dc:description/>
  <cp:lastModifiedBy>ERG</cp:lastModifiedBy>
  <cp:revision/>
  <dcterms:created xsi:type="dcterms:W3CDTF">2014-09-23T20:17:06Z</dcterms:created>
  <dcterms:modified xsi:type="dcterms:W3CDTF">2025-03-24T20:07:03Z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0x01010052C2644CEF3BE14BA984F9E32D274554</vt:lpwstr>
  </property>
  <property fmtid="{D5CDD505-2E9C-101B-9397-08002B2CF9AE}" pid="3" name="MediaServiceImageTags">
    <vt:lpwstr/>
  </property>
  <property fmtid="{D5CDD505-2E9C-101B-9397-08002B2CF9AE}" pid="4" name="Order">
    <vt:r8>1876200</vt:r8>
  </property>
  <property fmtid="{D5CDD505-2E9C-101B-9397-08002B2CF9AE}" pid="5" name="TaxKeyword">
    <vt:lpwstr/>
  </property>
  <property fmtid="{D5CDD505-2E9C-101B-9397-08002B2CF9AE}" pid="6" name="Document_x0020_Type">
    <vt:lpwstr/>
  </property>
  <property fmtid="{D5CDD505-2E9C-101B-9397-08002B2CF9AE}" pid="7" name="_SourceUrl">
    <vt:lpwstr/>
  </property>
  <property fmtid="{D5CDD505-2E9C-101B-9397-08002B2CF9AE}" pid="8" name="_SharedFileIndex">
    <vt:lpwstr/>
  </property>
  <property fmtid="{D5CDD505-2E9C-101B-9397-08002B2CF9AE}" pid="9" name="ComplianceAssetId">
    <vt:lpwstr/>
  </property>
  <property fmtid="{D5CDD505-2E9C-101B-9397-08002B2CF9AE}" pid="10" name="EPA Subject">
    <vt:lpwstr/>
  </property>
  <property fmtid="{D5CDD505-2E9C-101B-9397-08002B2CF9AE}" pid="11" name="_ExtendedDescription">
    <vt:lpwstr/>
  </property>
  <property fmtid="{D5CDD505-2E9C-101B-9397-08002B2CF9AE}" pid="12" name="TriggerFlowInfo">
    <vt:lpwstr/>
  </property>
  <property fmtid="{D5CDD505-2E9C-101B-9397-08002B2CF9AE}" pid="13" name="Document Type">
    <vt:lpwstr/>
  </property>
  <property fmtid="{D5CDD505-2E9C-101B-9397-08002B2CF9AE}" pid="14" name="e3f09c3df709400db2417a7161762d62">
    <vt:lpwstr/>
  </property>
  <property fmtid="{D5CDD505-2E9C-101B-9397-08002B2CF9AE}" pid="15" name="Records Status">
    <vt:lpwstr>Pending</vt:lpwstr>
  </property>
  <property fmtid="{D5CDD505-2E9C-101B-9397-08002B2CF9AE}" pid="16" name="EPA_x0020_Subject">
    <vt:lpwstr/>
  </property>
</Properties>
</file>