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1157.14 NSPS for Flexible Vinyl and Urethane Coating and Printing/Send to EPA/"/>
    </mc:Choice>
  </mc:AlternateContent>
  <xr:revisionPtr revIDLastSave="55" documentId="13_ncr:1_{D06E60B2-4458-4767-9DEB-E278F509C166}" xr6:coauthVersionLast="47" xr6:coauthVersionMax="47" xr10:uidLastSave="{7D990C3E-DB54-4A59-8C47-40734A985EE5}"/>
  <bookViews>
    <workbookView xWindow="23244" yWindow="852" windowWidth="21660" windowHeight="11268" activeTab="2" xr2:uid="{00000000-000D-0000-FFFF-FFFF00000000}"/>
  </bookViews>
  <sheets>
    <sheet name="Summary" sheetId="7" r:id="rId1"/>
    <sheet name="Table 1" sheetId="1" r:id="rId2"/>
    <sheet name="Table 2" sheetId="2" r:id="rId3"/>
    <sheet name="Capital O&amp;M" sheetId="6" r:id="rId4"/>
    <sheet name="Respondents" sheetId="4" r:id="rId5"/>
    <sheet name="Responses" sheetId="3" r:id="rId6"/>
  </sheets>
  <definedNames>
    <definedName name="OLE_LINK1" localSheetId="2">'Table 2'!$A$22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E4" i="3"/>
  <c r="B5" i="3"/>
  <c r="E5" i="3"/>
  <c r="B6" i="3"/>
  <c r="E6" i="3"/>
  <c r="E7" i="3"/>
  <c r="I5" i="6"/>
  <c r="E4" i="6"/>
  <c r="B4" i="6"/>
  <c r="G4" i="6"/>
  <c r="D4" i="6"/>
  <c r="I17" i="2"/>
  <c r="I11" i="2"/>
  <c r="I18" i="2"/>
  <c r="F18" i="2"/>
  <c r="I22" i="1"/>
  <c r="I32" i="1"/>
  <c r="F33" i="1"/>
  <c r="F32" i="1"/>
  <c r="F22" i="1"/>
  <c r="F8" i="4"/>
  <c r="E30" i="1" l="1"/>
  <c r="E29" i="1"/>
  <c r="E21" i="1"/>
  <c r="E8" i="1"/>
  <c r="C4" i="6"/>
  <c r="F4" i="6"/>
  <c r="F13" i="2"/>
  <c r="E17" i="2"/>
  <c r="F17" i="2" s="1"/>
  <c r="E15" i="2"/>
  <c r="E14" i="2"/>
  <c r="E13" i="2"/>
  <c r="E12" i="2"/>
  <c r="E11" i="2"/>
  <c r="E8" i="2"/>
  <c r="E7" i="2"/>
  <c r="D17" i="2"/>
  <c r="D15" i="2"/>
  <c r="D14" i="2"/>
  <c r="D13" i="2"/>
  <c r="D12" i="2"/>
  <c r="D11" i="2"/>
  <c r="D8" i="2"/>
  <c r="D7" i="2"/>
  <c r="D30" i="1"/>
  <c r="D29" i="1"/>
  <c r="D21" i="1"/>
  <c r="E18" i="1"/>
  <c r="E17" i="1"/>
  <c r="E12" i="1"/>
  <c r="E11" i="1"/>
  <c r="D11" i="1"/>
  <c r="D8" i="1"/>
  <c r="F30" i="1" l="1"/>
  <c r="F21" i="1"/>
  <c r="I13" i="2"/>
  <c r="G13" i="2"/>
  <c r="H13" i="2"/>
  <c r="G17" i="2"/>
  <c r="H17" i="2"/>
  <c r="G30" i="1"/>
  <c r="H30" i="1"/>
  <c r="G21" i="1"/>
  <c r="H21" i="1"/>
  <c r="F11" i="1"/>
  <c r="H11" i="1" s="1"/>
  <c r="F8" i="1"/>
  <c r="G8" i="1" s="1"/>
  <c r="G5" i="6"/>
  <c r="D5" i="6"/>
  <c r="E8" i="4"/>
  <c r="D8" i="4"/>
  <c r="B8" i="4"/>
  <c r="F5" i="4"/>
  <c r="C6" i="4" s="1"/>
  <c r="I30" i="1" l="1"/>
  <c r="I21" i="1"/>
  <c r="G11" i="1"/>
  <c r="I11" i="1" s="1"/>
  <c r="H8" i="1"/>
  <c r="I8" i="1" s="1"/>
  <c r="F6" i="4"/>
  <c r="B6" i="7"/>
  <c r="C7" i="4" l="1"/>
  <c r="F7" i="4" l="1"/>
  <c r="B3" i="7" s="1"/>
  <c r="C8" i="4"/>
  <c r="I34" i="1"/>
  <c r="I35" i="1" s="1"/>
  <c r="K33" i="1" l="1"/>
  <c r="F12" i="2"/>
  <c r="G12" i="2" l="1"/>
  <c r="H12" i="2"/>
  <c r="I12" i="2" l="1"/>
  <c r="F7" i="2" l="1"/>
  <c r="F8" i="2"/>
  <c r="F11" i="2"/>
  <c r="F14" i="2"/>
  <c r="F15" i="2"/>
  <c r="G11" i="2" l="1"/>
  <c r="G15" i="2"/>
  <c r="G14" i="2"/>
  <c r="H8" i="2"/>
  <c r="G8" i="2"/>
  <c r="H7" i="2"/>
  <c r="G7" i="2"/>
  <c r="H15" i="2"/>
  <c r="H14" i="2"/>
  <c r="H11" i="2"/>
  <c r="D12" i="1"/>
  <c r="F12" i="1" s="1"/>
  <c r="D17" i="1"/>
  <c r="F17" i="1" s="1"/>
  <c r="D18" i="1"/>
  <c r="F18" i="1" s="1"/>
  <c r="F29" i="1"/>
  <c r="I8" i="2" l="1"/>
  <c r="I7" i="2"/>
  <c r="I15" i="2"/>
  <c r="G18" i="1"/>
  <c r="G12" i="1"/>
  <c r="I14" i="2"/>
  <c r="G17" i="1"/>
  <c r="G29" i="1"/>
  <c r="H29" i="1"/>
  <c r="H18" i="1"/>
  <c r="H17" i="1"/>
  <c r="H12" i="1"/>
  <c r="I12" i="1" l="1"/>
  <c r="I18" i="1"/>
  <c r="I17" i="1"/>
  <c r="I29" i="1"/>
  <c r="I33" i="1"/>
  <c r="B4" i="7" l="1"/>
  <c r="B5" i="7"/>
  <c r="L33" i="1" l="1"/>
  <c r="B2" i="7" s="1"/>
</calcChain>
</file>

<file path=xl/sharedStrings.xml><?xml version="1.0" encoding="utf-8"?>
<sst xmlns="http://schemas.openxmlformats.org/spreadsheetml/2006/main" count="186" uniqueCount="152">
  <si>
    <t>ICR Summary Information</t>
  </si>
  <si>
    <t>Hours Per Response</t>
  </si>
  <si>
    <t>Number of Respondents</t>
  </si>
  <si>
    <t>Total Estimated Burden Hours</t>
  </si>
  <si>
    <t>Total Estimated Costs</t>
  </si>
  <si>
    <t>Annualized Capital O&amp;M</t>
  </si>
  <si>
    <t>Form Number</t>
  </si>
  <si>
    <t>Not Applicable</t>
  </si>
  <si>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</si>
  <si>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</si>
  <si>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</si>
  <si>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</si>
  <si>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</si>
  <si>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</si>
  <si>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</si>
  <si>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</si>
  <si>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</si>
  <si>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</si>
  <si>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</si>
  <si>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</si>
  <si>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</si>
  <si>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</si>
  <si>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</si>
  <si>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</si>
  <si>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</si>
  <si>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N/A</t>
  </si>
  <si>
    <t>New Sources</t>
  </si>
  <si>
    <t>Existing Sources</t>
  </si>
  <si>
    <t>Labor Rates</t>
  </si>
  <si>
    <t xml:space="preserve">Technical </t>
  </si>
  <si>
    <t xml:space="preserve">Management </t>
  </si>
  <si>
    <t xml:space="preserve">Clerical </t>
  </si>
  <si>
    <t>See 3B</t>
  </si>
  <si>
    <t>Subtotal for Reporting Requirements</t>
  </si>
  <si>
    <t>Subtotal for Recordkeeping Requirements</t>
  </si>
  <si>
    <t>Responses</t>
  </si>
  <si>
    <t>Hr/Response</t>
  </si>
  <si>
    <t>Assumptions:</t>
  </si>
  <si>
    <r>
      <rPr>
        <vertAlign val="superscript"/>
        <sz val="10"/>
        <color rgb="FF000000"/>
        <rFont val="Times New Roman"/>
      </rPr>
      <t>b</t>
    </r>
    <r>
      <rPr>
        <sz val="10"/>
        <color rgb="FF000000"/>
        <rFont val="Times New Roman"/>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</si>
  <si>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</si>
  <si>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</si>
  <si>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</si>
  <si>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</si>
  <si>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</si>
  <si>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</si>
  <si>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</si>
  <si>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</si>
  <si>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</si>
  <si>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</si>
  <si>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</si>
  <si>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t>Managerial</t>
  </si>
  <si>
    <t>Technical</t>
  </si>
  <si>
    <t>Clerical</t>
  </si>
  <si>
    <t>Notification of initial performance test</t>
  </si>
  <si>
    <r>
      <rPr>
        <vertAlign val="superscript"/>
        <sz val="10"/>
        <color rgb="FF000000"/>
        <rFont val="Times New Roman"/>
      </rPr>
      <t>b</t>
    </r>
    <r>
      <rPr>
        <sz val="10"/>
        <color rgb="FF000000"/>
        <rFont val="Times New Roman"/>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</si>
  <si>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</si>
  <si>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</si>
  <si>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</si>
  <si>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</si>
  <si>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</si>
  <si>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</si>
  <si>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</si>
  <si>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</si>
  <si>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</si>
  <si>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</si>
  <si>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</si>
  <si>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</si>
  <si>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</si>
  <si>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</si>
  <si>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</si>
  <si>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</si>
  <si>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</si>
  <si>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</si>
  <si>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</si>
  <si>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</si>
  <si>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</si>
  <si>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</si>
  <si>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</si>
  <si>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</si>
  <si>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</si>
  <si>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</si>
  <si>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</si>
  <si>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Total (rounded)</t>
  </si>
  <si>
    <t>Table 1: Annual Respondent Burden and Cost – NSPS for Flexible Vinyl and Urethane Coating and Printing (40 CFR Part 60, Subpart FFF) (Renewal)</t>
  </si>
  <si>
    <t>Table 2: Average Annual EPA Burden and Cost – NSPS for Flexible Vinyl and Urethane Coating and Printing (40 CFR Part 60, Subpart FFF) (Renewal)</t>
  </si>
  <si>
    <t>Notification of construction/ reconstruction</t>
  </si>
  <si>
    <t>Semiannual Reports</t>
  </si>
  <si>
    <t>CEPCI Index 2007:</t>
  </si>
  <si>
    <t>CEPCI Index 2024:</t>
  </si>
  <si>
    <t>1.  Applications</t>
  </si>
  <si>
    <t>2.  Survey and Studies</t>
  </si>
  <si>
    <t>3.  Reporting Requirements</t>
  </si>
  <si>
    <r>
      <t xml:space="preserve">A.  Familiarize with rule requirement </t>
    </r>
    <r>
      <rPr>
        <vertAlign val="superscript"/>
        <sz val="10"/>
        <color theme="1"/>
        <rFont val="Times New Roman"/>
        <family val="1"/>
      </rPr>
      <t>c</t>
    </r>
  </si>
  <si>
    <t>B.  Required Activities</t>
  </si>
  <si>
    <t xml:space="preserve">New Sources </t>
  </si>
  <si>
    <r>
      <t xml:space="preserve">Initial performance test </t>
    </r>
    <r>
      <rPr>
        <vertAlign val="superscript"/>
        <sz val="10"/>
        <color theme="1"/>
        <rFont val="Times New Roman"/>
        <family val="1"/>
      </rPr>
      <t>d</t>
    </r>
  </si>
  <si>
    <r>
      <t>Repeat performance test</t>
    </r>
    <r>
      <rPr>
        <vertAlign val="superscript"/>
        <sz val="10"/>
        <color theme="1"/>
        <rFont val="Times New Roman"/>
        <family val="1"/>
      </rPr>
      <t xml:space="preserve"> d, e</t>
    </r>
    <r>
      <rPr>
        <sz val="10"/>
        <color theme="1"/>
        <rFont val="Times New Roman"/>
        <family val="1"/>
      </rPr>
      <t xml:space="preserve">           </t>
    </r>
  </si>
  <si>
    <t>C.  Create Information</t>
  </si>
  <si>
    <t>D.  Gather Existing Information</t>
  </si>
  <si>
    <t>E.  Write Report</t>
  </si>
  <si>
    <r>
      <t xml:space="preserve">Notification of construction/reconstruction </t>
    </r>
    <r>
      <rPr>
        <vertAlign val="superscript"/>
        <sz val="10"/>
        <color theme="1"/>
        <rFont val="Times New Roman"/>
        <family val="1"/>
      </rPr>
      <t>f</t>
    </r>
    <r>
      <rPr>
        <sz val="10"/>
        <color theme="1"/>
        <rFont val="Times New Roman"/>
        <family val="1"/>
      </rPr>
      <t xml:space="preserve"> </t>
    </r>
  </si>
  <si>
    <r>
      <t xml:space="preserve">Notification of initial performance test </t>
    </r>
    <r>
      <rPr>
        <vertAlign val="superscript"/>
        <sz val="10"/>
        <color theme="1"/>
        <rFont val="Times New Roman"/>
        <family val="1"/>
      </rPr>
      <t>e, g</t>
    </r>
  </si>
  <si>
    <t>Report of initial performance test</t>
  </si>
  <si>
    <r>
      <t xml:space="preserve">Semiannual report </t>
    </r>
    <r>
      <rPr>
        <vertAlign val="superscript"/>
        <sz val="10"/>
        <color theme="1"/>
        <rFont val="Times New Roman"/>
        <family val="1"/>
      </rPr>
      <t>h</t>
    </r>
  </si>
  <si>
    <t>4.  Recordkeeping Requirements</t>
  </si>
  <si>
    <t>A.  Familiarize with rule requirement</t>
  </si>
  <si>
    <t>See 3A</t>
  </si>
  <si>
    <t>B.  Plan Activities</t>
  </si>
  <si>
    <t>C.  Implement Activities</t>
  </si>
  <si>
    <t>D.  Develop Record System</t>
  </si>
  <si>
    <t xml:space="preserve">E.  Time to Enter Information </t>
  </si>
  <si>
    <t xml:space="preserve"> </t>
  </si>
  <si>
    <r>
      <t xml:space="preserve">Records of startup, shutdown, and malfunctions </t>
    </r>
    <r>
      <rPr>
        <vertAlign val="superscript"/>
        <sz val="10"/>
        <color theme="1"/>
        <rFont val="Times New Roman"/>
        <family val="1"/>
      </rPr>
      <t>i</t>
    </r>
  </si>
  <si>
    <r>
      <t xml:space="preserve">Records of VOC, temperature, and CMS maintenance </t>
    </r>
    <r>
      <rPr>
        <vertAlign val="superscript"/>
        <sz val="10"/>
        <color theme="1"/>
        <rFont val="Times New Roman"/>
        <family val="1"/>
      </rPr>
      <t>j</t>
    </r>
  </si>
  <si>
    <t>F.  Audits</t>
  </si>
  <si>
    <r>
      <t>a</t>
    </r>
    <r>
      <rPr>
        <sz val="10"/>
        <rFont val="Times New Roman"/>
        <family val="1"/>
      </rPr>
      <t xml:space="preserve">   We estimate that there are an average of 43 existing respondents, and it is estimated that 1 additional source will become subject over the next three years of this ICR. </t>
    </r>
  </si>
  <si>
    <r>
      <t>c</t>
    </r>
    <r>
      <rPr>
        <sz val="10"/>
        <color theme="1"/>
        <rFont val="Times New Roman"/>
        <family val="1"/>
      </rPr>
      <t xml:space="preserve">  We estimate it will take one hour to read and familiarize with the rule. This burden item applies to all sources.</t>
    </r>
  </si>
  <si>
    <r>
      <t>d</t>
    </r>
    <r>
      <rPr>
        <sz val="10"/>
        <color theme="1"/>
        <rFont val="Times New Roman"/>
        <family val="1"/>
      </rPr>
      <t xml:space="preserve">  We estimate each performance test will take 280 hours to complete.</t>
    </r>
  </si>
  <si>
    <r>
      <t>e</t>
    </r>
    <r>
      <rPr>
        <sz val="10"/>
        <color theme="1"/>
        <rFont val="Times New Roman"/>
        <family val="1"/>
      </rPr>
      <t xml:space="preserve">  We estimate 20 percent of respondents will need to repeat the initial performance test.</t>
    </r>
  </si>
  <si>
    <r>
      <t>f</t>
    </r>
    <r>
      <rPr>
        <sz val="10"/>
        <color theme="1"/>
        <rFont val="Times New Roman"/>
        <family val="1"/>
      </rPr>
      <t xml:space="preserve">  We estimate it will take 2 hours to prepare the notification of construction/reconstruction.</t>
    </r>
  </si>
  <si>
    <r>
      <t>g</t>
    </r>
    <r>
      <rPr>
        <sz val="10"/>
        <color theme="1"/>
        <rFont val="Times New Roman"/>
        <family val="1"/>
      </rPr>
      <t xml:space="preserve">  We estimate it will take 2 hours to prepare the notification of initial performance test.</t>
    </r>
  </si>
  <si>
    <r>
      <t>h</t>
    </r>
    <r>
      <rPr>
        <sz val="10"/>
        <color theme="1"/>
        <rFont val="Times New Roman"/>
        <family val="1"/>
      </rPr>
      <t xml:space="preserve">  We estimate it will take 4 hours to compile data for semiannual reports.</t>
    </r>
  </si>
  <si>
    <r>
      <t>i</t>
    </r>
    <r>
      <rPr>
        <sz val="10"/>
        <color theme="1"/>
        <rFont val="Times New Roman"/>
        <family val="1"/>
      </rPr>
      <t xml:space="preserve">  We estimate it will take 1.5 hours to record startups, shutdowns, and malfunctions.</t>
    </r>
  </si>
  <si>
    <r>
      <t>j</t>
    </r>
    <r>
      <rPr>
        <sz val="10"/>
        <color theme="1"/>
        <rFont val="Times New Roman"/>
        <family val="1"/>
      </rPr>
      <t xml:space="preserve">  We estimate it will take 0.25 hours to record VOCs, temperatures, and CMS maintenance.</t>
    </r>
  </si>
  <si>
    <r>
      <t>k</t>
    </r>
    <r>
      <rPr>
        <sz val="10"/>
        <color theme="1"/>
        <rFont val="Times New Roman"/>
        <family val="1"/>
      </rPr>
      <t xml:space="preserve"> Totals have been rounded to 3 significant figures. Figures may not add exactly due to rounding.</t>
    </r>
  </si>
  <si>
    <r>
      <t>c</t>
    </r>
    <r>
      <rPr>
        <sz val="10"/>
        <color theme="1"/>
        <rFont val="Times New Roman"/>
        <family val="1"/>
      </rPr>
      <t xml:space="preserve">  We estimate it will take 24 hours to participate with each performance test.</t>
    </r>
  </si>
  <si>
    <r>
      <t>d</t>
    </r>
    <r>
      <rPr>
        <sz val="10"/>
        <color theme="1"/>
        <rFont val="Times New Roman"/>
        <family val="1"/>
      </rPr>
      <t xml:space="preserve">  We estimate 20 percent of respondents will need to repeat the initial performance test.</t>
    </r>
  </si>
  <si>
    <r>
      <t>e</t>
    </r>
    <r>
      <rPr>
        <sz val="10"/>
        <color theme="1"/>
        <rFont val="Times New Roman"/>
        <family val="1"/>
      </rPr>
      <t xml:space="preserve">  We estimate it will take 2 hours to review construction/reconstruction notifications.</t>
    </r>
  </si>
  <si>
    <r>
      <t xml:space="preserve">f  </t>
    </r>
    <r>
      <rPr>
        <sz val="10"/>
        <color theme="1"/>
        <rFont val="Times New Roman"/>
        <family val="1"/>
      </rPr>
      <t xml:space="preserve"> We estimate it will take 0.5 hours to review initial startup notifications.</t>
    </r>
  </si>
  <si>
    <r>
      <t>g</t>
    </r>
    <r>
      <rPr>
        <sz val="10"/>
        <color theme="1"/>
        <rFont val="Times New Roman"/>
        <family val="1"/>
      </rPr>
      <t xml:space="preserve">  We estimate it will take 0.5 hours to review actual startup notifications.</t>
    </r>
  </si>
  <si>
    <r>
      <t>h</t>
    </r>
    <r>
      <rPr>
        <sz val="10"/>
        <color theme="1"/>
        <rFont val="Times New Roman"/>
        <family val="1"/>
      </rPr>
      <t xml:space="preserve">  We estimate it will take 0.5 hours to review initial test notifications.</t>
    </r>
  </si>
  <si>
    <r>
      <t>i</t>
    </r>
    <r>
      <rPr>
        <sz val="10"/>
        <color theme="1"/>
        <rFont val="Times New Roman"/>
        <family val="1"/>
      </rPr>
      <t xml:space="preserve">  We estimate it will take 0.5 hours to review test results.</t>
    </r>
  </si>
  <si>
    <r>
      <t>j</t>
    </r>
    <r>
      <rPr>
        <sz val="10"/>
        <color theme="1"/>
        <rFont val="Times New Roman"/>
        <family val="1"/>
      </rPr>
      <t xml:space="preserve">  We estimate it will take 2 hours to review each semiannual report twice annually.</t>
    </r>
  </si>
  <si>
    <r>
      <t>a</t>
    </r>
    <r>
      <rPr>
        <sz val="10"/>
        <color theme="1"/>
        <rFont val="Times New Roman"/>
        <family val="1"/>
      </rPr>
      <t xml:space="preserve">   We estimate that an average of 43 existing respondents, and</t>
    </r>
    <r>
      <rPr>
        <sz val="10"/>
        <color rgb="FF000000"/>
        <rFont val="Times New Roman"/>
        <family val="1"/>
      </rPr>
      <t xml:space="preserve"> it is estimated that 1 additional source will become subject over the next three years of this ICR. </t>
    </r>
  </si>
  <si>
    <t>Required Activities</t>
  </si>
  <si>
    <r>
      <t xml:space="preserve">Initial performance tests </t>
    </r>
    <r>
      <rPr>
        <vertAlign val="superscript"/>
        <sz val="10"/>
        <color theme="1"/>
        <rFont val="Times New Roman"/>
        <family val="1"/>
      </rPr>
      <t>c</t>
    </r>
  </si>
  <si>
    <r>
      <t xml:space="preserve">Repeat performance tests </t>
    </r>
    <r>
      <rPr>
        <vertAlign val="superscript"/>
        <sz val="10"/>
        <color theme="1"/>
        <rFont val="Times New Roman"/>
        <family val="1"/>
      </rPr>
      <t>c, d</t>
    </r>
  </si>
  <si>
    <t xml:space="preserve">Report Review </t>
  </si>
  <si>
    <r>
      <t xml:space="preserve">Notification of construction/reconstruction </t>
    </r>
    <r>
      <rPr>
        <vertAlign val="superscript"/>
        <sz val="10"/>
        <color theme="1"/>
        <rFont val="Times New Roman"/>
        <family val="1"/>
      </rPr>
      <t>e</t>
    </r>
  </si>
  <si>
    <r>
      <t xml:space="preserve">Notification of initial startup </t>
    </r>
    <r>
      <rPr>
        <vertAlign val="superscript"/>
        <sz val="10"/>
        <color theme="1"/>
        <rFont val="Times New Roman"/>
        <family val="1"/>
      </rPr>
      <t>f</t>
    </r>
  </si>
  <si>
    <r>
      <t xml:space="preserve">Notification of actual startup </t>
    </r>
    <r>
      <rPr>
        <vertAlign val="superscript"/>
        <sz val="10"/>
        <color theme="1"/>
        <rFont val="Times New Roman"/>
        <family val="1"/>
      </rPr>
      <t>g</t>
    </r>
  </si>
  <si>
    <r>
      <t xml:space="preserve">Notification of initial test </t>
    </r>
    <r>
      <rPr>
        <vertAlign val="superscript"/>
        <sz val="10"/>
        <color theme="1"/>
        <rFont val="Times New Roman"/>
        <family val="1"/>
      </rPr>
      <t>d, h</t>
    </r>
  </si>
  <si>
    <r>
      <t xml:space="preserve">Review test results </t>
    </r>
    <r>
      <rPr>
        <vertAlign val="superscript"/>
        <sz val="10"/>
        <color theme="1"/>
        <rFont val="Times New Roman"/>
        <family val="1"/>
      </rPr>
      <t>d, i</t>
    </r>
  </si>
  <si>
    <r>
      <t xml:space="preserve">Semiannual reports </t>
    </r>
    <r>
      <rPr>
        <vertAlign val="superscript"/>
        <sz val="10"/>
        <color theme="1"/>
        <rFont val="Times New Roman"/>
        <family val="1"/>
      </rPr>
      <t>j</t>
    </r>
  </si>
  <si>
    <r>
      <t xml:space="preserve">Temperature or feed rate monitor </t>
    </r>
    <r>
      <rPr>
        <vertAlign val="superscript"/>
        <sz val="10"/>
        <rFont val="Times New Roman"/>
        <family val="1"/>
      </rPr>
      <t>a</t>
    </r>
  </si>
  <si>
    <r>
      <t xml:space="preserve">Totals (rounded) </t>
    </r>
    <r>
      <rPr>
        <vertAlign val="superscript"/>
        <sz val="10"/>
        <color rgb="FF000000"/>
        <rFont val="Times New Roman"/>
        <family val="1"/>
      </rPr>
      <t>b</t>
    </r>
  </si>
  <si>
    <r>
      <rPr>
        <vertAlign val="superscript"/>
        <sz val="10"/>
        <color rgb="FF000000"/>
        <rFont val="Times New Roman"/>
        <family val="1"/>
      </rPr>
      <t xml:space="preserve">b </t>
    </r>
    <r>
      <rPr>
        <sz val="10"/>
        <color rgb="FF000000"/>
        <rFont val="Times New Roman"/>
        <family val="1"/>
      </rPr>
      <t>Totals have been rounded to 3 significant figures. Figures may not add exactly due to rounding.</t>
    </r>
  </si>
  <si>
    <r>
      <rPr>
        <vertAlign val="superscript"/>
        <sz val="10"/>
        <color theme="1"/>
        <rFont val="Times New Roman"/>
        <family val="1"/>
      </rPr>
      <t xml:space="preserve">a </t>
    </r>
    <r>
      <rPr>
        <sz val="10"/>
        <color theme="1"/>
        <rFont val="Times New Roman"/>
        <family val="1"/>
      </rPr>
      <t>Capital/Startup and O&amp;M costs have been adjusted from 2007 $ to 2024 $ using the CEPCI CE Index.</t>
    </r>
  </si>
  <si>
    <r>
      <t xml:space="preserve">TOTAL LABOR BURDEN AND COST (rounded) </t>
    </r>
    <r>
      <rPr>
        <b/>
        <vertAlign val="superscript"/>
        <sz val="10"/>
        <color rgb="FF000000"/>
        <rFont val="Times New Roman"/>
        <family val="1"/>
      </rPr>
      <t>k</t>
    </r>
  </si>
  <si>
    <r>
      <t xml:space="preserve">TOTAL CAPITAL AND O&amp;M COSTS (rounded) </t>
    </r>
    <r>
      <rPr>
        <b/>
        <vertAlign val="superscript"/>
        <sz val="10"/>
        <color rgb="FF000000"/>
        <rFont val="Times New Roman"/>
        <family val="1"/>
      </rPr>
      <t>k</t>
    </r>
  </si>
  <si>
    <r>
      <t xml:space="preserve">GRAND TOTAL (rounded) </t>
    </r>
    <r>
      <rPr>
        <b/>
        <vertAlign val="superscript"/>
        <sz val="10"/>
        <color rgb="FF000000"/>
        <rFont val="Times New Roman"/>
        <family val="1"/>
      </rPr>
      <t>k</t>
    </r>
  </si>
  <si>
    <r>
      <t xml:space="preserve">TOTAL  (rounded) </t>
    </r>
    <r>
      <rPr>
        <b/>
        <vertAlign val="superscript"/>
        <sz val="10"/>
        <color rgb="FF000000"/>
        <rFont val="Times New Roman"/>
        <family val="1"/>
      </rPr>
      <t>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</si>
</sst>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
    <numFmt numFmtId="166" formatCode="&quot;$&quot;#,##0.00"/>
  </numFmts>
  <fonts count="28" x14ac:knownFonts="1">
    <font>
      <sz val="11"/>
      <color theme="1"/>
      <name val="Calibri"/>
      <family val="2"/>
      <scheme val="minor"/>
    </font>
    <font>
      <b/>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sz val="10"/>
      <name val="Times New Roman"/>
      <family val="1"/>
    </font>
    <font>
      <vertAlign val="superscript"/>
      <sz val="10"/>
      <name val="Times New Roman"/>
      <family val="1"/>
    </font>
    <font>
      <sz val="11"/>
      <color rgb="FF000000"/>
      <name val="Calibri"/>
      <family val="2"/>
      <scheme val="minor"/>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sz val="10"/>
      <color rgb="FF1B1B1B"/>
      <name val="Arial"/>
      <family val="2"/>
    </font>
    <font>
      <vertAlign val="superscript"/>
      <sz val="10"/>
      <color rgb="FF000000"/>
      <name val="Times New Roman"/>
    </font>
    <font>
      <sz val="10"/>
      <color rgb="FF000000"/>
      <name val="Times New Roman"/>
    </font>
    <font>
      <b/>
      <sz val="12"/>
      <color rgb="FF000000"/>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9" fontId="13" fillId="0" borderId="0" applyFont="0" applyFill="0" applyBorder="0" applyAlignment="0" applyProtection="0"/>
  </cellStyleXfs>
  <cellXfs count="96">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0" fillId="0" borderId="1" xfId="0" applyFont="1" applyBorder="1" applyAlignment="1">
      <alignment vertical="center" wrapText="1"/>
    </xf>
    <xf numFmtId="0" fontId="11" fillId="0" borderId="0" xfId="0" applyFont="1" applyAlignment="1">
      <alignment vertical="center"/>
    </xf>
    <xf numFmtId="0" fontId="4" fillId="0" borderId="1" xfId="0" applyFont="1" applyBorder="1" applyAlignment="1">
      <alignment horizontal="center" vertical="center"/>
    </xf>
    <xf numFmtId="0" fontId="1" fillId="0" borderId="0" xfId="0" applyFont="1"/>
    <xf numFmtId="0" fontId="9" fillId="0" borderId="1" xfId="0" applyFont="1" applyBorder="1" applyAlignment="1">
      <alignment horizontal="center" vertical="center"/>
    </xf>
    <xf numFmtId="6" fontId="6" fillId="0" borderId="1" xfId="0" applyNumberFormat="1" applyFont="1" applyBorder="1" applyAlignment="1">
      <alignment horizontal="right" vertical="center"/>
    </xf>
    <xf numFmtId="8" fontId="0" fillId="0" borderId="0" xfId="0" applyNumberFormat="1"/>
    <xf numFmtId="2" fontId="0" fillId="0" borderId="0" xfId="0" applyNumberFormat="1"/>
    <xf numFmtId="165" fontId="6" fillId="0" borderId="1" xfId="0" applyNumberFormat="1" applyFont="1" applyBorder="1" applyAlignment="1">
      <alignment horizontal="center" vertical="center"/>
    </xf>
    <xf numFmtId="0" fontId="4" fillId="0" borderId="0" xfId="0" applyFont="1" applyAlignment="1">
      <alignment horizontal="center" vertical="center" wrapText="1"/>
    </xf>
    <xf numFmtId="9" fontId="0" fillId="0" borderId="0" xfId="1" applyFont="1"/>
    <xf numFmtId="10" fontId="0" fillId="0" borderId="0" xfId="0" applyNumberFormat="1"/>
    <xf numFmtId="0" fontId="14" fillId="0" borderId="0" xfId="0" applyFont="1"/>
    <xf numFmtId="0" fontId="15" fillId="0" borderId="2" xfId="0" applyFont="1" applyBorder="1" applyAlignment="1">
      <alignment horizontal="center" vertical="center" wrapText="1"/>
    </xf>
    <xf numFmtId="0" fontId="6" fillId="0" borderId="0" xfId="0" applyFont="1"/>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0" xfId="0" applyFont="1"/>
    <xf numFmtId="164" fontId="6" fillId="0" borderId="1" xfId="0" applyNumberFormat="1" applyFont="1" applyBorder="1" applyAlignment="1">
      <alignment horizontal="center" vertical="center"/>
    </xf>
    <xf numFmtId="0" fontId="19" fillId="0" borderId="0" xfId="0" applyFont="1" applyAlignment="1">
      <alignment vertical="top" wrapText="1"/>
    </xf>
    <xf numFmtId="166" fontId="0" fillId="0" borderId="0" xfId="0" applyNumberFormat="1"/>
    <xf numFmtId="0" fontId="0" fillId="0" borderId="9" xfId="0" applyBorder="1"/>
    <xf numFmtId="166" fontId="0" fillId="0" borderId="10" xfId="0" applyNumberFormat="1" applyBorder="1"/>
    <xf numFmtId="0" fontId="0" fillId="0" borderId="11" xfId="0" applyBorder="1"/>
    <xf numFmtId="166" fontId="0" fillId="0" borderId="12" xfId="0" applyNumberFormat="1" applyBorder="1"/>
    <xf numFmtId="8" fontId="0" fillId="0" borderId="10" xfId="0" applyNumberFormat="1" applyBorder="1"/>
    <xf numFmtId="8" fontId="0" fillId="0" borderId="12" xfId="0" applyNumberFormat="1" applyBorder="1"/>
    <xf numFmtId="0" fontId="21" fillId="0" borderId="0" xfId="0" applyFont="1" applyAlignment="1">
      <alignment vertical="center" wrapText="1"/>
    </xf>
    <xf numFmtId="0" fontId="21" fillId="0" borderId="0" xfId="0" applyFont="1"/>
    <xf numFmtId="1" fontId="21" fillId="0" borderId="0" xfId="0" applyNumberFormat="1" applyFont="1"/>
    <xf numFmtId="3" fontId="21"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1" fillId="0" borderId="0" xfId="0" applyNumberFormat="1" applyFont="1"/>
    <xf numFmtId="0" fontId="0" fillId="0" borderId="0" xfId="0" applyAlignment="1">
      <alignment horizontal="center"/>
    </xf>
    <xf numFmtId="8" fontId="0" fillId="0" borderId="13" xfId="0" applyNumberFormat="1" applyBorder="1" applyAlignment="1">
      <alignment vertical="center"/>
    </xf>
    <xf numFmtId="0" fontId="24" fillId="0" borderId="0" xfId="0" applyFont="1"/>
    <xf numFmtId="0" fontId="6" fillId="0" borderId="0" xfId="0" applyFont="1" applyAlignment="1">
      <alignment horizontal="left" wrapText="1"/>
    </xf>
    <xf numFmtId="0" fontId="27" fillId="0" borderId="0" xfId="0" applyFont="1" applyAlignment="1">
      <alignment horizontal="left" vertical="center"/>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6" fontId="22" fillId="0" borderId="6" xfId="0" applyNumberFormat="1" applyFont="1" applyBorder="1" applyAlignment="1">
      <alignment horizontal="center"/>
    </xf>
    <xf numFmtId="0" fontId="2" fillId="0" borderId="0" xfId="0" applyFont="1" applyAlignment="1">
      <alignment horizontal="center" vertical="center" wrapText="1"/>
    </xf>
    <xf numFmtId="0" fontId="6" fillId="0" borderId="0" xfId="0" applyFont="1" applyAlignment="1">
      <alignment horizontal="center" vertical="center" wrapText="1"/>
    </xf>
    <xf numFmtId="6" fontId="3" fillId="0" borderId="0" xfId="0" applyNumberFormat="1" applyFont="1" applyAlignment="1">
      <alignment horizontal="center" vertical="center" wrapText="1"/>
    </xf>
    <xf numFmtId="6" fontId="6" fillId="0" borderId="0" xfId="0" applyNumberFormat="1" applyFont="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left" vertical="center" indent="1"/>
    </xf>
    <xf numFmtId="0" fontId="3" fillId="0" borderId="1" xfId="0" applyFont="1" applyBorder="1" applyAlignment="1">
      <alignment horizontal="left" vertical="center" indent="2"/>
    </xf>
    <xf numFmtId="0" fontId="3" fillId="0" borderId="1" xfId="0" applyFont="1" applyBorder="1" applyAlignment="1">
      <alignment horizontal="left" vertical="center" indent="3"/>
    </xf>
    <xf numFmtId="1" fontId="6"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12" fillId="0" borderId="0" xfId="0" applyFont="1" applyAlignment="1">
      <alignment vertical="center"/>
    </xf>
    <xf numFmtId="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6" fontId="6" fillId="0" borderId="1" xfId="0" applyNumberFormat="1" applyFont="1" applyBorder="1" applyAlignment="1">
      <alignment horizontal="center" vertical="center" wrapText="1"/>
    </xf>
    <xf numFmtId="0" fontId="23" fillId="0" borderId="0" xfId="0" applyFont="1" applyAlignment="1">
      <alignment horizont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0" fontId="18" fillId="0" borderId="0" xfId="0" applyFont="1" applyAlignment="1">
      <alignment horizontal="left" vertical="center" wrapText="1"/>
    </xf>
    <xf numFmtId="0" fontId="20" fillId="0" borderId="7" xfId="0" applyFont="1" applyBorder="1" applyAlignment="1">
      <alignment horizontal="center"/>
    </xf>
    <xf numFmtId="0" fontId="20" fillId="0" borderId="8" xfId="0" applyFont="1" applyBorder="1" applyAlignment="1">
      <alignment horizontal="center"/>
    </xf>
    <xf numFmtId="0" fontId="11" fillId="0" borderId="0" xfId="0" applyFont="1" applyAlignment="1">
      <alignment horizontal="left" vertical="top"/>
    </xf>
    <xf numFmtId="0" fontId="25" fillId="0" borderId="0" xfId="0" applyFont="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0" borderId="1" xfId="0" applyFont="1" applyBorder="1" applyAlignment="1">
      <alignment horizontal="center" vertical="center"/>
    </xf>
    <xf numFmtId="0" fontId="12" fillId="0" borderId="0" xfId="0" applyFont="1" applyAlignment="1">
      <alignment horizontal="left" vertical="center" wrapText="1"/>
    </xf>
    <xf numFmtId="0" fontId="2" fillId="0" borderId="1" xfId="0" applyFont="1" applyBorder="1" applyAlignment="1">
      <alignment horizontal="center" vertical="center" wrapText="1"/>
    </xf>
    <xf numFmtId="0" fontId="6" fillId="0" borderId="0" xfId="0" applyFont="1" applyAlignment="1">
      <alignment horizontal="left" wrapText="1"/>
    </xf>
    <xf numFmtId="0" fontId="3" fillId="0" borderId="3" xfId="0" applyFont="1" applyBorder="1" applyAlignment="1">
      <alignment horizontal="left"/>
    </xf>
    <xf numFmtId="0" fontId="6" fillId="0" borderId="1" xfId="0" applyFont="1" applyBorder="1" applyAlignment="1">
      <alignment vertical="center" wrapText="1"/>
    </xf>
    <xf numFmtId="0" fontId="7" fillId="0" borderId="3" xfId="0" applyFont="1" applyBorder="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workbookViewId="0">
      <selection activeCell="A18" sqref="A18"/>
    </sheetView>
  </sheetViews>
  <sheetFormatPr defaultRowHeight="15" x14ac:dyDescent="0.25"/>
  <cols>
    <col min="1" max="1" width="27.140625" bestFit="1" customWidth="1"/>
    <col min="2" max="2" width="13.7109375" bestFit="1" customWidth="1"/>
  </cols>
  <sheetData>
    <row r="1" spans="1:2" x14ac:dyDescent="0.25">
      <c r="A1" s="76" t="s">
        <v>0</v>
      </c>
      <c r="B1" s="76"/>
    </row>
    <row r="2" spans="1:2" x14ac:dyDescent="0.25">
      <c r="A2" s="38" t="s">
        <v>1</v>
      </c>
      <c r="B2" s="40">
        <f>'Table 1'!L33</f>
        <v>15.813953488372093</v>
      </c>
    </row>
    <row r="3" spans="1:2" x14ac:dyDescent="0.25">
      <c r="A3" s="38" t="s">
        <v>2</v>
      </c>
      <c r="B3" s="40">
        <f>Respondents!F8</f>
        <v>42.66</v>
      </c>
    </row>
    <row r="4" spans="1:2" x14ac:dyDescent="0.25">
      <c r="A4" s="38" t="s">
        <v>3</v>
      </c>
      <c r="B4" s="41">
        <f>'Table 1'!F33</f>
        <v>1360</v>
      </c>
    </row>
    <row r="5" spans="1:2" x14ac:dyDescent="0.25">
      <c r="A5" s="38" t="s">
        <v>4</v>
      </c>
      <c r="B5" s="44">
        <f>'Table 1'!I35</f>
        <v>809000</v>
      </c>
    </row>
    <row r="6" spans="1:2" x14ac:dyDescent="0.25">
      <c r="A6" s="38" t="s">
        <v>5</v>
      </c>
      <c r="B6" s="44">
        <f>'Capital O&amp;M'!I5</f>
        <v>623000</v>
      </c>
    </row>
    <row r="7" spans="1:2" x14ac:dyDescent="0.25">
      <c r="A7" s="38" t="s">
        <v>6</v>
      </c>
      <c r="B7" s="39"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opLeftCell="A33" zoomScaleNormal="100" workbookViewId="0">
      <selection activeCell="C45" sqref="C45"/>
    </sheetView>
  </sheetViews>
  <sheetFormatPr defaultRowHeight="15" x14ac:dyDescent="0.25"/>
  <cols>
    <col min="1" max="1" width="48.85546875" customWidth="1"/>
    <col min="2" max="2" width="10.28515625" customWidth="1"/>
    <col min="3" max="3" width="14.7109375" customWidth="1"/>
    <col min="4" max="4" width="13.7109375" customWidth="1"/>
    <col min="5" max="6" width="12.5703125" customWidth="1"/>
    <col min="7" max="7" width="12.42578125" customWidth="1"/>
    <col min="8" max="8" width="12.7109375" customWidth="1"/>
    <col min="9" max="9" width="11.7109375" customWidth="1"/>
    <col min="10" max="10" width="1.140625" style="21" customWidth="1"/>
    <col min="11" max="11" width="9.7109375" customWidth="1"/>
    <col min="12" max="12" width="12" customWidth="1"/>
    <col min="13" max="13" width="9.85546875" customWidth="1"/>
  </cols>
  <sheetData>
    <row r="1" spans="1:13" ht="15.75" x14ac:dyDescent="0.25">
      <c r="A1" s="49" t="s">
        <v>83</v>
      </c>
    </row>
    <row r="2" spans="1:13" x14ac:dyDescent="0.25">
      <c r="F2" s="31"/>
      <c r="G2" s="31"/>
      <c r="H2" s="31"/>
    </row>
    <row r="3" spans="1:13" ht="15" customHeight="1" x14ac:dyDescent="0.25">
      <c r="A3" s="77" t="s">
        <v>8</v>
      </c>
      <c r="B3" s="1" t="s">
        <v>9</v>
      </c>
      <c r="C3" s="1" t="s">
        <v>10</v>
      </c>
      <c r="D3" s="1" t="s">
        <v>11</v>
      </c>
      <c r="E3" s="1" t="s">
        <v>12</v>
      </c>
      <c r="F3" s="1" t="s">
        <v>13</v>
      </c>
      <c r="G3" s="1" t="s">
        <v>14</v>
      </c>
      <c r="H3" s="1" t="s">
        <v>15</v>
      </c>
      <c r="I3" s="1" t="s">
        <v>16</v>
      </c>
    </row>
    <row r="4" spans="1:13" ht="62.25" customHeight="1" x14ac:dyDescent="0.25">
      <c r="A4" s="77"/>
      <c r="B4" s="1" t="s">
        <v>17</v>
      </c>
      <c r="C4" s="1" t="s">
        <v>18</v>
      </c>
      <c r="D4" s="1" t="s">
        <v>19</v>
      </c>
      <c r="E4" s="1" t="s">
        <v>20</v>
      </c>
      <c r="F4" s="1" t="s">
        <v>21</v>
      </c>
      <c r="G4" s="1" t="s">
        <v>22</v>
      </c>
      <c r="H4" s="1" t="s">
        <v>23</v>
      </c>
      <c r="I4" s="1" t="s">
        <v>24</v>
      </c>
      <c r="J4" s="22"/>
    </row>
    <row r="5" spans="1:13" x14ac:dyDescent="0.25">
      <c r="A5" s="61" t="s">
        <v>89</v>
      </c>
      <c r="B5" s="62" t="s">
        <v>25</v>
      </c>
      <c r="C5" s="63"/>
      <c r="D5" s="2"/>
      <c r="E5" s="2"/>
      <c r="F5" s="2"/>
      <c r="G5" s="2"/>
      <c r="H5" s="2"/>
      <c r="I5" s="3"/>
    </row>
    <row r="6" spans="1:13" x14ac:dyDescent="0.25">
      <c r="A6" s="61" t="s">
        <v>90</v>
      </c>
      <c r="B6" s="62" t="s">
        <v>25</v>
      </c>
      <c r="C6" s="63"/>
      <c r="D6" s="2"/>
      <c r="E6" s="2"/>
      <c r="F6" s="2"/>
      <c r="G6" s="2"/>
      <c r="H6" s="2"/>
      <c r="I6" s="3"/>
    </row>
    <row r="7" spans="1:13" x14ac:dyDescent="0.25">
      <c r="A7" s="61" t="s">
        <v>91</v>
      </c>
      <c r="B7" s="62"/>
      <c r="C7" s="62"/>
      <c r="D7" s="2"/>
      <c r="E7" s="2"/>
      <c r="F7" s="2"/>
      <c r="G7" s="2"/>
      <c r="H7" s="2"/>
      <c r="I7" s="3"/>
    </row>
    <row r="8" spans="1:13" ht="15.75" x14ac:dyDescent="0.25">
      <c r="A8" s="64" t="s">
        <v>92</v>
      </c>
      <c r="B8" s="62">
        <v>1</v>
      </c>
      <c r="C8" s="62">
        <v>1</v>
      </c>
      <c r="D8" s="2">
        <f>+B8*C8</f>
        <v>1</v>
      </c>
      <c r="E8" s="67">
        <f>Respondents!$F$8</f>
        <v>42.66</v>
      </c>
      <c r="F8" s="29">
        <f>+D8*E8</f>
        <v>42.66</v>
      </c>
      <c r="G8" s="29">
        <f>+F8*0.05</f>
        <v>2.133</v>
      </c>
      <c r="H8" s="29">
        <f>+F8*0.1</f>
        <v>4.266</v>
      </c>
      <c r="I8" s="4">
        <f>+$M$11*F8+$M$12*G8+$M$13*H8</f>
        <v>6719.2272899999998</v>
      </c>
    </row>
    <row r="9" spans="1:13" ht="15.75" thickBot="1" x14ac:dyDescent="0.3">
      <c r="A9" s="64" t="s">
        <v>93</v>
      </c>
      <c r="B9" s="62"/>
      <c r="C9" s="62"/>
      <c r="D9" s="2"/>
      <c r="E9" s="2"/>
      <c r="F9" s="2"/>
      <c r="G9" s="2"/>
      <c r="H9" s="2"/>
      <c r="I9" s="4"/>
    </row>
    <row r="10" spans="1:13" ht="15.75" thickBot="1" x14ac:dyDescent="0.3">
      <c r="A10" s="65" t="s">
        <v>94</v>
      </c>
      <c r="B10" s="62"/>
      <c r="C10" s="62"/>
      <c r="D10" s="2"/>
      <c r="E10" s="2"/>
      <c r="F10" s="2"/>
      <c r="G10" s="2"/>
      <c r="H10" s="2"/>
      <c r="I10" s="4"/>
      <c r="L10" s="80" t="s">
        <v>28</v>
      </c>
      <c r="M10" s="81"/>
    </row>
    <row r="11" spans="1:13" ht="15.75" x14ac:dyDescent="0.25">
      <c r="A11" s="66" t="s">
        <v>95</v>
      </c>
      <c r="B11" s="62">
        <v>280</v>
      </c>
      <c r="C11" s="62">
        <v>1</v>
      </c>
      <c r="D11" s="2">
        <f t="shared" ref="D11:D21" si="0">+B11*C11</f>
        <v>280</v>
      </c>
      <c r="E11" s="2">
        <f>Respondents!$B$8</f>
        <v>0.33</v>
      </c>
      <c r="F11" s="2">
        <f t="shared" ref="F11" si="1">+D11*E11</f>
        <v>92.4</v>
      </c>
      <c r="G11" s="69">
        <f t="shared" ref="G11" si="2">+F11*0.05</f>
        <v>4.62</v>
      </c>
      <c r="H11" s="69">
        <f t="shared" ref="H11" si="3">+F11*0.1</f>
        <v>9.24</v>
      </c>
      <c r="I11" s="4">
        <f t="shared" ref="I11" si="4">+$M$11*F11+$M$12*G11+$M$13*H11</f>
        <v>14553.600600000002</v>
      </c>
      <c r="L11" s="32" t="s">
        <v>29</v>
      </c>
      <c r="M11" s="46">
        <v>141.75</v>
      </c>
    </row>
    <row r="12" spans="1:13" ht="15.75" x14ac:dyDescent="0.25">
      <c r="A12" s="66" t="s">
        <v>96</v>
      </c>
      <c r="B12" s="62">
        <v>280</v>
      </c>
      <c r="C12" s="62">
        <v>0.2</v>
      </c>
      <c r="D12" s="2">
        <f t="shared" si="0"/>
        <v>56</v>
      </c>
      <c r="E12" s="2">
        <f>Respondents!$B$8</f>
        <v>0.33</v>
      </c>
      <c r="F12" s="29">
        <f t="shared" ref="F12:F18" si="5">+D12*E12</f>
        <v>18.48</v>
      </c>
      <c r="G12" s="69">
        <f t="shared" ref="G12:G18" si="6">+F12*0.05</f>
        <v>0.92400000000000004</v>
      </c>
      <c r="H12" s="69">
        <f t="shared" ref="H12:H18" si="7">+F12*0.1</f>
        <v>1.8480000000000001</v>
      </c>
      <c r="I12" s="4">
        <f t="shared" ref="I12:I18" si="8">+$M$11*F12+$M$12*G12+$M$13*H12</f>
        <v>2910.72012</v>
      </c>
      <c r="L12" s="32" t="s">
        <v>30</v>
      </c>
      <c r="M12" s="33">
        <v>172.41</v>
      </c>
    </row>
    <row r="13" spans="1:13" ht="15.75" thickBot="1" x14ac:dyDescent="0.3">
      <c r="A13" s="64" t="s">
        <v>97</v>
      </c>
      <c r="B13" s="62" t="s">
        <v>32</v>
      </c>
      <c r="C13" s="62"/>
      <c r="D13" s="2"/>
      <c r="E13" s="2"/>
      <c r="F13" s="2"/>
      <c r="G13" s="2"/>
      <c r="H13" s="2"/>
      <c r="I13" s="4"/>
      <c r="L13" s="34" t="s">
        <v>31</v>
      </c>
      <c r="M13" s="35">
        <v>71.36</v>
      </c>
    </row>
    <row r="14" spans="1:13" x14ac:dyDescent="0.25">
      <c r="A14" s="64" t="s">
        <v>98</v>
      </c>
      <c r="B14" s="62" t="s">
        <v>32</v>
      </c>
      <c r="C14" s="62"/>
      <c r="D14" s="5"/>
      <c r="E14" s="2"/>
      <c r="F14" s="5"/>
      <c r="G14" s="2"/>
      <c r="H14" s="2"/>
      <c r="I14" s="4"/>
      <c r="K14" s="15"/>
      <c r="L14" s="16"/>
      <c r="M14" s="15"/>
    </row>
    <row r="15" spans="1:13" x14ac:dyDescent="0.25">
      <c r="A15" s="64" t="s">
        <v>99</v>
      </c>
      <c r="B15" s="62"/>
      <c r="C15" s="62"/>
      <c r="D15" s="5"/>
      <c r="E15" s="2"/>
      <c r="F15" s="5"/>
      <c r="G15" s="5"/>
      <c r="H15" s="5"/>
      <c r="I15" s="4"/>
      <c r="K15" s="15"/>
      <c r="L15" s="15"/>
    </row>
    <row r="16" spans="1:13" ht="16.5" customHeight="1" x14ac:dyDescent="0.25">
      <c r="A16" s="65" t="s">
        <v>94</v>
      </c>
      <c r="B16" s="62"/>
      <c r="C16" s="62"/>
      <c r="D16" s="2"/>
      <c r="E16" s="2"/>
      <c r="F16" s="5"/>
      <c r="G16" s="2"/>
      <c r="H16" s="17"/>
      <c r="I16" s="4"/>
      <c r="K16" s="15"/>
    </row>
    <row r="17" spans="1:12" ht="16.5" customHeight="1" x14ac:dyDescent="0.25">
      <c r="A17" s="66" t="s">
        <v>100</v>
      </c>
      <c r="B17" s="62">
        <v>2</v>
      </c>
      <c r="C17" s="68">
        <v>1</v>
      </c>
      <c r="D17" s="2">
        <f t="shared" si="0"/>
        <v>2</v>
      </c>
      <c r="E17" s="2">
        <f>Respondents!$B$8</f>
        <v>0.33</v>
      </c>
      <c r="F17" s="17">
        <f t="shared" si="5"/>
        <v>0.66</v>
      </c>
      <c r="G17" s="69">
        <f t="shared" si="6"/>
        <v>3.3000000000000002E-2</v>
      </c>
      <c r="H17" s="69">
        <f t="shared" si="7"/>
        <v>6.6000000000000003E-2</v>
      </c>
      <c r="I17" s="4">
        <f t="shared" si="8"/>
        <v>103.95429000000001</v>
      </c>
      <c r="K17" s="15"/>
    </row>
    <row r="18" spans="1:12" ht="15.75" x14ac:dyDescent="0.25">
      <c r="A18" s="66" t="s">
        <v>101</v>
      </c>
      <c r="B18" s="62">
        <v>2</v>
      </c>
      <c r="C18" s="62">
        <v>1.2</v>
      </c>
      <c r="D18" s="17">
        <f t="shared" si="0"/>
        <v>2.4</v>
      </c>
      <c r="E18" s="2">
        <f>Respondents!$B$8</f>
        <v>0.33</v>
      </c>
      <c r="F18" s="17">
        <f t="shared" si="5"/>
        <v>0.79200000000000004</v>
      </c>
      <c r="G18" s="69">
        <f t="shared" si="6"/>
        <v>3.9600000000000003E-2</v>
      </c>
      <c r="H18" s="69">
        <f t="shared" si="7"/>
        <v>7.9200000000000007E-2</v>
      </c>
      <c r="I18" s="4">
        <f t="shared" si="8"/>
        <v>124.74514800000001</v>
      </c>
    </row>
    <row r="19" spans="1:12" x14ac:dyDescent="0.25">
      <c r="A19" s="66" t="s">
        <v>102</v>
      </c>
      <c r="B19" s="62" t="s">
        <v>32</v>
      </c>
      <c r="C19" s="62"/>
      <c r="D19" s="5"/>
      <c r="E19" s="2"/>
      <c r="F19" s="5"/>
      <c r="G19" s="69"/>
      <c r="H19" s="69"/>
      <c r="I19" s="4"/>
    </row>
    <row r="20" spans="1:12" x14ac:dyDescent="0.25">
      <c r="A20" s="65" t="s">
        <v>27</v>
      </c>
      <c r="B20" s="62"/>
      <c r="C20" s="62"/>
      <c r="D20" s="2"/>
      <c r="E20" s="2"/>
      <c r="F20" s="2"/>
      <c r="G20" s="69"/>
      <c r="H20" s="69"/>
      <c r="I20" s="4"/>
    </row>
    <row r="21" spans="1:12" ht="15.75" x14ac:dyDescent="0.25">
      <c r="A21" s="66" t="s">
        <v>103</v>
      </c>
      <c r="B21" s="62">
        <v>4</v>
      </c>
      <c r="C21" s="62">
        <v>2</v>
      </c>
      <c r="D21" s="2">
        <f t="shared" si="0"/>
        <v>8</v>
      </c>
      <c r="E21" s="67">
        <f>Respondents!$F$8</f>
        <v>42.66</v>
      </c>
      <c r="F21" s="17">
        <f t="shared" ref="F21" si="9">+D21*E21</f>
        <v>341.28</v>
      </c>
      <c r="G21" s="69">
        <f t="shared" ref="G21" si="10">+F21*0.05</f>
        <v>17.064</v>
      </c>
      <c r="H21" s="69">
        <f t="shared" ref="H21" si="11">+F21*0.1</f>
        <v>34.128</v>
      </c>
      <c r="I21" s="4">
        <f t="shared" ref="I21" si="12">+$M$11*F21+$M$12*G21+$M$13*H21</f>
        <v>53753.818319999998</v>
      </c>
    </row>
    <row r="22" spans="1:12" x14ac:dyDescent="0.25">
      <c r="A22" s="9" t="s">
        <v>33</v>
      </c>
      <c r="B22" s="6"/>
      <c r="C22" s="6"/>
      <c r="D22" s="2"/>
      <c r="E22" s="6"/>
      <c r="F22" s="78">
        <f>SUM(F5:H21)</f>
        <v>570.71280000000002</v>
      </c>
      <c r="G22" s="78"/>
      <c r="H22" s="78"/>
      <c r="I22" s="8">
        <f>SUM(I5:I21)</f>
        <v>78166.065768</v>
      </c>
    </row>
    <row r="23" spans="1:12" x14ac:dyDescent="0.25">
      <c r="A23" s="61" t="s">
        <v>104</v>
      </c>
      <c r="B23" s="62"/>
      <c r="C23" s="62"/>
      <c r="D23" s="62"/>
      <c r="E23" s="62"/>
      <c r="F23" s="2"/>
      <c r="G23" s="2"/>
      <c r="H23" s="2"/>
      <c r="I23" s="3"/>
    </row>
    <row r="24" spans="1:12" x14ac:dyDescent="0.25">
      <c r="A24" s="64" t="s">
        <v>105</v>
      </c>
      <c r="B24" s="62" t="s">
        <v>106</v>
      </c>
      <c r="C24" s="62"/>
      <c r="D24" s="62"/>
      <c r="E24" s="62"/>
      <c r="F24" s="2"/>
      <c r="G24" s="2"/>
      <c r="H24" s="2"/>
      <c r="I24" s="3"/>
    </row>
    <row r="25" spans="1:12" x14ac:dyDescent="0.25">
      <c r="A25" s="64" t="s">
        <v>107</v>
      </c>
      <c r="B25" s="62" t="s">
        <v>32</v>
      </c>
      <c r="C25" s="62"/>
      <c r="D25" s="62"/>
      <c r="E25" s="62"/>
      <c r="F25" s="2"/>
      <c r="G25" s="2"/>
      <c r="H25" s="2"/>
      <c r="I25" s="3"/>
    </row>
    <row r="26" spans="1:12" x14ac:dyDescent="0.25">
      <c r="A26" s="64" t="s">
        <v>108</v>
      </c>
      <c r="B26" s="62" t="s">
        <v>32</v>
      </c>
      <c r="C26" s="62"/>
      <c r="D26" s="62"/>
      <c r="E26" s="62"/>
      <c r="F26" s="5"/>
      <c r="G26" s="2"/>
      <c r="H26" s="2"/>
      <c r="I26" s="4"/>
    </row>
    <row r="27" spans="1:12" x14ac:dyDescent="0.25">
      <c r="A27" s="64" t="s">
        <v>109</v>
      </c>
      <c r="B27" s="62" t="s">
        <v>25</v>
      </c>
      <c r="C27" s="63"/>
      <c r="D27" s="63"/>
      <c r="E27" s="63"/>
      <c r="F27" s="2"/>
      <c r="G27" s="2"/>
      <c r="H27" s="2"/>
      <c r="I27" s="4"/>
    </row>
    <row r="28" spans="1:12" x14ac:dyDescent="0.25">
      <c r="A28" s="64" t="s">
        <v>110</v>
      </c>
      <c r="B28" s="62"/>
      <c r="C28" s="62" t="s">
        <v>111</v>
      </c>
      <c r="D28" s="62"/>
      <c r="E28" s="62"/>
      <c r="F28" s="2"/>
      <c r="G28" s="2"/>
      <c r="H28" s="2"/>
      <c r="I28" s="4"/>
    </row>
    <row r="29" spans="1:12" ht="15.75" x14ac:dyDescent="0.25">
      <c r="A29" s="65" t="s">
        <v>112</v>
      </c>
      <c r="B29" s="62">
        <v>1.5</v>
      </c>
      <c r="C29" s="62">
        <v>2</v>
      </c>
      <c r="D29" s="62">
        <f>B29*C29</f>
        <v>3</v>
      </c>
      <c r="E29" s="67">
        <f>Respondents!$F$8</f>
        <v>42.66</v>
      </c>
      <c r="F29" s="5">
        <f t="shared" ref="F29:F30" si="13">+D29*E29</f>
        <v>127.97999999999999</v>
      </c>
      <c r="G29" s="2">
        <f t="shared" ref="G29:G30" si="14">+F29*0.05</f>
        <v>6.399</v>
      </c>
      <c r="H29" s="2">
        <f t="shared" ref="H29:H30" si="15">+F29*0.1</f>
        <v>12.798</v>
      </c>
      <c r="I29" s="4">
        <f t="shared" ref="I29:I30" si="16">+$M$11*F29+$M$12*G29+$M$13*H29</f>
        <v>20157.681869999997</v>
      </c>
    </row>
    <row r="30" spans="1:12" ht="15.75" x14ac:dyDescent="0.25">
      <c r="A30" s="65" t="s">
        <v>113</v>
      </c>
      <c r="B30" s="62">
        <v>0.25</v>
      </c>
      <c r="C30" s="62">
        <v>52</v>
      </c>
      <c r="D30" s="62">
        <f>B30*C30</f>
        <v>13</v>
      </c>
      <c r="E30" s="67">
        <f>Respondents!$F$8</f>
        <v>42.66</v>
      </c>
      <c r="F30" s="17">
        <f t="shared" si="13"/>
        <v>554.57999999999993</v>
      </c>
      <c r="G30" s="69">
        <f t="shared" si="14"/>
        <v>27.728999999999999</v>
      </c>
      <c r="H30" s="69">
        <f t="shared" si="15"/>
        <v>55.457999999999998</v>
      </c>
      <c r="I30" s="4">
        <f t="shared" si="16"/>
        <v>87349.954769999997</v>
      </c>
    </row>
    <row r="31" spans="1:12" x14ac:dyDescent="0.25">
      <c r="A31" s="64" t="s">
        <v>114</v>
      </c>
      <c r="B31" s="62" t="s">
        <v>25</v>
      </c>
      <c r="C31" s="63"/>
      <c r="D31" s="63"/>
      <c r="E31" s="63"/>
      <c r="F31" s="2"/>
      <c r="G31" s="2"/>
      <c r="H31" s="2"/>
      <c r="I31" s="4"/>
    </row>
    <row r="32" spans="1:12" x14ac:dyDescent="0.25">
      <c r="A32" s="9" t="s">
        <v>34</v>
      </c>
      <c r="B32" s="6"/>
      <c r="C32" s="6"/>
      <c r="D32" s="6"/>
      <c r="E32" s="6"/>
      <c r="F32" s="78">
        <f>SUM(F23:H31)</f>
        <v>784.94399999999996</v>
      </c>
      <c r="G32" s="78"/>
      <c r="H32" s="78"/>
      <c r="I32" s="8">
        <f>SUM(I23:I31)</f>
        <v>107507.63664</v>
      </c>
      <c r="K32" s="42" t="s">
        <v>35</v>
      </c>
      <c r="L32" s="42" t="s">
        <v>36</v>
      </c>
    </row>
    <row r="33" spans="1:14" ht="15.75" x14ac:dyDescent="0.25">
      <c r="A33" s="7" t="s">
        <v>148</v>
      </c>
      <c r="B33" s="7"/>
      <c r="C33" s="7"/>
      <c r="D33" s="7"/>
      <c r="E33" s="7"/>
      <c r="F33" s="78">
        <f>ROUND(F22+F32,-1)</f>
        <v>1360</v>
      </c>
      <c r="G33" s="78"/>
      <c r="H33" s="78"/>
      <c r="I33" s="8">
        <f>+ROUND(I22+I32,-3)</f>
        <v>186000</v>
      </c>
      <c r="K33" s="45">
        <f>Responses!E7</f>
        <v>86</v>
      </c>
      <c r="L33" s="43">
        <f>+F33/K33</f>
        <v>15.813953488372093</v>
      </c>
    </row>
    <row r="34" spans="1:14" ht="15.75" x14ac:dyDescent="0.25">
      <c r="A34" s="7" t="s">
        <v>149</v>
      </c>
      <c r="B34" s="7"/>
      <c r="C34" s="7"/>
      <c r="D34" s="7"/>
      <c r="E34" s="7"/>
      <c r="F34" s="11"/>
      <c r="G34" s="11"/>
      <c r="H34" s="11"/>
      <c r="I34" s="8">
        <f>'Capital O&amp;M'!I5</f>
        <v>623000</v>
      </c>
    </row>
    <row r="35" spans="1:14" ht="15.75" x14ac:dyDescent="0.25">
      <c r="A35" s="7" t="s">
        <v>150</v>
      </c>
      <c r="B35" s="7"/>
      <c r="C35" s="7"/>
      <c r="D35" s="7"/>
      <c r="E35" s="7"/>
      <c r="F35" s="11"/>
      <c r="G35" s="11"/>
      <c r="H35" s="11"/>
      <c r="I35" s="8">
        <f>+ROUND(I33+I34,-3)</f>
        <v>809000</v>
      </c>
    </row>
    <row r="37" spans="1:14" x14ac:dyDescent="0.25">
      <c r="A37" s="82" t="s">
        <v>37</v>
      </c>
      <c r="B37" s="82"/>
      <c r="C37" s="82"/>
      <c r="D37" s="82"/>
      <c r="E37" s="82"/>
      <c r="F37" s="82"/>
      <c r="G37" s="82"/>
      <c r="H37" s="82"/>
      <c r="I37" s="82"/>
    </row>
    <row r="38" spans="1:14" ht="15.6" customHeight="1" x14ac:dyDescent="0.25">
      <c r="A38" s="79" t="s">
        <v>115</v>
      </c>
      <c r="B38" s="79"/>
      <c r="C38" s="79"/>
      <c r="D38" s="79"/>
      <c r="E38" s="79"/>
      <c r="F38" s="79"/>
      <c r="G38" s="79"/>
      <c r="H38" s="79"/>
      <c r="I38" s="79"/>
    </row>
    <row r="39" spans="1:14" ht="60" customHeight="1" x14ac:dyDescent="0.25">
      <c r="A39" s="83" t="s">
        <v>38</v>
      </c>
      <c r="B39" s="84"/>
      <c r="C39" s="84"/>
      <c r="D39" s="84"/>
      <c r="E39" s="84"/>
      <c r="F39" s="84"/>
      <c r="G39" s="84"/>
      <c r="H39" s="84"/>
      <c r="I39" s="84"/>
    </row>
    <row r="40" spans="1:14" ht="15.6" customHeight="1" x14ac:dyDescent="0.25">
      <c r="A40" s="70" t="s">
        <v>116</v>
      </c>
      <c r="B40" s="70"/>
      <c r="C40" s="70"/>
      <c r="D40" s="70"/>
      <c r="E40" s="70"/>
      <c r="F40" s="70"/>
      <c r="G40" s="70"/>
      <c r="H40" s="70"/>
      <c r="I40" s="70"/>
    </row>
    <row r="41" spans="1:14" ht="15.6" customHeight="1" x14ac:dyDescent="0.25">
      <c r="A41" s="70" t="s">
        <v>117</v>
      </c>
      <c r="B41" s="70"/>
      <c r="C41" s="70"/>
      <c r="D41" s="70"/>
      <c r="E41" s="70"/>
      <c r="F41" s="70"/>
      <c r="G41" s="70"/>
      <c r="H41" s="70"/>
      <c r="I41" s="70"/>
      <c r="K41" s="30"/>
      <c r="L41" s="30"/>
      <c r="M41" s="30"/>
      <c r="N41" s="30"/>
    </row>
    <row r="42" spans="1:14" ht="15.75" x14ac:dyDescent="0.25">
      <c r="A42" s="70" t="s">
        <v>118</v>
      </c>
      <c r="B42" s="70"/>
      <c r="C42" s="70"/>
      <c r="D42" s="70"/>
      <c r="E42" s="70"/>
      <c r="F42" s="70"/>
      <c r="G42" s="70"/>
      <c r="H42" s="70"/>
      <c r="I42" s="70"/>
      <c r="K42" s="30"/>
      <c r="L42" s="30"/>
      <c r="M42" s="30"/>
      <c r="N42" s="30"/>
    </row>
    <row r="43" spans="1:14" ht="15.75" x14ac:dyDescent="0.25">
      <c r="A43" s="70" t="s">
        <v>119</v>
      </c>
      <c r="B43" s="70"/>
      <c r="C43" s="70"/>
      <c r="D43" s="70"/>
      <c r="E43" s="70"/>
      <c r="F43" s="70"/>
      <c r="G43" s="70"/>
      <c r="H43" s="70"/>
      <c r="I43" s="70"/>
      <c r="K43" s="30"/>
      <c r="L43" s="30"/>
      <c r="M43" s="30"/>
      <c r="N43" s="30"/>
    </row>
    <row r="44" spans="1:14" ht="15.75" x14ac:dyDescent="0.25">
      <c r="A44" s="70" t="s">
        <v>120</v>
      </c>
      <c r="B44" s="70"/>
      <c r="C44" s="70"/>
      <c r="D44" s="70"/>
      <c r="E44" s="70"/>
      <c r="F44" s="70"/>
      <c r="G44" s="70"/>
      <c r="H44" s="70"/>
      <c r="I44" s="70"/>
      <c r="K44" s="30"/>
      <c r="L44" s="30"/>
      <c r="M44" s="30"/>
      <c r="N44" s="30"/>
    </row>
    <row r="45" spans="1:14" ht="15.75" x14ac:dyDescent="0.25">
      <c r="A45" s="70" t="s">
        <v>121</v>
      </c>
      <c r="B45" s="70"/>
      <c r="C45" s="70"/>
      <c r="D45" s="70"/>
      <c r="E45" s="70"/>
      <c r="F45" s="70"/>
      <c r="G45" s="70"/>
      <c r="H45" s="70"/>
      <c r="I45" s="70"/>
      <c r="K45" s="30"/>
      <c r="L45" s="30"/>
      <c r="M45" s="30"/>
      <c r="N45" s="30"/>
    </row>
    <row r="46" spans="1:14" ht="15.75" x14ac:dyDescent="0.25">
      <c r="A46" s="70" t="s">
        <v>122</v>
      </c>
      <c r="B46" s="70"/>
      <c r="C46" s="70"/>
      <c r="D46" s="70"/>
      <c r="E46" s="70"/>
      <c r="F46" s="70"/>
      <c r="G46" s="70"/>
      <c r="H46" s="70"/>
      <c r="I46" s="70"/>
      <c r="K46" s="30"/>
      <c r="L46" s="30"/>
      <c r="M46" s="30"/>
      <c r="N46" s="30"/>
    </row>
    <row r="47" spans="1:14" ht="15.75" x14ac:dyDescent="0.25">
      <c r="A47" s="70" t="s">
        <v>123</v>
      </c>
      <c r="B47" s="70"/>
      <c r="C47" s="70"/>
      <c r="D47" s="70"/>
      <c r="E47" s="70"/>
      <c r="F47" s="70"/>
      <c r="G47" s="70"/>
      <c r="H47" s="70"/>
      <c r="I47" s="70"/>
      <c r="K47" s="30"/>
      <c r="L47" s="30"/>
      <c r="M47" s="30"/>
      <c r="N47" s="30"/>
    </row>
    <row r="48" spans="1:14" ht="15.75" x14ac:dyDescent="0.25">
      <c r="A48" s="70" t="s">
        <v>124</v>
      </c>
      <c r="B48" s="70"/>
      <c r="C48" s="70"/>
      <c r="D48" s="70"/>
      <c r="E48" s="70"/>
      <c r="F48" s="70"/>
      <c r="G48" s="70"/>
      <c r="H48" s="70"/>
      <c r="I48" s="70"/>
      <c r="K48" s="30"/>
      <c r="L48" s="30"/>
      <c r="M48" s="30"/>
      <c r="N48" s="30"/>
    </row>
  </sheetData>
  <mergeCells count="8">
    <mergeCell ref="A39:I39"/>
    <mergeCell ref="A3:A4"/>
    <mergeCell ref="F22:H22"/>
    <mergeCell ref="A38:I38"/>
    <mergeCell ref="L10:M10"/>
    <mergeCell ref="F32:H32"/>
    <mergeCell ref="F33:H33"/>
    <mergeCell ref="A37:I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tabSelected="1" topLeftCell="A12" zoomScale="109" zoomScaleNormal="109" workbookViewId="0">
      <selection activeCell="B23" sqref="B23"/>
    </sheetView>
  </sheetViews>
  <sheetFormatPr defaultRowHeight="15" x14ac:dyDescent="0.25"/>
  <cols>
    <col min="1" max="1" width="39.5703125" customWidth="1"/>
    <col min="2" max="2" width="10" customWidth="1"/>
    <col min="3" max="3" width="10.5703125" customWidth="1"/>
    <col min="4" max="4" width="10.28515625" customWidth="1"/>
    <col min="6" max="6" width="11.28515625" customWidth="1"/>
    <col min="7" max="7" width="13.28515625" customWidth="1"/>
    <col min="8" max="8" width="12.140625" customWidth="1"/>
    <col min="9" max="9" width="12.5703125" customWidth="1"/>
    <col min="11" max="11" width="10.85546875" bestFit="1" customWidth="1"/>
    <col min="12" max="12" width="7.28515625" bestFit="1" customWidth="1"/>
    <col min="13" max="13" width="11.85546875" customWidth="1"/>
    <col min="15" max="15" width="18.140625" customWidth="1"/>
  </cols>
  <sheetData>
    <row r="1" spans="1:15" x14ac:dyDescent="0.25">
      <c r="A1" s="12" t="s">
        <v>84</v>
      </c>
    </row>
    <row r="3" spans="1:15" ht="15" customHeight="1" x14ac:dyDescent="0.25">
      <c r="A3" s="77" t="s">
        <v>39</v>
      </c>
      <c r="B3" s="1" t="s">
        <v>9</v>
      </c>
      <c r="C3" s="1" t="s">
        <v>10</v>
      </c>
      <c r="D3" s="1" t="s">
        <v>11</v>
      </c>
      <c r="E3" s="1" t="s">
        <v>40</v>
      </c>
      <c r="F3" s="1" t="s">
        <v>13</v>
      </c>
      <c r="G3" s="1" t="s">
        <v>14</v>
      </c>
      <c r="H3" s="1" t="s">
        <v>15</v>
      </c>
      <c r="I3" s="1" t="s">
        <v>41</v>
      </c>
    </row>
    <row r="4" spans="1:15" ht="64.5" thickBot="1" x14ac:dyDescent="0.3">
      <c r="A4" s="77"/>
      <c r="B4" s="1" t="s">
        <v>42</v>
      </c>
      <c r="C4" s="1" t="s">
        <v>43</v>
      </c>
      <c r="D4" s="1" t="s">
        <v>44</v>
      </c>
      <c r="E4" s="1" t="s">
        <v>45</v>
      </c>
      <c r="F4" s="1" t="s">
        <v>46</v>
      </c>
      <c r="G4" s="1" t="s">
        <v>47</v>
      </c>
      <c r="H4" s="1" t="s">
        <v>48</v>
      </c>
      <c r="I4" s="1" t="s">
        <v>49</v>
      </c>
      <c r="L4" s="18"/>
    </row>
    <row r="5" spans="1:15" ht="15.75" thickBot="1" x14ac:dyDescent="0.3">
      <c r="A5" s="61" t="s">
        <v>134</v>
      </c>
      <c r="B5" s="62"/>
      <c r="C5" s="62"/>
      <c r="D5" s="62"/>
      <c r="E5" s="62"/>
      <c r="F5" s="2"/>
      <c r="G5" s="2"/>
      <c r="H5" s="2"/>
      <c r="I5" s="3"/>
      <c r="K5" s="85" t="s">
        <v>28</v>
      </c>
      <c r="L5" s="86"/>
    </row>
    <row r="6" spans="1:15" x14ac:dyDescent="0.25">
      <c r="A6" s="64" t="s">
        <v>26</v>
      </c>
      <c r="B6" s="62"/>
      <c r="C6" s="62"/>
      <c r="D6" s="62"/>
      <c r="E6" s="62"/>
      <c r="F6" s="2"/>
      <c r="G6" s="2"/>
      <c r="H6" s="2"/>
      <c r="I6" s="14"/>
      <c r="K6" s="32" t="s">
        <v>50</v>
      </c>
      <c r="L6" s="36">
        <v>76.912000000000006</v>
      </c>
    </row>
    <row r="7" spans="1:15" ht="15.75" x14ac:dyDescent="0.25">
      <c r="A7" s="65" t="s">
        <v>135</v>
      </c>
      <c r="B7" s="62">
        <v>24</v>
      </c>
      <c r="C7" s="62">
        <v>1</v>
      </c>
      <c r="D7" s="62">
        <f>B7*C7</f>
        <v>24</v>
      </c>
      <c r="E7" s="62">
        <f>Respondents!$B$8</f>
        <v>0.33</v>
      </c>
      <c r="F7" s="69">
        <f t="shared" ref="F7:F15" si="0">+D7*E7</f>
        <v>7.92</v>
      </c>
      <c r="G7" s="69">
        <f t="shared" ref="G7:G15" si="1">+F7*0.05</f>
        <v>0.39600000000000002</v>
      </c>
      <c r="H7" s="69">
        <f t="shared" ref="H7:H15" si="2">+F7*0.1</f>
        <v>0.79200000000000004</v>
      </c>
      <c r="I7" s="14">
        <f t="shared" ref="I7:I15" si="3">+$L$7*F7+$L$6*G7+$L$8*H7</f>
        <v>506.924352</v>
      </c>
      <c r="K7" s="32" t="s">
        <v>51</v>
      </c>
      <c r="L7" s="36">
        <v>57.072000000000003</v>
      </c>
      <c r="M7" s="19"/>
      <c r="O7" s="20"/>
    </row>
    <row r="8" spans="1:15" ht="16.5" thickBot="1" x14ac:dyDescent="0.3">
      <c r="A8" s="65" t="s">
        <v>136</v>
      </c>
      <c r="B8" s="62">
        <v>24</v>
      </c>
      <c r="C8" s="62">
        <v>0.2</v>
      </c>
      <c r="D8" s="62">
        <f>B8*C8</f>
        <v>4.8000000000000007</v>
      </c>
      <c r="E8" s="62">
        <f>Respondents!$B$8</f>
        <v>0.33</v>
      </c>
      <c r="F8" s="69">
        <f t="shared" si="0"/>
        <v>1.5840000000000003</v>
      </c>
      <c r="G8" s="69">
        <f t="shared" si="1"/>
        <v>7.920000000000002E-2</v>
      </c>
      <c r="H8" s="69">
        <f t="shared" si="2"/>
        <v>0.15840000000000004</v>
      </c>
      <c r="I8" s="14">
        <f t="shared" si="3"/>
        <v>101.38487040000003</v>
      </c>
      <c r="K8" s="34" t="s">
        <v>52</v>
      </c>
      <c r="L8" s="37">
        <v>30.88</v>
      </c>
      <c r="M8" s="19"/>
      <c r="O8" s="20"/>
    </row>
    <row r="9" spans="1:15" x14ac:dyDescent="0.25">
      <c r="A9" s="61" t="s">
        <v>137</v>
      </c>
      <c r="B9" s="62"/>
      <c r="C9" s="62"/>
      <c r="D9" s="62"/>
      <c r="E9" s="62"/>
      <c r="F9" s="69"/>
      <c r="G9" s="69"/>
      <c r="H9" s="69"/>
      <c r="I9" s="14"/>
    </row>
    <row r="10" spans="1:15" x14ac:dyDescent="0.25">
      <c r="A10" s="64" t="s">
        <v>26</v>
      </c>
      <c r="B10" s="62"/>
      <c r="C10" s="62"/>
      <c r="D10" s="62"/>
      <c r="E10" s="62"/>
      <c r="F10" s="69"/>
      <c r="G10" s="69"/>
      <c r="H10" s="69"/>
      <c r="I10" s="14"/>
    </row>
    <row r="11" spans="1:15" ht="15.75" x14ac:dyDescent="0.25">
      <c r="A11" s="65" t="s">
        <v>138</v>
      </c>
      <c r="B11" s="62">
        <v>2</v>
      </c>
      <c r="C11" s="62">
        <v>1</v>
      </c>
      <c r="D11" s="62">
        <f>B11*C11</f>
        <v>2</v>
      </c>
      <c r="E11" s="62">
        <f>Respondents!$B$8</f>
        <v>0.33</v>
      </c>
      <c r="F11" s="69">
        <f t="shared" si="0"/>
        <v>0.66</v>
      </c>
      <c r="G11" s="69">
        <f t="shared" si="1"/>
        <v>3.3000000000000002E-2</v>
      </c>
      <c r="H11" s="69">
        <f t="shared" si="2"/>
        <v>6.6000000000000003E-2</v>
      </c>
      <c r="I11" s="14">
        <f>+$L$7*F11+$L$6*G11+$L$8*H11</f>
        <v>42.243696000000007</v>
      </c>
    </row>
    <row r="12" spans="1:15" ht="15.75" x14ac:dyDescent="0.25">
      <c r="A12" s="65" t="s">
        <v>139</v>
      </c>
      <c r="B12" s="62">
        <v>0.5</v>
      </c>
      <c r="C12" s="62">
        <v>1</v>
      </c>
      <c r="D12" s="62">
        <f>B12*C12</f>
        <v>0.5</v>
      </c>
      <c r="E12" s="62">
        <f>Respondents!$B$8</f>
        <v>0.33</v>
      </c>
      <c r="F12" s="69">
        <f t="shared" ref="F12" si="4">+D12*E12</f>
        <v>0.16500000000000001</v>
      </c>
      <c r="G12" s="69">
        <f t="shared" ref="G12" si="5">+F12*0.05</f>
        <v>8.2500000000000004E-3</v>
      </c>
      <c r="H12" s="69">
        <f t="shared" ref="H12" si="6">+F12*0.1</f>
        <v>1.6500000000000001E-2</v>
      </c>
      <c r="I12" s="14">
        <f t="shared" si="3"/>
        <v>10.560924000000002</v>
      </c>
    </row>
    <row r="13" spans="1:15" ht="15.75" x14ac:dyDescent="0.25">
      <c r="A13" s="65" t="s">
        <v>140</v>
      </c>
      <c r="B13" s="62">
        <v>0.5</v>
      </c>
      <c r="C13" s="62">
        <v>1</v>
      </c>
      <c r="D13" s="62">
        <f>B13*C13</f>
        <v>0.5</v>
      </c>
      <c r="E13" s="62">
        <f>Respondents!$B$8</f>
        <v>0.33</v>
      </c>
      <c r="F13" s="69">
        <f t="shared" ref="F13" si="7">+D13*E13</f>
        <v>0.16500000000000001</v>
      </c>
      <c r="G13" s="69">
        <f t="shared" ref="G13" si="8">+F13*0.05</f>
        <v>8.2500000000000004E-3</v>
      </c>
      <c r="H13" s="69">
        <f t="shared" ref="H13" si="9">+F13*0.1</f>
        <v>1.6500000000000001E-2</v>
      </c>
      <c r="I13" s="14">
        <f t="shared" ref="I13" si="10">+$L$7*F13+$L$6*G13+$L$8*H13</f>
        <v>10.560924000000002</v>
      </c>
    </row>
    <row r="14" spans="1:15" ht="15.75" x14ac:dyDescent="0.25">
      <c r="A14" s="65" t="s">
        <v>141</v>
      </c>
      <c r="B14" s="62">
        <v>0.5</v>
      </c>
      <c r="C14" s="62">
        <v>1.2</v>
      </c>
      <c r="D14" s="62">
        <f>B14*C14</f>
        <v>0.6</v>
      </c>
      <c r="E14" s="62">
        <f>Respondents!$B$8</f>
        <v>0.33</v>
      </c>
      <c r="F14" s="69">
        <f t="shared" si="0"/>
        <v>0.19800000000000001</v>
      </c>
      <c r="G14" s="69">
        <f t="shared" si="1"/>
        <v>9.9000000000000008E-3</v>
      </c>
      <c r="H14" s="69">
        <f t="shared" si="2"/>
        <v>1.9800000000000002E-2</v>
      </c>
      <c r="I14" s="14">
        <f t="shared" si="3"/>
        <v>12.673108800000001</v>
      </c>
    </row>
    <row r="15" spans="1:15" ht="15.75" x14ac:dyDescent="0.25">
      <c r="A15" s="65" t="s">
        <v>142</v>
      </c>
      <c r="B15" s="62">
        <v>0.5</v>
      </c>
      <c r="C15" s="62">
        <v>1.2</v>
      </c>
      <c r="D15" s="62">
        <f>B15*C15</f>
        <v>0.6</v>
      </c>
      <c r="E15" s="62">
        <f>Respondents!$B$8</f>
        <v>0.33</v>
      </c>
      <c r="F15" s="69">
        <f t="shared" si="0"/>
        <v>0.19800000000000001</v>
      </c>
      <c r="G15" s="69">
        <f t="shared" si="1"/>
        <v>9.9000000000000008E-3</v>
      </c>
      <c r="H15" s="69">
        <f t="shared" si="2"/>
        <v>1.9800000000000002E-2</v>
      </c>
      <c r="I15" s="14">
        <f t="shared" si="3"/>
        <v>12.673108800000001</v>
      </c>
    </row>
    <row r="16" spans="1:15" x14ac:dyDescent="0.25">
      <c r="A16" s="64" t="s">
        <v>27</v>
      </c>
      <c r="B16" s="62"/>
      <c r="C16" s="62"/>
      <c r="D16" s="62"/>
      <c r="E16" s="62"/>
      <c r="F16" s="69"/>
      <c r="G16" s="69"/>
      <c r="H16" s="69"/>
      <c r="I16" s="14"/>
    </row>
    <row r="17" spans="1:13" ht="15.75" x14ac:dyDescent="0.25">
      <c r="A17" s="65" t="s">
        <v>143</v>
      </c>
      <c r="B17" s="62">
        <v>2</v>
      </c>
      <c r="C17" s="62">
        <v>2</v>
      </c>
      <c r="D17" s="62">
        <f>B17*C17</f>
        <v>4</v>
      </c>
      <c r="E17" s="68">
        <f>Respondents!F8</f>
        <v>42.66</v>
      </c>
      <c r="F17" s="29">
        <f t="shared" ref="F17" si="11">+D17*E17</f>
        <v>170.64</v>
      </c>
      <c r="G17" s="29">
        <f t="shared" ref="G17" si="12">+F17*0.05</f>
        <v>8.532</v>
      </c>
      <c r="H17" s="29">
        <f t="shared" ref="H17" si="13">+F17*0.1</f>
        <v>17.064</v>
      </c>
      <c r="I17" s="14">
        <f>+$L$7*F17+$L$6*G17+$L$8*H17</f>
        <v>10921.915584</v>
      </c>
    </row>
    <row r="18" spans="1:13" ht="15.75" x14ac:dyDescent="0.25">
      <c r="A18" s="7" t="s">
        <v>151</v>
      </c>
      <c r="B18" s="13"/>
      <c r="C18" s="13"/>
      <c r="D18" s="13"/>
      <c r="E18" s="13"/>
      <c r="F18" s="87">
        <f>ROUND(SUM(F5:H17),0)</f>
        <v>209</v>
      </c>
      <c r="G18" s="87"/>
      <c r="H18" s="87"/>
      <c r="I18" s="8">
        <f>ROUND(SUM(I5:I17),-1)</f>
        <v>11620</v>
      </c>
    </row>
    <row r="20" spans="1:13" x14ac:dyDescent="0.25">
      <c r="A20" s="10" t="s">
        <v>37</v>
      </c>
    </row>
    <row r="21" spans="1:13" ht="15.75" x14ac:dyDescent="0.25">
      <c r="A21" s="88" t="s">
        <v>133</v>
      </c>
      <c r="B21" s="88"/>
      <c r="C21" s="88"/>
      <c r="D21" s="88"/>
      <c r="E21" s="88"/>
      <c r="F21" s="88"/>
      <c r="G21" s="88"/>
      <c r="H21" s="88"/>
      <c r="I21" s="88"/>
      <c r="M21" s="47"/>
    </row>
    <row r="22" spans="1:13" ht="62.25" customHeight="1" x14ac:dyDescent="0.25">
      <c r="A22" s="83" t="s">
        <v>54</v>
      </c>
      <c r="B22" s="84"/>
      <c r="C22" s="84"/>
      <c r="D22" s="84"/>
      <c r="E22" s="84"/>
      <c r="F22" s="84"/>
      <c r="G22" s="84"/>
      <c r="H22" s="84"/>
      <c r="I22" s="84"/>
      <c r="M22" s="47"/>
    </row>
    <row r="23" spans="1:13" ht="15.75" x14ac:dyDescent="0.25">
      <c r="A23" s="70" t="s">
        <v>125</v>
      </c>
      <c r="B23" s="70"/>
      <c r="C23" s="70"/>
      <c r="D23" s="70"/>
      <c r="E23" s="70"/>
      <c r="F23" s="70"/>
      <c r="G23" s="70"/>
      <c r="H23" s="70"/>
      <c r="I23" s="70"/>
      <c r="M23" s="47"/>
    </row>
    <row r="24" spans="1:13" ht="15.75" x14ac:dyDescent="0.25">
      <c r="A24" s="70" t="s">
        <v>126</v>
      </c>
      <c r="B24" s="70"/>
      <c r="C24" s="70"/>
      <c r="D24" s="70"/>
      <c r="E24" s="70"/>
      <c r="F24" s="70"/>
      <c r="G24" s="70"/>
      <c r="H24" s="70"/>
      <c r="I24" s="70"/>
    </row>
    <row r="25" spans="1:13" ht="15.75" x14ac:dyDescent="0.25">
      <c r="A25" s="70" t="s">
        <v>127</v>
      </c>
      <c r="B25" s="70"/>
      <c r="C25" s="70"/>
      <c r="D25" s="70"/>
      <c r="E25" s="70"/>
      <c r="F25" s="70"/>
      <c r="G25" s="70"/>
      <c r="H25" s="70"/>
      <c r="I25" s="70"/>
    </row>
    <row r="26" spans="1:13" ht="15.75" x14ac:dyDescent="0.25">
      <c r="A26" s="70" t="s">
        <v>128</v>
      </c>
      <c r="B26" s="70"/>
      <c r="C26" s="70"/>
      <c r="D26" s="70"/>
      <c r="E26" s="70"/>
      <c r="F26" s="70"/>
      <c r="G26" s="70"/>
      <c r="H26" s="70"/>
      <c r="I26" s="70"/>
    </row>
    <row r="27" spans="1:13" ht="15.75" x14ac:dyDescent="0.25">
      <c r="A27" s="70" t="s">
        <v>129</v>
      </c>
      <c r="B27" s="70"/>
      <c r="C27" s="70"/>
      <c r="D27" s="70"/>
      <c r="E27" s="70"/>
      <c r="F27" s="70"/>
      <c r="G27" s="70"/>
      <c r="H27" s="70"/>
      <c r="I27" s="70"/>
    </row>
    <row r="28" spans="1:13" ht="15.75" x14ac:dyDescent="0.25">
      <c r="A28" s="70" t="s">
        <v>130</v>
      </c>
      <c r="B28" s="70"/>
      <c r="C28" s="70"/>
      <c r="D28" s="70"/>
      <c r="E28" s="70"/>
      <c r="F28" s="70"/>
      <c r="G28" s="70"/>
      <c r="H28" s="70"/>
      <c r="I28" s="70"/>
    </row>
    <row r="29" spans="1:13" ht="15.75" x14ac:dyDescent="0.25">
      <c r="A29" s="70" t="s">
        <v>131</v>
      </c>
      <c r="B29" s="70"/>
      <c r="C29" s="70"/>
      <c r="D29" s="70"/>
      <c r="E29" s="70"/>
      <c r="F29" s="70"/>
      <c r="G29" s="70"/>
      <c r="H29" s="70"/>
      <c r="I29" s="70"/>
    </row>
    <row r="30" spans="1:13" ht="15.75" x14ac:dyDescent="0.25">
      <c r="A30" s="70" t="s">
        <v>132</v>
      </c>
      <c r="B30" s="70"/>
      <c r="C30" s="70"/>
      <c r="D30" s="70"/>
      <c r="E30" s="70"/>
      <c r="F30" s="70"/>
      <c r="G30" s="70"/>
      <c r="H30" s="70"/>
      <c r="I30" s="70"/>
    </row>
    <row r="31" spans="1:13" ht="15.75" x14ac:dyDescent="0.25">
      <c r="A31" s="70" t="s">
        <v>124</v>
      </c>
      <c r="B31" s="70"/>
      <c r="C31" s="70"/>
      <c r="D31" s="70"/>
      <c r="E31" s="70"/>
      <c r="F31" s="70"/>
      <c r="G31" s="70"/>
      <c r="H31" s="70"/>
      <c r="I31" s="70"/>
    </row>
  </sheetData>
  <mergeCells count="5">
    <mergeCell ref="K5:L5"/>
    <mergeCell ref="F18:H18"/>
    <mergeCell ref="A3:A4"/>
    <mergeCell ref="A21:I21"/>
    <mergeCell ref="A22:I2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P7"/>
  <sheetViews>
    <sheetView workbookViewId="0">
      <selection activeCell="A12" sqref="A12"/>
    </sheetView>
  </sheetViews>
  <sheetFormatPr defaultRowHeight="15" x14ac:dyDescent="0.2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8" max="8" width="1.5703125" customWidth="1"/>
    <col min="9" max="9" width="9.140625" bestFit="1" customWidth="1"/>
    <col min="11" max="11" width="16.28515625" customWidth="1"/>
  </cols>
  <sheetData>
    <row r="1" spans="1:16" ht="15.75" x14ac:dyDescent="0.25">
      <c r="A1" s="89" t="s">
        <v>55</v>
      </c>
      <c r="B1" s="89"/>
      <c r="C1" s="89"/>
      <c r="D1" s="89"/>
      <c r="E1" s="89"/>
      <c r="F1" s="89"/>
      <c r="G1" s="89"/>
      <c r="H1" s="57"/>
      <c r="I1" s="23"/>
      <c r="J1" s="23"/>
      <c r="K1" s="23"/>
      <c r="L1" s="23"/>
      <c r="M1" s="23"/>
      <c r="N1" s="23"/>
      <c r="O1" s="23"/>
      <c r="P1" s="23"/>
    </row>
    <row r="2" spans="1:16" x14ac:dyDescent="0.25">
      <c r="A2" s="26" t="s">
        <v>56</v>
      </c>
      <c r="B2" s="26" t="s">
        <v>57</v>
      </c>
      <c r="C2" s="26" t="s">
        <v>58</v>
      </c>
      <c r="D2" s="26" t="s">
        <v>12</v>
      </c>
      <c r="E2" s="26" t="s">
        <v>59</v>
      </c>
      <c r="F2" s="26" t="s">
        <v>14</v>
      </c>
      <c r="G2" s="26" t="s">
        <v>15</v>
      </c>
      <c r="H2" s="58"/>
      <c r="I2" s="23"/>
      <c r="J2" s="23"/>
      <c r="K2" s="23"/>
      <c r="L2" s="23"/>
      <c r="M2" s="23"/>
      <c r="N2" s="23"/>
      <c r="O2" s="23"/>
      <c r="P2" s="23"/>
    </row>
    <row r="3" spans="1:16" ht="38.25" x14ac:dyDescent="0.25">
      <c r="A3" s="26" t="s">
        <v>60</v>
      </c>
      <c r="B3" s="26" t="s">
        <v>61</v>
      </c>
      <c r="C3" s="26" t="s">
        <v>62</v>
      </c>
      <c r="D3" s="26" t="s">
        <v>63</v>
      </c>
      <c r="E3" s="26" t="s">
        <v>64</v>
      </c>
      <c r="F3" s="26" t="s">
        <v>65</v>
      </c>
      <c r="G3" s="26" t="s">
        <v>66</v>
      </c>
      <c r="H3" s="58"/>
      <c r="I3" s="23"/>
      <c r="J3" s="23"/>
      <c r="K3" s="23"/>
      <c r="L3" s="23"/>
      <c r="M3" s="23"/>
      <c r="N3" s="23"/>
      <c r="O3" s="23"/>
      <c r="P3" s="23"/>
    </row>
    <row r="4" spans="1:16" ht="29.25" thickBot="1" x14ac:dyDescent="0.3">
      <c r="A4" s="52" t="s">
        <v>144</v>
      </c>
      <c r="B4" s="71">
        <f>20000/L4*L5</f>
        <v>31873.498799039233</v>
      </c>
      <c r="C4" s="72">
        <f>Respondents!B8</f>
        <v>0.33</v>
      </c>
      <c r="D4" s="73">
        <f>B4*C4</f>
        <v>10518.254603682948</v>
      </c>
      <c r="E4" s="73">
        <f>9000/L4*L5</f>
        <v>14343.074459567653</v>
      </c>
      <c r="F4" s="74">
        <f>Respondents!F8</f>
        <v>42.66</v>
      </c>
      <c r="G4" s="73">
        <f>E4*F4</f>
        <v>611875.55644515599</v>
      </c>
      <c r="H4" s="59"/>
      <c r="I4" s="23"/>
      <c r="J4" s="23"/>
      <c r="K4" s="23" t="s">
        <v>87</v>
      </c>
      <c r="L4" s="23">
        <v>499.6</v>
      </c>
      <c r="M4" s="23"/>
      <c r="N4" s="23"/>
      <c r="O4" s="23"/>
      <c r="P4" s="23"/>
    </row>
    <row r="5" spans="1:16" ht="16.5" thickBot="1" x14ac:dyDescent="0.3">
      <c r="A5" s="25" t="s">
        <v>145</v>
      </c>
      <c r="B5" s="26"/>
      <c r="C5" s="26"/>
      <c r="D5" s="75">
        <f>ROUND(SUM(D4:D4),-2)</f>
        <v>10500</v>
      </c>
      <c r="E5" s="26"/>
      <c r="F5" s="26"/>
      <c r="G5" s="75">
        <f>ROUND(SUM(G4:G4),-3)</f>
        <v>612000</v>
      </c>
      <c r="H5" s="60"/>
      <c r="I5" s="56">
        <f>ROUND(D5+G5,-3)</f>
        <v>623000</v>
      </c>
      <c r="J5" s="23"/>
      <c r="K5" s="23" t="s">
        <v>88</v>
      </c>
      <c r="L5" s="23">
        <v>796.2</v>
      </c>
      <c r="M5" s="23"/>
      <c r="N5" s="23"/>
      <c r="O5" s="23"/>
      <c r="P5" s="23"/>
    </row>
    <row r="6" spans="1:16" ht="16.5" x14ac:dyDescent="0.25">
      <c r="A6" s="91" t="s">
        <v>147</v>
      </c>
      <c r="B6" s="91"/>
      <c r="C6" s="91"/>
      <c r="D6" s="91"/>
      <c r="E6" s="91"/>
      <c r="F6" s="91"/>
      <c r="G6" s="91"/>
      <c r="H6" s="48"/>
      <c r="I6" s="28"/>
      <c r="J6" s="23"/>
      <c r="K6" s="23"/>
      <c r="L6" s="23"/>
      <c r="M6" s="23"/>
      <c r="N6" s="23"/>
      <c r="O6" s="23"/>
      <c r="P6" s="23"/>
    </row>
    <row r="7" spans="1:16" x14ac:dyDescent="0.25">
      <c r="A7" s="90" t="s">
        <v>146</v>
      </c>
      <c r="B7" s="90"/>
      <c r="C7" s="90"/>
      <c r="D7" s="90"/>
      <c r="E7" s="90"/>
      <c r="F7" s="90"/>
      <c r="G7" s="90"/>
    </row>
  </sheetData>
  <mergeCells count="3">
    <mergeCell ref="A1:G1"/>
    <mergeCell ref="A7:G7"/>
    <mergeCell ref="A6:G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B18" sqref="B18"/>
    </sheetView>
  </sheetViews>
  <sheetFormatPr defaultRowHeight="15" x14ac:dyDescent="0.2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x14ac:dyDescent="0.25">
      <c r="A1" s="89" t="s">
        <v>2</v>
      </c>
      <c r="B1" s="89"/>
      <c r="C1" s="89"/>
      <c r="D1" s="89"/>
      <c r="E1" s="89"/>
      <c r="F1" s="89"/>
    </row>
    <row r="2" spans="1:6" ht="25.5" x14ac:dyDescent="0.25">
      <c r="A2" s="24"/>
      <c r="B2" s="92" t="s">
        <v>67</v>
      </c>
      <c r="C2" s="92"/>
      <c r="D2" s="25" t="s">
        <v>68</v>
      </c>
      <c r="E2" s="25"/>
      <c r="F2" s="25"/>
    </row>
    <row r="3" spans="1:6" x14ac:dyDescent="0.25">
      <c r="A3" s="25"/>
      <c r="B3" s="26" t="s">
        <v>56</v>
      </c>
      <c r="C3" s="26" t="s">
        <v>57</v>
      </c>
      <c r="D3" s="26" t="s">
        <v>58</v>
      </c>
      <c r="E3" s="26" t="s">
        <v>12</v>
      </c>
      <c r="F3" s="26" t="s">
        <v>59</v>
      </c>
    </row>
    <row r="4" spans="1:6" ht="51" x14ac:dyDescent="0.25">
      <c r="A4" s="26" t="s">
        <v>69</v>
      </c>
      <c r="B4" s="25" t="s">
        <v>70</v>
      </c>
      <c r="C4" s="25" t="s">
        <v>71</v>
      </c>
      <c r="D4" s="25" t="s">
        <v>72</v>
      </c>
      <c r="E4" s="25" t="s">
        <v>73</v>
      </c>
      <c r="F4" s="25" t="s">
        <v>74</v>
      </c>
    </row>
    <row r="5" spans="1:6" x14ac:dyDescent="0.25">
      <c r="A5" s="26">
        <v>1</v>
      </c>
      <c r="B5" s="27">
        <v>0.33</v>
      </c>
      <c r="C5" s="55">
        <v>42</v>
      </c>
      <c r="D5" s="26">
        <v>0</v>
      </c>
      <c r="E5" s="26">
        <v>0</v>
      </c>
      <c r="F5" s="54">
        <f>B5+C5+D5-E5</f>
        <v>42.33</v>
      </c>
    </row>
    <row r="6" spans="1:6" x14ac:dyDescent="0.25">
      <c r="A6" s="26">
        <v>2</v>
      </c>
      <c r="B6" s="27">
        <v>0.33</v>
      </c>
      <c r="C6" s="54">
        <f>F5</f>
        <v>42.33</v>
      </c>
      <c r="D6" s="26">
        <v>0</v>
      </c>
      <c r="E6" s="26">
        <v>0</v>
      </c>
      <c r="F6" s="54">
        <f t="shared" ref="F6:F7" si="0">B6+C6+D6-E6</f>
        <v>42.66</v>
      </c>
    </row>
    <row r="7" spans="1:6" x14ac:dyDescent="0.25">
      <c r="A7" s="26">
        <v>3</v>
      </c>
      <c r="B7" s="27">
        <v>0.33</v>
      </c>
      <c r="C7" s="54">
        <f>F6</f>
        <v>42.66</v>
      </c>
      <c r="D7" s="26">
        <v>0</v>
      </c>
      <c r="E7" s="26">
        <v>0</v>
      </c>
      <c r="F7" s="54">
        <f t="shared" si="0"/>
        <v>42.989999999999995</v>
      </c>
    </row>
    <row r="8" spans="1:6" x14ac:dyDescent="0.25">
      <c r="A8" s="25" t="s">
        <v>75</v>
      </c>
      <c r="B8" s="26">
        <f>AVERAGE(B5:B7)</f>
        <v>0.33</v>
      </c>
      <c r="C8" s="54">
        <f>AVERAGE(C5:C7)</f>
        <v>42.33</v>
      </c>
      <c r="D8" s="26">
        <f t="shared" ref="D8:E8" si="1">AVERAGE(D5:D7)</f>
        <v>0</v>
      </c>
      <c r="E8" s="26">
        <f t="shared" si="1"/>
        <v>0</v>
      </c>
      <c r="F8" s="54">
        <f>AVERAGE(F5:F7)</f>
        <v>42.66</v>
      </c>
    </row>
    <row r="9" spans="1:6" ht="15.75" x14ac:dyDescent="0.25">
      <c r="A9" s="93" t="s">
        <v>76</v>
      </c>
      <c r="B9" s="93"/>
      <c r="C9" s="93"/>
      <c r="D9" s="93"/>
      <c r="E9" s="93"/>
      <c r="F9" s="93"/>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7"/>
  <sheetViews>
    <sheetView workbookViewId="0">
      <selection activeCell="B14" sqref="B14"/>
    </sheetView>
  </sheetViews>
  <sheetFormatPr defaultColWidth="13.7109375" defaultRowHeight="12.75" x14ac:dyDescent="0.2"/>
  <cols>
    <col min="1" max="1" width="19.28515625" style="23" customWidth="1"/>
    <col min="2" max="8" width="13.7109375" style="23"/>
    <col min="9" max="9" width="25.7109375" style="23" customWidth="1"/>
    <col min="10" max="11" width="13.7109375" style="23"/>
    <col min="12" max="12" width="15.7109375" style="23" customWidth="1"/>
    <col min="13" max="16384" width="13.7109375" style="23"/>
  </cols>
  <sheetData>
    <row r="1" spans="1:5" ht="15.75" x14ac:dyDescent="0.2">
      <c r="A1" s="89" t="s">
        <v>77</v>
      </c>
      <c r="B1" s="89"/>
      <c r="C1" s="89"/>
      <c r="D1" s="89"/>
      <c r="E1" s="89"/>
    </row>
    <row r="2" spans="1:5" x14ac:dyDescent="0.2">
      <c r="A2" s="26" t="s">
        <v>56</v>
      </c>
      <c r="B2" s="26" t="s">
        <v>57</v>
      </c>
      <c r="C2" s="26" t="s">
        <v>58</v>
      </c>
      <c r="D2" s="26" t="s">
        <v>12</v>
      </c>
      <c r="E2" s="26" t="s">
        <v>59</v>
      </c>
    </row>
    <row r="3" spans="1:5" ht="89.25" x14ac:dyDescent="0.2">
      <c r="A3" s="26" t="s">
        <v>78</v>
      </c>
      <c r="B3" s="26" t="s">
        <v>2</v>
      </c>
      <c r="C3" s="26" t="s">
        <v>79</v>
      </c>
      <c r="D3" s="26" t="s">
        <v>80</v>
      </c>
      <c r="E3" s="26" t="s">
        <v>81</v>
      </c>
    </row>
    <row r="4" spans="1:5" ht="38.25" x14ac:dyDescent="0.2">
      <c r="A4" s="50" t="s">
        <v>85</v>
      </c>
      <c r="B4" s="27">
        <f>Respondents!B8</f>
        <v>0.33</v>
      </c>
      <c r="C4" s="27">
        <v>1</v>
      </c>
      <c r="D4" s="27">
        <v>0</v>
      </c>
      <c r="E4" s="27">
        <f>+B4*C4</f>
        <v>0.33</v>
      </c>
    </row>
    <row r="5" spans="1:5" ht="25.5" x14ac:dyDescent="0.2">
      <c r="A5" s="50" t="s">
        <v>53</v>
      </c>
      <c r="B5" s="27">
        <f>Respondents!B8</f>
        <v>0.33</v>
      </c>
      <c r="C5" s="27">
        <v>1.2</v>
      </c>
      <c r="D5" s="27">
        <v>0</v>
      </c>
      <c r="E5" s="51">
        <f>+B5*C5</f>
        <v>0.39600000000000002</v>
      </c>
    </row>
    <row r="6" spans="1:5" ht="26.25" customHeight="1" x14ac:dyDescent="0.2">
      <c r="A6" s="52" t="s">
        <v>86</v>
      </c>
      <c r="B6" s="53">
        <f>Respondents!F8</f>
        <v>42.66</v>
      </c>
      <c r="C6" s="27">
        <v>2</v>
      </c>
      <c r="D6" s="27">
        <v>0</v>
      </c>
      <c r="E6" s="53">
        <f>+B6*C6</f>
        <v>85.32</v>
      </c>
    </row>
    <row r="7" spans="1:5" ht="15" customHeight="1" x14ac:dyDescent="0.2">
      <c r="A7" s="25"/>
      <c r="B7" s="26"/>
      <c r="C7" s="94" t="s">
        <v>82</v>
      </c>
      <c r="D7" s="95"/>
      <c r="E7" s="1">
        <f>ROUND(SUM(E4:E6),0)</f>
        <v>86</v>
      </c>
    </row>
  </sheetData>
  <mergeCells count="2">
    <mergeCell ref="C7:D7"/>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2025-04-14T13:46:54+00:00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2.xml><?xml version="1.0" encoding="utf-8"?>
<ds:datastoreItem xmlns:ds="http://schemas.openxmlformats.org/officeDocument/2006/customXml" ds:itemID="{65197D7F-46AD-4252-8B11-875E351DD6F1}"/>
</file>

<file path=customXml/itemProps3.xml><?xml version="1.0" encoding="utf-8"?>
<ds:datastoreItem xmlns:ds="http://schemas.openxmlformats.org/officeDocument/2006/customXml" ds:itemID="{606AD44F-093B-43E7-BBCD-BD58E4C9F56F}">
  <ds:schemaRefs>
    <ds:schemaRef ds:uri="http://schemas.microsoft.com/office/2006/documentManagement/types"/>
    <ds:schemaRef ds:uri="http://purl.org/dc/terms/"/>
    <ds:schemaRef ds:uri="1891fcec-84c2-4840-9468-b51a784ab0d1"/>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4d6aed1e-57d3-46e3-9aba-f706adbce63b"/>
    <ds:schemaRef ds:uri="http://purl.org/dc/elements/1.1/"/>
  </ds:schemaRefs>
</ds:datastoreItem>
</file>

<file path=customXml/itemProps4.xml><?xml version="1.0" encoding="utf-8"?>
<ds:datastoreItem xmlns:ds="http://schemas.openxmlformats.org/officeDocument/2006/customXml" ds:itemID="{5128701C-747E-4389-B1F5-82A2846174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2'!OLE_LINK1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ERG</cp:lastModifiedBy>
  <cp:revision/>
  <dcterms:created xsi:type="dcterms:W3CDTF">2017-05-01T19:56:52Z</dcterms:created>
  <dcterms:modified xsi:type="dcterms:W3CDTF">2025-04-03T15:57:33Z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