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SENOCH\Downloads\2437.06\send to EPA\"/>
    </mc:Choice>
  </mc:AlternateContent>
  <xr:revisionPtr revIDLastSave="0" documentId="13_ncr:1_{B41F257D-D1A1-428E-B890-6CBA76CA7C8F}" xr6:coauthVersionLast="47" xr6:coauthVersionMax="47" xr10:uidLastSave="{00000000-0000-0000-0000-000000000000}"/>
  <bookViews>
    <workbookView xWindow="22932" yWindow="-108" windowWidth="23256" windowHeight="12456" xr2:uid="{00000000-000D-0000-FFFF-FFFF00000000}"/>
  </bookViews>
  <sheets>
    <sheet name="Summary" sheetId="7" r:id="rId1"/>
    <sheet name="Table 1" sheetId="1" r:id="rId2"/>
    <sheet name="Table 2" sheetId="3" r:id="rId3"/>
    <sheet name="Capital O&amp;M" sheetId="6" r:id="rId4"/>
    <sheet name="Respondents" sheetId="4" r:id="rId5"/>
    <sheet name="Responses" sheetId="5" r:id="rId6"/>
  </sheets>
  <definedNames>
    <definedName name="OLE_LINK1" localSheetId="2">'Table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F23" i="5"/>
  <c r="F19" i="5"/>
  <c r="C12" i="5"/>
  <c r="C11" i="5"/>
  <c r="F5" i="6"/>
  <c r="C5" i="6"/>
  <c r="F6" i="6"/>
  <c r="J40" i="1"/>
  <c r="G40" i="1"/>
  <c r="G39" i="1"/>
  <c r="G27" i="1"/>
  <c r="J15" i="3"/>
  <c r="G20" i="3"/>
  <c r="F33" i="1"/>
  <c r="F32" i="1"/>
  <c r="F26" i="1"/>
  <c r="F23" i="1"/>
  <c r="F20" i="1"/>
  <c r="F19" i="1"/>
  <c r="F7" i="6" l="1"/>
  <c r="B3" i="7" l="1"/>
  <c r="G7" i="4" l="1"/>
  <c r="G7" i="6" l="1"/>
  <c r="F13" i="1"/>
  <c r="F14" i="3" l="1"/>
  <c r="F12" i="5"/>
  <c r="E5" i="6"/>
  <c r="E8" i="6" s="1"/>
  <c r="C14" i="5"/>
  <c r="F14" i="5" s="1"/>
  <c r="C16" i="5"/>
  <c r="F16" i="5" s="1"/>
  <c r="D11" i="3"/>
  <c r="E11" i="3" s="1"/>
  <c r="D13" i="3"/>
  <c r="E13" i="3" s="1"/>
  <c r="D14" i="3"/>
  <c r="E14" i="3" s="1"/>
  <c r="D12" i="3"/>
  <c r="E12" i="3" s="1"/>
  <c r="D15" i="3"/>
  <c r="E15" i="3" s="1"/>
  <c r="F15" i="3"/>
  <c r="D16" i="3"/>
  <c r="E16" i="3" s="1"/>
  <c r="D17" i="3"/>
  <c r="E17" i="3" s="1"/>
  <c r="D19" i="3"/>
  <c r="E19" i="3" s="1"/>
  <c r="D7" i="3"/>
  <c r="E7" i="3" s="1"/>
  <c r="D8" i="3"/>
  <c r="E8" i="3" s="1"/>
  <c r="D9" i="3"/>
  <c r="E9" i="3" s="1"/>
  <c r="D6" i="3"/>
  <c r="E32" i="1"/>
  <c r="E24" i="1"/>
  <c r="G24" i="1" s="1"/>
  <c r="H24" i="1" s="1"/>
  <c r="E23" i="1"/>
  <c r="E22" i="1"/>
  <c r="G22" i="1" s="1"/>
  <c r="E19" i="1"/>
  <c r="F14" i="1"/>
  <c r="E14" i="1"/>
  <c r="E26" i="1"/>
  <c r="C18" i="5"/>
  <c r="F18" i="5" s="1"/>
  <c r="E13" i="1"/>
  <c r="E21" i="1"/>
  <c r="E20" i="1"/>
  <c r="C10" i="5"/>
  <c r="F10" i="5" s="1"/>
  <c r="G15" i="3" l="1"/>
  <c r="H15" i="3" s="1"/>
  <c r="F12" i="3"/>
  <c r="G12" i="3" s="1"/>
  <c r="H5" i="6"/>
  <c r="C15" i="5"/>
  <c r="F15" i="5" s="1"/>
  <c r="F9" i="3"/>
  <c r="G9" i="3" s="1"/>
  <c r="C8" i="5"/>
  <c r="F8" i="5" s="1"/>
  <c r="C13" i="5"/>
  <c r="F13" i="5" s="1"/>
  <c r="F13" i="3"/>
  <c r="G13" i="3" s="1"/>
  <c r="H13" i="3" s="1"/>
  <c r="H6" i="6"/>
  <c r="F11" i="3"/>
  <c r="G11" i="3" s="1"/>
  <c r="H11" i="3" s="1"/>
  <c r="F8" i="3"/>
  <c r="G8" i="3" s="1"/>
  <c r="H8" i="3" s="1"/>
  <c r="C7" i="5"/>
  <c r="F7" i="5" s="1"/>
  <c r="F19" i="3"/>
  <c r="G19" i="3" s="1"/>
  <c r="H19" i="3" s="1"/>
  <c r="F17" i="3"/>
  <c r="G17" i="3" s="1"/>
  <c r="F11" i="5"/>
  <c r="G14" i="3"/>
  <c r="H14" i="3" s="1"/>
  <c r="G32" i="1"/>
  <c r="I24" i="1"/>
  <c r="J24" i="1" s="1"/>
  <c r="H22" i="1"/>
  <c r="I22" i="1"/>
  <c r="G14" i="1"/>
  <c r="H14" i="1" s="1"/>
  <c r="G21" i="1"/>
  <c r="H21" i="1" s="1"/>
  <c r="G19" i="1"/>
  <c r="I19" i="1" s="1"/>
  <c r="G26" i="1"/>
  <c r="I26" i="1" s="1"/>
  <c r="G13" i="1"/>
  <c r="H13" i="1" s="1"/>
  <c r="G20" i="1"/>
  <c r="H20" i="1" s="1"/>
  <c r="E11" i="1"/>
  <c r="E9" i="1"/>
  <c r="E18" i="1"/>
  <c r="G18" i="1" s="1"/>
  <c r="H18" i="1" s="1"/>
  <c r="E6" i="3"/>
  <c r="H9" i="3" l="1"/>
  <c r="H12" i="3"/>
  <c r="I15" i="3"/>
  <c r="I32" i="1"/>
  <c r="I14" i="3"/>
  <c r="J14" i="3" s="1"/>
  <c r="I13" i="3"/>
  <c r="J13" i="3" s="1"/>
  <c r="C6" i="5"/>
  <c r="F6" i="5" s="1"/>
  <c r="F7" i="3"/>
  <c r="G7" i="3" s="1"/>
  <c r="C5" i="5"/>
  <c r="F5" i="5" s="1"/>
  <c r="F6" i="3"/>
  <c r="G6" i="3" s="1"/>
  <c r="H17" i="3"/>
  <c r="I17" i="3"/>
  <c r="I11" i="3"/>
  <c r="J11" i="3" s="1"/>
  <c r="I19" i="3"/>
  <c r="J19" i="3" s="1"/>
  <c r="G23" i="1"/>
  <c r="I23" i="1" s="1"/>
  <c r="I12" i="3"/>
  <c r="F16" i="3"/>
  <c r="G16" i="3" s="1"/>
  <c r="H16" i="3" s="1"/>
  <c r="I9" i="3"/>
  <c r="J9" i="3" s="1"/>
  <c r="I8" i="3"/>
  <c r="J8" i="3" s="1"/>
  <c r="H32" i="1"/>
  <c r="J22" i="1"/>
  <c r="I14" i="1"/>
  <c r="J14" i="1" s="1"/>
  <c r="I21" i="1"/>
  <c r="J21" i="1" s="1"/>
  <c r="H19" i="1"/>
  <c r="J19" i="1" s="1"/>
  <c r="I20" i="1"/>
  <c r="J20" i="1" s="1"/>
  <c r="I13" i="1"/>
  <c r="J13" i="1" s="1"/>
  <c r="H26" i="1"/>
  <c r="J26" i="1" s="1"/>
  <c r="I18" i="1"/>
  <c r="J18" i="1" s="1"/>
  <c r="G11" i="1"/>
  <c r="H11" i="1" s="1"/>
  <c r="J12" i="3" l="1"/>
  <c r="J32" i="1"/>
  <c r="H6" i="3"/>
  <c r="I6" i="3"/>
  <c r="H7" i="3"/>
  <c r="I7" i="3"/>
  <c r="J17" i="3"/>
  <c r="H23" i="1"/>
  <c r="J23" i="1" s="1"/>
  <c r="I16" i="3"/>
  <c r="J16" i="3" s="1"/>
  <c r="I11" i="1"/>
  <c r="J11" i="1" s="1"/>
  <c r="J7" i="3" l="1"/>
  <c r="J6" i="3"/>
  <c r="E33" i="1"/>
  <c r="G33" i="1" s="1"/>
  <c r="E12" i="1"/>
  <c r="G12" i="1" s="1"/>
  <c r="J20" i="3" l="1"/>
  <c r="H33" i="1"/>
  <c r="I33" i="1"/>
  <c r="H12" i="1"/>
  <c r="I12" i="1"/>
  <c r="J33" i="1" l="1"/>
  <c r="J39" i="1" s="1"/>
  <c r="J12" i="1"/>
  <c r="H7" i="6" l="1"/>
  <c r="B6" i="7" s="1"/>
  <c r="J41" i="1" l="1"/>
  <c r="J42" i="1" s="1"/>
  <c r="F10" i="4"/>
  <c r="E10" i="4"/>
  <c r="C8" i="4" l="1"/>
  <c r="C9" i="4" l="1"/>
  <c r="C10" i="4" s="1"/>
  <c r="M18" i="1" s="1"/>
  <c r="D8" i="4" l="1"/>
  <c r="M13" i="1" l="1"/>
  <c r="G8" i="4"/>
  <c r="F9" i="1" l="1"/>
  <c r="G9" i="1" s="1"/>
  <c r="D9" i="4"/>
  <c r="I9" i="1"/>
  <c r="H9" i="1"/>
  <c r="B4" i="7" l="1"/>
  <c r="B2" i="7"/>
  <c r="J9" i="1"/>
  <c r="J27" i="1" s="1"/>
  <c r="B5" i="7" s="1"/>
  <c r="G9" i="4"/>
  <c r="G10" i="4" s="1"/>
  <c r="D10" i="4"/>
</calcChain>
</file>

<file path=xl/sharedStrings.xml><?xml version="1.0" encoding="utf-8"?>
<sst xmlns="http://schemas.openxmlformats.org/spreadsheetml/2006/main" count="223" uniqueCount="184">
  <si>
    <t>ICR Summary Information</t>
  </si>
  <si>
    <t>Hours Per Response</t>
  </si>
  <si>
    <t>Number of Respondents</t>
  </si>
  <si>
    <t>Total Estimated Burden Hours</t>
  </si>
  <si>
    <t>Total Estimated Costs</t>
  </si>
  <si>
    <t>Annualized Capital O&amp;M</t>
  </si>
  <si>
    <t>Form Number</t>
  </si>
  <si>
    <t>Not Applicable</t>
  </si>
  <si>
    <t>Table 1: Annual Respondent Burden and Cost – NSPS for Oil and Natural Gas Production and Natural Gas Transmission and Distribution (40 CFR Part 60, Subpart OOOO) (Renewal)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</si>
  <si>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</si>
  <si>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</si>
  <si>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</si>
  <si>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</si>
  <si>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</si>
  <si>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</si>
  <si>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</si>
  <si>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</si>
  <si>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</si>
  <si>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</si>
  <si>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</si>
  <si>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</si>
  <si>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</si>
  <si>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</si>
  <si>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</si>
  <si>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</si>
  <si>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</si>
  <si>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1. Applications</t>
  </si>
  <si>
    <t>N/A</t>
  </si>
  <si>
    <t>Labor Rates:</t>
  </si>
  <si>
    <t>2. Survey and Studies</t>
  </si>
  <si>
    <t>Management</t>
  </si>
  <si>
    <t>3. Acquisition, installation, and utilization of technology and systems</t>
  </si>
  <si>
    <t>Technical</t>
  </si>
  <si>
    <t>4. Report requirements</t>
  </si>
  <si>
    <t>Clerical</t>
  </si>
  <si>
    <r>
      <t xml:space="preserve">a. Familiarization with the rule requirements </t>
    </r>
    <r>
      <rPr>
        <vertAlign val="superscript"/>
        <sz val="10"/>
        <rFont val="Times New Roman"/>
        <family val="1"/>
      </rPr>
      <t>c</t>
    </r>
  </si>
  <si>
    <t>b. Required activities</t>
  </si>
  <si>
    <r>
      <t xml:space="preserve">i. Notification of gas well completion </t>
    </r>
    <r>
      <rPr>
        <vertAlign val="superscript"/>
        <sz val="10"/>
        <rFont val="Times New Roman"/>
        <family val="1"/>
      </rPr>
      <t>d</t>
    </r>
  </si>
  <si>
    <r>
      <t xml:space="preserve">ii. Notification of gas well recompletion </t>
    </r>
    <r>
      <rPr>
        <vertAlign val="superscript"/>
        <sz val="10"/>
        <rFont val="Times New Roman"/>
        <family val="1"/>
      </rPr>
      <t>d</t>
    </r>
  </si>
  <si>
    <t>Source Type</t>
  </si>
  <si>
    <t>No.</t>
  </si>
  <si>
    <r>
      <t xml:space="preserve">iii. Notification of new gas processing plant </t>
    </r>
    <r>
      <rPr>
        <vertAlign val="superscript"/>
        <sz val="10"/>
        <rFont val="Times New Roman"/>
        <family val="1"/>
      </rPr>
      <t>e</t>
    </r>
  </si>
  <si>
    <t>Existing</t>
  </si>
  <si>
    <r>
      <t xml:space="preserve">iv. Notification of new sweetening unit </t>
    </r>
    <r>
      <rPr>
        <vertAlign val="superscript"/>
        <sz val="10"/>
        <rFont val="Times New Roman"/>
        <family val="1"/>
      </rPr>
      <t>f</t>
    </r>
  </si>
  <si>
    <t>Exploration/production</t>
  </si>
  <si>
    <t>c. Create information</t>
  </si>
  <si>
    <t>See 4B</t>
  </si>
  <si>
    <t>Transmission/storage</t>
  </si>
  <si>
    <t>d. Gather existing information</t>
  </si>
  <si>
    <t>See 4E</t>
  </si>
  <si>
    <t>Processing plants</t>
  </si>
  <si>
    <t>e. Annual reports</t>
  </si>
  <si>
    <t>Sweetening units</t>
  </si>
  <si>
    <r>
      <t xml:space="preserve">i. Gas well completion/recompletion </t>
    </r>
    <r>
      <rPr>
        <vertAlign val="superscript"/>
        <sz val="10"/>
        <rFont val="Times New Roman"/>
        <family val="1"/>
      </rPr>
      <t>d</t>
    </r>
  </si>
  <si>
    <t>New</t>
  </si>
  <si>
    <r>
      <t xml:space="preserve">ii. Sweetening unit </t>
    </r>
    <r>
      <rPr>
        <vertAlign val="superscript"/>
        <sz val="10"/>
        <rFont val="Times New Roman"/>
        <family val="1"/>
      </rPr>
      <t>f</t>
    </r>
  </si>
  <si>
    <r>
      <t xml:space="preserve">iii. Centrifugal compressor </t>
    </r>
    <r>
      <rPr>
        <vertAlign val="superscript"/>
        <sz val="10"/>
        <rFont val="Times New Roman"/>
        <family val="1"/>
      </rPr>
      <t>g</t>
    </r>
  </si>
  <si>
    <r>
      <t xml:space="preserve">iv. Reciprocating compressor </t>
    </r>
    <r>
      <rPr>
        <vertAlign val="superscript"/>
        <sz val="10"/>
        <rFont val="Times New Roman"/>
        <family val="1"/>
      </rPr>
      <t>h</t>
    </r>
  </si>
  <si>
    <r>
      <t xml:space="preserve">v. Production pneumatic controller </t>
    </r>
    <r>
      <rPr>
        <vertAlign val="superscript"/>
        <sz val="10"/>
        <rFont val="Times New Roman"/>
        <family val="1"/>
      </rPr>
      <t>i</t>
    </r>
  </si>
  <si>
    <r>
      <t xml:space="preserve">vi. Gas processing pneumatic controller </t>
    </r>
    <r>
      <rPr>
        <vertAlign val="superscript"/>
        <sz val="10"/>
        <rFont val="Times New Roman"/>
        <family val="1"/>
      </rPr>
      <t>j</t>
    </r>
  </si>
  <si>
    <r>
      <t xml:space="preserve">vii. Storage vessel </t>
    </r>
    <r>
      <rPr>
        <vertAlign val="superscript"/>
        <sz val="10"/>
        <rFont val="Times New Roman"/>
        <family val="1"/>
      </rPr>
      <t>k</t>
    </r>
  </si>
  <si>
    <t>f. Semiannual reports</t>
  </si>
  <si>
    <r>
      <t xml:space="preserve">i. Gas processing plant </t>
    </r>
    <r>
      <rPr>
        <vertAlign val="superscript"/>
        <sz val="10"/>
        <rFont val="Times New Roman"/>
        <family val="1"/>
      </rPr>
      <t>l</t>
    </r>
  </si>
  <si>
    <t>Reporting Subtotal</t>
  </si>
  <si>
    <t>5. Recordkeeping requirements</t>
  </si>
  <si>
    <t>a. Read instructions</t>
  </si>
  <si>
    <t>See 4A</t>
  </si>
  <si>
    <t>b. Plan activities</t>
  </si>
  <si>
    <t>c. Implement activities</t>
  </si>
  <si>
    <r>
      <t xml:space="preserve">i. Filing and maintaining records </t>
    </r>
    <r>
      <rPr>
        <vertAlign val="superscript"/>
        <sz val="10"/>
        <rFont val="Times New Roman"/>
        <family val="1"/>
      </rPr>
      <t>m</t>
    </r>
  </si>
  <si>
    <r>
      <t xml:space="preserve">ii. Filing and maintaining records </t>
    </r>
    <r>
      <rPr>
        <vertAlign val="superscript"/>
        <sz val="10"/>
        <rFont val="Times New Roman"/>
        <family val="1"/>
      </rPr>
      <t>n</t>
    </r>
  </si>
  <si>
    <t>d. Record data</t>
  </si>
  <si>
    <t>e. Time to transmit or disclose information</t>
  </si>
  <si>
    <t>i. Records required by standards</t>
  </si>
  <si>
    <t>See 5C</t>
  </si>
  <si>
    <t>f. Time to train personnel</t>
  </si>
  <si>
    <t>g. Time for audits</t>
  </si>
  <si>
    <t>Recordkeeping Subtotal</t>
  </si>
  <si>
    <r>
      <t xml:space="preserve">TOTAL LABOR BURDEN AND COST (rounded) </t>
    </r>
    <r>
      <rPr>
        <b/>
        <vertAlign val="superscript"/>
        <sz val="10"/>
        <rFont val="Times New Roman"/>
        <family val="1"/>
      </rPr>
      <t>o</t>
    </r>
  </si>
  <si>
    <r>
      <t xml:space="preserve">TOTAL CAPITAL AND O&amp;M COST (rounded) </t>
    </r>
    <r>
      <rPr>
        <b/>
        <vertAlign val="superscript"/>
        <sz val="10"/>
        <rFont val="Times New Roman"/>
        <family val="1"/>
      </rPr>
      <t>o</t>
    </r>
  </si>
  <si>
    <r>
      <t xml:space="preserve">GRAND TOTAL (rounded) </t>
    </r>
    <r>
      <rPr>
        <b/>
        <vertAlign val="superscript"/>
        <sz val="10"/>
        <rFont val="Times New Roman"/>
        <family val="1"/>
      </rPr>
      <t>o</t>
    </r>
  </si>
  <si>
    <t>N/A - Not Applicable</t>
  </si>
  <si>
    <t xml:space="preserve"> </t>
  </si>
  <si>
    <t>b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</si>
  <si>
    <t>c  This burden represents the time existing respondents spend re-familiarizing themselves with rule requirements, or that new respondents spend learning rule requirements.</t>
  </si>
  <si>
    <t>o Totals have been rounded to 3 significant figures. Figures may not add exactly due to rounding.</t>
  </si>
  <si>
    <t>Table 2: Average Annual EPA Burden and Cost – NSPS for Oil and Natural Gas Production and Natural Gas Transmission and Distribution (40 CFR Part 60, Subpart OOOO) (Renewal)</t>
  </si>
  <si>
    <t>EPA
person-hours
per occurrence</t>
  </si>
  <si>
    <t>EPA
person-hours
per respondent
per year (AxB)</t>
  </si>
  <si>
    <t>Technical hours
per year
(CxD)</t>
  </si>
  <si>
    <t>Management
hours per year
(Ex0.05)</t>
  </si>
  <si>
    <r>
      <t xml:space="preserve">Review initial notifications </t>
    </r>
    <r>
      <rPr>
        <vertAlign val="superscript"/>
        <sz val="10"/>
        <rFont val="Times New Roman"/>
        <family val="1"/>
      </rPr>
      <t>c</t>
    </r>
  </si>
  <si>
    <t>i. Notification of gas well completion</t>
  </si>
  <si>
    <t>ii. Notification of gas well recompletion</t>
  </si>
  <si>
    <t>iii. Notification of new gas processing plant</t>
  </si>
  <si>
    <t>iv. Notification of new sweetening unit</t>
  </si>
  <si>
    <t>Review annual reports</t>
  </si>
  <si>
    <t>i. Gas well completion/recompletion</t>
  </si>
  <si>
    <t>ii. Sweetening unit</t>
  </si>
  <si>
    <t>iii. Centrifugal compressor</t>
  </si>
  <si>
    <t>iv. Reciprocating compressor</t>
  </si>
  <si>
    <t>v. Production pneumatic controller</t>
  </si>
  <si>
    <t>vi. Gas processing pneumatic controller</t>
  </si>
  <si>
    <t>vii. Storage vessel</t>
  </si>
  <si>
    <t>Review semiannual reports</t>
  </si>
  <si>
    <t>i. Gas processing plant</t>
  </si>
  <si>
    <r>
      <t xml:space="preserve">TOTAL (rounded) </t>
    </r>
    <r>
      <rPr>
        <b/>
        <vertAlign val="superscript"/>
        <sz val="10"/>
        <rFont val="Times New Roman"/>
        <family val="1"/>
      </rPr>
      <t>c</t>
    </r>
  </si>
  <si>
    <t>Assumptions:</t>
  </si>
  <si>
    <t>b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</si>
  <si>
    <t>d Totals have been rounded to 3 significant figures.  Figures may not add exactly due to rounding.</t>
  </si>
  <si>
    <t>Capital/Startup vs. Operation and Maintenance (O&amp;M) Costs</t>
  </si>
  <si>
    <t>(A)</t>
  </si>
  <si>
    <t>(B)</t>
  </si>
  <si>
    <t>(C)</t>
  </si>
  <si>
    <t>(D)</t>
  </si>
  <si>
    <t>(E)</t>
  </si>
  <si>
    <t>(F)</t>
  </si>
  <si>
    <t>(G)</t>
  </si>
  <si>
    <t>Requirement</t>
  </si>
  <si>
    <t>Number of New Respondents</t>
  </si>
  <si>
    <t>Total Capital/Startup Cost,  (B X C)</t>
  </si>
  <si>
    <t>Number of Respondents  with O&amp;M</t>
  </si>
  <si>
    <t>Total O&amp;M, (E X F)</t>
  </si>
  <si>
    <r>
      <t>SO</t>
    </r>
    <r>
      <rPr>
        <vertAlign val="subscript"/>
        <sz val="10"/>
        <color rgb="FF000000"/>
        <rFont val="Times New Roman"/>
        <family val="1"/>
      </rPr>
      <t>2</t>
    </r>
    <r>
      <rPr>
        <sz val="10"/>
        <color rgb="FF000000"/>
        <rFont val="Times New Roman"/>
        <family val="1"/>
      </rPr>
      <t xml:space="preserve"> CEMS (control outlet)</t>
    </r>
  </si>
  <si>
    <r>
      <t xml:space="preserve">Continuous control device monitoring for centrifugal compressors </t>
    </r>
    <r>
      <rPr>
        <vertAlign val="superscript"/>
        <sz val="10"/>
        <color rgb="FF000000"/>
        <rFont val="Times New Roman"/>
        <family val="1"/>
      </rPr>
      <t>2</t>
    </r>
  </si>
  <si>
    <r>
      <t xml:space="preserve">Continuous control device monitoring for storage vessels </t>
    </r>
    <r>
      <rPr>
        <vertAlign val="superscript"/>
        <sz val="10"/>
        <color rgb="FF000000"/>
        <rFont val="Times New Roman"/>
        <family val="1"/>
      </rPr>
      <t>2</t>
    </r>
  </si>
  <si>
    <t>Total</t>
  </si>
  <si>
    <t>CEM - Continuous Emission Monitoring System</t>
  </si>
  <si>
    <r>
      <t>2</t>
    </r>
    <r>
      <rPr>
        <sz val="10"/>
        <color theme="1"/>
        <rFont val="Times New Roman"/>
        <family val="1"/>
      </rPr>
      <t xml:space="preserve"> Capital/Startup costs for continuous control device monitoring were included in storage vessel and centrifugal compressor control device costs.</t>
    </r>
  </si>
  <si>
    <r>
      <rPr>
        <vertAlign val="superscript"/>
        <sz val="10"/>
        <color rgb="FF000000"/>
        <rFont val="Times New Roman"/>
        <family val="1"/>
      </rPr>
      <t>3</t>
    </r>
    <r>
      <rPr>
        <sz val="10"/>
        <color rgb="FF000000"/>
        <rFont val="Times New Roman"/>
        <family val="1"/>
      </rPr>
      <t xml:space="preserve"> Capital/Startup and Annual O&amp;M costs have been updated from 2012 to 2023 using the CEPCI Index.  </t>
    </r>
  </si>
  <si>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</si>
  <si>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</si>
  <si>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</si>
  <si>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</si>
  <si>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</si>
  <si>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</si>
  <si>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</si>
  <si>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</si>
  <si>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</si>
  <si>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</si>
  <si>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</si>
  <si>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</si>
  <si>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</si>
  <si>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</si>
  <si>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r>
      <t xml:space="preserve">Notifications </t>
    </r>
    <r>
      <rPr>
        <vertAlign val="superscript"/>
        <sz val="10"/>
        <rFont val="Times New Roman"/>
        <family val="1"/>
      </rPr>
      <t>a</t>
    </r>
  </si>
  <si>
    <t>Gas well completion</t>
  </si>
  <si>
    <t>Gas well recompletion</t>
  </si>
  <si>
    <t>New gas processing plant</t>
  </si>
  <si>
    <t>New sweetening unit</t>
  </si>
  <si>
    <t>Annual reports</t>
  </si>
  <si>
    <t>Gas well completion/recompletion</t>
  </si>
  <si>
    <t>Sweetening unit</t>
  </si>
  <si>
    <t>Centrifugal compressor</t>
  </si>
  <si>
    <t>Reciprocating compressor</t>
  </si>
  <si>
    <t>Production pneumatic controller</t>
  </si>
  <si>
    <t>Gas processing pneumatic controller</t>
  </si>
  <si>
    <t>Storage vessel</t>
  </si>
  <si>
    <t>Semiannual reports</t>
  </si>
  <si>
    <t>Gas processing plant</t>
  </si>
  <si>
    <t>Footnotes:</t>
  </si>
  <si>
    <t>a  These notifications are initial notifications for sources constructed, modified or re-contructed after August 2011 and prior to September 2015.</t>
  </si>
  <si>
    <t>hrs/response:</t>
  </si>
  <si>
    <r>
      <t>1</t>
    </r>
    <r>
      <rPr>
        <sz val="10"/>
        <color rgb="FF000000"/>
        <rFont val="Times New Roman"/>
        <family val="1"/>
      </rPr>
      <t xml:space="preserve"> Annual O&amp;M costs for centrifugal compressors and storage vessels were calculated assuming 2 hours per month at $141.75 per hour.</t>
    </r>
  </si>
  <si>
    <t>Updated using ratios from previous ICR.</t>
  </si>
  <si>
    <t>i EPA estimates 10,678 pneumatic controllers across the 235 exploration &amp; production sites. EPA estimates that all 235 sites will experience one reportable deviation per year.</t>
  </si>
  <si>
    <t>j EPA estimates an average of 47 existing and no new pneumatic controllers at affected processing plants. EPA estimates that 75% of those pneumatic controllers will experience one reportable deviation per year.</t>
  </si>
  <si>
    <t>k EPA estimates an average of 238 existing and no new respondents in the production, processing, transmission, or storage segment will submit annual reports.  EPA anticipates each report will cover approximately four storage vessels, based on research the Agency conducted during initial rule development.</t>
  </si>
  <si>
    <t>l EPA estimates an average of 91 existing and no new gas processing plants. EPA estimates that 75% of those plants will experience one reportable deviation per year.</t>
  </si>
  <si>
    <t>m Activity applies to exploration &amp; production businesses and transmission &amp; storage operations, for which EPA estimates an average of 235 and 107 sources, respectively.</t>
  </si>
  <si>
    <t>n Activity applies to gas processing plants and sweetening units.  EPA estimates an average of 91 existing processing plants and 9 existing sweetening units.</t>
  </si>
  <si>
    <t>a  EPA estimates an average of 417 existing sources and no new sources will be subject to the standard over the next three years. Existing sources comprise 235 exploration and production businesses, 107 transmission and storage operations, 91 processing plants and 9 sweetening units.  This number is expected to decrease over time as sources are modified or retired from service.</t>
  </si>
  <si>
    <t>c Initial notification is required for these source categories that commenced construction, modification or reconstruction after August 23, 2011, and on or before September 18, 2015. New gas wells or gas wells constructed, modified, or reconstructed after September 18, 2015 and on or before December 6, 2022 are subject to 40 CFR 60, Subpart OOOOa. Facilities that commence construction, modification, or reconstruction after December 6, 2022 are subject to 40 CFR 60, Subpart OOOOb</t>
  </si>
  <si>
    <t>d Initial notification and annual reporting for completions and recompletions is required for gas wells that commenced construction, modification or reconstruction after August 23, 2011, and on or before September 18, 2015. New gas wells or gas wells modified after September 18, 2015 and on or before December 6, 2022 are subject to 40 CFR 60, Subpart OOOOa. Facilities that commence construction, modification, or reconstruction after December 6, 2022 are subject to 40 CFR 60, Subpart OOOOb.</t>
  </si>
  <si>
    <t>e Processing plants that commenced construction, modification or reconstruction after September 18, 2015 and on or before December 6, 2022 are subject to 40 CFR 60, Subpart OOOOa. Facilities that commence construction, modification, or reconstruction after December 6, 2022 are subject to 40 CFR 60, Subpart OOOOb.</t>
  </si>
  <si>
    <t>g EPA estimates an average of 41 existing and no new centrifugal compressors equipped with wet seals at processing plants. EPA estimates that 75% of those centrifugal compressors will experience one reportable deviation per year. Centrifugal compressors equipped with wet seals at processing plants that commenced construction, modification or reconstruction after September 18, 2015 and on or before December 6, 2022 are subject to 40 CFR 60, Subpart OOOOa. Facilities that commence construction, modification, or reconstruction after December 6, 2022 are subject to 40 CFR 60, Subpart OOOOb.</t>
  </si>
  <si>
    <t>f EPA estimates an average of 9 existing sweetening units and no new sweetening units. EPA estimates that 75% of those sweetening units will experience one reportable deviation per year. Sweetening units that commenced construction, modification or reconstruction after September 18, 2015 and on or before December 6, 2022 are subject to 40 CFR 60, Subpart OOOOa. Facilities that commence construction, modification, or reconstruction after December 6, 2022 are subject to 40 CFR 60, Subpart OOOOb.</t>
  </si>
  <si>
    <t>h EPA estimates an average of 1,314 existing and no new reciprocating compressors.  New reciprocating compressors that commenced construction, modification or reconstruction after September 18, 2015 and on or before December 6, 2022 are subject to 40 CFR 60, Subpart OOOOa. Facilities that commence construction, modification, or reconstruction after December 6, 2022 are subject to 40 CFR 60, Subpart OOOOb.</t>
  </si>
  <si>
    <r>
      <t xml:space="preserve">Capital/Startup Cost for One Respondent </t>
    </r>
    <r>
      <rPr>
        <vertAlign val="superscript"/>
        <sz val="10"/>
        <color rgb="FF000000"/>
        <rFont val="Times New Roman"/>
        <family val="1"/>
      </rPr>
      <t>3</t>
    </r>
  </si>
  <si>
    <r>
      <t xml:space="preserve">Annual O&amp;M Costs for One Respondent </t>
    </r>
    <r>
      <rPr>
        <vertAlign val="superscript"/>
        <sz val="10"/>
        <color rgb="FF000000"/>
        <rFont val="Times New Roman"/>
        <family val="1"/>
      </rPr>
      <t>1, 3</t>
    </r>
  </si>
  <si>
    <r>
      <t xml:space="preserve">Total (rounded) </t>
    </r>
    <r>
      <rPr>
        <vertAlign val="superscript"/>
        <sz val="10"/>
        <color rgb="FF000000"/>
        <rFont val="Times New Roman"/>
        <family val="1"/>
      </rPr>
      <t>4</t>
    </r>
  </si>
  <si>
    <r>
      <rPr>
        <vertAlign val="superscript"/>
        <sz val="10"/>
        <color theme="1"/>
        <rFont val="Times New Roman"/>
        <family val="1"/>
      </rPr>
      <t>4</t>
    </r>
    <r>
      <rPr>
        <sz val="10"/>
        <color theme="1"/>
        <rFont val="Times New Roman"/>
        <family val="1"/>
      </rPr>
      <t xml:space="preserve"> Totals have been rounded to 3 significant figures. Figures may not add exactly due to rounding.</t>
    </r>
  </si>
  <si>
    <r>
      <t>1</t>
    </r>
    <r>
      <rPr>
        <sz val="10"/>
        <color theme="1"/>
        <rFont val="Times New Roman"/>
        <family val="1"/>
      </rPr>
      <t xml:space="preserve"> New respondents include sources with constructed, reconstructed, and modified affected facilities. Facilities that commence construction, modification, or reconstruction after September 18, 2015 and on or before December 6, 2022 are subject to 40 CFR 60, Subpart OOOOa. Facilities that commence construction, modification, or reconstruction after December 6, 2022 are subject to 40 CFR 60, Subpart OOOOb.</t>
    </r>
  </si>
  <si>
    <t>CEPCI Index 2012</t>
  </si>
  <si>
    <t>CEPCI Index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</si>
</sst>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0.0"/>
    <numFmt numFmtId="166" formatCode="0.0"/>
    <numFmt numFmtId="167" formatCode="&quot;$&quot;#,##0"/>
  </numFmts>
  <fonts count="31"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vertAlign val="superscript"/>
      <sz val="10"/>
      <color rgb="FF000000"/>
      <name val="Times New Roman"/>
      <family val="1"/>
    </font>
    <font>
      <i/>
      <sz val="10"/>
      <color theme="1"/>
      <name val="Times New Roman"/>
      <family val="1"/>
    </font>
    <font>
      <i/>
      <sz val="10"/>
      <color theme="1"/>
      <name val="Arial"/>
      <family val="2"/>
    </font>
    <font>
      <sz val="10"/>
      <name val="Arial"/>
      <family val="2"/>
    </font>
    <font>
      <vertAlign val="subscript"/>
      <sz val="10"/>
      <color rgb="FF000000"/>
      <name val="Times New Roman"/>
      <family val="1"/>
    </font>
    <font>
      <sz val="11"/>
      <color theme="1"/>
      <name val="Calibri"/>
      <family val="2"/>
      <scheme val="minor"/>
    </font>
    <font>
      <sz val="11"/>
      <color rgb="FFFF0000"/>
      <name val="Calibri"/>
      <family val="2"/>
      <scheme val="minor"/>
    </font>
    <font>
      <sz val="11"/>
      <color rgb="FFFF0000"/>
      <name val="Times New Roman"/>
      <family val="1"/>
    </font>
    <font>
      <sz val="10"/>
      <color rgb="FFFF0000"/>
      <name val="Times New Roman"/>
      <family val="1"/>
    </font>
    <font>
      <sz val="10"/>
      <color rgb="FFFF0000"/>
      <name val="Arial"/>
      <family val="2"/>
    </font>
    <font>
      <b/>
      <sz val="11"/>
      <color rgb="FF000000"/>
      <name val="Times New Roman"/>
      <family val="1"/>
    </font>
    <font>
      <sz val="11"/>
      <color theme="1"/>
      <name val="Times New Roman"/>
      <family val="1"/>
    </font>
    <font>
      <vertAlign val="superscript"/>
      <sz val="10"/>
      <color rgb="FF000000"/>
      <name val="Times New Roman"/>
      <family val="1"/>
    </font>
    <font>
      <b/>
      <sz val="10"/>
      <color rgb="FFFF000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7" fillId="0" borderId="0"/>
    <xf numFmtId="44" fontId="22" fillId="0" borderId="0" applyFont="0" applyFill="0" applyBorder="0" applyAlignment="0" applyProtection="0"/>
  </cellStyleXfs>
  <cellXfs count="145">
    <xf numFmtId="0" fontId="0" fillId="0" borderId="0" xfId="0"/>
    <xf numFmtId="0" fontId="1" fillId="0" borderId="0" xfId="0" applyFont="1"/>
    <xf numFmtId="0" fontId="3" fillId="0" borderId="0" xfId="0" applyFont="1"/>
    <xf numFmtId="0" fontId="4" fillId="0" borderId="0" xfId="0" applyFont="1"/>
    <xf numFmtId="4" fontId="3" fillId="0" borderId="0" xfId="0" applyNumberFormat="1" applyFont="1"/>
    <xf numFmtId="0" fontId="5" fillId="0" borderId="2" xfId="0" applyFont="1" applyBorder="1" applyAlignment="1">
      <alignment horizontal="center"/>
    </xf>
    <xf numFmtId="4" fontId="5" fillId="0" borderId="2" xfId="0" applyNumberFormat="1" applyFont="1" applyBorder="1" applyAlignment="1">
      <alignment horizontal="center"/>
    </xf>
    <xf numFmtId="0" fontId="3" fillId="0" borderId="0" xfId="0" applyFont="1" applyAlignment="1">
      <alignment wrapText="1"/>
    </xf>
    <xf numFmtId="0" fontId="5" fillId="0" borderId="2" xfId="0" applyFont="1" applyBorder="1" applyAlignment="1">
      <alignment horizontal="center" wrapText="1"/>
    </xf>
    <xf numFmtId="0" fontId="5" fillId="2" borderId="2" xfId="0" applyFont="1" applyFill="1" applyBorder="1"/>
    <xf numFmtId="0" fontId="3" fillId="0" borderId="2" xfId="0" applyFont="1" applyBorder="1"/>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8" fillId="0" borderId="0" xfId="1" applyFont="1" applyAlignment="1">
      <alignment horizontal="center" vertical="top" wrapText="1"/>
    </xf>
    <xf numFmtId="0" fontId="11" fillId="0" borderId="2" xfId="1" applyFont="1" applyBorder="1" applyAlignment="1">
      <alignment horizontal="center" vertical="top" wrapText="1"/>
    </xf>
    <xf numFmtId="0" fontId="11" fillId="0" borderId="0" xfId="1" applyFont="1" applyAlignment="1">
      <alignment horizontal="center" vertical="top" wrapText="1"/>
    </xf>
    <xf numFmtId="0" fontId="9" fillId="0" borderId="0" xfId="1" applyFont="1" applyAlignment="1">
      <alignment horizontal="center" vertical="top" wrapText="1"/>
    </xf>
    <xf numFmtId="3" fontId="5" fillId="0" borderId="0" xfId="0" applyNumberFormat="1" applyFont="1" applyAlignment="1">
      <alignment horizontal="center" vertical="top" wrapText="1"/>
    </xf>
    <xf numFmtId="3" fontId="5" fillId="0" borderId="0" xfId="0" applyNumberFormat="1" applyFont="1" applyAlignment="1">
      <alignment horizontal="right" vertical="top" wrapText="1"/>
    </xf>
    <xf numFmtId="0" fontId="3" fillId="0" borderId="0" xfId="0" quotePrefix="1" applyFont="1"/>
    <xf numFmtId="0" fontId="5" fillId="0" borderId="0" xfId="0" applyFont="1" applyAlignment="1">
      <alignment vertical="top" wrapText="1"/>
    </xf>
    <xf numFmtId="0" fontId="5" fillId="0" borderId="2" xfId="0" applyFont="1" applyBorder="1" applyAlignment="1">
      <alignment horizontal="center" vertical="center"/>
    </xf>
    <xf numFmtId="0" fontId="3" fillId="0" borderId="0" xfId="0" applyFont="1" applyAlignment="1">
      <alignment horizontal="center"/>
    </xf>
    <xf numFmtId="3" fontId="12" fillId="0" borderId="2" xfId="1" applyNumberFormat="1" applyFont="1" applyBorder="1" applyAlignment="1">
      <alignment horizontal="center" vertical="top" wrapText="1"/>
    </xf>
    <xf numFmtId="0" fontId="12" fillId="0" borderId="2" xfId="1" applyFont="1" applyBorder="1" applyAlignment="1">
      <alignment horizontal="center" vertical="top" wrapText="1"/>
    </xf>
    <xf numFmtId="0" fontId="12" fillId="0" borderId="2" xfId="1" applyFont="1" applyBorder="1" applyAlignment="1">
      <alignment vertical="top" wrapText="1"/>
    </xf>
    <xf numFmtId="0" fontId="3" fillId="0" borderId="2" xfId="1" applyFont="1" applyBorder="1" applyAlignment="1">
      <alignment horizontal="center" vertical="top" wrapText="1"/>
    </xf>
    <xf numFmtId="3" fontId="3" fillId="0" borderId="2" xfId="1" applyNumberFormat="1" applyFont="1" applyBorder="1" applyAlignment="1">
      <alignment horizontal="center" vertical="top" wrapText="1"/>
    </xf>
    <xf numFmtId="0" fontId="10" fillId="0" borderId="2" xfId="0" applyFont="1" applyBorder="1" applyAlignment="1">
      <alignment horizontal="center" vertical="top" wrapText="1"/>
    </xf>
    <xf numFmtId="0" fontId="10" fillId="0" borderId="2" xfId="0" applyFont="1" applyBorder="1" applyAlignment="1">
      <alignment vertical="top" wrapText="1"/>
    </xf>
    <xf numFmtId="0" fontId="15" fillId="0" borderId="0" xfId="0" applyFont="1"/>
    <xf numFmtId="0" fontId="13" fillId="0" borderId="0" xfId="0" applyFont="1" applyAlignment="1">
      <alignment horizontal="left"/>
    </xf>
    <xf numFmtId="4" fontId="5" fillId="0" borderId="2" xfId="0" applyNumberFormat="1" applyFont="1" applyBorder="1" applyAlignment="1">
      <alignment horizontal="center" wrapText="1"/>
    </xf>
    <xf numFmtId="0" fontId="18" fillId="0" borderId="0" xfId="1" applyFont="1" applyAlignment="1">
      <alignment horizontal="right"/>
    </xf>
    <xf numFmtId="0" fontId="16"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xf numFmtId="6" fontId="10" fillId="0" borderId="2" xfId="0" applyNumberFormat="1" applyFont="1" applyBorder="1" applyAlignment="1">
      <alignment horizontal="center" vertical="top" wrapText="1"/>
    </xf>
    <xf numFmtId="3" fontId="10" fillId="0" borderId="2" xfId="0" applyNumberFormat="1" applyFont="1" applyBorder="1" applyAlignment="1">
      <alignment horizontal="center" vertical="top" wrapText="1"/>
    </xf>
    <xf numFmtId="6" fontId="10" fillId="0" borderId="2" xfId="0" applyNumberFormat="1" applyFont="1" applyBorder="1" applyAlignment="1">
      <alignment horizontal="center" vertical="top"/>
    </xf>
    <xf numFmtId="0" fontId="10" fillId="0" borderId="0" xfId="0" applyFont="1" applyAlignment="1">
      <alignment vertical="top" wrapText="1"/>
    </xf>
    <xf numFmtId="6" fontId="10" fillId="0" borderId="0" xfId="0" applyNumberFormat="1" applyFont="1" applyAlignment="1">
      <alignment horizontal="center" vertical="top"/>
    </xf>
    <xf numFmtId="3" fontId="10" fillId="0" borderId="0" xfId="0" applyNumberFormat="1" applyFont="1" applyAlignment="1">
      <alignment horizontal="center" vertical="top"/>
    </xf>
    <xf numFmtId="3" fontId="5" fillId="0" borderId="2" xfId="0" applyNumberFormat="1" applyFont="1" applyBorder="1" applyAlignment="1">
      <alignment horizontal="center" vertical="top" wrapText="1"/>
    </xf>
    <xf numFmtId="1" fontId="3" fillId="0" borderId="2" xfId="1" applyNumberFormat="1" applyFont="1" applyBorder="1" applyAlignment="1">
      <alignment horizontal="center" vertical="top" wrapText="1"/>
    </xf>
    <xf numFmtId="1" fontId="10" fillId="0" borderId="2" xfId="0" applyNumberFormat="1" applyFont="1" applyBorder="1" applyAlignment="1">
      <alignment horizontal="center" vertical="top"/>
    </xf>
    <xf numFmtId="1" fontId="9" fillId="0" borderId="0" xfId="1" applyNumberFormat="1" applyFont="1" applyAlignment="1">
      <alignment horizontal="center" vertical="top" wrapText="1"/>
    </xf>
    <xf numFmtId="1" fontId="10" fillId="0" borderId="0" xfId="0" applyNumberFormat="1" applyFont="1" applyAlignment="1">
      <alignment horizontal="center" vertical="top"/>
    </xf>
    <xf numFmtId="0" fontId="20" fillId="0" borderId="0" xfId="1" applyFont="1"/>
    <xf numFmtId="167" fontId="10" fillId="0" borderId="2" xfId="0" applyNumberFormat="1" applyFont="1" applyBorder="1" applyAlignment="1">
      <alignment horizontal="center" vertical="top"/>
    </xf>
    <xf numFmtId="0" fontId="13" fillId="0" borderId="2" xfId="0" applyFont="1" applyBorder="1" applyAlignment="1">
      <alignment horizontal="center" vertical="top" wrapText="1"/>
    </xf>
    <xf numFmtId="0" fontId="5" fillId="0" borderId="2" xfId="0" applyFont="1" applyBorder="1" applyAlignment="1">
      <alignment vertical="top" wrapText="1"/>
    </xf>
    <xf numFmtId="0" fontId="5" fillId="0" borderId="2" xfId="0" applyFont="1" applyBorder="1" applyAlignment="1">
      <alignment horizontal="center" vertical="top" wrapText="1"/>
    </xf>
    <xf numFmtId="0" fontId="3" fillId="0" borderId="2" xfId="0" applyFont="1" applyBorder="1" applyAlignment="1">
      <alignment horizontal="right"/>
    </xf>
    <xf numFmtId="0" fontId="3" fillId="0" borderId="2" xfId="0" applyFont="1" applyBorder="1" applyAlignment="1">
      <alignment horizontal="right" wrapText="1"/>
    </xf>
    <xf numFmtId="0" fontId="5" fillId="0" borderId="2" xfId="0" applyFont="1" applyBorder="1"/>
    <xf numFmtId="1" fontId="5" fillId="0" borderId="2" xfId="0" applyNumberFormat="1" applyFont="1" applyBorder="1"/>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1" fontId="3" fillId="0" borderId="2"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2" xfId="0" applyNumberFormat="1" applyFont="1" applyBorder="1" applyAlignment="1">
      <alignment horizontal="right" vertical="top" wrapText="1"/>
    </xf>
    <xf numFmtId="0" fontId="3" fillId="0" borderId="2" xfId="0" applyFont="1" applyBorder="1" applyAlignment="1">
      <alignment horizontal="left" vertical="top" wrapText="1" indent="1"/>
    </xf>
    <xf numFmtId="165" fontId="3" fillId="0" borderId="2" xfId="0" applyNumberFormat="1" applyFont="1" applyBorder="1" applyAlignment="1">
      <alignment horizontal="center" vertical="top" wrapText="1"/>
    </xf>
    <xf numFmtId="0" fontId="3" fillId="0" borderId="2" xfId="0" applyFont="1" applyBorder="1" applyAlignment="1">
      <alignment vertical="top" wrapText="1"/>
    </xf>
    <xf numFmtId="1" fontId="3" fillId="0" borderId="6" xfId="0" applyNumberFormat="1" applyFont="1" applyBorder="1" applyAlignment="1">
      <alignment horizontal="center" vertical="top" wrapText="1"/>
    </xf>
    <xf numFmtId="0" fontId="3" fillId="0" borderId="2" xfId="0" applyFont="1" applyBorder="1" applyAlignment="1">
      <alignment horizontal="left" vertical="top" wrapText="1" indent="3"/>
    </xf>
    <xf numFmtId="166" fontId="3" fillId="0" borderId="2" xfId="0" applyNumberFormat="1" applyFont="1" applyBorder="1" applyAlignment="1">
      <alignment horizontal="center" vertical="top" wrapText="1"/>
    </xf>
    <xf numFmtId="0" fontId="3" fillId="0" borderId="6" xfId="0" applyFont="1" applyBorder="1" applyAlignment="1">
      <alignment horizontal="center" vertical="top" wrapText="1"/>
    </xf>
    <xf numFmtId="0" fontId="2" fillId="0" borderId="2" xfId="0" applyFont="1" applyBorder="1"/>
    <xf numFmtId="3" fontId="13" fillId="0" borderId="2" xfId="0" applyNumberFormat="1" applyFont="1" applyBorder="1" applyAlignment="1">
      <alignment horizontal="center" vertical="top" wrapText="1"/>
    </xf>
    <xf numFmtId="1" fontId="12" fillId="0" borderId="2" xfId="1" applyNumberFormat="1" applyFont="1" applyBorder="1" applyAlignment="1">
      <alignment horizontal="center" vertical="top" wrapText="1"/>
    </xf>
    <xf numFmtId="0" fontId="3" fillId="0" borderId="0" xfId="0" applyFont="1" applyAlignment="1">
      <alignment horizontal="left" vertical="top"/>
    </xf>
    <xf numFmtId="3" fontId="3" fillId="0" borderId="0" xfId="0" applyNumberFormat="1" applyFont="1"/>
    <xf numFmtId="0" fontId="24" fillId="0" borderId="0" xfId="0" applyFont="1"/>
    <xf numFmtId="0" fontId="23" fillId="0" borderId="0" xfId="0" applyFont="1"/>
    <xf numFmtId="0" fontId="5" fillId="0" borderId="5" xfId="0" applyFont="1" applyBorder="1" applyAlignment="1">
      <alignment vertical="center" wrapText="1"/>
    </xf>
    <xf numFmtId="0" fontId="5" fillId="0" borderId="2" xfId="0" applyFont="1" applyBorder="1" applyAlignment="1">
      <alignment vertical="center" wrapText="1"/>
    </xf>
    <xf numFmtId="167" fontId="5" fillId="0" borderId="2" xfId="0" applyNumberFormat="1" applyFont="1" applyBorder="1" applyAlignment="1">
      <alignment horizontal="right" vertical="center" wrapText="1"/>
    </xf>
    <xf numFmtId="164" fontId="3" fillId="0" borderId="2" xfId="0" applyNumberFormat="1" applyFont="1" applyBorder="1" applyAlignment="1">
      <alignment horizontal="right" vertical="top" wrapText="1"/>
    </xf>
    <xf numFmtId="44" fontId="3" fillId="0" borderId="2" xfId="2" applyFont="1" applyFill="1" applyBorder="1"/>
    <xf numFmtId="0" fontId="25" fillId="0" borderId="0" xfId="0" applyFont="1"/>
    <xf numFmtId="0" fontId="26" fillId="0" borderId="0" xfId="1" applyFont="1"/>
    <xf numFmtId="0" fontId="12" fillId="0" borderId="0" xfId="1" applyFont="1" applyAlignment="1">
      <alignment vertical="top" wrapText="1"/>
    </xf>
    <xf numFmtId="0" fontId="12" fillId="0" borderId="0" xfId="1" applyFont="1" applyAlignment="1">
      <alignment horizontal="center" vertical="top" wrapText="1"/>
    </xf>
    <xf numFmtId="3" fontId="12" fillId="0" borderId="0" xfId="1" applyNumberFormat="1" applyFont="1" applyAlignment="1">
      <alignment horizontal="center" vertical="top" wrapText="1"/>
    </xf>
    <xf numFmtId="167" fontId="3" fillId="0" borderId="2" xfId="0" applyNumberFormat="1" applyFont="1" applyBorder="1" applyAlignment="1">
      <alignment horizontal="right" vertical="top" wrapText="1"/>
    </xf>
    <xf numFmtId="167" fontId="5" fillId="0" borderId="2" xfId="0" applyNumberFormat="1" applyFont="1" applyBorder="1" applyAlignment="1">
      <alignment horizontal="right" vertical="top" wrapText="1"/>
    </xf>
    <xf numFmtId="167" fontId="13" fillId="0" borderId="2" xfId="0" applyNumberFormat="1" applyFont="1" applyBorder="1" applyAlignment="1">
      <alignment horizontal="right" vertical="top" wrapText="1"/>
    </xf>
    <xf numFmtId="167" fontId="3" fillId="0" borderId="2" xfId="0" applyNumberFormat="1" applyFont="1" applyBorder="1"/>
    <xf numFmtId="1" fontId="19" fillId="0" borderId="0" xfId="1" applyNumberFormat="1" applyFont="1"/>
    <xf numFmtId="0" fontId="28" fillId="0" borderId="0" xfId="0" applyFont="1" applyAlignment="1">
      <alignment vertical="center" wrapText="1"/>
    </xf>
    <xf numFmtId="1" fontId="28" fillId="0" borderId="0" xfId="0" applyNumberFormat="1" applyFont="1"/>
    <xf numFmtId="3" fontId="28" fillId="0" borderId="0" xfId="0" applyNumberFormat="1" applyFont="1"/>
    <xf numFmtId="6" fontId="28" fillId="0" borderId="0" xfId="0" applyNumberFormat="1" applyFont="1"/>
    <xf numFmtId="1" fontId="3" fillId="0" borderId="0" xfId="0" applyNumberFormat="1" applyFont="1"/>
    <xf numFmtId="3" fontId="12" fillId="3" borderId="2" xfId="1" applyNumberFormat="1" applyFont="1" applyFill="1" applyBorder="1" applyAlignment="1">
      <alignment horizontal="center" vertical="top" wrapText="1"/>
    </xf>
    <xf numFmtId="1" fontId="12" fillId="3" borderId="2" xfId="1" applyNumberFormat="1" applyFont="1" applyFill="1" applyBorder="1" applyAlignment="1">
      <alignment horizontal="center" vertical="top" wrapText="1"/>
    </xf>
    <xf numFmtId="3" fontId="10" fillId="3" borderId="2" xfId="0" applyNumberFormat="1" applyFont="1" applyFill="1" applyBorder="1" applyAlignment="1">
      <alignment horizontal="center" vertical="top" wrapText="1"/>
    </xf>
    <xf numFmtId="0" fontId="1" fillId="3" borderId="0" xfId="0" applyFont="1" applyFill="1"/>
    <xf numFmtId="0" fontId="16" fillId="0" borderId="0" xfId="0" applyFont="1"/>
    <xf numFmtId="0" fontId="29" fillId="0" borderId="0" xfId="0" applyFont="1"/>
    <xf numFmtId="0" fontId="28" fillId="3" borderId="0" xfId="0" applyFont="1" applyFill="1"/>
    <xf numFmtId="0" fontId="30" fillId="0" borderId="0" xfId="0" applyFont="1"/>
    <xf numFmtId="1" fontId="3" fillId="3" borderId="6" xfId="0" applyNumberFormat="1" applyFont="1" applyFill="1" applyBorder="1" applyAlignment="1">
      <alignment horizontal="center" vertical="top" wrapText="1"/>
    </xf>
    <xf numFmtId="0" fontId="3" fillId="3" borderId="6" xfId="0" applyFont="1" applyFill="1" applyBorder="1" applyAlignment="1">
      <alignment horizontal="center" vertical="top" wrapText="1"/>
    </xf>
    <xf numFmtId="6" fontId="1" fillId="3" borderId="0" xfId="0" applyNumberFormat="1" applyFont="1" applyFill="1"/>
    <xf numFmtId="1" fontId="5" fillId="0" borderId="0" xfId="0" applyNumberFormat="1" applyFont="1"/>
    <xf numFmtId="0" fontId="3" fillId="0" borderId="2" xfId="0" applyFont="1" applyBorder="1" applyAlignment="1">
      <alignment wrapText="1"/>
    </xf>
    <xf numFmtId="0" fontId="17" fillId="0" borderId="0" xfId="0" applyFont="1"/>
    <xf numFmtId="0" fontId="30" fillId="0" borderId="0" xfId="0" applyFont="1" applyAlignment="1">
      <alignment wrapText="1"/>
    </xf>
    <xf numFmtId="0" fontId="27" fillId="0" borderId="0" xfId="0" applyFont="1" applyAlignment="1">
      <alignment horizontal="center"/>
    </xf>
    <xf numFmtId="0" fontId="1" fillId="0" borderId="0" xfId="0" applyFont="1" applyAlignment="1">
      <alignment horizontal="left" wrapText="1"/>
    </xf>
    <xf numFmtId="0" fontId="5" fillId="0" borderId="1" xfId="0" applyFont="1" applyBorder="1" applyAlignment="1">
      <alignment horizontal="left" wrapText="1"/>
    </xf>
    <xf numFmtId="0" fontId="5" fillId="0" borderId="3" xfId="0" applyFont="1" applyBorder="1" applyAlignment="1">
      <alignment horizontal="left" wrapText="1"/>
    </xf>
    <xf numFmtId="3" fontId="13" fillId="0" borderId="5" xfId="0" applyNumberFormat="1" applyFont="1" applyBorder="1" applyAlignment="1">
      <alignment horizontal="center" vertical="top" wrapText="1"/>
    </xf>
    <xf numFmtId="3" fontId="13" fillId="0" borderId="7" xfId="0" applyNumberFormat="1" applyFont="1" applyBorder="1" applyAlignment="1">
      <alignment horizontal="center" vertical="top" wrapText="1"/>
    </xf>
    <xf numFmtId="3" fontId="13" fillId="0" borderId="6" xfId="0" applyNumberFormat="1" applyFont="1" applyBorder="1" applyAlignment="1">
      <alignment horizontal="center" vertical="top" wrapText="1"/>
    </xf>
    <xf numFmtId="3" fontId="5" fillId="0" borderId="2" xfId="0" applyNumberFormat="1" applyFont="1" applyBorder="1" applyAlignment="1">
      <alignment horizontal="center" vertical="top" wrapText="1"/>
    </xf>
    <xf numFmtId="0" fontId="3" fillId="0" borderId="0" xfId="0" applyFont="1" applyAlignment="1">
      <alignment horizontal="left" vertical="top" wrapText="1"/>
    </xf>
    <xf numFmtId="0" fontId="3" fillId="0" borderId="2" xfId="0" applyFont="1" applyBorder="1" applyAlignment="1">
      <alignment horizontal="center" vertical="top"/>
    </xf>
    <xf numFmtId="0" fontId="10" fillId="0" borderId="0" xfId="0" applyFont="1" applyAlignment="1">
      <alignment horizontal="left" wrapText="1"/>
    </xf>
    <xf numFmtId="0" fontId="4" fillId="0" borderId="0" xfId="0" applyFont="1" applyAlignment="1">
      <alignment horizontal="left" vertical="top" wrapText="1"/>
    </xf>
    <xf numFmtId="2" fontId="3" fillId="0" borderId="0" xfId="0" applyNumberFormat="1" applyFont="1" applyAlignment="1">
      <alignment horizontal="left" vertical="top" wrapText="1"/>
    </xf>
    <xf numFmtId="0" fontId="10" fillId="0" borderId="0" xfId="0" applyFont="1" applyAlignment="1">
      <alignment horizontal="left" vertical="top" wrapText="1"/>
    </xf>
    <xf numFmtId="0" fontId="1" fillId="0" borderId="0" xfId="0" applyFont="1" applyAlignment="1">
      <alignment horizontal="left"/>
    </xf>
    <xf numFmtId="0" fontId="5" fillId="0" borderId="2" xfId="0" applyFont="1" applyBorder="1" applyAlignment="1">
      <alignment horizontal="left" wrapText="1"/>
    </xf>
    <xf numFmtId="3" fontId="5" fillId="0" borderId="2" xfId="0" applyNumberFormat="1" applyFont="1" applyBorder="1" applyAlignment="1">
      <alignment horizontal="center" vertical="center" wrapText="1"/>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16" fillId="0" borderId="9" xfId="0" applyFont="1" applyBorder="1" applyAlignment="1">
      <alignment horizontal="left" vertical="top" wrapText="1"/>
    </xf>
    <xf numFmtId="0" fontId="8" fillId="0" borderId="2" xfId="1" applyFont="1" applyBorder="1" applyAlignment="1">
      <alignment horizontal="center" vertical="top" wrapText="1"/>
    </xf>
    <xf numFmtId="0" fontId="12" fillId="0" borderId="0" xfId="1" applyFont="1" applyAlignment="1">
      <alignment horizontal="left" vertical="top" wrapText="1"/>
    </xf>
    <xf numFmtId="0" fontId="10" fillId="0" borderId="2" xfId="0" applyFont="1" applyBorder="1" applyAlignment="1">
      <alignment horizontal="center"/>
    </xf>
    <xf numFmtId="0" fontId="1" fillId="0" borderId="2" xfId="0" applyFont="1" applyBorder="1" applyAlignment="1">
      <alignment horizontal="center"/>
    </xf>
  </cellXfs>
  <cellStyles count="3">
    <cellStyle name="Currency" xfId="2" builtinId="4"/>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DB52-346E-4604-9932-C8A9B5B9F1A4}">
  <dimension ref="A1:B7"/>
  <sheetViews>
    <sheetView tabSelected="1" workbookViewId="0">
      <selection sqref="A1:B1"/>
    </sheetView>
  </sheetViews>
  <sheetFormatPr defaultRowHeight="15" x14ac:dyDescent="0.25"/>
  <cols>
    <col min="1" max="1" width="27.140625" bestFit="1" customWidth="1"/>
    <col min="2" max="2" width="15.140625" customWidth="1"/>
  </cols>
  <sheetData>
    <row r="1" spans="1:2" x14ac:dyDescent="0.25">
      <c r="A1" s="115" t="s">
        <v>0</v>
      </c>
      <c r="B1" s="115"/>
    </row>
    <row r="2" spans="1:2" x14ac:dyDescent="0.25">
      <c r="A2" s="95" t="s">
        <v>1</v>
      </c>
      <c r="B2" s="96">
        <f>Responses!F23</f>
        <v>27.201001878522231</v>
      </c>
    </row>
    <row r="3" spans="1:2" x14ac:dyDescent="0.25">
      <c r="A3" s="95" t="s">
        <v>2</v>
      </c>
      <c r="B3" s="97">
        <f>Respondents!G10</f>
        <v>417</v>
      </c>
    </row>
    <row r="4" spans="1:2" x14ac:dyDescent="0.25">
      <c r="A4" s="95" t="s">
        <v>3</v>
      </c>
      <c r="B4" s="97">
        <f>'Table 1'!G40</f>
        <v>54300</v>
      </c>
    </row>
    <row r="5" spans="1:2" x14ac:dyDescent="0.25">
      <c r="A5" s="95" t="s">
        <v>4</v>
      </c>
      <c r="B5" s="98">
        <f>'Table 1'!J42</f>
        <v>11000000</v>
      </c>
    </row>
    <row r="6" spans="1:2" x14ac:dyDescent="0.25">
      <c r="A6" s="95" t="s">
        <v>5</v>
      </c>
      <c r="B6" s="98">
        <f>'Capital O&amp;M'!H8</f>
        <v>3590000</v>
      </c>
    </row>
    <row r="7" spans="1:2" x14ac:dyDescent="0.25">
      <c r="A7" s="95" t="s">
        <v>6</v>
      </c>
      <c r="B7" s="106"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60"/>
  <sheetViews>
    <sheetView zoomScale="110" zoomScaleNormal="110" workbookViewId="0">
      <selection activeCell="B2" sqref="B2"/>
    </sheetView>
  </sheetViews>
  <sheetFormatPr defaultColWidth="9.140625" defaultRowHeight="12.75" x14ac:dyDescent="0.2"/>
  <cols>
    <col min="1" max="1" width="0.7109375" style="1" customWidth="1"/>
    <col min="2" max="2" width="44.42578125" style="1" customWidth="1"/>
    <col min="3" max="3" width="12.7109375" style="1" customWidth="1"/>
    <col min="4" max="4" width="12.5703125" style="1" customWidth="1"/>
    <col min="5" max="5" width="13.42578125" style="1" customWidth="1"/>
    <col min="6" max="6" width="11.140625" style="1" customWidth="1"/>
    <col min="7" max="7" width="10.28515625" style="1" customWidth="1"/>
    <col min="8" max="8" width="11.85546875" style="1" customWidth="1"/>
    <col min="9" max="9" width="12.140625" style="1" customWidth="1"/>
    <col min="10" max="10" width="15" style="1" customWidth="1"/>
    <col min="11" max="11" width="16.85546875" style="2" customWidth="1"/>
    <col min="12" max="12" width="20" style="2" customWidth="1"/>
    <col min="13" max="13" width="9.85546875" style="2" customWidth="1"/>
    <col min="14" max="14" width="8" style="1" bestFit="1" customWidth="1"/>
    <col min="15" max="16384" width="9.140625" style="1"/>
  </cols>
  <sheetData>
    <row r="1" spans="2:15" s="2" customFormat="1" ht="33.75" customHeight="1" x14ac:dyDescent="0.2">
      <c r="B1" s="126" t="s">
        <v>8</v>
      </c>
      <c r="C1" s="126"/>
      <c r="D1" s="126"/>
      <c r="E1" s="126"/>
      <c r="F1" s="126"/>
      <c r="G1" s="126"/>
      <c r="H1" s="126"/>
      <c r="I1" s="126"/>
      <c r="J1" s="126"/>
      <c r="L1" s="107"/>
    </row>
    <row r="2" spans="2:15" s="2" customFormat="1" x14ac:dyDescent="0.2">
      <c r="J2" s="4"/>
    </row>
    <row r="3" spans="2:15" s="2" customFormat="1" ht="12.75" customHeight="1" x14ac:dyDescent="0.2">
      <c r="B3" s="117" t="s">
        <v>9</v>
      </c>
      <c r="C3" s="5" t="s">
        <v>10</v>
      </c>
      <c r="D3" s="5" t="s">
        <v>11</v>
      </c>
      <c r="E3" s="5" t="s">
        <v>12</v>
      </c>
      <c r="F3" s="5" t="s">
        <v>13</v>
      </c>
      <c r="G3" s="5" t="s">
        <v>14</v>
      </c>
      <c r="H3" s="5" t="s">
        <v>15</v>
      </c>
      <c r="I3" s="5" t="s">
        <v>16</v>
      </c>
      <c r="J3" s="6" t="s">
        <v>17</v>
      </c>
    </row>
    <row r="4" spans="2:15" s="7" customFormat="1" ht="54" customHeight="1" x14ac:dyDescent="0.2">
      <c r="B4" s="118"/>
      <c r="C4" s="8" t="s">
        <v>18</v>
      </c>
      <c r="D4" s="8" t="s">
        <v>19</v>
      </c>
      <c r="E4" s="8" t="s">
        <v>20</v>
      </c>
      <c r="F4" s="8" t="s">
        <v>21</v>
      </c>
      <c r="G4" s="8" t="s">
        <v>22</v>
      </c>
      <c r="H4" s="8" t="s">
        <v>23</v>
      </c>
      <c r="I4" s="8" t="s">
        <v>24</v>
      </c>
      <c r="J4" s="35" t="s">
        <v>25</v>
      </c>
    </row>
    <row r="5" spans="2:15" s="2" customFormat="1" x14ac:dyDescent="0.2">
      <c r="B5" s="68" t="s">
        <v>26</v>
      </c>
      <c r="C5" s="62" t="s">
        <v>27</v>
      </c>
      <c r="D5" s="62"/>
      <c r="E5" s="63"/>
      <c r="F5" s="63"/>
      <c r="G5" s="64"/>
      <c r="H5" s="64"/>
      <c r="I5" s="64"/>
      <c r="J5" s="65"/>
      <c r="L5" s="124" t="s">
        <v>28</v>
      </c>
      <c r="M5" s="124"/>
    </row>
    <row r="6" spans="2:15" s="2" customFormat="1" ht="15" x14ac:dyDescent="0.25">
      <c r="B6" s="68" t="s">
        <v>29</v>
      </c>
      <c r="C6" s="62" t="s">
        <v>27</v>
      </c>
      <c r="D6" s="62"/>
      <c r="E6" s="63"/>
      <c r="F6" s="62"/>
      <c r="G6" s="64"/>
      <c r="H6" s="64"/>
      <c r="I6" s="64"/>
      <c r="J6" s="65"/>
      <c r="L6" s="10" t="s">
        <v>30</v>
      </c>
      <c r="M6" s="84">
        <v>172.41</v>
      </c>
      <c r="N6" s="78"/>
    </row>
    <row r="7" spans="2:15" s="2" customFormat="1" ht="25.5" x14ac:dyDescent="0.2">
      <c r="B7" s="68" t="s">
        <v>31</v>
      </c>
      <c r="C7" s="62" t="s">
        <v>27</v>
      </c>
      <c r="D7" s="62"/>
      <c r="E7" s="63"/>
      <c r="F7" s="62"/>
      <c r="G7" s="64"/>
      <c r="H7" s="64"/>
      <c r="I7" s="64"/>
      <c r="J7" s="65"/>
      <c r="L7" s="10" t="s">
        <v>32</v>
      </c>
      <c r="M7" s="84">
        <v>141.75</v>
      </c>
    </row>
    <row r="8" spans="2:15" s="2" customFormat="1" x14ac:dyDescent="0.2">
      <c r="B8" s="68" t="s">
        <v>33</v>
      </c>
      <c r="C8" s="62" t="s">
        <v>27</v>
      </c>
      <c r="D8" s="62"/>
      <c r="E8" s="63"/>
      <c r="F8" s="62"/>
      <c r="G8" s="64"/>
      <c r="H8" s="64"/>
      <c r="I8" s="64"/>
      <c r="J8" s="65"/>
      <c r="L8" s="10" t="s">
        <v>34</v>
      </c>
      <c r="M8" s="84">
        <v>71.36</v>
      </c>
    </row>
    <row r="9" spans="2:15" s="2" customFormat="1" ht="15.75" x14ac:dyDescent="0.2">
      <c r="B9" s="66" t="s">
        <v>35</v>
      </c>
      <c r="C9" s="62">
        <v>1</v>
      </c>
      <c r="D9" s="69">
        <v>1</v>
      </c>
      <c r="E9" s="62">
        <f t="shared" ref="E9" si="0">C9*D9</f>
        <v>1</v>
      </c>
      <c r="F9" s="62">
        <f>M18+M13</f>
        <v>417</v>
      </c>
      <c r="G9" s="63">
        <f>ROUND(E9*F9,2)</f>
        <v>417</v>
      </c>
      <c r="H9" s="67">
        <f>ROUND(G9*0.05,2)</f>
        <v>20.85</v>
      </c>
      <c r="I9" s="67">
        <f>ROUND(G9*0.1, 2)</f>
        <v>41.7</v>
      </c>
      <c r="J9" s="83">
        <f>ROUND(G9*$M$7+H9*$M$6+I9*$M$8, 2)</f>
        <v>65680.210000000006</v>
      </c>
    </row>
    <row r="10" spans="2:15" s="2" customFormat="1" x14ac:dyDescent="0.2">
      <c r="B10" s="66" t="s">
        <v>36</v>
      </c>
      <c r="C10" s="61"/>
      <c r="D10" s="61"/>
      <c r="E10" s="63"/>
      <c r="F10" s="63"/>
      <c r="G10" s="64"/>
      <c r="H10" s="64"/>
      <c r="I10" s="64"/>
      <c r="J10" s="83"/>
    </row>
    <row r="11" spans="2:15" s="2" customFormat="1" ht="15.75" x14ac:dyDescent="0.2">
      <c r="B11" s="70" t="s">
        <v>37</v>
      </c>
      <c r="C11" s="71">
        <v>0.5</v>
      </c>
      <c r="D11" s="108">
        <v>33</v>
      </c>
      <c r="E11" s="62">
        <f t="shared" ref="E11" si="1">C11*D11</f>
        <v>16.5</v>
      </c>
      <c r="F11" s="62">
        <v>0</v>
      </c>
      <c r="G11" s="63">
        <f t="shared" ref="G11:G14" si="2">ROUND(E11*F11,2)</f>
        <v>0</v>
      </c>
      <c r="H11" s="63">
        <f t="shared" ref="H11:H14" si="3">ROUND(G11*0.05,2)</f>
        <v>0</v>
      </c>
      <c r="I11" s="63">
        <f t="shared" ref="I11:I14" si="4">ROUND(G11*0.1, 2)</f>
        <v>0</v>
      </c>
      <c r="J11" s="90">
        <f>ROUND(G11*$M$7+H11*$M$6+I11*$M$8, 2)</f>
        <v>0</v>
      </c>
      <c r="K11" s="85"/>
    </row>
    <row r="12" spans="2:15" s="2" customFormat="1" ht="15.75" x14ac:dyDescent="0.2">
      <c r="B12" s="70" t="s">
        <v>38</v>
      </c>
      <c r="C12" s="71">
        <v>0.5</v>
      </c>
      <c r="D12" s="109">
        <v>4</v>
      </c>
      <c r="E12" s="63">
        <f>C12*D12</f>
        <v>2</v>
      </c>
      <c r="F12" s="63">
        <v>0</v>
      </c>
      <c r="G12" s="63">
        <f t="shared" si="2"/>
        <v>0</v>
      </c>
      <c r="H12" s="63">
        <f t="shared" si="3"/>
        <v>0</v>
      </c>
      <c r="I12" s="63">
        <f t="shared" si="4"/>
        <v>0</v>
      </c>
      <c r="J12" s="90">
        <f>ROUND(G12*$M$7+H12*$M$6+I12*$M$8, 2)</f>
        <v>0</v>
      </c>
      <c r="K12" s="85"/>
      <c r="L12" s="9" t="s">
        <v>39</v>
      </c>
      <c r="M12" s="9" t="s">
        <v>40</v>
      </c>
    </row>
    <row r="13" spans="2:15" s="2" customFormat="1" ht="15.75" x14ac:dyDescent="0.2">
      <c r="B13" s="70" t="s">
        <v>41</v>
      </c>
      <c r="C13" s="62">
        <v>1</v>
      </c>
      <c r="D13" s="69">
        <v>1</v>
      </c>
      <c r="E13" s="62">
        <f t="shared" ref="E13" si="5">C13*D13</f>
        <v>1</v>
      </c>
      <c r="F13" s="62">
        <f>M19</f>
        <v>0</v>
      </c>
      <c r="G13" s="63">
        <f t="shared" si="2"/>
        <v>0</v>
      </c>
      <c r="H13" s="63">
        <f t="shared" si="3"/>
        <v>0</v>
      </c>
      <c r="I13" s="63">
        <f t="shared" si="4"/>
        <v>0</v>
      </c>
      <c r="J13" s="90">
        <f>ROUND(G13*$M$7+H13*$M$6+I13*$M$8, 2)</f>
        <v>0</v>
      </c>
      <c r="K13" s="85"/>
      <c r="L13" s="58" t="s">
        <v>42</v>
      </c>
      <c r="M13" s="59">
        <f>Respondents!D8</f>
        <v>417</v>
      </c>
    </row>
    <row r="14" spans="2:15" s="2" customFormat="1" ht="15.75" x14ac:dyDescent="0.2">
      <c r="B14" s="70" t="s">
        <v>43</v>
      </c>
      <c r="C14" s="62">
        <v>1</v>
      </c>
      <c r="D14" s="69">
        <v>1</v>
      </c>
      <c r="E14" s="62">
        <f t="shared" ref="E14" si="6">C14*D14</f>
        <v>1</v>
      </c>
      <c r="F14" s="62">
        <f>M20</f>
        <v>0</v>
      </c>
      <c r="G14" s="63">
        <f t="shared" si="2"/>
        <v>0</v>
      </c>
      <c r="H14" s="63">
        <f t="shared" si="3"/>
        <v>0</v>
      </c>
      <c r="I14" s="63">
        <f t="shared" si="4"/>
        <v>0</v>
      </c>
      <c r="J14" s="90">
        <f>ROUND(G14*$M$7+H14*$M$6+I14*$M$8, 2)</f>
        <v>0</v>
      </c>
      <c r="K14" s="85"/>
      <c r="L14" s="56" t="s">
        <v>44</v>
      </c>
      <c r="M14" s="10">
        <v>235</v>
      </c>
      <c r="O14" s="99"/>
    </row>
    <row r="15" spans="2:15" s="2" customFormat="1" x14ac:dyDescent="0.2">
      <c r="B15" s="66" t="s">
        <v>45</v>
      </c>
      <c r="C15" s="62" t="s">
        <v>46</v>
      </c>
      <c r="D15" s="69"/>
      <c r="E15" s="62"/>
      <c r="F15" s="62"/>
      <c r="G15" s="64"/>
      <c r="H15" s="64"/>
      <c r="I15" s="64"/>
      <c r="J15" s="90"/>
      <c r="L15" s="57" t="s">
        <v>47</v>
      </c>
      <c r="M15" s="112">
        <v>107</v>
      </c>
    </row>
    <row r="16" spans="2:15" s="2" customFormat="1" x14ac:dyDescent="0.2">
      <c r="B16" s="66" t="s">
        <v>48</v>
      </c>
      <c r="C16" s="62" t="s">
        <v>49</v>
      </c>
      <c r="D16" s="10"/>
      <c r="E16" s="10"/>
      <c r="F16" s="10"/>
      <c r="G16" s="10"/>
      <c r="H16" s="10"/>
      <c r="I16" s="10"/>
      <c r="J16" s="93"/>
      <c r="L16" s="56" t="s">
        <v>50</v>
      </c>
      <c r="M16" s="10">
        <v>91</v>
      </c>
    </row>
    <row r="17" spans="2:13" s="2" customFormat="1" x14ac:dyDescent="0.2">
      <c r="B17" s="66" t="s">
        <v>51</v>
      </c>
      <c r="C17" s="62"/>
      <c r="D17" s="69"/>
      <c r="E17" s="62"/>
      <c r="F17" s="62"/>
      <c r="G17" s="64"/>
      <c r="H17" s="64"/>
      <c r="I17" s="64"/>
      <c r="J17" s="90"/>
      <c r="L17" s="56" t="s">
        <v>52</v>
      </c>
      <c r="M17" s="10">
        <v>9</v>
      </c>
    </row>
    <row r="18" spans="2:13" s="2" customFormat="1" ht="15.75" x14ac:dyDescent="0.2">
      <c r="B18" s="70" t="s">
        <v>53</v>
      </c>
      <c r="C18" s="62">
        <v>16</v>
      </c>
      <c r="D18" s="69">
        <v>1</v>
      </c>
      <c r="E18" s="62">
        <f t="shared" ref="E18" si="7">C18*D18</f>
        <v>16</v>
      </c>
      <c r="F18" s="62">
        <v>0</v>
      </c>
      <c r="G18" s="63">
        <f t="shared" ref="G18:G24" si="8">ROUND(E18*F18,2)</f>
        <v>0</v>
      </c>
      <c r="H18" s="63">
        <f t="shared" ref="H18:H24" si="9">ROUND(G18*0.05,2)</f>
        <v>0</v>
      </c>
      <c r="I18" s="63">
        <f t="shared" ref="I18:I24" si="10">ROUND(G18*0.1, 2)</f>
        <v>0</v>
      </c>
      <c r="J18" s="90">
        <f t="shared" ref="J18:J24" si="11">ROUND(G18*$M$7+H18*$M$6+I18*$M$8, 2)</f>
        <v>0</v>
      </c>
      <c r="K18" s="85"/>
      <c r="L18" s="58" t="s">
        <v>54</v>
      </c>
      <c r="M18" s="59">
        <f>Respondents!C10</f>
        <v>0</v>
      </c>
    </row>
    <row r="19" spans="2:13" s="2" customFormat="1" ht="15.75" x14ac:dyDescent="0.2">
      <c r="B19" s="70" t="s">
        <v>55</v>
      </c>
      <c r="C19" s="62">
        <v>1</v>
      </c>
      <c r="D19" s="69">
        <v>1</v>
      </c>
      <c r="E19" s="62">
        <f>C19*D19</f>
        <v>1</v>
      </c>
      <c r="F19" s="62">
        <f>M17*0.75</f>
        <v>6.75</v>
      </c>
      <c r="G19" s="63">
        <f>ROUND(E19*F19,2)</f>
        <v>6.75</v>
      </c>
      <c r="H19" s="64">
        <f>ROUND(G19*0.05,2)</f>
        <v>0.34</v>
      </c>
      <c r="I19" s="67">
        <f>ROUND(G19*0.1, 2)</f>
        <v>0.68</v>
      </c>
      <c r="J19" s="83">
        <f t="shared" si="11"/>
        <v>1063.96</v>
      </c>
      <c r="K19" s="85"/>
      <c r="L19" s="56" t="s">
        <v>50</v>
      </c>
      <c r="M19" s="10">
        <v>0</v>
      </c>
    </row>
    <row r="20" spans="2:13" s="2" customFormat="1" ht="15.75" x14ac:dyDescent="0.2">
      <c r="B20" s="70" t="s">
        <v>56</v>
      </c>
      <c r="C20" s="62">
        <v>8</v>
      </c>
      <c r="D20" s="69">
        <v>1</v>
      </c>
      <c r="E20" s="62">
        <f t="shared" ref="E20" si="12">C20*D20</f>
        <v>8</v>
      </c>
      <c r="F20" s="62">
        <f>41*0.75</f>
        <v>30.75</v>
      </c>
      <c r="G20" s="63">
        <f t="shared" si="8"/>
        <v>246</v>
      </c>
      <c r="H20" s="63">
        <f t="shared" si="9"/>
        <v>12.3</v>
      </c>
      <c r="I20" s="63">
        <f t="shared" si="10"/>
        <v>24.6</v>
      </c>
      <c r="J20" s="83">
        <f t="shared" si="11"/>
        <v>38746.6</v>
      </c>
      <c r="K20" s="85"/>
      <c r="L20" s="56" t="s">
        <v>52</v>
      </c>
      <c r="M20" s="10">
        <v>0</v>
      </c>
    </row>
    <row r="21" spans="2:13" s="2" customFormat="1" ht="15.75" x14ac:dyDescent="0.2">
      <c r="B21" s="70" t="s">
        <v>57</v>
      </c>
      <c r="C21" s="62">
        <v>8</v>
      </c>
      <c r="D21" s="69">
        <v>1</v>
      </c>
      <c r="E21" s="62">
        <f t="shared" ref="E21:E26" si="13">C21*D21</f>
        <v>8</v>
      </c>
      <c r="F21" s="63">
        <v>1314</v>
      </c>
      <c r="G21" s="63">
        <f t="shared" si="8"/>
        <v>10512</v>
      </c>
      <c r="H21" s="63">
        <f t="shared" si="9"/>
        <v>525.6</v>
      </c>
      <c r="I21" s="63">
        <f t="shared" si="10"/>
        <v>1051.2</v>
      </c>
      <c r="J21" s="83">
        <f t="shared" si="11"/>
        <v>1655708.33</v>
      </c>
      <c r="K21" s="85"/>
      <c r="L21" s="2" t="s">
        <v>163</v>
      </c>
    </row>
    <row r="22" spans="2:13" s="2" customFormat="1" ht="15.75" x14ac:dyDescent="0.25">
      <c r="B22" s="70" t="s">
        <v>58</v>
      </c>
      <c r="C22" s="62">
        <v>8</v>
      </c>
      <c r="D22" s="69">
        <v>1</v>
      </c>
      <c r="E22" s="62">
        <f t="shared" ref="E22" si="14">C22*D22</f>
        <v>8</v>
      </c>
      <c r="F22" s="62">
        <v>235</v>
      </c>
      <c r="G22" s="63">
        <f t="shared" si="8"/>
        <v>1880</v>
      </c>
      <c r="H22" s="63">
        <f t="shared" si="9"/>
        <v>94</v>
      </c>
      <c r="I22" s="63">
        <f t="shared" si="10"/>
        <v>188</v>
      </c>
      <c r="J22" s="83">
        <f t="shared" si="11"/>
        <v>296112.21999999997</v>
      </c>
      <c r="L22" s="34"/>
    </row>
    <row r="23" spans="2:13" s="2" customFormat="1" ht="15.75" x14ac:dyDescent="0.2">
      <c r="B23" s="70" t="s">
        <v>59</v>
      </c>
      <c r="C23" s="62">
        <v>8</v>
      </c>
      <c r="D23" s="69">
        <v>1</v>
      </c>
      <c r="E23" s="62">
        <f t="shared" ref="E23" si="15">C23*D23</f>
        <v>8</v>
      </c>
      <c r="F23" s="62">
        <f>47*0.75</f>
        <v>35.25</v>
      </c>
      <c r="G23" s="63">
        <f t="shared" si="8"/>
        <v>282</v>
      </c>
      <c r="H23" s="63">
        <f t="shared" si="9"/>
        <v>14.1</v>
      </c>
      <c r="I23" s="63">
        <f t="shared" si="10"/>
        <v>28.2</v>
      </c>
      <c r="J23" s="83">
        <f t="shared" si="11"/>
        <v>44416.83</v>
      </c>
      <c r="K23" s="85"/>
    </row>
    <row r="24" spans="2:13" s="2" customFormat="1" ht="15.75" x14ac:dyDescent="0.2">
      <c r="B24" s="70" t="s">
        <v>60</v>
      </c>
      <c r="C24" s="62">
        <v>8</v>
      </c>
      <c r="D24" s="69">
        <v>1</v>
      </c>
      <c r="E24" s="62">
        <f t="shared" ref="E24" si="16">C24*D24</f>
        <v>8</v>
      </c>
      <c r="F24" s="63">
        <v>238</v>
      </c>
      <c r="G24" s="63">
        <f t="shared" si="8"/>
        <v>1904</v>
      </c>
      <c r="H24" s="63">
        <f t="shared" si="9"/>
        <v>95.2</v>
      </c>
      <c r="I24" s="63">
        <f t="shared" si="10"/>
        <v>190.4</v>
      </c>
      <c r="J24" s="83">
        <f t="shared" si="11"/>
        <v>299892.38</v>
      </c>
      <c r="K24" s="85"/>
      <c r="L24" s="85"/>
    </row>
    <row r="25" spans="2:13" s="2" customFormat="1" x14ac:dyDescent="0.2">
      <c r="B25" s="66" t="s">
        <v>61</v>
      </c>
      <c r="C25" s="62"/>
      <c r="D25" s="69"/>
      <c r="E25" s="62"/>
      <c r="F25" s="62"/>
      <c r="G25" s="64"/>
      <c r="H25" s="64"/>
      <c r="I25" s="64"/>
      <c r="J25" s="83"/>
    </row>
    <row r="26" spans="2:13" s="2" customFormat="1" ht="15.75" x14ac:dyDescent="0.2">
      <c r="B26" s="70" t="s">
        <v>62</v>
      </c>
      <c r="C26" s="62">
        <v>40</v>
      </c>
      <c r="D26" s="69">
        <v>2</v>
      </c>
      <c r="E26" s="62">
        <f t="shared" si="13"/>
        <v>80</v>
      </c>
      <c r="F26" s="62">
        <f>91*0.75</f>
        <v>68.25</v>
      </c>
      <c r="G26" s="63">
        <f>ROUND(E26*F26,2)</f>
        <v>5460</v>
      </c>
      <c r="H26" s="63">
        <f>ROUND(G26*0.05,2)</f>
        <v>273</v>
      </c>
      <c r="I26" s="63">
        <f>ROUND(G26*0.1, 2)</f>
        <v>546</v>
      </c>
      <c r="J26" s="83">
        <f>ROUND(G26*$M$7+H26*$M$6+I26*$M$8, 2)</f>
        <v>859985.49</v>
      </c>
      <c r="K26" s="85"/>
    </row>
    <row r="27" spans="2:13" s="2" customFormat="1" ht="13.5" x14ac:dyDescent="0.25">
      <c r="B27" s="73" t="s">
        <v>63</v>
      </c>
      <c r="C27" s="53"/>
      <c r="D27" s="53"/>
      <c r="E27" s="74"/>
      <c r="F27" s="74"/>
      <c r="G27" s="119">
        <f>SUM(G9:I26)</f>
        <v>23813.920000000002</v>
      </c>
      <c r="H27" s="120"/>
      <c r="I27" s="121"/>
      <c r="J27" s="92">
        <f>SUM(J9:J26)</f>
        <v>3261606.0199999996</v>
      </c>
    </row>
    <row r="28" spans="2:13" s="2" customFormat="1" x14ac:dyDescent="0.2">
      <c r="B28" s="68" t="s">
        <v>64</v>
      </c>
      <c r="C28" s="61"/>
      <c r="D28" s="61"/>
      <c r="E28" s="63"/>
      <c r="F28" s="63"/>
      <c r="G28" s="63"/>
      <c r="H28" s="63"/>
      <c r="I28" s="63"/>
      <c r="J28" s="83"/>
    </row>
    <row r="29" spans="2:13" s="2" customFormat="1" x14ac:dyDescent="0.2">
      <c r="B29" s="66" t="s">
        <v>65</v>
      </c>
      <c r="C29" s="61" t="s">
        <v>66</v>
      </c>
      <c r="D29" s="61"/>
      <c r="E29" s="62"/>
      <c r="F29" s="63"/>
      <c r="G29" s="64"/>
      <c r="H29" s="64"/>
      <c r="I29" s="64"/>
      <c r="J29" s="83"/>
    </row>
    <row r="30" spans="2:13" s="2" customFormat="1" x14ac:dyDescent="0.2">
      <c r="B30" s="66" t="s">
        <v>67</v>
      </c>
      <c r="C30" s="61" t="s">
        <v>46</v>
      </c>
      <c r="D30" s="61"/>
      <c r="E30" s="62"/>
      <c r="F30" s="63"/>
      <c r="G30" s="64"/>
      <c r="H30" s="64"/>
      <c r="I30" s="64"/>
      <c r="J30" s="83"/>
    </row>
    <row r="31" spans="2:13" s="2" customFormat="1" x14ac:dyDescent="0.2">
      <c r="B31" s="66" t="s">
        <v>68</v>
      </c>
      <c r="C31" s="61"/>
      <c r="D31" s="72"/>
      <c r="E31" s="67"/>
      <c r="F31" s="67"/>
      <c r="G31" s="64"/>
      <c r="H31" s="67"/>
      <c r="I31" s="64"/>
      <c r="J31" s="83"/>
    </row>
    <row r="32" spans="2:13" s="2" customFormat="1" ht="15.75" x14ac:dyDescent="0.2">
      <c r="B32" s="70" t="s">
        <v>69</v>
      </c>
      <c r="C32" s="61">
        <v>5</v>
      </c>
      <c r="D32" s="72">
        <v>12</v>
      </c>
      <c r="E32" s="63">
        <f>C32*D32</f>
        <v>60</v>
      </c>
      <c r="F32" s="63">
        <f>M14+M15</f>
        <v>342</v>
      </c>
      <c r="G32" s="63">
        <f>ROUND(E32*F32,2)</f>
        <v>20520</v>
      </c>
      <c r="H32" s="63">
        <f>ROUND(G32*0.05,2)</f>
        <v>1026</v>
      </c>
      <c r="I32" s="63">
        <f>ROUND(G32*0.1, 2)</f>
        <v>2052</v>
      </c>
      <c r="J32" s="83">
        <f>ROUND(G32*$M$7+H32*$M$6+I32*$M$8, 2)</f>
        <v>3232033.38</v>
      </c>
    </row>
    <row r="33" spans="2:11" s="2" customFormat="1" ht="15.75" x14ac:dyDescent="0.2">
      <c r="B33" s="70" t="s">
        <v>70</v>
      </c>
      <c r="C33" s="61">
        <v>5</v>
      </c>
      <c r="D33" s="72">
        <v>12</v>
      </c>
      <c r="E33" s="63">
        <f>C33*D33</f>
        <v>60</v>
      </c>
      <c r="F33" s="63">
        <f>(M16 + M17) + (M19 + M20)</f>
        <v>100</v>
      </c>
      <c r="G33" s="63">
        <f>ROUND(E33*F33,2)</f>
        <v>6000</v>
      </c>
      <c r="H33" s="63">
        <f>ROUND(G33*0.05,2)</f>
        <v>300</v>
      </c>
      <c r="I33" s="63">
        <f>ROUND(G33*0.1, 2)</f>
        <v>600</v>
      </c>
      <c r="J33" s="83">
        <f>ROUND(G33*$M$7+H33*$M$6+I33*$M$8, 2)</f>
        <v>945039</v>
      </c>
      <c r="K33" s="85"/>
    </row>
    <row r="34" spans="2:11" s="2" customFormat="1" x14ac:dyDescent="0.2">
      <c r="B34" s="66" t="s">
        <v>71</v>
      </c>
      <c r="C34" s="61" t="s">
        <v>27</v>
      </c>
      <c r="D34" s="61"/>
      <c r="E34" s="63"/>
      <c r="F34" s="63"/>
      <c r="G34" s="63"/>
      <c r="H34" s="67"/>
      <c r="I34" s="67"/>
      <c r="J34" s="83"/>
    </row>
    <row r="35" spans="2:11" s="2" customFormat="1" x14ac:dyDescent="0.2">
      <c r="B35" s="66" t="s">
        <v>72</v>
      </c>
      <c r="C35" s="61"/>
      <c r="D35" s="72"/>
      <c r="E35" s="63"/>
      <c r="F35" s="63"/>
      <c r="G35" s="64"/>
      <c r="H35" s="64"/>
      <c r="I35" s="64"/>
      <c r="J35" s="83"/>
    </row>
    <row r="36" spans="2:11" s="2" customFormat="1" x14ac:dyDescent="0.2">
      <c r="B36" s="70" t="s">
        <v>73</v>
      </c>
      <c r="C36" s="61" t="s">
        <v>74</v>
      </c>
      <c r="D36" s="72"/>
      <c r="E36" s="63"/>
      <c r="F36" s="63"/>
      <c r="G36" s="64"/>
      <c r="H36" s="64"/>
      <c r="I36" s="64"/>
      <c r="J36" s="83"/>
    </row>
    <row r="37" spans="2:11" s="2" customFormat="1" x14ac:dyDescent="0.2">
      <c r="B37" s="66" t="s">
        <v>75</v>
      </c>
      <c r="C37" s="61" t="s">
        <v>74</v>
      </c>
      <c r="D37" s="61"/>
      <c r="E37" s="63"/>
      <c r="F37" s="63"/>
      <c r="G37" s="63"/>
      <c r="H37" s="67"/>
      <c r="I37" s="67"/>
      <c r="J37" s="83"/>
    </row>
    <row r="38" spans="2:11" s="2" customFormat="1" x14ac:dyDescent="0.2">
      <c r="B38" s="66" t="s">
        <v>76</v>
      </c>
      <c r="C38" s="61" t="s">
        <v>27</v>
      </c>
      <c r="D38" s="72"/>
      <c r="E38" s="63"/>
      <c r="F38" s="63"/>
      <c r="G38" s="64"/>
      <c r="H38" s="64"/>
      <c r="I38" s="64"/>
      <c r="J38" s="83"/>
    </row>
    <row r="39" spans="2:11" s="2" customFormat="1" ht="13.5" x14ac:dyDescent="0.25">
      <c r="B39" s="73" t="s">
        <v>77</v>
      </c>
      <c r="C39" s="53"/>
      <c r="D39" s="53"/>
      <c r="E39" s="74"/>
      <c r="F39" s="74"/>
      <c r="G39" s="119">
        <f>SUM(G29:I38)</f>
        <v>30498</v>
      </c>
      <c r="H39" s="120"/>
      <c r="I39" s="121"/>
      <c r="J39" s="92">
        <f>SUM(J29:J38)</f>
        <v>4177072.38</v>
      </c>
    </row>
    <row r="40" spans="2:11" s="2" customFormat="1" ht="15.75" x14ac:dyDescent="0.2">
      <c r="B40" s="54" t="s">
        <v>78</v>
      </c>
      <c r="C40" s="53"/>
      <c r="D40" s="55"/>
      <c r="E40" s="54"/>
      <c r="F40" s="55"/>
      <c r="G40" s="122">
        <f>ROUND(G27+G39, -2)</f>
        <v>54300</v>
      </c>
      <c r="H40" s="122"/>
      <c r="I40" s="122"/>
      <c r="J40" s="91">
        <f>ROUND(J27+J39, -4)</f>
        <v>7440000</v>
      </c>
    </row>
    <row r="41" spans="2:11" s="2" customFormat="1" ht="15.75" x14ac:dyDescent="0.2">
      <c r="B41" s="54" t="s">
        <v>79</v>
      </c>
      <c r="C41" s="53"/>
      <c r="D41" s="55"/>
      <c r="E41" s="54"/>
      <c r="F41" s="55"/>
      <c r="G41" s="46"/>
      <c r="H41" s="46"/>
      <c r="I41" s="46"/>
      <c r="J41" s="91">
        <f>ROUND('Capital O&amp;M'!E8+'Capital O&amp;M'!H8, -3)</f>
        <v>3590000</v>
      </c>
      <c r="K41" s="22"/>
    </row>
    <row r="42" spans="2:11" s="2" customFormat="1" ht="15.75" x14ac:dyDescent="0.2">
      <c r="B42" s="54" t="s">
        <v>80</v>
      </c>
      <c r="C42" s="53"/>
      <c r="D42" s="55"/>
      <c r="E42" s="54"/>
      <c r="F42" s="55"/>
      <c r="G42" s="46"/>
      <c r="H42" s="46"/>
      <c r="I42" s="46"/>
      <c r="J42" s="91">
        <f>ROUND(J40+J41, -5)</f>
        <v>11000000</v>
      </c>
      <c r="K42" s="22"/>
    </row>
    <row r="43" spans="2:11" s="2" customFormat="1" x14ac:dyDescent="0.2">
      <c r="B43" s="38" t="s">
        <v>81</v>
      </c>
      <c r="C43" s="23"/>
      <c r="D43" s="20"/>
      <c r="E43" s="20"/>
      <c r="F43" s="21"/>
      <c r="G43" s="22"/>
      <c r="K43" s="22"/>
    </row>
    <row r="44" spans="2:11" s="2" customFormat="1" x14ac:dyDescent="0.2">
      <c r="B44" s="76"/>
      <c r="C44" s="23"/>
      <c r="D44" s="20"/>
      <c r="E44" s="20"/>
      <c r="F44" s="21"/>
      <c r="G44" s="22"/>
      <c r="K44" s="22"/>
    </row>
    <row r="45" spans="2:11" s="2" customFormat="1" x14ac:dyDescent="0.2">
      <c r="B45" s="39" t="s">
        <v>82</v>
      </c>
    </row>
    <row r="46" spans="2:11" s="2" customFormat="1" ht="39.6" customHeight="1" x14ac:dyDescent="0.2">
      <c r="B46" s="123" t="s">
        <v>170</v>
      </c>
      <c r="C46" s="123"/>
      <c r="D46" s="123"/>
      <c r="E46" s="123"/>
      <c r="F46" s="123"/>
      <c r="G46" s="123"/>
      <c r="H46" s="123"/>
      <c r="I46" s="123"/>
      <c r="J46" s="123"/>
    </row>
    <row r="47" spans="2:11" s="2" customFormat="1" ht="57" customHeight="1" x14ac:dyDescent="0.2">
      <c r="B47" s="127" t="s">
        <v>83</v>
      </c>
      <c r="C47" s="127"/>
      <c r="D47" s="127"/>
      <c r="E47" s="127"/>
      <c r="F47" s="127"/>
      <c r="G47" s="127"/>
      <c r="H47" s="127"/>
      <c r="I47" s="127"/>
      <c r="J47" s="127"/>
    </row>
    <row r="48" spans="2:11" s="2" customFormat="1" x14ac:dyDescent="0.2">
      <c r="B48" s="128" t="s">
        <v>84</v>
      </c>
      <c r="C48" s="128"/>
      <c r="D48" s="128"/>
      <c r="E48" s="128"/>
      <c r="F48" s="128"/>
      <c r="G48" s="128"/>
      <c r="H48" s="128"/>
      <c r="I48" s="128"/>
      <c r="J48" s="128"/>
    </row>
    <row r="49" spans="2:13" s="2" customFormat="1" ht="45.75" customHeight="1" x14ac:dyDescent="0.2">
      <c r="B49" s="123" t="s">
        <v>172</v>
      </c>
      <c r="C49" s="123"/>
      <c r="D49" s="123"/>
      <c r="E49" s="123"/>
      <c r="F49" s="123"/>
      <c r="G49" s="123"/>
      <c r="H49" s="123"/>
      <c r="I49" s="123"/>
      <c r="J49" s="123"/>
    </row>
    <row r="50" spans="2:13" ht="28.5" customHeight="1" x14ac:dyDescent="0.2">
      <c r="B50" s="123" t="s">
        <v>173</v>
      </c>
      <c r="C50" s="123"/>
      <c r="D50" s="123"/>
      <c r="E50" s="123"/>
      <c r="F50" s="123"/>
      <c r="G50" s="123"/>
      <c r="H50" s="123"/>
      <c r="I50" s="123"/>
      <c r="J50" s="123"/>
    </row>
    <row r="51" spans="2:13" ht="37.5" customHeight="1" x14ac:dyDescent="0.2">
      <c r="B51" s="116" t="s">
        <v>175</v>
      </c>
      <c r="C51" s="116"/>
      <c r="D51" s="116"/>
      <c r="E51" s="116"/>
      <c r="F51" s="116"/>
      <c r="G51" s="116"/>
      <c r="H51" s="116"/>
      <c r="I51" s="116"/>
      <c r="J51" s="116"/>
      <c r="M51" s="111"/>
    </row>
    <row r="52" spans="2:13" s="2" customFormat="1" ht="53.25" customHeight="1" x14ac:dyDescent="0.2">
      <c r="B52" s="123" t="s">
        <v>174</v>
      </c>
      <c r="C52" s="123"/>
      <c r="D52" s="123"/>
      <c r="E52" s="123"/>
      <c r="F52" s="123"/>
      <c r="G52" s="123"/>
      <c r="H52" s="123"/>
      <c r="I52" s="123"/>
      <c r="J52" s="123"/>
    </row>
    <row r="53" spans="2:13" s="2" customFormat="1" ht="46.5" customHeight="1" x14ac:dyDescent="0.2">
      <c r="B53" s="123" t="s">
        <v>176</v>
      </c>
      <c r="C53" s="123"/>
      <c r="D53" s="123"/>
      <c r="E53" s="123"/>
      <c r="F53" s="123"/>
      <c r="G53" s="123"/>
      <c r="H53" s="123"/>
      <c r="I53" s="123"/>
      <c r="J53" s="123"/>
    </row>
    <row r="54" spans="2:13" x14ac:dyDescent="0.2">
      <c r="B54" s="116" t="s">
        <v>164</v>
      </c>
      <c r="C54" s="116"/>
      <c r="D54" s="116"/>
      <c r="E54" s="116"/>
      <c r="F54" s="116"/>
      <c r="G54" s="116"/>
      <c r="H54" s="116"/>
      <c r="I54" s="116"/>
      <c r="J54" s="116"/>
    </row>
    <row r="55" spans="2:13" ht="26.25" customHeight="1" x14ac:dyDescent="0.2">
      <c r="B55" s="123" t="s">
        <v>165</v>
      </c>
      <c r="C55" s="123"/>
      <c r="D55" s="123"/>
      <c r="E55" s="123"/>
      <c r="F55" s="123"/>
      <c r="G55" s="123"/>
      <c r="H55" s="123"/>
      <c r="I55" s="123"/>
      <c r="J55" s="123"/>
      <c r="M55" s="111"/>
    </row>
    <row r="56" spans="2:13" ht="25.5" customHeight="1" x14ac:dyDescent="0.2">
      <c r="B56" s="123" t="s">
        <v>166</v>
      </c>
      <c r="C56" s="123"/>
      <c r="D56" s="123"/>
      <c r="E56" s="123"/>
      <c r="F56" s="123"/>
      <c r="G56" s="123"/>
      <c r="H56" s="123"/>
      <c r="I56" s="123"/>
      <c r="J56" s="123"/>
    </row>
    <row r="57" spans="2:13" x14ac:dyDescent="0.2">
      <c r="B57" s="123" t="s">
        <v>167</v>
      </c>
      <c r="C57" s="123"/>
      <c r="D57" s="123"/>
      <c r="E57" s="123"/>
      <c r="F57" s="123"/>
      <c r="G57" s="123"/>
      <c r="H57" s="123"/>
      <c r="I57" s="123"/>
      <c r="J57" s="123"/>
    </row>
    <row r="58" spans="2:13" ht="12.75" customHeight="1" x14ac:dyDescent="0.2">
      <c r="B58" s="123" t="s">
        <v>168</v>
      </c>
      <c r="C58" s="123"/>
      <c r="D58" s="123"/>
      <c r="E58" s="123"/>
      <c r="F58" s="123"/>
      <c r="G58" s="123"/>
      <c r="H58" s="123"/>
      <c r="I58" s="123"/>
      <c r="J58" s="123"/>
    </row>
    <row r="59" spans="2:13" ht="12.75" customHeight="1" x14ac:dyDescent="0.2">
      <c r="B59" s="123" t="s">
        <v>169</v>
      </c>
      <c r="C59" s="123"/>
      <c r="D59" s="123"/>
      <c r="E59" s="123"/>
      <c r="F59" s="123"/>
      <c r="G59" s="123"/>
      <c r="H59" s="123"/>
      <c r="I59" s="123"/>
      <c r="J59" s="123"/>
      <c r="M59" s="111"/>
    </row>
    <row r="60" spans="2:13" x14ac:dyDescent="0.2">
      <c r="B60" s="125" t="s">
        <v>85</v>
      </c>
      <c r="C60" s="125"/>
      <c r="D60" s="125"/>
      <c r="E60" s="125"/>
      <c r="F60" s="125"/>
      <c r="G60" s="125"/>
      <c r="H60" s="125"/>
      <c r="I60" s="125"/>
      <c r="J60" s="125"/>
    </row>
  </sheetData>
  <mergeCells count="21">
    <mergeCell ref="L5:M5"/>
    <mergeCell ref="B60:J60"/>
    <mergeCell ref="B1:J1"/>
    <mergeCell ref="B59:J59"/>
    <mergeCell ref="B47:J47"/>
    <mergeCell ref="B49:J49"/>
    <mergeCell ref="B52:J52"/>
    <mergeCell ref="B53:J53"/>
    <mergeCell ref="B54:J54"/>
    <mergeCell ref="B55:J55"/>
    <mergeCell ref="B56:J56"/>
    <mergeCell ref="B57:J57"/>
    <mergeCell ref="B58:J58"/>
    <mergeCell ref="B48:J48"/>
    <mergeCell ref="G27:I27"/>
    <mergeCell ref="B50:J50"/>
    <mergeCell ref="B51:J51"/>
    <mergeCell ref="B3:B4"/>
    <mergeCell ref="G39:I39"/>
    <mergeCell ref="G40:I40"/>
    <mergeCell ref="B46:J4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6"/>
  <sheetViews>
    <sheetView zoomScale="90" zoomScaleNormal="90" workbookViewId="0">
      <selection activeCell="B2" sqref="B2"/>
    </sheetView>
  </sheetViews>
  <sheetFormatPr defaultColWidth="9.140625" defaultRowHeight="15" x14ac:dyDescent="0.25"/>
  <cols>
    <col min="1" max="1" width="0.85546875" customWidth="1"/>
    <col min="2" max="2" width="3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1.42578125" customWidth="1"/>
    <col min="11" max="11" width="2" style="33" customWidth="1"/>
    <col min="12" max="12" width="13.7109375" style="33" customWidth="1"/>
  </cols>
  <sheetData>
    <row r="1" spans="2:14" ht="15.75" x14ac:dyDescent="0.25">
      <c r="B1" s="3" t="s">
        <v>86</v>
      </c>
    </row>
    <row r="2" spans="2:14" ht="15.75" x14ac:dyDescent="0.25">
      <c r="B2" s="3"/>
    </row>
    <row r="3" spans="2:14" s="2" customFormat="1" ht="12.75" x14ac:dyDescent="0.2">
      <c r="B3" s="130" t="s">
        <v>9</v>
      </c>
      <c r="C3" s="24" t="s">
        <v>10</v>
      </c>
      <c r="D3" s="24" t="s">
        <v>11</v>
      </c>
      <c r="E3" s="24" t="s">
        <v>12</v>
      </c>
      <c r="F3" s="24" t="s">
        <v>13</v>
      </c>
      <c r="G3" s="24" t="s">
        <v>14</v>
      </c>
      <c r="H3" s="24" t="s">
        <v>15</v>
      </c>
      <c r="I3" s="24" t="s">
        <v>16</v>
      </c>
      <c r="J3" s="24" t="s">
        <v>17</v>
      </c>
      <c r="K3" s="25"/>
    </row>
    <row r="4" spans="2:14" s="7" customFormat="1" ht="71.25" customHeight="1" x14ac:dyDescent="0.2">
      <c r="B4" s="130"/>
      <c r="C4" s="8" t="s">
        <v>87</v>
      </c>
      <c r="D4" s="8" t="s">
        <v>19</v>
      </c>
      <c r="E4" s="8" t="s">
        <v>88</v>
      </c>
      <c r="F4" s="8" t="s">
        <v>21</v>
      </c>
      <c r="G4" s="8" t="s">
        <v>89</v>
      </c>
      <c r="H4" s="8" t="s">
        <v>90</v>
      </c>
      <c r="I4" s="8" t="s">
        <v>24</v>
      </c>
      <c r="J4" s="8" t="s">
        <v>25</v>
      </c>
      <c r="K4" s="2"/>
    </row>
    <row r="5" spans="2:14" s="2" customFormat="1" ht="15.75" x14ac:dyDescent="0.2">
      <c r="B5" s="60" t="s">
        <v>91</v>
      </c>
      <c r="C5" s="61"/>
      <c r="D5" s="62"/>
      <c r="E5" s="62"/>
      <c r="F5" s="63"/>
      <c r="G5" s="64"/>
      <c r="H5" s="64"/>
      <c r="I5" s="64"/>
      <c r="J5" s="65"/>
      <c r="L5" s="124" t="s">
        <v>28</v>
      </c>
      <c r="M5" s="124"/>
    </row>
    <row r="6" spans="2:14" s="2" customFormat="1" x14ac:dyDescent="0.25">
      <c r="B6" s="66" t="s">
        <v>92</v>
      </c>
      <c r="C6" s="61">
        <v>0.5</v>
      </c>
      <c r="D6" s="62">
        <f>'Table 1'!D11</f>
        <v>33</v>
      </c>
      <c r="E6" s="62">
        <f t="shared" ref="E6:E7" si="0">C6*D6</f>
        <v>16.5</v>
      </c>
      <c r="F6" s="63">
        <f>'Table 1'!F11</f>
        <v>0</v>
      </c>
      <c r="G6" s="63">
        <f>ROUND(E6*F6, 2)</f>
        <v>0</v>
      </c>
      <c r="H6" s="63">
        <f>ROUND(G6*0.05, 2)</f>
        <v>0</v>
      </c>
      <c r="I6" s="63">
        <f>ROUND(G6*0.1, 2)</f>
        <v>0</v>
      </c>
      <c r="J6" s="90">
        <f>ROUND(G6*$M$7+H6*$M$6+I6*$M$8, 2)</f>
        <v>0</v>
      </c>
      <c r="L6" s="10" t="s">
        <v>30</v>
      </c>
      <c r="M6" s="84">
        <v>76.91</v>
      </c>
      <c r="N6" s="79"/>
    </row>
    <row r="7" spans="2:14" s="2" customFormat="1" ht="12.75" x14ac:dyDescent="0.2">
      <c r="B7" s="66" t="s">
        <v>93</v>
      </c>
      <c r="C7" s="61">
        <v>0.5</v>
      </c>
      <c r="D7" s="62">
        <f>'Table 1'!D12</f>
        <v>4</v>
      </c>
      <c r="E7" s="62">
        <f t="shared" si="0"/>
        <v>2</v>
      </c>
      <c r="F7" s="63">
        <f>'Table 1'!F12</f>
        <v>0</v>
      </c>
      <c r="G7" s="63">
        <f t="shared" ref="G7:G9" si="1">ROUND(E7*F7, 2)</f>
        <v>0</v>
      </c>
      <c r="H7" s="63">
        <f t="shared" ref="H7:H17" si="2">ROUND(G7*0.05, 2)</f>
        <v>0</v>
      </c>
      <c r="I7" s="63">
        <f t="shared" ref="I7:I9" si="3">ROUND(G7*0.1, 2)</f>
        <v>0</v>
      </c>
      <c r="J7" s="90">
        <f>ROUND(G7*$M$7+H7*$M$6+I7*$M$8, 2)</f>
        <v>0</v>
      </c>
      <c r="L7" s="10" t="s">
        <v>32</v>
      </c>
      <c r="M7" s="84">
        <v>57.07</v>
      </c>
    </row>
    <row r="8" spans="2:14" s="2" customFormat="1" ht="25.5" x14ac:dyDescent="0.2">
      <c r="B8" s="66" t="s">
        <v>94</v>
      </c>
      <c r="C8" s="61">
        <v>0.5</v>
      </c>
      <c r="D8" s="62">
        <f>'Table 1'!D13</f>
        <v>1</v>
      </c>
      <c r="E8" s="62">
        <f t="shared" ref="E8" si="4">C8*D8</f>
        <v>0.5</v>
      </c>
      <c r="F8" s="63">
        <f>'Table 1'!F13</f>
        <v>0</v>
      </c>
      <c r="G8" s="63">
        <f t="shared" si="1"/>
        <v>0</v>
      </c>
      <c r="H8" s="63">
        <f t="shared" si="2"/>
        <v>0</v>
      </c>
      <c r="I8" s="63">
        <f t="shared" si="3"/>
        <v>0</v>
      </c>
      <c r="J8" s="90">
        <f>ROUND(G8*$M$7+H8*$M$6+I8*$M$8, 2)</f>
        <v>0</v>
      </c>
      <c r="L8" s="10" t="s">
        <v>34</v>
      </c>
      <c r="M8" s="84">
        <v>30.88</v>
      </c>
    </row>
    <row r="9" spans="2:14" s="2" customFormat="1" ht="12.75" x14ac:dyDescent="0.2">
      <c r="B9" s="66" t="s">
        <v>95</v>
      </c>
      <c r="C9" s="61">
        <v>0.5</v>
      </c>
      <c r="D9" s="62">
        <f>'Table 1'!D14</f>
        <v>1</v>
      </c>
      <c r="E9" s="62">
        <f t="shared" ref="E9:E17" si="5">C9*D9</f>
        <v>0.5</v>
      </c>
      <c r="F9" s="63">
        <f>'Table 1'!F14</f>
        <v>0</v>
      </c>
      <c r="G9" s="63">
        <f t="shared" si="1"/>
        <v>0</v>
      </c>
      <c r="H9" s="63">
        <f t="shared" si="2"/>
        <v>0</v>
      </c>
      <c r="I9" s="63">
        <f t="shared" si="3"/>
        <v>0</v>
      </c>
      <c r="J9" s="90">
        <f>ROUND(G9*$M$7+H9*$M$6+I9*$M$8, 2)</f>
        <v>0</v>
      </c>
    </row>
    <row r="10" spans="2:14" s="2" customFormat="1" ht="13.5" x14ac:dyDescent="0.25">
      <c r="B10" s="60" t="s">
        <v>96</v>
      </c>
      <c r="C10" s="61"/>
      <c r="D10" s="61"/>
      <c r="E10" s="62"/>
      <c r="F10" s="63"/>
      <c r="G10" s="64"/>
      <c r="H10" s="64"/>
      <c r="I10" s="64"/>
      <c r="J10" s="90"/>
      <c r="L10" s="34"/>
    </row>
    <row r="11" spans="2:14" s="2" customFormat="1" ht="12.75" x14ac:dyDescent="0.2">
      <c r="B11" s="66" t="s">
        <v>97</v>
      </c>
      <c r="C11" s="61">
        <v>1</v>
      </c>
      <c r="D11" s="61">
        <f>'Table 1'!D18</f>
        <v>1</v>
      </c>
      <c r="E11" s="62">
        <f t="shared" si="5"/>
        <v>1</v>
      </c>
      <c r="F11" s="63">
        <f>'Table 1'!F18</f>
        <v>0</v>
      </c>
      <c r="G11" s="63">
        <f t="shared" ref="G11:G17" si="6">ROUND(E11*F11, 2)</f>
        <v>0</v>
      </c>
      <c r="H11" s="63">
        <f t="shared" si="2"/>
        <v>0</v>
      </c>
      <c r="I11" s="63">
        <f t="shared" ref="I11:I17" si="7">ROUND(G11*0.1, 2)</f>
        <v>0</v>
      </c>
      <c r="J11" s="90">
        <f t="shared" ref="J11:J17" si="8">ROUND(G11*$M$7+H11*$M$6+I11*$M$8, 2)</f>
        <v>0</v>
      </c>
    </row>
    <row r="12" spans="2:14" s="2" customFormat="1" ht="12.75" x14ac:dyDescent="0.2">
      <c r="B12" s="66" t="s">
        <v>98</v>
      </c>
      <c r="C12" s="61">
        <v>1</v>
      </c>
      <c r="D12" s="61">
        <f>'Table 1'!D19</f>
        <v>1</v>
      </c>
      <c r="E12" s="62">
        <f>C12*D12</f>
        <v>1</v>
      </c>
      <c r="F12" s="63">
        <f>'Table 1'!F19</f>
        <v>6.75</v>
      </c>
      <c r="G12" s="63">
        <f>ROUND(E12*F12, 2)</f>
        <v>6.75</v>
      </c>
      <c r="H12" s="64">
        <f>ROUND(G12*0.05, 2)</f>
        <v>0.34</v>
      </c>
      <c r="I12" s="67">
        <f>ROUND(G12*0.1, 2)</f>
        <v>0.68</v>
      </c>
      <c r="J12" s="83">
        <f t="shared" si="8"/>
        <v>432.37</v>
      </c>
    </row>
    <row r="13" spans="2:14" s="2" customFormat="1" ht="12.75" x14ac:dyDescent="0.2">
      <c r="B13" s="66" t="s">
        <v>99</v>
      </c>
      <c r="C13" s="61">
        <v>1</v>
      </c>
      <c r="D13" s="61">
        <f>'Table 1'!D20</f>
        <v>1</v>
      </c>
      <c r="E13" s="62">
        <f t="shared" si="5"/>
        <v>1</v>
      </c>
      <c r="F13" s="63">
        <f>'Table 1'!F20</f>
        <v>30.75</v>
      </c>
      <c r="G13" s="63">
        <f t="shared" si="6"/>
        <v>30.75</v>
      </c>
      <c r="H13" s="64">
        <f t="shared" si="2"/>
        <v>1.54</v>
      </c>
      <c r="I13" s="67">
        <f t="shared" si="7"/>
        <v>3.08</v>
      </c>
      <c r="J13" s="83">
        <f t="shared" si="8"/>
        <v>1968.45</v>
      </c>
    </row>
    <row r="14" spans="2:14" s="2" customFormat="1" ht="12.75" x14ac:dyDescent="0.2">
      <c r="B14" s="66" t="s">
        <v>100</v>
      </c>
      <c r="C14" s="61">
        <v>1</v>
      </c>
      <c r="D14" s="61">
        <f>'Table 1'!D21</f>
        <v>1</v>
      </c>
      <c r="E14" s="62">
        <f t="shared" si="5"/>
        <v>1</v>
      </c>
      <c r="F14" s="63">
        <f>'Table 1'!F21</f>
        <v>1314</v>
      </c>
      <c r="G14" s="63">
        <f t="shared" si="6"/>
        <v>1314</v>
      </c>
      <c r="H14" s="64">
        <f t="shared" si="2"/>
        <v>65.7</v>
      </c>
      <c r="I14" s="67">
        <f t="shared" si="7"/>
        <v>131.4</v>
      </c>
      <c r="J14" s="83">
        <f t="shared" si="8"/>
        <v>84100.6</v>
      </c>
    </row>
    <row r="15" spans="2:14" s="2" customFormat="1" ht="12.75" x14ac:dyDescent="0.2">
      <c r="B15" s="66" t="s">
        <v>101</v>
      </c>
      <c r="C15" s="61">
        <v>1</v>
      </c>
      <c r="D15" s="61">
        <f>'Table 1'!D22</f>
        <v>1</v>
      </c>
      <c r="E15" s="62">
        <f t="shared" si="5"/>
        <v>1</v>
      </c>
      <c r="F15" s="63">
        <f>'Table 1'!F22</f>
        <v>235</v>
      </c>
      <c r="G15" s="63">
        <f t="shared" si="6"/>
        <v>235</v>
      </c>
      <c r="H15" s="63">
        <f t="shared" si="2"/>
        <v>11.75</v>
      </c>
      <c r="I15" s="63">
        <f t="shared" si="7"/>
        <v>23.5</v>
      </c>
      <c r="J15" s="83">
        <f>ROUND(G15*$M$7+H15*$M$6+I15*$M$8, 2)</f>
        <v>15040.82</v>
      </c>
    </row>
    <row r="16" spans="2:14" s="2" customFormat="1" ht="12.75" x14ac:dyDescent="0.2">
      <c r="B16" s="66" t="s">
        <v>102</v>
      </c>
      <c r="C16" s="61">
        <v>1</v>
      </c>
      <c r="D16" s="61">
        <f>'Table 1'!D23</f>
        <v>1</v>
      </c>
      <c r="E16" s="62">
        <f t="shared" si="5"/>
        <v>1</v>
      </c>
      <c r="F16" s="63">
        <f>'Table 1'!F23</f>
        <v>35.25</v>
      </c>
      <c r="G16" s="63">
        <f t="shared" si="6"/>
        <v>35.25</v>
      </c>
      <c r="H16" s="64">
        <f t="shared" si="2"/>
        <v>1.76</v>
      </c>
      <c r="I16" s="67">
        <f t="shared" si="7"/>
        <v>3.53</v>
      </c>
      <c r="J16" s="83">
        <f t="shared" si="8"/>
        <v>2256.09</v>
      </c>
    </row>
    <row r="17" spans="2:14" s="2" customFormat="1" ht="12.75" x14ac:dyDescent="0.2">
      <c r="B17" s="66" t="s">
        <v>103</v>
      </c>
      <c r="C17" s="61">
        <v>1</v>
      </c>
      <c r="D17" s="61">
        <f>'Table 1'!D24</f>
        <v>1</v>
      </c>
      <c r="E17" s="62">
        <f t="shared" si="5"/>
        <v>1</v>
      </c>
      <c r="F17" s="63">
        <f>'Table 1'!F24</f>
        <v>238</v>
      </c>
      <c r="G17" s="63">
        <f t="shared" si="6"/>
        <v>238</v>
      </c>
      <c r="H17" s="63">
        <f t="shared" si="2"/>
        <v>11.9</v>
      </c>
      <c r="I17" s="63">
        <f t="shared" si="7"/>
        <v>23.8</v>
      </c>
      <c r="J17" s="83">
        <f t="shared" si="8"/>
        <v>15232.83</v>
      </c>
    </row>
    <row r="18" spans="2:14" s="2" customFormat="1" ht="12.75" x14ac:dyDescent="0.2">
      <c r="B18" s="60" t="s">
        <v>104</v>
      </c>
      <c r="C18" s="61"/>
      <c r="D18" s="61"/>
      <c r="E18" s="62"/>
      <c r="F18" s="63"/>
      <c r="G18" s="64"/>
      <c r="H18" s="64"/>
      <c r="I18" s="64"/>
      <c r="J18" s="83"/>
    </row>
    <row r="19" spans="2:14" s="2" customFormat="1" ht="12.75" x14ac:dyDescent="0.2">
      <c r="B19" s="66" t="s">
        <v>105</v>
      </c>
      <c r="C19" s="62">
        <v>1</v>
      </c>
      <c r="D19" s="62">
        <f>'Table 1'!D26</f>
        <v>2</v>
      </c>
      <c r="E19" s="62">
        <f>C19*D19</f>
        <v>2</v>
      </c>
      <c r="F19" s="63">
        <f>'Table 1'!F26</f>
        <v>68.25</v>
      </c>
      <c r="G19" s="63">
        <f>ROUND(E19*F19, 2)</f>
        <v>136.5</v>
      </c>
      <c r="H19" s="67">
        <f>ROUND(G19*0.05, 2)</f>
        <v>6.83</v>
      </c>
      <c r="I19" s="63">
        <f>ROUND(G19*0.1, 2)</f>
        <v>13.65</v>
      </c>
      <c r="J19" s="83">
        <f>ROUND(G19*$M$7+H19*$M$6+I19*$M$8, 2)</f>
        <v>8736.86</v>
      </c>
    </row>
    <row r="20" spans="2:14" s="2" customFormat="1" ht="30" customHeight="1" x14ac:dyDescent="0.25">
      <c r="B20" s="80" t="s">
        <v>106</v>
      </c>
      <c r="C20" s="81"/>
      <c r="D20" s="81"/>
      <c r="E20" s="81"/>
      <c r="F20" s="81"/>
      <c r="G20" s="131">
        <f>ROUND(SUM(G5:I19), -1)</f>
        <v>2300</v>
      </c>
      <c r="H20" s="131"/>
      <c r="I20" s="131"/>
      <c r="J20" s="82">
        <f>ROUND(SUM(J5:J19), -3)</f>
        <v>128000</v>
      </c>
      <c r="K20" s="22"/>
      <c r="M20" s="33"/>
      <c r="N20" s="33"/>
    </row>
    <row r="21" spans="2:14" s="2" customFormat="1" ht="12.75" x14ac:dyDescent="0.2">
      <c r="B21" s="76"/>
      <c r="C21" s="23"/>
      <c r="D21" s="20"/>
      <c r="E21" s="20"/>
      <c r="F21" s="21"/>
      <c r="G21" s="22"/>
      <c r="K21" s="22"/>
    </row>
    <row r="22" spans="2:14" s="2" customFormat="1" ht="12.75" x14ac:dyDescent="0.2">
      <c r="B22" s="39" t="s">
        <v>107</v>
      </c>
      <c r="M22" s="77"/>
      <c r="N22" s="77"/>
    </row>
    <row r="23" spans="2:14" s="2" customFormat="1" ht="41.25" customHeight="1" x14ac:dyDescent="0.2">
      <c r="B23" s="123" t="s">
        <v>170</v>
      </c>
      <c r="C23" s="123"/>
      <c r="D23" s="123"/>
      <c r="E23" s="123"/>
      <c r="F23" s="123"/>
      <c r="G23" s="123"/>
      <c r="H23" s="123"/>
      <c r="I23" s="123"/>
      <c r="J23" s="123"/>
    </row>
    <row r="24" spans="2:14" s="2" customFormat="1" ht="51.75" customHeight="1" x14ac:dyDescent="0.2">
      <c r="B24" s="127" t="s">
        <v>108</v>
      </c>
      <c r="C24" s="127"/>
      <c r="D24" s="127"/>
      <c r="E24" s="127"/>
      <c r="F24" s="127"/>
      <c r="G24" s="127"/>
      <c r="H24" s="127"/>
      <c r="I24" s="127"/>
      <c r="J24" s="127"/>
    </row>
    <row r="25" spans="2:14" ht="42" customHeight="1" x14ac:dyDescent="0.25">
      <c r="B25" s="116" t="s">
        <v>171</v>
      </c>
      <c r="C25" s="116"/>
      <c r="D25" s="116"/>
      <c r="E25" s="116"/>
      <c r="F25" s="116"/>
      <c r="G25" s="116"/>
      <c r="H25" s="116"/>
      <c r="I25" s="116"/>
      <c r="J25" s="116"/>
    </row>
    <row r="26" spans="2:14" x14ac:dyDescent="0.25">
      <c r="B26" s="129" t="s">
        <v>109</v>
      </c>
      <c r="C26" s="129"/>
      <c r="D26" s="129"/>
      <c r="E26" s="129"/>
      <c r="F26" s="129"/>
      <c r="G26" s="129"/>
      <c r="H26" s="129"/>
      <c r="I26" s="129"/>
      <c r="J26" s="129"/>
    </row>
  </sheetData>
  <mergeCells count="7">
    <mergeCell ref="L5:M5"/>
    <mergeCell ref="B25:J25"/>
    <mergeCell ref="B26:J26"/>
    <mergeCell ref="B3:B4"/>
    <mergeCell ref="G20:I20"/>
    <mergeCell ref="B23:J23"/>
    <mergeCell ref="B24:J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16"/>
  <sheetViews>
    <sheetView workbookViewId="0">
      <selection activeCell="K9" sqref="K9"/>
    </sheetView>
  </sheetViews>
  <sheetFormatPr defaultColWidth="9.140625" defaultRowHeight="12.75" x14ac:dyDescent="0.2"/>
  <cols>
    <col min="1" max="1" width="1" style="1" customWidth="1"/>
    <col min="2" max="2" width="38.5703125" style="1" customWidth="1"/>
    <col min="3" max="3" width="12.5703125" style="1" customWidth="1"/>
    <col min="4" max="4" width="12.7109375" style="1" customWidth="1"/>
    <col min="5" max="5" width="14.42578125" style="1" customWidth="1"/>
    <col min="6" max="6" width="12.5703125" style="1" customWidth="1"/>
    <col min="7" max="9" width="12" style="1" customWidth="1"/>
    <col min="10" max="10" width="15.85546875" style="1" bestFit="1" customWidth="1"/>
    <col min="11" max="11" width="16.42578125" style="1" bestFit="1" customWidth="1"/>
    <col min="12" max="12" width="54.7109375" style="1" bestFit="1" customWidth="1"/>
    <col min="13" max="16384" width="9.140625" style="1"/>
  </cols>
  <sheetData>
    <row r="1" spans="2:12" s="2" customFormat="1" ht="14.45" customHeight="1" x14ac:dyDescent="0.2">
      <c r="B1" s="1"/>
      <c r="C1" s="1"/>
      <c r="D1" s="1"/>
      <c r="E1" s="1"/>
      <c r="F1" s="1"/>
      <c r="G1" s="1"/>
      <c r="J1" s="114"/>
      <c r="K1" s="114"/>
      <c r="L1" s="114"/>
    </row>
    <row r="2" spans="2:12" ht="15" customHeight="1" x14ac:dyDescent="0.2">
      <c r="B2" s="132" t="s">
        <v>110</v>
      </c>
      <c r="C2" s="133"/>
      <c r="D2" s="133"/>
      <c r="E2" s="133"/>
      <c r="F2" s="133"/>
      <c r="G2" s="133"/>
      <c r="H2" s="134"/>
      <c r="J2" s="114"/>
      <c r="K2" s="114"/>
      <c r="L2" s="114"/>
    </row>
    <row r="3" spans="2:12" x14ac:dyDescent="0.2">
      <c r="B3" s="31" t="s">
        <v>111</v>
      </c>
      <c r="C3" s="31" t="s">
        <v>112</v>
      </c>
      <c r="D3" s="31" t="s">
        <v>113</v>
      </c>
      <c r="E3" s="31" t="s">
        <v>114</v>
      </c>
      <c r="F3" s="31" t="s">
        <v>115</v>
      </c>
      <c r="G3" s="31" t="s">
        <v>116</v>
      </c>
      <c r="H3" s="31" t="s">
        <v>117</v>
      </c>
      <c r="J3" s="114"/>
      <c r="K3" s="114"/>
      <c r="L3" s="114"/>
    </row>
    <row r="4" spans="2:12" ht="57" x14ac:dyDescent="0.25">
      <c r="B4" s="32" t="s">
        <v>118</v>
      </c>
      <c r="C4" s="32" t="s">
        <v>177</v>
      </c>
      <c r="D4" s="32" t="s">
        <v>119</v>
      </c>
      <c r="E4" s="32" t="s">
        <v>120</v>
      </c>
      <c r="F4" s="32" t="s">
        <v>178</v>
      </c>
      <c r="G4" s="32" t="s">
        <v>121</v>
      </c>
      <c r="H4" s="32" t="s">
        <v>122</v>
      </c>
      <c r="I4" s="34"/>
      <c r="J4" s="143" t="s">
        <v>182</v>
      </c>
      <c r="K4" s="144" t="s">
        <v>183</v>
      </c>
      <c r="L4" s="103"/>
    </row>
    <row r="5" spans="2:12" ht="14.25" x14ac:dyDescent="0.2">
      <c r="B5" s="32" t="s">
        <v>123</v>
      </c>
      <c r="C5" s="40">
        <f>73000*(K5/J5)</f>
        <v>99635.135135135119</v>
      </c>
      <c r="D5" s="41">
        <v>0</v>
      </c>
      <c r="E5" s="40">
        <f>C5*D5</f>
        <v>0</v>
      </c>
      <c r="F5" s="40">
        <f>17100*(K5/J5)</f>
        <v>23339.189189189186</v>
      </c>
      <c r="G5" s="102">
        <v>9</v>
      </c>
      <c r="H5" s="40">
        <f>F5*G5</f>
        <v>210052.70270270266</v>
      </c>
      <c r="J5" s="144">
        <v>584.6</v>
      </c>
      <c r="K5" s="144">
        <v>797.9</v>
      </c>
    </row>
    <row r="6" spans="2:12" ht="28.5" x14ac:dyDescent="0.2">
      <c r="B6" s="32" t="s">
        <v>124</v>
      </c>
      <c r="C6" s="40" t="s">
        <v>27</v>
      </c>
      <c r="D6" s="41">
        <v>0</v>
      </c>
      <c r="E6" s="40">
        <v>0</v>
      </c>
      <c r="F6" s="40">
        <f>141.75*24</f>
        <v>3402</v>
      </c>
      <c r="G6" s="102">
        <v>41</v>
      </c>
      <c r="H6" s="40">
        <f>F6*G6</f>
        <v>139482</v>
      </c>
    </row>
    <row r="7" spans="2:12" ht="28.5" x14ac:dyDescent="0.2">
      <c r="B7" s="32" t="s">
        <v>125</v>
      </c>
      <c r="C7" s="40" t="s">
        <v>27</v>
      </c>
      <c r="D7" s="41">
        <v>0</v>
      </c>
      <c r="E7" s="40">
        <v>0</v>
      </c>
      <c r="F7" s="40">
        <f>141.75*24</f>
        <v>3402</v>
      </c>
      <c r="G7" s="102">
        <f>'Table 1'!F24*4</f>
        <v>952</v>
      </c>
      <c r="H7" s="40">
        <f>F7*G7</f>
        <v>3238704</v>
      </c>
    </row>
    <row r="8" spans="2:12" ht="15.75" x14ac:dyDescent="0.2">
      <c r="B8" s="32" t="s">
        <v>179</v>
      </c>
      <c r="C8" s="48"/>
      <c r="D8" s="48"/>
      <c r="E8" s="52">
        <f>SUM(E5:E7)</f>
        <v>0</v>
      </c>
      <c r="F8" s="48"/>
      <c r="G8" s="48"/>
      <c r="H8" s="42">
        <f>ROUND(SUM(H5:H7),-4)</f>
        <v>3590000</v>
      </c>
      <c r="I8" s="2"/>
    </row>
    <row r="9" spans="2:12" x14ac:dyDescent="0.2">
      <c r="B9" s="1" t="s">
        <v>127</v>
      </c>
      <c r="C9" s="50"/>
      <c r="D9" s="50"/>
      <c r="E9" s="44"/>
      <c r="F9" s="44"/>
      <c r="G9" s="45"/>
      <c r="H9" s="44"/>
      <c r="I9" s="2"/>
    </row>
    <row r="10" spans="2:12" x14ac:dyDescent="0.2">
      <c r="B10" s="43" t="s">
        <v>81</v>
      </c>
    </row>
    <row r="12" spans="2:12" x14ac:dyDescent="0.2">
      <c r="B12" s="1" t="s">
        <v>107</v>
      </c>
    </row>
    <row r="13" spans="2:12" ht="15.75" x14ac:dyDescent="0.2">
      <c r="B13" s="113" t="s">
        <v>162</v>
      </c>
      <c r="J13" s="110"/>
    </row>
    <row r="14" spans="2:12" ht="15.75" x14ac:dyDescent="0.2">
      <c r="B14" s="104" t="s">
        <v>128</v>
      </c>
    </row>
    <row r="15" spans="2:12" ht="15.75" x14ac:dyDescent="0.2">
      <c r="B15" s="105" t="s">
        <v>129</v>
      </c>
    </row>
    <row r="16" spans="2:12" ht="15.75" x14ac:dyDescent="0.2">
      <c r="B16" s="1" t="s">
        <v>180</v>
      </c>
    </row>
  </sheetData>
  <mergeCells count="1">
    <mergeCell ref="B2:H2"/>
  </mergeCells>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2"/>
  <sheetViews>
    <sheetView workbookViewId="0">
      <selection activeCell="B1" sqref="B1"/>
    </sheetView>
  </sheetViews>
  <sheetFormatPr defaultColWidth="9.140625" defaultRowHeight="12.75" x14ac:dyDescent="0.2"/>
  <cols>
    <col min="1" max="1" width="1" style="11" customWidth="1"/>
    <col min="2" max="2" width="9.7109375" style="11" customWidth="1"/>
    <col min="3" max="3" width="12.85546875" style="11" bestFit="1" customWidth="1"/>
    <col min="4" max="4" width="15.5703125" style="11" bestFit="1" customWidth="1"/>
    <col min="5" max="5" width="18.5703125" style="11" customWidth="1"/>
    <col min="6" max="6" width="15.5703125" style="11" bestFit="1" customWidth="1"/>
    <col min="7" max="7" width="12.85546875" style="11" customWidth="1"/>
    <col min="8" max="16384" width="9.140625" style="11"/>
  </cols>
  <sheetData>
    <row r="2" spans="2:9" ht="15.75" x14ac:dyDescent="0.2">
      <c r="B2" s="135" t="s">
        <v>2</v>
      </c>
      <c r="C2" s="136"/>
      <c r="D2" s="136"/>
      <c r="E2" s="136"/>
      <c r="F2" s="136"/>
      <c r="G2" s="137"/>
    </row>
    <row r="3" spans="2:9" ht="24" customHeight="1" x14ac:dyDescent="0.2">
      <c r="B3" s="12"/>
      <c r="C3" s="138" t="s">
        <v>130</v>
      </c>
      <c r="D3" s="139"/>
      <c r="E3" s="13" t="s">
        <v>131</v>
      </c>
      <c r="F3" s="138"/>
      <c r="G3" s="139"/>
    </row>
    <row r="4" spans="2:9" x14ac:dyDescent="0.2">
      <c r="B4" s="14"/>
      <c r="C4" s="15" t="s">
        <v>111</v>
      </c>
      <c r="D4" s="15" t="s">
        <v>112</v>
      </c>
      <c r="E4" s="15" t="s">
        <v>113</v>
      </c>
      <c r="F4" s="15" t="s">
        <v>114</v>
      </c>
      <c r="G4" s="15" t="s">
        <v>115</v>
      </c>
    </row>
    <row r="5" spans="2:9" ht="51" x14ac:dyDescent="0.2">
      <c r="B5" s="15" t="s">
        <v>132</v>
      </c>
      <c r="C5" s="15" t="s">
        <v>119</v>
      </c>
      <c r="D5" s="15" t="s">
        <v>133</v>
      </c>
      <c r="E5" s="15" t="s">
        <v>134</v>
      </c>
      <c r="F5" s="15" t="s">
        <v>135</v>
      </c>
      <c r="G5" s="15" t="s">
        <v>2</v>
      </c>
    </row>
    <row r="6" spans="2:9" x14ac:dyDescent="0.2">
      <c r="B6" s="15"/>
      <c r="C6" s="15"/>
      <c r="D6" s="15"/>
      <c r="E6" s="15"/>
      <c r="F6" s="15"/>
      <c r="G6" s="15" t="s">
        <v>136</v>
      </c>
    </row>
    <row r="7" spans="2:9" x14ac:dyDescent="0.2">
      <c r="B7" s="29">
        <v>1</v>
      </c>
      <c r="C7" s="47">
        <v>0</v>
      </c>
      <c r="D7" s="47">
        <v>417</v>
      </c>
      <c r="E7" s="47">
        <v>0</v>
      </c>
      <c r="F7" s="47">
        <v>0</v>
      </c>
      <c r="G7" s="47">
        <f>C7+D7+E7-F7</f>
        <v>417</v>
      </c>
      <c r="H7" s="86"/>
      <c r="I7" s="86"/>
    </row>
    <row r="8" spans="2:9" x14ac:dyDescent="0.2">
      <c r="B8" s="29">
        <v>2</v>
      </c>
      <c r="C8" s="47">
        <f>C7</f>
        <v>0</v>
      </c>
      <c r="D8" s="47">
        <f>G7</f>
        <v>417</v>
      </c>
      <c r="E8" s="47">
        <v>0</v>
      </c>
      <c r="F8" s="47">
        <v>0</v>
      </c>
      <c r="G8" s="47">
        <f>C8+D8+E8-F8</f>
        <v>417</v>
      </c>
    </row>
    <row r="9" spans="2:9" x14ac:dyDescent="0.2">
      <c r="B9" s="29">
        <v>3</v>
      </c>
      <c r="C9" s="47">
        <f>C8</f>
        <v>0</v>
      </c>
      <c r="D9" s="47">
        <f>G8</f>
        <v>417</v>
      </c>
      <c r="E9" s="47">
        <v>0</v>
      </c>
      <c r="F9" s="47">
        <v>0</v>
      </c>
      <c r="G9" s="47">
        <f>C9+D9+E9-F9</f>
        <v>417</v>
      </c>
    </row>
    <row r="10" spans="2:9" x14ac:dyDescent="0.2">
      <c r="B10" s="29" t="s">
        <v>137</v>
      </c>
      <c r="C10" s="47">
        <f>AVERAGE(C7:C9)</f>
        <v>0</v>
      </c>
      <c r="D10" s="47">
        <f>AVERAGE(D7:D9)</f>
        <v>417</v>
      </c>
      <c r="E10" s="30">
        <f t="shared" ref="E10:F10" si="0">AVERAGE(E7:E9)</f>
        <v>0</v>
      </c>
      <c r="F10" s="30">
        <f t="shared" si="0"/>
        <v>0</v>
      </c>
      <c r="G10" s="30">
        <f>AVERAGE(G7:G9)</f>
        <v>417</v>
      </c>
    </row>
    <row r="11" spans="2:9" ht="59.25" customHeight="1" x14ac:dyDescent="0.2">
      <c r="B11" s="140" t="s">
        <v>181</v>
      </c>
      <c r="C11" s="140"/>
      <c r="D11" s="140"/>
      <c r="E11" s="140"/>
      <c r="F11" s="140"/>
      <c r="G11" s="140"/>
    </row>
    <row r="12" spans="2:9" ht="15.75" x14ac:dyDescent="0.2">
      <c r="B12" s="37"/>
      <c r="C12" s="37"/>
      <c r="D12" s="37"/>
      <c r="E12" s="37"/>
      <c r="F12" s="37"/>
      <c r="G12" s="37"/>
    </row>
  </sheetData>
  <mergeCells count="4">
    <mergeCell ref="B2:G2"/>
    <mergeCell ref="C3:D3"/>
    <mergeCell ref="F3:G3"/>
    <mergeCell ref="B11:G11"/>
  </mergeCells>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8"/>
  <sheetViews>
    <sheetView workbookViewId="0">
      <selection activeCell="B1" sqref="B1"/>
    </sheetView>
  </sheetViews>
  <sheetFormatPr defaultColWidth="9.140625" defaultRowHeight="12.75" x14ac:dyDescent="0.2"/>
  <cols>
    <col min="1" max="1" width="0.7109375" style="11" customWidth="1"/>
    <col min="2" max="2" width="32.140625" style="11" customWidth="1"/>
    <col min="3" max="4" width="10" style="11" customWidth="1"/>
    <col min="5" max="5" width="16" style="11" customWidth="1"/>
    <col min="6" max="6" width="10.5703125" style="11" customWidth="1"/>
    <col min="7" max="7" width="10.140625" style="11" customWidth="1"/>
    <col min="8" max="16384" width="9.140625" style="11"/>
  </cols>
  <sheetData>
    <row r="2" spans="2:11" ht="15.75" customHeight="1" x14ac:dyDescent="0.2">
      <c r="B2" s="141" t="s">
        <v>138</v>
      </c>
      <c r="C2" s="141"/>
      <c r="D2" s="141"/>
      <c r="E2" s="141"/>
      <c r="F2" s="141"/>
      <c r="G2" s="16"/>
    </row>
    <row r="3" spans="2:11" ht="63.75" customHeight="1" x14ac:dyDescent="0.2">
      <c r="B3" s="17" t="s">
        <v>139</v>
      </c>
      <c r="C3" s="27" t="s">
        <v>140</v>
      </c>
      <c r="D3" s="27" t="s">
        <v>141</v>
      </c>
      <c r="E3" s="17" t="s">
        <v>142</v>
      </c>
      <c r="F3" s="17" t="s">
        <v>143</v>
      </c>
      <c r="G3" s="18"/>
    </row>
    <row r="4" spans="2:11" ht="15.75" x14ac:dyDescent="0.2">
      <c r="B4" s="60" t="s">
        <v>144</v>
      </c>
      <c r="C4" s="26"/>
      <c r="D4" s="100"/>
      <c r="E4" s="27"/>
      <c r="F4" s="27"/>
      <c r="G4" s="19"/>
      <c r="H4" s="51"/>
      <c r="I4" s="51"/>
      <c r="J4" s="51"/>
    </row>
    <row r="5" spans="2:11" x14ac:dyDescent="0.2">
      <c r="B5" s="66" t="s">
        <v>145</v>
      </c>
      <c r="C5" s="26">
        <f>'Table 1'!F11</f>
        <v>0</v>
      </c>
      <c r="D5" s="100">
        <v>33</v>
      </c>
      <c r="E5" s="27">
        <v>0</v>
      </c>
      <c r="F5" s="26">
        <f>C5*D5+E5</f>
        <v>0</v>
      </c>
      <c r="G5" s="19"/>
      <c r="H5" s="51"/>
      <c r="I5" s="51"/>
      <c r="J5" s="51"/>
    </row>
    <row r="6" spans="2:11" x14ac:dyDescent="0.2">
      <c r="B6" s="66" t="s">
        <v>146</v>
      </c>
      <c r="C6" s="26">
        <f>'Table 1'!F12</f>
        <v>0</v>
      </c>
      <c r="D6" s="100">
        <v>4</v>
      </c>
      <c r="E6" s="27">
        <v>0</v>
      </c>
      <c r="F6" s="26">
        <f t="shared" ref="F6:F8" si="0">C6*D6+E6</f>
        <v>0</v>
      </c>
      <c r="G6" s="19"/>
      <c r="H6" s="51"/>
      <c r="I6" s="51"/>
      <c r="J6" s="51"/>
    </row>
    <row r="7" spans="2:11" x14ac:dyDescent="0.2">
      <c r="B7" s="66" t="s">
        <v>147</v>
      </c>
      <c r="C7" s="26">
        <f>'Table 1'!F13</f>
        <v>0</v>
      </c>
      <c r="D7" s="101">
        <v>1</v>
      </c>
      <c r="E7" s="27">
        <v>0</v>
      </c>
      <c r="F7" s="26">
        <f t="shared" si="0"/>
        <v>0</v>
      </c>
      <c r="G7" s="49"/>
      <c r="H7" s="51"/>
      <c r="I7" s="51"/>
      <c r="J7" s="51"/>
    </row>
    <row r="8" spans="2:11" x14ac:dyDescent="0.2">
      <c r="B8" s="66" t="s">
        <v>148</v>
      </c>
      <c r="C8" s="26">
        <f>'Table 1'!F14</f>
        <v>0</v>
      </c>
      <c r="D8" s="101">
        <v>1</v>
      </c>
      <c r="E8" s="27">
        <v>0</v>
      </c>
      <c r="F8" s="26">
        <f t="shared" si="0"/>
        <v>0</v>
      </c>
      <c r="G8" s="49"/>
      <c r="H8" s="51"/>
      <c r="I8" s="51"/>
      <c r="J8" s="51"/>
    </row>
    <row r="9" spans="2:11" x14ac:dyDescent="0.2">
      <c r="B9" s="60" t="s">
        <v>149</v>
      </c>
      <c r="C9" s="75"/>
      <c r="D9" s="75"/>
      <c r="E9" s="75"/>
      <c r="F9" s="75"/>
      <c r="G9" s="49"/>
      <c r="H9" s="51"/>
      <c r="I9" s="51"/>
      <c r="J9" s="51"/>
    </row>
    <row r="10" spans="2:11" x14ac:dyDescent="0.2">
      <c r="B10" s="66" t="s">
        <v>150</v>
      </c>
      <c r="C10" s="26">
        <f>'Table 1'!F18</f>
        <v>0</v>
      </c>
      <c r="D10" s="101">
        <v>1</v>
      </c>
      <c r="E10" s="27">
        <v>0</v>
      </c>
      <c r="F10" s="26">
        <f t="shared" ref="F10:F15" si="1">C10*D10+E10</f>
        <v>0</v>
      </c>
      <c r="G10" s="49"/>
      <c r="H10" s="51"/>
      <c r="I10" s="51"/>
      <c r="J10" s="51"/>
    </row>
    <row r="11" spans="2:11" x14ac:dyDescent="0.2">
      <c r="B11" s="66" t="s">
        <v>151</v>
      </c>
      <c r="C11" s="26">
        <f>'Table 1'!F19</f>
        <v>6.75</v>
      </c>
      <c r="D11" s="100">
        <v>1</v>
      </c>
      <c r="E11" s="27">
        <v>0</v>
      </c>
      <c r="F11" s="26">
        <f>C11*D11+E11</f>
        <v>6.75</v>
      </c>
      <c r="G11" s="49"/>
      <c r="H11" s="51"/>
      <c r="I11" s="51"/>
      <c r="J11" s="51"/>
    </row>
    <row r="12" spans="2:11" x14ac:dyDescent="0.2">
      <c r="B12" s="66" t="s">
        <v>152</v>
      </c>
      <c r="C12" s="26">
        <f>'Table 1'!F20</f>
        <v>30.75</v>
      </c>
      <c r="D12" s="101">
        <v>1</v>
      </c>
      <c r="E12" s="27">
        <v>0</v>
      </c>
      <c r="F12" s="26">
        <f t="shared" si="1"/>
        <v>30.75</v>
      </c>
      <c r="G12" s="19"/>
      <c r="H12" s="51"/>
      <c r="I12" s="51"/>
      <c r="J12" s="51"/>
    </row>
    <row r="13" spans="2:11" x14ac:dyDescent="0.2">
      <c r="B13" s="66" t="s">
        <v>153</v>
      </c>
      <c r="C13" s="100">
        <f>'Table 1'!F21</f>
        <v>1314</v>
      </c>
      <c r="D13" s="100">
        <v>1</v>
      </c>
      <c r="E13" s="27">
        <v>0</v>
      </c>
      <c r="F13" s="26">
        <f t="shared" si="1"/>
        <v>1314</v>
      </c>
      <c r="G13" s="19"/>
      <c r="H13" s="51"/>
      <c r="I13" s="51"/>
      <c r="J13" s="51"/>
    </row>
    <row r="14" spans="2:11" x14ac:dyDescent="0.2">
      <c r="B14" s="66" t="s">
        <v>154</v>
      </c>
      <c r="C14" s="100">
        <f>'Table 1'!F22</f>
        <v>235</v>
      </c>
      <c r="D14" s="100">
        <v>1</v>
      </c>
      <c r="E14" s="27">
        <v>0</v>
      </c>
      <c r="F14" s="26">
        <f t="shared" si="1"/>
        <v>235</v>
      </c>
      <c r="G14" s="19"/>
      <c r="H14" s="51"/>
      <c r="I14" s="51"/>
      <c r="J14" s="51"/>
    </row>
    <row r="15" spans="2:11" x14ac:dyDescent="0.2">
      <c r="B15" s="66" t="s">
        <v>155</v>
      </c>
      <c r="C15" s="100">
        <f>'Table 1'!F23</f>
        <v>35.25</v>
      </c>
      <c r="D15" s="101">
        <v>1</v>
      </c>
      <c r="E15" s="27">
        <v>0</v>
      </c>
      <c r="F15" s="26">
        <f t="shared" si="1"/>
        <v>35.25</v>
      </c>
      <c r="G15" s="19"/>
      <c r="H15" s="51"/>
      <c r="I15" s="51"/>
      <c r="J15" s="51"/>
    </row>
    <row r="16" spans="2:11" x14ac:dyDescent="0.2">
      <c r="B16" s="66" t="s">
        <v>156</v>
      </c>
      <c r="C16" s="100">
        <f>'Table 1'!F24</f>
        <v>238</v>
      </c>
      <c r="D16" s="101">
        <v>1</v>
      </c>
      <c r="E16" s="27">
        <v>0</v>
      </c>
      <c r="F16" s="26">
        <f>C16*D16+E16</f>
        <v>238</v>
      </c>
      <c r="G16" s="49"/>
      <c r="H16" s="51"/>
      <c r="I16" s="51"/>
      <c r="J16" s="51"/>
      <c r="K16" s="51"/>
    </row>
    <row r="17" spans="2:11" x14ac:dyDescent="0.2">
      <c r="B17" s="60" t="s">
        <v>157</v>
      </c>
      <c r="C17" s="75"/>
      <c r="D17" s="75"/>
      <c r="E17" s="75"/>
      <c r="F17" s="75"/>
      <c r="G17" s="49"/>
      <c r="H17" s="51"/>
      <c r="I17" s="51"/>
      <c r="J17" s="51"/>
      <c r="K17" s="51"/>
    </row>
    <row r="18" spans="2:11" x14ac:dyDescent="0.2">
      <c r="B18" s="66" t="s">
        <v>158</v>
      </c>
      <c r="C18" s="26">
        <f>'Table 1'!F26</f>
        <v>68.25</v>
      </c>
      <c r="D18" s="101">
        <v>2</v>
      </c>
      <c r="E18" s="27">
        <v>0</v>
      </c>
      <c r="F18" s="26">
        <f>C18*D18+E18</f>
        <v>136.5</v>
      </c>
      <c r="G18" s="49"/>
      <c r="H18" s="51"/>
      <c r="I18" s="51"/>
      <c r="J18" s="51"/>
      <c r="K18" s="51"/>
    </row>
    <row r="19" spans="2:11" x14ac:dyDescent="0.2">
      <c r="B19" s="28"/>
      <c r="C19" s="28"/>
      <c r="D19" s="28"/>
      <c r="E19" s="27" t="s">
        <v>126</v>
      </c>
      <c r="F19" s="26">
        <f>SUM(F4:F18)</f>
        <v>1996.25</v>
      </c>
      <c r="G19" s="49"/>
      <c r="H19" s="51"/>
      <c r="I19" s="51"/>
      <c r="J19" s="51"/>
      <c r="K19" s="51"/>
    </row>
    <row r="20" spans="2:11" x14ac:dyDescent="0.2">
      <c r="B20" s="87"/>
      <c r="C20" s="87"/>
      <c r="D20" s="87"/>
      <c r="E20" s="88"/>
      <c r="F20" s="89"/>
      <c r="G20" s="18"/>
      <c r="H20" s="51"/>
      <c r="I20" s="51"/>
      <c r="J20" s="51"/>
      <c r="K20" s="51"/>
    </row>
    <row r="21" spans="2:11" x14ac:dyDescent="0.2">
      <c r="B21" s="87" t="s">
        <v>159</v>
      </c>
      <c r="C21" s="87"/>
      <c r="D21" s="87"/>
      <c r="E21" s="88"/>
      <c r="F21" s="89"/>
      <c r="G21" s="18"/>
      <c r="H21" s="51"/>
      <c r="I21" s="51"/>
      <c r="J21" s="51"/>
      <c r="K21" s="51"/>
    </row>
    <row r="22" spans="2:11" ht="26.1" customHeight="1" x14ac:dyDescent="0.2">
      <c r="B22" s="142" t="s">
        <v>160</v>
      </c>
      <c r="C22" s="142"/>
      <c r="D22" s="142"/>
      <c r="E22" s="142"/>
      <c r="F22" s="142"/>
      <c r="G22" s="18"/>
      <c r="H22" s="51"/>
      <c r="I22" s="51"/>
      <c r="J22" s="51"/>
    </row>
    <row r="23" spans="2:11" ht="23.25" customHeight="1" x14ac:dyDescent="0.2">
      <c r="E23" s="36" t="s">
        <v>161</v>
      </c>
      <c r="F23" s="94">
        <f>'Table 1'!G40/F19</f>
        <v>27.201001878522231</v>
      </c>
      <c r="G23" s="18"/>
      <c r="H23" s="51"/>
      <c r="I23" s="51"/>
      <c r="J23" s="51"/>
    </row>
    <row r="24" spans="2:11" x14ac:dyDescent="0.2">
      <c r="H24" s="51"/>
      <c r="I24" s="51"/>
      <c r="J24" s="51"/>
    </row>
    <row r="25" spans="2:11" x14ac:dyDescent="0.2">
      <c r="H25" s="51"/>
      <c r="I25" s="51"/>
      <c r="J25" s="51"/>
    </row>
    <row r="26" spans="2:11" x14ac:dyDescent="0.2">
      <c r="H26" s="51"/>
      <c r="I26" s="51"/>
      <c r="J26" s="51"/>
    </row>
    <row r="27" spans="2:11" x14ac:dyDescent="0.2">
      <c r="H27" s="51"/>
      <c r="I27" s="51"/>
      <c r="J27" s="51"/>
    </row>
    <row r="28" spans="2:11" x14ac:dyDescent="0.2">
      <c r="H28" s="51"/>
      <c r="I28" s="51"/>
      <c r="J28" s="51"/>
    </row>
  </sheetData>
  <mergeCells count="2">
    <mergeCell ref="B2:F2"/>
    <mergeCell ref="B22:F2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2025-04-14T13:55:30+00:00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02fe02c4-dc41-46ff-9d52-90c0a1b1f61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A905DDA-D59C-4EBE-8F84-8CCEA4C65977}">
  <ds:schemaRefs>
    <ds:schemaRef ds:uri="http://purl.org/dc/dcmitype/"/>
    <ds:schemaRef ds:uri="4d6aed1e-57d3-46e3-9aba-f706adbce63b"/>
    <ds:schemaRef ds:uri="http://purl.org/dc/terms/"/>
    <ds:schemaRef ds:uri="1891fcec-84c2-4840-9468-b51a784ab0d1"/>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79A33E-8F99-4667-84F7-B1A7D164902F}"/>
</file>

<file path=customXml/itemProps3.xml><?xml version="1.0" encoding="utf-8"?>
<ds:datastoreItem xmlns:ds="http://schemas.openxmlformats.org/officeDocument/2006/customXml" ds:itemID="{8B5A611E-D567-479A-8151-F45D73151ACE}">
  <ds:schemaRefs>
    <ds:schemaRef ds:uri="http://schemas.microsoft.com/sharepoint/v3/contenttype/forms"/>
  </ds:schemaRefs>
</ds:datastoreItem>
</file>

<file path=customXml/itemProps4.xml><?xml version="1.0" encoding="utf-8"?>
<ds:datastoreItem xmlns:ds="http://schemas.openxmlformats.org/officeDocument/2006/customXml" ds:itemID="{02DC8F26-1CE8-4564-91E6-E2957834EF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ERG</dc:creator>
  <cp:keywords/>
  <dc:description/>
  <cp:lastModifiedBy>ERG</cp:lastModifiedBy>
  <cp:revision/>
  <dcterms:created xsi:type="dcterms:W3CDTF">2014-10-21T14:07:44Z</dcterms:created>
  <dcterms:modified xsi:type="dcterms:W3CDTF">2025-04-14T12:01:24Z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