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8_{EB76247E-8708-4C8C-B662-39DA11726238}" xr6:coauthVersionLast="47" xr6:coauthVersionMax="47" xr10:uidLastSave="{00000000-0000-0000-0000-000000000000}"/>
  <bookViews>
    <workbookView xWindow="9585" yWindow="3330" windowWidth="19410" windowHeight="12375" xr2:uid="{D064E04F-0D81-4B21-AC99-1B8B6666C26C}"/>
  </bookViews>
  <sheets>
    <sheet name="ICR Final Summary Tables" sheetId="9" r:id="rId1"/>
    <sheet name="SLT NEI burden details" sheetId="4" r:id="rId2"/>
    <sheet name="Facility counts worksheet" sheetId="6" r:id="rId3"/>
    <sheet name="Labor Information" sheetId="2" r:id="rId4"/>
    <sheet name="Facility burden summary tables" sheetId="5" r:id="rId5"/>
    <sheet name="FR notice #s" sheetId="10" r:id="rId6"/>
  </sheets>
  <definedNames>
    <definedName name="_Hlk77249047" localSheetId="0">'ICR Final Summary Tables'!#REF!</definedName>
    <definedName name="_Ref107398093" localSheetId="1">'SLT NEI burden details'!$AJ$2</definedName>
    <definedName name="_Ref107498455" localSheetId="4">'Facility burden summary tables'!$A$17</definedName>
    <definedName name="NoFacilityfromSLTVoluntaryHAP" localSheetId="4">'Facility counts worksheet'!#REF!</definedName>
    <definedName name="NoFacilityfromSLTVoluntaryHAP" localSheetId="2">'Facility counts worksheet'!#REF!</definedName>
    <definedName name="NoFacilityfromSLTVoluntaryHAP" localSheetId="0">'Facility counts worksheet'!#REF!</definedName>
    <definedName name="NoFacilityfromSLTVoluntaryHAP">'Facility counts worksheet'!#REF!</definedName>
    <definedName name="NoSLTSelectDirectFacilityHAP" localSheetId="4">'SLT NEI burden details'!$F$17</definedName>
    <definedName name="NoSLTSelectDirectFacilityHAP" localSheetId="2">'SLT NEI burden details'!$F$17</definedName>
    <definedName name="NoSLTSelectDirectFacilityHAP" localSheetId="0">'SLT NEI burden details'!$F$17</definedName>
    <definedName name="NoSLTSelectDirectFacilityHAP">'SLT NEI burden details'!$F$17</definedName>
    <definedName name="NoSLTsReporting" localSheetId="4">'SLT NEI burden details'!$B$9</definedName>
    <definedName name="NoSLTsReporting" localSheetId="2">'SLT NEI burden details'!$B$9</definedName>
    <definedName name="NoSLTsReporting" localSheetId="0">'SLT NEI burden details'!$B$9</definedName>
    <definedName name="NoSLTsReporting">'SLT NEI burden details'!$B$9</definedName>
    <definedName name="NumFacilitiesSubmittedSLTs" localSheetId="4">'Facility counts worksheet'!#REF!</definedName>
    <definedName name="NumFacilitiesSubmittedSLTs" localSheetId="2">'Facility counts worksheet'!#REF!</definedName>
    <definedName name="NumFacilitiesSubmittedSLTs" localSheetId="0">'Facility counts worksheet'!#REF!</definedName>
    <definedName name="NumFacilitiesSubmittedSLTs">'Facility counts worksheet'!#REF!</definedName>
    <definedName name="ReqdMajorNewAERR" localSheetId="4">'Facility counts worksheet'!#REF!</definedName>
    <definedName name="ReqdMajorNewAERR" localSheetId="2">'Facility counts worksheet'!#REF!</definedName>
    <definedName name="ReqdMajorNewAERR" localSheetId="0">'Facility counts worksheet'!#REF!</definedName>
    <definedName name="ReqdMajorNewAERR">'Facility counts worksheet'!#REF!</definedName>
    <definedName name="ReqdNonMajorNewAERR" localSheetId="4">'Facility counts worksheet'!#REF!</definedName>
    <definedName name="ReqdNonMajorNewAERR" localSheetId="2">'Facility counts worksheet'!#REF!</definedName>
    <definedName name="ReqdNonMajorNewAERR" localSheetId="0">'Facility counts worksheet'!#REF!</definedName>
    <definedName name="ReqdNonMajorNewAERR">'Facility counts worksheet'!#REF!</definedName>
    <definedName name="to_Millions" localSheetId="4">#REF!</definedName>
    <definedName name="to_Millions" localSheetId="2">#REF!</definedName>
    <definedName name="to_Millions" localSheetId="0">#REF!</definedName>
    <definedName name="to_Millions">#REF!</definedName>
    <definedName name="TotalMajor">'Facility counts worksheet'!#REF!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6" i="9" l="1"/>
  <c r="D49" i="9"/>
  <c r="D35" i="2"/>
  <c r="D34" i="2"/>
  <c r="D33" i="2"/>
  <c r="H12" i="9"/>
  <c r="S31" i="4"/>
  <c r="T31" i="4" s="1"/>
  <c r="E12" i="9" s="1"/>
  <c r="AM3" i="4"/>
  <c r="AL3" i="4"/>
  <c r="B8" i="6"/>
  <c r="AA55" i="2" l="1"/>
  <c r="Z55" i="2"/>
  <c r="Y55" i="2"/>
  <c r="X55" i="2"/>
  <c r="AA53" i="2"/>
  <c r="Z53" i="2"/>
  <c r="Y53" i="2"/>
  <c r="X53" i="2"/>
  <c r="AA52" i="2"/>
  <c r="Z52" i="2"/>
  <c r="Y52" i="2"/>
  <c r="X52" i="2"/>
  <c r="AA51" i="2"/>
  <c r="Z51" i="2"/>
  <c r="Y51" i="2"/>
  <c r="X51" i="2"/>
  <c r="AA50" i="2"/>
  <c r="Z50" i="2"/>
  <c r="Y50" i="2"/>
  <c r="X50" i="2"/>
  <c r="AA49" i="2"/>
  <c r="Z49" i="2"/>
  <c r="Y49" i="2"/>
  <c r="X49" i="2"/>
  <c r="AA48" i="2"/>
  <c r="Z48" i="2"/>
  <c r="Y48" i="2"/>
  <c r="X48" i="2"/>
  <c r="AA47" i="2"/>
  <c r="Z47" i="2"/>
  <c r="Y47" i="2"/>
  <c r="X47" i="2"/>
  <c r="AA46" i="2"/>
  <c r="Z46" i="2"/>
  <c r="Y46" i="2"/>
  <c r="X46" i="2"/>
  <c r="AA45" i="2"/>
  <c r="Z45" i="2"/>
  <c r="Y45" i="2"/>
  <c r="X45" i="2"/>
  <c r="AA44" i="2"/>
  <c r="Z44" i="2"/>
  <c r="Y44" i="2"/>
  <c r="X44" i="2"/>
  <c r="AA43" i="2"/>
  <c r="Z43" i="2"/>
  <c r="Y43" i="2"/>
  <c r="X43" i="2"/>
  <c r="AA42" i="2"/>
  <c r="Z42" i="2"/>
  <c r="Y42" i="2"/>
  <c r="X42" i="2"/>
  <c r="AA41" i="2"/>
  <c r="Z41" i="2"/>
  <c r="Y41" i="2"/>
  <c r="X41" i="2"/>
  <c r="AA40" i="2"/>
  <c r="Z40" i="2"/>
  <c r="Y40" i="2"/>
  <c r="X40" i="2"/>
  <c r="AA39" i="2"/>
  <c r="Z39" i="2"/>
  <c r="Y39" i="2"/>
  <c r="X39" i="2"/>
  <c r="AA38" i="2"/>
  <c r="Z38" i="2"/>
  <c r="Y38" i="2"/>
  <c r="X38" i="2"/>
  <c r="AA37" i="2"/>
  <c r="Z37" i="2"/>
  <c r="Y37" i="2"/>
  <c r="X37" i="2"/>
  <c r="AA36" i="2"/>
  <c r="Z36" i="2"/>
  <c r="Y36" i="2"/>
  <c r="X36" i="2"/>
  <c r="AA35" i="2"/>
  <c r="Z35" i="2"/>
  <c r="Y35" i="2"/>
  <c r="X35" i="2"/>
  <c r="AA34" i="2"/>
  <c r="Z34" i="2"/>
  <c r="Y34" i="2"/>
  <c r="X34" i="2"/>
  <c r="AA33" i="2"/>
  <c r="Z33" i="2"/>
  <c r="Y33" i="2"/>
  <c r="X33" i="2"/>
  <c r="AA32" i="2"/>
  <c r="Z32" i="2"/>
  <c r="Y32" i="2"/>
  <c r="X32" i="2"/>
  <c r="AA31" i="2"/>
  <c r="Z31" i="2"/>
  <c r="Y31" i="2"/>
  <c r="X31" i="2"/>
  <c r="AA30" i="2"/>
  <c r="Z30" i="2"/>
  <c r="Y30" i="2"/>
  <c r="X30" i="2"/>
  <c r="AA29" i="2"/>
  <c r="Z29" i="2"/>
  <c r="Y29" i="2"/>
  <c r="X29" i="2"/>
  <c r="AA28" i="2"/>
  <c r="Z28" i="2"/>
  <c r="Y28" i="2"/>
  <c r="X28" i="2"/>
  <c r="AA27" i="2"/>
  <c r="Z27" i="2"/>
  <c r="Y27" i="2"/>
  <c r="X27" i="2"/>
  <c r="AA26" i="2"/>
  <c r="Z26" i="2"/>
  <c r="Y26" i="2"/>
  <c r="X26" i="2"/>
  <c r="AA25" i="2"/>
  <c r="Z25" i="2"/>
  <c r="Y25" i="2"/>
  <c r="X25" i="2"/>
  <c r="AA24" i="2"/>
  <c r="Z24" i="2"/>
  <c r="Y24" i="2"/>
  <c r="X24" i="2"/>
  <c r="AA23" i="2"/>
  <c r="Z23" i="2"/>
  <c r="Y23" i="2"/>
  <c r="X23" i="2"/>
  <c r="AA22" i="2"/>
  <c r="Z22" i="2"/>
  <c r="Y22" i="2"/>
  <c r="X22" i="2"/>
  <c r="AA21" i="2"/>
  <c r="Z21" i="2"/>
  <c r="Y21" i="2"/>
  <c r="X21" i="2"/>
  <c r="AA20" i="2"/>
  <c r="Z20" i="2"/>
  <c r="Y20" i="2"/>
  <c r="X20" i="2"/>
  <c r="AA19" i="2"/>
  <c r="Z19" i="2"/>
  <c r="Y19" i="2"/>
  <c r="X19" i="2"/>
  <c r="AA18" i="2"/>
  <c r="Z18" i="2"/>
  <c r="Y18" i="2"/>
  <c r="X18" i="2"/>
  <c r="AA17" i="2"/>
  <c r="Z17" i="2"/>
  <c r="Y17" i="2"/>
  <c r="X17" i="2"/>
  <c r="AA16" i="2"/>
  <c r="Z16" i="2"/>
  <c r="Y16" i="2"/>
  <c r="X16" i="2"/>
  <c r="AA15" i="2"/>
  <c r="Z15" i="2"/>
  <c r="Y15" i="2"/>
  <c r="X15" i="2"/>
  <c r="AA14" i="2"/>
  <c r="Z14" i="2"/>
  <c r="Y14" i="2"/>
  <c r="X14" i="2"/>
  <c r="AA13" i="2"/>
  <c r="Z13" i="2"/>
  <c r="Y13" i="2"/>
  <c r="X13" i="2"/>
  <c r="AA12" i="2"/>
  <c r="Z12" i="2"/>
  <c r="Y12" i="2"/>
  <c r="X12" i="2"/>
  <c r="AA11" i="2"/>
  <c r="Z11" i="2"/>
  <c r="Y11" i="2"/>
  <c r="X11" i="2"/>
  <c r="AA10" i="2"/>
  <c r="Z10" i="2"/>
  <c r="Y10" i="2"/>
  <c r="X10" i="2"/>
  <c r="AA9" i="2"/>
  <c r="Z9" i="2"/>
  <c r="Y9" i="2"/>
  <c r="X9" i="2"/>
  <c r="AA8" i="2"/>
  <c r="Z8" i="2"/>
  <c r="Y8" i="2"/>
  <c r="X8" i="2"/>
  <c r="AA7" i="2"/>
  <c r="Z7" i="2"/>
  <c r="Y7" i="2"/>
  <c r="X7" i="2"/>
  <c r="AA6" i="2"/>
  <c r="Z6" i="2"/>
  <c r="Y6" i="2"/>
  <c r="X6" i="2"/>
  <c r="AA5" i="2"/>
  <c r="Z5" i="2"/>
  <c r="Y5" i="2"/>
  <c r="X5" i="2"/>
  <c r="AA4" i="2"/>
  <c r="AA57" i="2" s="1"/>
  <c r="C15" i="2" s="1"/>
  <c r="D15" i="2" s="1"/>
  <c r="Z4" i="2"/>
  <c r="Y4" i="2"/>
  <c r="X4" i="2"/>
  <c r="AA3" i="2"/>
  <c r="Z3" i="2"/>
  <c r="Z57" i="2" s="1"/>
  <c r="C13" i="2" s="1"/>
  <c r="D13" i="2" s="1"/>
  <c r="Y3" i="2"/>
  <c r="Y57" i="2" s="1"/>
  <c r="C12" i="2" s="1"/>
  <c r="D12" i="2" s="1"/>
  <c r="X3" i="2"/>
  <c r="X57" i="2" s="1"/>
  <c r="C14" i="2" s="1"/>
  <c r="D14" i="2" s="1"/>
  <c r="L57" i="2"/>
  <c r="V15" i="2"/>
  <c r="U15" i="2"/>
  <c r="T15" i="2"/>
  <c r="S15" i="2"/>
  <c r="V14" i="2"/>
  <c r="U14" i="2"/>
  <c r="T14" i="2"/>
  <c r="S14" i="2"/>
  <c r="K57" i="2"/>
  <c r="U56" i="2"/>
  <c r="V55" i="2"/>
  <c r="U55" i="2"/>
  <c r="T55" i="2"/>
  <c r="S55" i="2"/>
  <c r="U54" i="2"/>
  <c r="S54" i="2"/>
  <c r="V53" i="2"/>
  <c r="U53" i="2"/>
  <c r="T53" i="2"/>
  <c r="S53" i="2"/>
  <c r="V52" i="2"/>
  <c r="U52" i="2"/>
  <c r="T52" i="2"/>
  <c r="S52" i="2"/>
  <c r="V51" i="2"/>
  <c r="U51" i="2"/>
  <c r="T51" i="2"/>
  <c r="S51" i="2"/>
  <c r="V50" i="2"/>
  <c r="U50" i="2"/>
  <c r="T50" i="2"/>
  <c r="S50" i="2"/>
  <c r="V49" i="2"/>
  <c r="U49" i="2"/>
  <c r="T49" i="2"/>
  <c r="S49" i="2"/>
  <c r="V48" i="2"/>
  <c r="U48" i="2"/>
  <c r="T48" i="2"/>
  <c r="S48" i="2"/>
  <c r="V47" i="2"/>
  <c r="U47" i="2"/>
  <c r="T47" i="2"/>
  <c r="S47" i="2"/>
  <c r="V46" i="2"/>
  <c r="U46" i="2"/>
  <c r="T46" i="2"/>
  <c r="S46" i="2"/>
  <c r="V45" i="2"/>
  <c r="U45" i="2"/>
  <c r="T45" i="2"/>
  <c r="S45" i="2"/>
  <c r="V44" i="2"/>
  <c r="U44" i="2"/>
  <c r="T44" i="2"/>
  <c r="S44" i="2"/>
  <c r="V43" i="2"/>
  <c r="U43" i="2"/>
  <c r="T43" i="2"/>
  <c r="S43" i="2"/>
  <c r="V42" i="2"/>
  <c r="U42" i="2"/>
  <c r="T42" i="2"/>
  <c r="S42" i="2"/>
  <c r="V41" i="2"/>
  <c r="U41" i="2"/>
  <c r="T41" i="2"/>
  <c r="S41" i="2"/>
  <c r="V40" i="2"/>
  <c r="U40" i="2"/>
  <c r="T40" i="2"/>
  <c r="S40" i="2"/>
  <c r="V39" i="2"/>
  <c r="U39" i="2"/>
  <c r="T39" i="2"/>
  <c r="S39" i="2"/>
  <c r="V38" i="2"/>
  <c r="U38" i="2"/>
  <c r="T38" i="2"/>
  <c r="S38" i="2"/>
  <c r="V37" i="2"/>
  <c r="U37" i="2"/>
  <c r="T37" i="2"/>
  <c r="S37" i="2"/>
  <c r="V36" i="2"/>
  <c r="U36" i="2"/>
  <c r="T36" i="2"/>
  <c r="S36" i="2"/>
  <c r="V35" i="2"/>
  <c r="U35" i="2"/>
  <c r="T35" i="2"/>
  <c r="S35" i="2"/>
  <c r="V34" i="2"/>
  <c r="U34" i="2"/>
  <c r="T34" i="2"/>
  <c r="S34" i="2"/>
  <c r="V33" i="2"/>
  <c r="U33" i="2"/>
  <c r="T33" i="2"/>
  <c r="S33" i="2"/>
  <c r="V32" i="2"/>
  <c r="U32" i="2"/>
  <c r="T32" i="2"/>
  <c r="S32" i="2"/>
  <c r="V31" i="2"/>
  <c r="U31" i="2"/>
  <c r="T31" i="2"/>
  <c r="S31" i="2"/>
  <c r="V30" i="2"/>
  <c r="U30" i="2"/>
  <c r="T30" i="2"/>
  <c r="S30" i="2"/>
  <c r="V29" i="2"/>
  <c r="U29" i="2"/>
  <c r="T29" i="2"/>
  <c r="S29" i="2"/>
  <c r="V28" i="2"/>
  <c r="U28" i="2"/>
  <c r="T28" i="2"/>
  <c r="S28" i="2"/>
  <c r="V27" i="2"/>
  <c r="U27" i="2"/>
  <c r="T27" i="2"/>
  <c r="S27" i="2"/>
  <c r="V26" i="2"/>
  <c r="U26" i="2"/>
  <c r="T26" i="2"/>
  <c r="S26" i="2"/>
  <c r="V25" i="2"/>
  <c r="U25" i="2"/>
  <c r="T25" i="2"/>
  <c r="S25" i="2"/>
  <c r="V24" i="2"/>
  <c r="U24" i="2"/>
  <c r="T24" i="2"/>
  <c r="S24" i="2"/>
  <c r="V23" i="2"/>
  <c r="U23" i="2"/>
  <c r="T23" i="2"/>
  <c r="S23" i="2"/>
  <c r="V22" i="2"/>
  <c r="U22" i="2"/>
  <c r="T22" i="2"/>
  <c r="S22" i="2"/>
  <c r="V21" i="2"/>
  <c r="U21" i="2"/>
  <c r="T21" i="2"/>
  <c r="S21" i="2"/>
  <c r="V20" i="2"/>
  <c r="U20" i="2"/>
  <c r="T20" i="2"/>
  <c r="S20" i="2"/>
  <c r="V19" i="2"/>
  <c r="U19" i="2"/>
  <c r="T19" i="2"/>
  <c r="S19" i="2"/>
  <c r="V18" i="2"/>
  <c r="U18" i="2"/>
  <c r="T18" i="2"/>
  <c r="S18" i="2"/>
  <c r="V17" i="2"/>
  <c r="U17" i="2"/>
  <c r="T17" i="2"/>
  <c r="S17" i="2"/>
  <c r="V16" i="2"/>
  <c r="U16" i="2"/>
  <c r="T16" i="2"/>
  <c r="S16" i="2"/>
  <c r="V13" i="2"/>
  <c r="U13" i="2"/>
  <c r="T13" i="2"/>
  <c r="S13" i="2"/>
  <c r="V12" i="2"/>
  <c r="U12" i="2"/>
  <c r="T12" i="2"/>
  <c r="S12" i="2"/>
  <c r="V11" i="2"/>
  <c r="U11" i="2"/>
  <c r="T11" i="2"/>
  <c r="S11" i="2"/>
  <c r="V10" i="2"/>
  <c r="U10" i="2"/>
  <c r="T10" i="2"/>
  <c r="S10" i="2"/>
  <c r="V9" i="2"/>
  <c r="U9" i="2"/>
  <c r="T9" i="2"/>
  <c r="S9" i="2"/>
  <c r="V8" i="2"/>
  <c r="U8" i="2"/>
  <c r="T8" i="2"/>
  <c r="S8" i="2"/>
  <c r="V7" i="2"/>
  <c r="U7" i="2"/>
  <c r="T7" i="2"/>
  <c r="S7" i="2"/>
  <c r="V6" i="2"/>
  <c r="U6" i="2"/>
  <c r="T6" i="2"/>
  <c r="S6" i="2"/>
  <c r="V5" i="2"/>
  <c r="U5" i="2"/>
  <c r="T5" i="2"/>
  <c r="S5" i="2"/>
  <c r="V4" i="2"/>
  <c r="U4" i="2"/>
  <c r="T4" i="2"/>
  <c r="S4" i="2"/>
  <c r="V3" i="2"/>
  <c r="U3" i="2"/>
  <c r="T3" i="2"/>
  <c r="S3" i="2"/>
  <c r="E10" i="6"/>
  <c r="AU13" i="4" l="1"/>
  <c r="AU15" i="4" s="1"/>
  <c r="M16" i="4"/>
  <c r="AL4" i="4"/>
  <c r="K16" i="4"/>
  <c r="AK20" i="4"/>
  <c r="AK22" i="4" s="1"/>
  <c r="AS13" i="4"/>
  <c r="AS15" i="4" s="1"/>
  <c r="AM4" i="4"/>
  <c r="L16" i="4"/>
  <c r="AT13" i="4"/>
  <c r="AT15" i="4" s="1"/>
  <c r="AL20" i="4"/>
  <c r="AL22" i="4" s="1"/>
  <c r="V57" i="2"/>
  <c r="C26" i="2" s="1"/>
  <c r="D26" i="2" s="1"/>
  <c r="S57" i="2"/>
  <c r="C25" i="2" s="1"/>
  <c r="D25" i="2" s="1"/>
  <c r="AL9" i="4" s="1"/>
  <c r="T57" i="2"/>
  <c r="C23" i="2" s="1"/>
  <c r="D23" i="2" s="1"/>
  <c r="U57" i="2"/>
  <c r="C24" i="2" s="1"/>
  <c r="D24" i="2" s="1"/>
  <c r="AM9" i="4" s="1"/>
  <c r="Z30" i="4"/>
  <c r="AD30" i="4" s="1"/>
  <c r="D18" i="4"/>
  <c r="C18" i="4"/>
  <c r="B18" i="4"/>
  <c r="J11" i="6"/>
  <c r="B6" i="4"/>
  <c r="Z55" i="4" s="1"/>
  <c r="Y45" i="4"/>
  <c r="AA18" i="4"/>
  <c r="AB29" i="4"/>
  <c r="AB53" i="4" s="1"/>
  <c r="Z29" i="4"/>
  <c r="AB54" i="4"/>
  <c r="Y54" i="4"/>
  <c r="Z44" i="4"/>
  <c r="Z43" i="4"/>
  <c r="AB17" i="4"/>
  <c r="Y48" i="4"/>
  <c r="Y47" i="4"/>
  <c r="Y46" i="4"/>
  <c r="Y44" i="4"/>
  <c r="Y43" i="4"/>
  <c r="AB7" i="4"/>
  <c r="AA7" i="4" s="1"/>
  <c r="AC7" i="4" s="1"/>
  <c r="B12" i="6"/>
  <c r="D12" i="6" s="1"/>
  <c r="C16" i="6"/>
  <c r="C21" i="6"/>
  <c r="B21" i="6"/>
  <c r="C23" i="6"/>
  <c r="B23" i="6"/>
  <c r="D23" i="6"/>
  <c r="B42" i="4" l="1"/>
  <c r="E23" i="6"/>
  <c r="C15" i="6"/>
  <c r="AB16" i="4"/>
  <c r="AD31" i="4"/>
  <c r="AD29" i="4"/>
  <c r="AB44" i="4"/>
  <c r="B22" i="6"/>
  <c r="D21" i="6"/>
  <c r="E21" i="6" s="1"/>
  <c r="B16" i="6" l="1"/>
  <c r="E22" i="6"/>
  <c r="D22" i="6"/>
  <c r="D16" i="6" s="1"/>
  <c r="E16" i="6" l="1"/>
  <c r="AC19" i="4"/>
  <c r="A23" i="9" l="1"/>
  <c r="A24" i="9"/>
  <c r="B26" i="9"/>
  <c r="G52" i="9"/>
  <c r="C47" i="9"/>
  <c r="G51" i="9"/>
  <c r="G43" i="9"/>
  <c r="D43" i="9" s="1"/>
  <c r="H33" i="9"/>
  <c r="B9" i="5"/>
  <c r="K11" i="6"/>
  <c r="B20" i="6" s="1"/>
  <c r="C9" i="6"/>
  <c r="D11" i="6"/>
  <c r="B9" i="6"/>
  <c r="B14" i="6" s="1"/>
  <c r="D20" i="6" l="1"/>
  <c r="E20" i="6" s="1"/>
  <c r="B15" i="6"/>
  <c r="B13" i="6"/>
  <c r="B18" i="6"/>
  <c r="D18" i="6" s="1"/>
  <c r="D14" i="6"/>
  <c r="E14" i="6" s="1"/>
  <c r="D8" i="6"/>
  <c r="D9" i="6"/>
  <c r="E9" i="6" s="1"/>
  <c r="D47" i="9"/>
  <c r="D50" i="9" s="1"/>
  <c r="Q16" i="9" s="1"/>
  <c r="F13" i="5"/>
  <c r="C26" i="9" s="1"/>
  <c r="F8" i="5"/>
  <c r="C8" i="6"/>
  <c r="F9" i="5"/>
  <c r="P16" i="9" l="1"/>
  <c r="B19" i="6"/>
  <c r="D19" i="6" s="1"/>
  <c r="E8" i="6"/>
  <c r="D13" i="6"/>
  <c r="E13" i="6" s="1"/>
  <c r="B17" i="6"/>
  <c r="D15" i="6"/>
  <c r="E15" i="6" s="1"/>
  <c r="C19" i="6"/>
  <c r="C11" i="6"/>
  <c r="E19" i="6" l="1"/>
  <c r="C12" i="6"/>
  <c r="E12" i="6" s="1"/>
  <c r="E11" i="6"/>
  <c r="C3" i="10"/>
  <c r="D17" i="6"/>
  <c r="C17" i="6"/>
  <c r="E17" i="6" s="1"/>
  <c r="C18" i="6"/>
  <c r="E18" i="6" s="1"/>
  <c r="B8" i="5"/>
  <c r="C8" i="5"/>
  <c r="B11" i="5" l="1"/>
  <c r="B23" i="9"/>
  <c r="C42" i="9" s="1"/>
  <c r="C11" i="5"/>
  <c r="E11" i="5" s="1"/>
  <c r="C23" i="9" l="1"/>
  <c r="D11" i="5"/>
  <c r="F11" i="5" s="1"/>
  <c r="C43" i="9" l="1"/>
  <c r="C6" i="10" s="1"/>
  <c r="P13" i="9"/>
  <c r="Q12" i="9"/>
  <c r="P12" i="9"/>
  <c r="Q13" i="9" l="1"/>
  <c r="M19" i="4"/>
  <c r="AA50" i="4"/>
  <c r="AC50" i="4" s="1"/>
  <c r="AA49" i="4"/>
  <c r="AB47" i="4"/>
  <c r="T33" i="4"/>
  <c r="S33" i="4"/>
  <c r="R33" i="4"/>
  <c r="S26" i="4"/>
  <c r="U48" i="4" s="1"/>
  <c r="S24" i="4"/>
  <c r="U46" i="4" s="1"/>
  <c r="T23" i="4"/>
  <c r="R22" i="4"/>
  <c r="R21" i="4"/>
  <c r="T21" i="4" s="1"/>
  <c r="T20" i="4"/>
  <c r="T19" i="4"/>
  <c r="AB28" i="4"/>
  <c r="T18" i="4"/>
  <c r="AD27" i="4"/>
  <c r="R17" i="4"/>
  <c r="R26" i="4" s="1"/>
  <c r="Z26" i="4"/>
  <c r="AD26" i="4" s="1"/>
  <c r="R15" i="4"/>
  <c r="T45" i="4" s="1"/>
  <c r="M10" i="4"/>
  <c r="AB24" i="4"/>
  <c r="Z24" i="4"/>
  <c r="R13" i="4"/>
  <c r="L8" i="4"/>
  <c r="K8" i="4" s="1"/>
  <c r="N8" i="4" s="1"/>
  <c r="T12" i="4"/>
  <c r="L7" i="4"/>
  <c r="K7" i="4" s="1"/>
  <c r="N7" i="4" s="1"/>
  <c r="T11" i="4"/>
  <c r="L6" i="4"/>
  <c r="T10" i="4"/>
  <c r="AC18" i="4"/>
  <c r="T9" i="4"/>
  <c r="AA17" i="4"/>
  <c r="AC17" i="4" s="1"/>
  <c r="T8" i="4"/>
  <c r="T7" i="4"/>
  <c r="S6" i="4"/>
  <c r="S13" i="4" s="1"/>
  <c r="AA13" i="4"/>
  <c r="AC13" i="4" s="1"/>
  <c r="AG12" i="4" s="1"/>
  <c r="AA12" i="4"/>
  <c r="AC12" i="4" s="1"/>
  <c r="AA11" i="4"/>
  <c r="Z11" i="4"/>
  <c r="AA10" i="4"/>
  <c r="AA9" i="4"/>
  <c r="AC9" i="4" s="1"/>
  <c r="AT10" i="4"/>
  <c r="AU18" i="4" s="1"/>
  <c r="AS7" i="4"/>
  <c r="AS10" i="4" s="1"/>
  <c r="AT18" i="4" s="1"/>
  <c r="AR6" i="4"/>
  <c r="AU6" i="4" s="1"/>
  <c r="B5" i="4"/>
  <c r="B27" i="4" s="1"/>
  <c r="Z47" i="4" s="1"/>
  <c r="AT5" i="4"/>
  <c r="AR5" i="4" s="1"/>
  <c r="AU5" i="4" s="1"/>
  <c r="B4" i="4"/>
  <c r="D4" i="2"/>
  <c r="D1" i="5" s="1"/>
  <c r="D6" i="5" s="1"/>
  <c r="D3" i="2"/>
  <c r="E1" i="5" s="1"/>
  <c r="L11" i="4" l="1"/>
  <c r="L18" i="4" s="1"/>
  <c r="M11" i="4"/>
  <c r="M18" i="4" s="1"/>
  <c r="Z46" i="4"/>
  <c r="Z53" i="4"/>
  <c r="Z54" i="4" s="1"/>
  <c r="Z56" i="4" s="1"/>
  <c r="AK16" i="4" s="1"/>
  <c r="E6" i="5"/>
  <c r="G8" i="5"/>
  <c r="G9" i="5"/>
  <c r="G13" i="5"/>
  <c r="D26" i="9" s="1"/>
  <c r="AF10" i="4"/>
  <c r="AE10" i="4"/>
  <c r="AA53" i="4"/>
  <c r="AC53" i="4" s="1"/>
  <c r="AA16" i="4"/>
  <c r="AB46" i="4"/>
  <c r="AA46" i="4" s="1"/>
  <c r="AB8" i="4"/>
  <c r="Z6" i="4"/>
  <c r="Z7" i="4"/>
  <c r="Z49" i="4"/>
  <c r="Z20" i="4"/>
  <c r="AA47" i="4"/>
  <c r="AC49" i="4"/>
  <c r="AA54" i="4"/>
  <c r="AC54" i="4" s="1"/>
  <c r="T26" i="4"/>
  <c r="R30" i="4"/>
  <c r="S30" i="4"/>
  <c r="T30" i="4"/>
  <c r="S15" i="4"/>
  <c r="S45" i="4" s="1"/>
  <c r="AD24" i="4"/>
  <c r="S43" i="4"/>
  <c r="U43" i="4"/>
  <c r="AC11" i="4"/>
  <c r="L12" i="4"/>
  <c r="L19" i="4" s="1"/>
  <c r="AT9" i="4"/>
  <c r="AU17" i="4" s="1"/>
  <c r="T6" i="4"/>
  <c r="T13" i="4" s="1"/>
  <c r="S25" i="4"/>
  <c r="T17" i="4"/>
  <c r="AT8" i="4"/>
  <c r="AU16" i="4" s="1"/>
  <c r="K6" i="4"/>
  <c r="R24" i="4"/>
  <c r="T22" i="4"/>
  <c r="U33" i="4"/>
  <c r="T43" i="4"/>
  <c r="R43" i="4"/>
  <c r="B8" i="4"/>
  <c r="B9" i="4" s="1"/>
  <c r="B35" i="9" s="1"/>
  <c r="R14" i="4"/>
  <c r="AR7" i="4"/>
  <c r="AR8" i="4" s="1"/>
  <c r="AS9" i="4"/>
  <c r="AT17" i="4" s="1"/>
  <c r="AS8" i="4"/>
  <c r="AT16" i="4" s="1"/>
  <c r="AC10" i="4"/>
  <c r="S14" i="4"/>
  <c r="K10" i="4"/>
  <c r="S46" i="4"/>
  <c r="R48" i="4"/>
  <c r="Z50" i="4"/>
  <c r="S48" i="4"/>
  <c r="T48" i="4"/>
  <c r="R45" i="4"/>
  <c r="N6" i="4" l="1"/>
  <c r="K11" i="4"/>
  <c r="K18" i="4" s="1"/>
  <c r="B26" i="4"/>
  <c r="Z10" i="4" s="1"/>
  <c r="AF9" i="4" s="1"/>
  <c r="C2" i="10"/>
  <c r="G11" i="5"/>
  <c r="D23" i="9"/>
  <c r="C49" i="9" s="1"/>
  <c r="AG10" i="4"/>
  <c r="Z34" i="4"/>
  <c r="AD34" i="4" s="1"/>
  <c r="AF6" i="4"/>
  <c r="AK10" i="4"/>
  <c r="AA8" i="4"/>
  <c r="AF7" i="4"/>
  <c r="AB20" i="4"/>
  <c r="AM15" i="4" s="1"/>
  <c r="AA20" i="4"/>
  <c r="AL15" i="4" s="1"/>
  <c r="Z12" i="4"/>
  <c r="Z28" i="4"/>
  <c r="AD28" i="4" s="1"/>
  <c r="Z9" i="4"/>
  <c r="Z25" i="4"/>
  <c r="AE26" i="4" s="1"/>
  <c r="R36" i="4"/>
  <c r="T15" i="4"/>
  <c r="U15" i="4" s="1"/>
  <c r="AE16" i="4"/>
  <c r="AF16" i="4" s="1"/>
  <c r="U34" i="4"/>
  <c r="AC16" i="4"/>
  <c r="AC20" i="4" s="1"/>
  <c r="AC46" i="4"/>
  <c r="AC48" i="4"/>
  <c r="AC47" i="4"/>
  <c r="AK15" i="4"/>
  <c r="AA44" i="4"/>
  <c r="B42" i="9"/>
  <c r="T34" i="4"/>
  <c r="T35" i="4" s="1"/>
  <c r="S34" i="4"/>
  <c r="S35" i="4" s="1"/>
  <c r="R34" i="4"/>
  <c r="R35" i="4" s="1"/>
  <c r="T36" i="4"/>
  <c r="S36" i="4"/>
  <c r="U45" i="4"/>
  <c r="AL31" i="4" s="1"/>
  <c r="AL29" i="4"/>
  <c r="K12" i="4"/>
  <c r="K19" i="4" s="1"/>
  <c r="O19" i="4" s="1"/>
  <c r="AM5" i="4"/>
  <c r="U32" i="4"/>
  <c r="AR18" i="4" s="1"/>
  <c r="AM14" i="4"/>
  <c r="U31" i="4"/>
  <c r="AR17" i="4" s="1"/>
  <c r="U30" i="4"/>
  <c r="S47" i="4"/>
  <c r="AL25" i="4" s="1"/>
  <c r="U47" i="4"/>
  <c r="AL30" i="4"/>
  <c r="AU8" i="4"/>
  <c r="AS16" i="4"/>
  <c r="T44" i="4"/>
  <c r="R44" i="4"/>
  <c r="AM7" i="4"/>
  <c r="D19" i="4"/>
  <c r="C19" i="4"/>
  <c r="D15" i="4"/>
  <c r="C15" i="4"/>
  <c r="B15" i="4"/>
  <c r="R25" i="4"/>
  <c r="T46" i="4"/>
  <c r="AK31" i="4" s="1"/>
  <c r="T24" i="4"/>
  <c r="R46" i="4"/>
  <c r="AL7" i="4" s="1"/>
  <c r="AL5" i="4"/>
  <c r="AR9" i="4"/>
  <c r="AK29" i="4"/>
  <c r="U44" i="4"/>
  <c r="S44" i="4"/>
  <c r="Z51" i="4"/>
  <c r="N10" i="4"/>
  <c r="AR10" i="4"/>
  <c r="AS18" i="4" s="1"/>
  <c r="AU7" i="4"/>
  <c r="T14" i="4"/>
  <c r="U14" i="4" s="1"/>
  <c r="AN29" i="4" l="1"/>
  <c r="AW16" i="4"/>
  <c r="AN31" i="4"/>
  <c r="AS17" i="4"/>
  <c r="AW17" i="4" s="1"/>
  <c r="AU9" i="4"/>
  <c r="AO15" i="4"/>
  <c r="AO7" i="4"/>
  <c r="AW18" i="4"/>
  <c r="AV18" i="4"/>
  <c r="AO5" i="4"/>
  <c r="AV17" i="4"/>
  <c r="AM31" i="4"/>
  <c r="AM29" i="4"/>
  <c r="N12" i="4"/>
  <c r="N11" i="4"/>
  <c r="AE9" i="4"/>
  <c r="E23" i="9"/>
  <c r="AE6" i="4"/>
  <c r="AG6" i="4" s="1"/>
  <c r="AB55" i="4"/>
  <c r="AE30" i="4"/>
  <c r="AE31" i="4"/>
  <c r="AE34" i="4"/>
  <c r="AE11" i="4"/>
  <c r="AF11" i="4"/>
  <c r="AE8" i="4"/>
  <c r="AF8" i="4"/>
  <c r="Z14" i="4"/>
  <c r="AC8" i="4"/>
  <c r="AE7" i="4"/>
  <c r="AG7" i="4" s="1"/>
  <c r="AG16" i="4"/>
  <c r="AE29" i="4"/>
  <c r="U35" i="4"/>
  <c r="AN15" i="4"/>
  <c r="J12" i="9"/>
  <c r="AC44" i="4"/>
  <c r="Q8" i="9"/>
  <c r="P8" i="9" s="1"/>
  <c r="E42" i="9"/>
  <c r="E9" i="9"/>
  <c r="B33" i="9" s="1"/>
  <c r="C33" i="9" s="1"/>
  <c r="E8" i="9"/>
  <c r="F8" i="9" s="1"/>
  <c r="H9" i="9"/>
  <c r="B34" i="9" s="1"/>
  <c r="C34" i="9" s="1"/>
  <c r="H8" i="9"/>
  <c r="N19" i="4"/>
  <c r="I12" i="9" s="1"/>
  <c r="AR16" i="4"/>
  <c r="AL14" i="4"/>
  <c r="AO14" i="4" s="1"/>
  <c r="U36" i="4"/>
  <c r="AL32" i="4"/>
  <c r="AB25" i="4"/>
  <c r="AD25" i="4" s="1"/>
  <c r="AE24" i="4" s="1"/>
  <c r="AK24" i="4"/>
  <c r="AU10" i="4"/>
  <c r="AK11" i="4"/>
  <c r="AK12" i="4" s="1"/>
  <c r="B10" i="9" s="1"/>
  <c r="AN5" i="4"/>
  <c r="B30" i="4"/>
  <c r="AN7" i="4"/>
  <c r="B19" i="4"/>
  <c r="U26" i="4"/>
  <c r="AL24" i="4"/>
  <c r="AE28" i="4"/>
  <c r="AV16" i="4"/>
  <c r="O18" i="4"/>
  <c r="N18" i="4"/>
  <c r="AL26" i="4"/>
  <c r="T47" i="4"/>
  <c r="AK26" i="4" s="1"/>
  <c r="T25" i="4"/>
  <c r="U25" i="4" s="1"/>
  <c r="R47" i="4"/>
  <c r="AK25" i="4" s="1"/>
  <c r="AN25" i="4" s="1"/>
  <c r="AK30" i="4"/>
  <c r="AN30" i="4" s="1"/>
  <c r="D34" i="9" l="1"/>
  <c r="AN26" i="4"/>
  <c r="D33" i="9"/>
  <c r="AR19" i="4"/>
  <c r="AS19" i="4" s="1"/>
  <c r="AU19" i="4"/>
  <c r="AT19" i="4"/>
  <c r="AN24" i="4"/>
  <c r="AN27" i="4" s="1"/>
  <c r="AV19" i="4"/>
  <c r="AW19" i="4"/>
  <c r="AM30" i="4"/>
  <c r="AM32" i="4" s="1"/>
  <c r="AM25" i="4"/>
  <c r="F9" i="9" s="1"/>
  <c r="G9" i="9"/>
  <c r="AM26" i="4"/>
  <c r="AN14" i="4"/>
  <c r="AK5" i="4"/>
  <c r="AM24" i="4"/>
  <c r="C50" i="9"/>
  <c r="C10" i="10" s="1"/>
  <c r="Q14" i="9"/>
  <c r="P14" i="9" s="1"/>
  <c r="AA55" i="4"/>
  <c r="AB56" i="4"/>
  <c r="AM16" i="4" s="1"/>
  <c r="AE32" i="4"/>
  <c r="AB6" i="4" s="1"/>
  <c r="AG11" i="4"/>
  <c r="AG8" i="4"/>
  <c r="G12" i="9"/>
  <c r="L12" i="9" s="1"/>
  <c r="F12" i="9"/>
  <c r="K12" i="9" s="1"/>
  <c r="J8" i="9"/>
  <c r="H13" i="9"/>
  <c r="I8" i="9"/>
  <c r="E13" i="9"/>
  <c r="B8" i="9"/>
  <c r="AV9" i="4"/>
  <c r="AL27" i="4"/>
  <c r="AG9" i="4"/>
  <c r="J9" i="9"/>
  <c r="AK27" i="4"/>
  <c r="AK32" i="4"/>
  <c r="AV10" i="4"/>
  <c r="G8" i="9" l="1"/>
  <c r="G11" i="9" s="1"/>
  <c r="AM27" i="4"/>
  <c r="F11" i="9"/>
  <c r="AK7" i="4"/>
  <c r="AC55" i="4"/>
  <c r="AA56" i="4"/>
  <c r="AA6" i="4"/>
  <c r="AC6" i="4" s="1"/>
  <c r="AB14" i="4"/>
  <c r="AM10" i="4" s="1"/>
  <c r="AB43" i="4"/>
  <c r="AB51" i="4" s="1"/>
  <c r="I9" i="9"/>
  <c r="I11" i="9" s="1"/>
  <c r="J11" i="9"/>
  <c r="B13" i="9"/>
  <c r="B9" i="9"/>
  <c r="C8" i="9"/>
  <c r="D8" i="9"/>
  <c r="J13" i="9"/>
  <c r="J14" i="9" s="1"/>
  <c r="I13" i="9"/>
  <c r="I14" i="9" s="1"/>
  <c r="G13" i="9"/>
  <c r="G14" i="9" s="1"/>
  <c r="F13" i="9"/>
  <c r="F14" i="9" s="1"/>
  <c r="AN32" i="4"/>
  <c r="AK14" i="4" l="1"/>
  <c r="AK17" i="4" s="1"/>
  <c r="AM17" i="4" s="1"/>
  <c r="AK8" i="4"/>
  <c r="AL16" i="4"/>
  <c r="AO16" i="4" s="1"/>
  <c r="AC56" i="4"/>
  <c r="AA14" i="4"/>
  <c r="AC14" i="4" s="1"/>
  <c r="AF5" i="4"/>
  <c r="AM11" i="4"/>
  <c r="AM12" i="4" s="1"/>
  <c r="AA43" i="4"/>
  <c r="AE5" i="4" s="1"/>
  <c r="L8" i="9"/>
  <c r="D9" i="9"/>
  <c r="L9" i="9" s="1"/>
  <c r="C9" i="9"/>
  <c r="K9" i="9" s="1"/>
  <c r="B32" i="9"/>
  <c r="K8" i="9"/>
  <c r="D32" i="9" l="1"/>
  <c r="C32" i="9"/>
  <c r="AL17" i="4"/>
  <c r="AO8" i="4"/>
  <c r="AM8" i="4"/>
  <c r="AL8" i="4"/>
  <c r="AN8" i="4"/>
  <c r="AN16" i="4"/>
  <c r="AN17" i="4" s="1"/>
  <c r="C13" i="9" s="1"/>
  <c r="K13" i="9" s="1"/>
  <c r="AL10" i="4"/>
  <c r="AO10" i="4" s="1"/>
  <c r="AG5" i="4"/>
  <c r="AA51" i="4"/>
  <c r="AC43" i="4"/>
  <c r="D35" i="9"/>
  <c r="B45" i="9" s="1"/>
  <c r="C36" i="9" l="1"/>
  <c r="D36" i="9"/>
  <c r="AN10" i="4"/>
  <c r="AO17" i="4"/>
  <c r="D13" i="9" s="1"/>
  <c r="L13" i="9" s="1"/>
  <c r="AL11" i="4"/>
  <c r="AO11" i="4" s="1"/>
  <c r="AC51" i="4"/>
  <c r="E45" i="9"/>
  <c r="B46" i="9" l="1"/>
  <c r="E46" i="9" s="1"/>
  <c r="AL12" i="4"/>
  <c r="AO12" i="4" s="1"/>
  <c r="AN11" i="4"/>
  <c r="AN12" i="4" s="1"/>
  <c r="C10" i="9" s="1"/>
  <c r="C11" i="9" s="1"/>
  <c r="B47" i="9"/>
  <c r="L14" i="9"/>
  <c r="C8" i="10" s="1"/>
  <c r="D14" i="9"/>
  <c r="K14" i="9"/>
  <c r="C5" i="10" s="1"/>
  <c r="C14" i="9"/>
  <c r="D10" i="9" l="1"/>
  <c r="E47" i="9"/>
  <c r="C9" i="10"/>
  <c r="K10" i="9"/>
  <c r="K11" i="9"/>
  <c r="L10" i="9" l="1"/>
  <c r="D11" i="9"/>
  <c r="B43" i="9"/>
  <c r="C4" i="10" s="1"/>
  <c r="C11" i="10"/>
  <c r="L11" i="9" l="1"/>
  <c r="B49" i="9" s="1"/>
  <c r="C7" i="10"/>
  <c r="E43" i="9"/>
  <c r="Q9" i="9"/>
  <c r="P9" i="9" s="1"/>
  <c r="E49" i="9" l="1"/>
  <c r="B50" i="9"/>
  <c r="E50" i="9" l="1"/>
  <c r="Q10" i="9"/>
  <c r="P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tc={76D1EFF1-3977-44D3-BAE0-3547B540FA54}</author>
    <author>tc={7ED87AFE-1C69-4559-8430-C18D77D3C9E1}</author>
    <author>tc={A155FD51-D1D7-4E74-9719-4327FB5E13B9}</author>
    <author>tc={178BF93A-53A1-4B90-95D1-98F447AEA954}</author>
    <author>tc={1597C853-FB1D-4C6D-9898-AB20A798ECB6}</author>
    <author>tc={C510A071-1510-409F-80F4-960AAA150A12}</author>
  </authors>
  <commentList>
    <comment ref="B8" authorId="0" shapeId="0" xr:uid="{76D1EFF1-3977-44D3-BAE0-3547B540FA54}">
      <text>
        <t>[Threaded comment]
Your version of Excel allows you to read this threaded comment; however, any edits to it will get removed if the file is opened in a newer version of Excel. Learn more: https://go.microsoft.com/fwlink/?linkid=870924
Comment:
    This is the average over 3 years.</t>
      </text>
    </comment>
    <comment ref="B21" authorId="1" shapeId="0" xr:uid="{7ED87AFE-1C69-4559-8430-C18D77D3C9E1}">
      <text>
        <t>[Threaded comment]
Your version of Excel allows you to read this threaded comment; however, any edits to it will get removed if the file is opened in a newer version of Excel. Learn more: https://go.microsoft.com/fwlink/?linkid=870924
Comment:
    This is an average per year</t>
      </text>
    </comment>
    <comment ref="A23" authorId="2" shapeId="0" xr:uid="{A155FD51-D1D7-4E74-9719-4327FB5E13B9}">
      <text>
        <t>[Threaded comment]
Your version of Excel allows you to read this threaded comment; however, any edits to it will get removed if the file is opened in a newer version of Excel. Learn more: https://go.microsoft.com/fwlink/?linkid=870924
Comment:
    Includes all required provisions including annual reporting, new and modified data fields.  Assume same with or without CAERS.</t>
      </text>
    </comment>
    <comment ref="A24" authorId="3" shapeId="0" xr:uid="{178BF93A-53A1-4B90-95D1-98F447AEA954}">
      <text>
        <t>[Threaded comment]
Your version of Excel allows you to read this threaded comment; however, any edits to it will get removed if the file is opened in a newer version of Excel. Learn more: https://go.microsoft.com/fwlink/?linkid=870924
Comment:
    Includes all required provisions including annual reporting, new and modified data fields. Assume same with or without CAERS.</t>
      </text>
    </comment>
    <comment ref="B45" authorId="4" shapeId="0" xr:uid="{1597C853-FB1D-4C6D-9898-AB20A798ECB6}">
      <text>
        <t>[Threaded comment]
Your version of Excel allows you to read this threaded comment; however, any edits to it will get removed if the file is opened in a newer version of Excel. Learn more: https://go.microsoft.com/fwlink/?linkid=870924
Comment:
    The /2 is to split out capital from maintenance</t>
      </text>
    </comment>
    <comment ref="B49" authorId="5" shapeId="0" xr:uid="{C510A071-1510-409F-80F4-960AAA150A12}">
      <text>
        <t>[Threaded comment]
Your version of Excel allows you to read this threaded comment; however, any edits to it will get removed if the file is opened in a newer version of Excel. Learn more: https://go.microsoft.com/fwlink/?linkid=870924
Comment:
    this includes voluntary, the other columns do not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tc={F7B148E9-19F1-4F76-A5DD-4A6CFA67D0C4}</author>
    <author>tc={9F1FA08F-7C05-4EF8-877E-AAC8D6C25DE4}</author>
    <author>tc={EB916F77-1444-47AA-9144-58CB72074166}</author>
    <author>tc={CF2A6F75-E404-4757-885C-55E873FDAD3B}</author>
    <author>tc={B7B5B037-2F45-48F0-8B27-FA95FC55D482}</author>
    <author>tc={B05D705E-E72F-40C1-8D46-CF555CB3D013}</author>
    <author>tc={F3672B0B-8E35-4B24-A78D-57FFCDBFC0F6}</author>
    <author>tc={D2A6BF24-76ED-45F1-BA8E-81EA0AACAB4B}</author>
    <author>tc={B20E8FE6-6799-4BC2-B12E-43CAF1198252}</author>
    <author>tc={0A10CC91-28BF-46FB-8420-D80890063DEB}</author>
    <author>tc={39565082-5006-4FB0-9A74-4F36BF3311FD}</author>
    <author>tc={AB45E2F1-752F-4284-BC02-15E2BC31680C}</author>
    <author>tc={166E78AC-C899-4F50-8B49-90BD1BB86364}</author>
    <author>tc={0210281F-4CB0-472A-A501-5A2267AFC26E}</author>
    <author>tc={AF844E32-A146-4024-B8A1-82832B3B7E73}</author>
    <author>tc={CFA6C458-FD0C-4BE0-81E5-D2D16FCFBC11}</author>
    <author>tc={25995A13-7B9A-42C1-B881-EB43D94C1765}</author>
    <author>tc={9A92EB9C-4800-4B8B-B219-EEADD3BA98F3}</author>
    <author>tc={E599E099-F0FF-4726-88D4-D5831E6431D1}</author>
    <author>tc={8E729056-488A-4434-93B1-A6732D59C424}</author>
    <author>tc={97D8C7F3-9C39-489D-8F42-9765461BD2DD}</author>
    <author>tc={8DDE9A24-5F0F-4306-AE31-8EE1286CB67C}</author>
    <author>tc={DD24E7A9-6C4F-452A-ADA9-373E813507F0}</author>
    <author>tc={C5CD35EC-9AB0-48A5-AE3C-716122EEC374}</author>
    <author>tc={30D5A844-306F-479D-A38D-EA6595A9EA81}</author>
    <author>tc={8E859288-225F-47A6-83F0-48474FA2F5D1}</author>
    <author>tc={EE2095B4-3A1B-430A-82A1-8E9F3D8661D6}</author>
    <author>tc={15F44651-E910-4498-A742-F85992DBCFC6}</author>
    <author>tc={DEAEA8D6-0AC1-4E6A-ABD6-60CCD9CA9826}</author>
    <author>tc={8964F33C-96A4-464B-B524-8AC0930E29CC}</author>
    <author>tc={CB089928-8097-4236-AEA6-1E72C9C5BA2E}</author>
    <author>tc={F4A933E4-1F8D-4ABB-86F6-8605C7140486}</author>
    <author>tc={4C136BD2-410F-4F27-A726-AE16472EC282}</author>
    <author>tc={BF7A620D-2677-4171-A8AB-3AF9C5BE1D2A}</author>
    <author>tc={D169419C-35C8-4170-92E7-4E33E59542A2}</author>
    <author>tc={15370E32-D3B4-4DD6-B74D-95F5C7060C01}</author>
    <author>tc={F01DF3E1-7611-4BAB-990C-81F436DDC7DB}</author>
    <author>tc={64532411-6F72-4AF4-9D6E-15BDBB471248}</author>
    <author>tc={98520D6D-7380-4A68-BDC5-F6A6BF0B2939}</author>
    <author>tc={BD073359-2A3E-4B7E-A4BA-4F68FEB838DF}</author>
    <author>tc={F072EB9E-1DFD-46BB-B26C-193D3C4DEBE0}</author>
    <author>tc={C105EB0B-9B19-452A-B722-17D8397BA602}</author>
    <author>tc={7088F22F-C7BD-46FA-A07D-FFB50BE08E76}</author>
    <author>tc={E6419DA3-C2F0-4E42-9AF2-A7B7F6433E6E}</author>
    <author>tc={DE5BEFF7-B3B1-4206-8FB3-312BD0EE82DC}</author>
    <author>tc={2DF39FF2-D207-408B-A888-3C996F61D12A}</author>
    <author>tc={F22CF768-8670-4DB2-AE26-93E66576D7B5}</author>
    <author>tc={87FD04A2-3F1A-47C1-AE0F-DC8FE2831BCA}</author>
    <author>tc={61A1C1D2-DE01-4BD9-A396-90517EB8853F}</author>
    <author>tc={023D22D0-B3D6-4C62-8224-D44E7C415796}</author>
  </authors>
  <commentList>
    <comment ref="B3" authorId="0" shapeId="0" xr:uid="{F7B148E9-19F1-4F76-A5DD-4A6CFA67D0C4}">
      <text>
        <t>[Threaded comment]
Your version of Excel allows you to read this threaded comment; however, any edits to it will get removed if the file is opened in a newer version of Excel. Learn more: https://go.microsoft.com/fwlink/?linkid=870924
Comment:
    Take maximum of 2020 and 2023</t>
      </text>
    </comment>
    <comment ref="C4" authorId="1" shapeId="0" xr:uid="{9F1FA08F-7C05-4EF8-877E-AAC8D6C25DE4}">
      <text>
        <t>[Threaded comment]
Your version of Excel allows you to read this threaded comment; however, any edits to it will get removed if the file is opened in a newer version of Excel. Learn more: https://go.microsoft.com/fwlink/?linkid=870924
Comment:
    Includes DC and PR.  Guam and VI did not report.</t>
      </text>
    </comment>
    <comment ref="R4" authorId="2" shapeId="0" xr:uid="{EB916F77-1444-47AA-9144-58CB72074166}">
      <text>
        <t>[Threaded comment]
Your version of Excel allows you to read this threaded comment; however, any edits to it will get removed if the file is opened in a newer version of Excel. Learn more: https://go.microsoft.com/fwlink/?linkid=870924
Comment:
    Point source and Rx burning managerial hours 10%</t>
      </text>
    </comment>
    <comment ref="AA4" authorId="3" shapeId="0" xr:uid="{CF2A6F75-E404-4757-885C-55E873FDAD3B}">
      <text>
        <t>[Threaded comment]
Your version of Excel allows you to read this threaded comment; however, any edits to it will get removed if the file is opened in a newer version of Excel. Learn more: https://go.microsoft.com/fwlink/?linkid=870924
Comment:
    Nonpoint/mobile source managerial hours 5%</t>
      </text>
    </comment>
    <comment ref="AR4" authorId="4" shapeId="0" xr:uid="{B7B5B037-2F45-48F0-8B27-FA95FC55D482}">
      <text>
        <t>[Threaded comment]
Your version of Excel allows you to read this threaded comment; however, any edits to it will get removed if the file is opened in a newer version of Excel. Learn more: https://go.microsoft.com/fwlink/?linkid=870924
Comment:
    Point source and Rx burning managerial hours 10%</t>
      </text>
    </comment>
    <comment ref="Y6" authorId="5" shapeId="0" xr:uid="{B05D705E-E72F-40C1-8D46-CF555CB3D013}">
      <text>
        <t>[Threaded comment]
Your version of Excel allows you to read this threaded comment; however, any edits to it will get removed if the file is opened in a newer version of Excel. Learn more: https://go.microsoft.com/fwlink/?linkid=870924
Comment:
    costs assumes use of tools (provide inputs for some sectors accept emissions for other sectors) for any nonpoint category for which there is an EPA tool.  This is the preferred option (and the cost assumes a mix of these two approaches as shown in th top part of Table 7b</t>
      </text>
    </comment>
    <comment ref="Y7" authorId="6" shapeId="0" xr:uid="{F3672B0B-8E35-4B24-A78D-57FFCDBFC0F6}">
      <text>
        <t>[Threaded comment]
Your version of Excel allows you to read this threaded comment; however, any edits to it will get removed if the file is opened in a newer version of Excel. Learn more: https://go.microsoft.com/fwlink/?linkid=870924
Comment:
    Estimate hours as: 2 sectors, 120 hours per sector (see table 7b)</t>
      </text>
    </comment>
    <comment ref="AL7" authorId="7" shapeId="0" xr:uid="{D2A6BF24-76ED-45F1-BA8E-81EA0AACAB4B}">
      <text>
        <t>[Threaded comment]
Your version of Excel allows you to read this threaded comment; however, any edits to it will get removed if the file is opened in a newer version of Excel. Learn more: https://go.microsoft.com/fwlink/?linkid=870924
Comment:
    Note that this value is 1/3 of the every-year value because in each 3-year period, triennial is only submitted once.  Use with caution.</t>
      </text>
    </comment>
    <comment ref="AS7" authorId="8" shapeId="0" xr:uid="{B20E8FE6-6799-4BC2-B12E-43CAF1198252}">
      <text>
        <t>[Threaded comment]
Your version of Excel allows you to read this threaded comment; however, any edits to it will get removed if the file is opened in a newer version of Excel. Learn more: https://go.microsoft.com/fwlink/?linkid=870924
Comment:
    Assumes 4, 3-hr trainings</t>
      </text>
    </comment>
    <comment ref="AL8" authorId="9" shapeId="0" xr:uid="{0A10CC91-28BF-46FB-8420-D80890063DEB}">
      <text>
        <t>[Threaded comment]
Your version of Excel allows you to read this threaded comment; however, any edits to it will get removed if the file is opened in a newer version of Excel. Learn more: https://go.microsoft.com/fwlink/?linkid=870924
Comment:
    Note that the formulas on this row are weighted averages and need to be adjusted if any new rows are added. Note that triennial hours are averaged for a once over 3-year report.</t>
      </text>
    </comment>
    <comment ref="Z10" authorId="10" shapeId="0" xr:uid="{39565082-5006-4FB0-9A74-4F36BF3311FD}">
      <text>
        <t>[Threaded comment]
Your version of Excel allows you to read this threaded comment; however, any edits to it will get removed if the file is opened in a newer version of Excel. Learn more: https://go.microsoft.com/fwlink/?linkid=870924
Comment:
    Linked to nonpoint assumptions/stats at far left of this worksheet</t>
      </text>
    </comment>
    <comment ref="AL12" authorId="11" shapeId="0" xr:uid="{AB45E2F1-752F-4284-BC02-15E2BC31680C}">
      <text>
        <t>[Threaded comment]
Your version of Excel allows you to read this threaded comment; however, any edits to it will get removed if the file is opened in a newer version of Excel. Learn more: https://go.microsoft.com/fwlink/?linkid=870924
Comment:
    Note that the formulas on this row are weighted averages and need to be adjusted if any new rows are added.</t>
      </text>
    </comment>
    <comment ref="Z16" authorId="12" shapeId="0" xr:uid="{166E78AC-C899-4F50-8B49-90BD1BB86364}">
      <text>
        <t>[Threaded comment]
Your version of Excel allows you to read this threaded comment; however, any edits to it will get removed if the file is opened in a newer version of Excel. Learn more: https://go.microsoft.com/fwlink/?linkid=870924
Comment:
    Assume about 25% of states submit emissions and documentation</t>
      </text>
    </comment>
    <comment ref="AA16" authorId="13" shapeId="0" xr:uid="{0210281F-4CB0-472A-A501-5A2267AFC26E}">
      <text>
        <t>[Threaded comment]
Your version of Excel allows you to read this threaded comment; however, any edits to it will get removed if the file is opened in a newer version of Excel. Learn more: https://go.microsoft.com/fwlink/?linkid=870924
Comment:
    Assume 5% managerial hours</t>
      </text>
    </comment>
    <comment ref="AB16" authorId="14" shapeId="0" xr:uid="{AF844E32-A146-4024-B8A1-82832B3B7E73}">
      <text>
        <t>[Threaded comment]
Your version of Excel allows you to read this threaded comment; however, any edits to it will get removed if the file is opened in a newer version of Excel. Learn more: https://go.microsoft.com/fwlink/?linkid=870924
Comment:
    Assume 20 hours per sector. # of Sectors are sum of:  1) those with nonpoint tools for which emissions are being submittted, 2) O&amp;G for which emissions are being submitted and 3)nonpoint sectors without tools</t>
      </text>
    </comment>
    <comment ref="AR16" authorId="15" shapeId="0" xr:uid="{CFA6C458-FD0C-4BE0-81E5-D2D16FCFBC11}">
      <text>
        <t>[Threaded comment]
Your version of Excel allows you to read this threaded comment; however, any edits to it will get removed if the file is opened in a newer version of Excel. Learn more: https://go.microsoft.com/fwlink/?linkid=870924
Comment:
    This is total reporting less Case 3 and 4 (note that for Case 3, the "collection system" becomes CAERS and so even if they conitnue to maintain it, it's not AERR cost).</t>
      </text>
    </comment>
    <comment ref="AA17" authorId="16" shapeId="0" xr:uid="{25995A13-7B9A-42C1-B881-EB43D94C1765}">
      <text>
        <t>[Threaded comment]
Your version of Excel allows you to read this threaded comment; however, any edits to it will get removed if the file is opened in a newer version of Excel. Learn more: https://go.microsoft.com/fwlink/?linkid=870924
Comment:
    Assume 5% managerial hours</t>
      </text>
    </comment>
    <comment ref="AB17" authorId="17" shapeId="0" xr:uid="{9A92EB9C-4800-4B8B-B219-EEADD3BA98F3}">
      <text>
        <t>[Threaded comment]
Your version of Excel allows you to read this threaded comment; however, any edits to it will get removed if the file is opened in a newer version of Excel. Learn more: https://go.microsoft.com/fwlink/?linkid=870924
Comment:
    20 for aircraft/GSE and 20 for railyards</t>
      </text>
    </comment>
    <comment ref="AL17" authorId="18" shapeId="0" xr:uid="{E599E099-F0FF-4726-88D4-D5831E6431D1}">
      <text>
        <t>[Threaded comment]
Your version of Excel allows you to read this threaded comment; however, any edits to it will get removed if the file is opened in a newer version of Excel. Learn more: https://go.microsoft.com/fwlink/?linkid=870924
Comment:
    Note that the formulas on this row are weighted averages and need to be adjusted if any new rows are added.</t>
      </text>
    </comment>
    <comment ref="Z19" authorId="19" shapeId="0" xr:uid="{8E729056-488A-4434-93B1-A6732D59C424}">
      <text>
        <t>[Threaded comment]
Your version of Excel allows you to read this threaded comment; however, any edits to it will get removed if the file is opened in a newer version of Excel. Learn more: https://go.microsoft.com/fwlink/?linkid=870924
Comment:
    In the 2020 NEI, 9 states reported O3day for 1 or more inventory sectors</t>
      </text>
    </comment>
    <comment ref="AB19" authorId="20" shapeId="0" xr:uid="{97D8C7F3-9C39-489D-8F42-9765461BD2DD}">
      <text>
        <t>[Threaded comment]
Your version of Excel allows you to read this threaded comment; however, any edits to it will get removed if the file is opened in a newer version of Excel. Learn more: https://go.microsoft.com/fwlink/?linkid=870924
Comment:
    Hours are low for reporting season-day emissions because this isn't including calculating them - just reporting them (since AERR doesn't require them, cost isn't attributed to AERR)</t>
      </text>
    </comment>
    <comment ref="Z25" authorId="21" shapeId="0" xr:uid="{8DDE9A24-5F0F-4306-AE31-8EE1286CB67C}">
      <text>
        <t>[Threaded comment]
Your version of Excel allows you to read this threaded comment; however, any edits to it will get removed if the file is opened in a newer version of Excel. Learn more: https://go.microsoft.com/fwlink/?linkid=870924
Comment:
    All states have at least some accepting of EPA templates</t>
      </text>
    </comment>
    <comment ref="B26" authorId="22" shapeId="0" xr:uid="{DD24E7A9-6C4F-452A-ADA9-373E813507F0}">
      <text>
        <t>[Threaded comment]
Your version of Excel allows you to read this threaded comment; however, any edits to it will get removed if the file is opened in a newer version of Excel. Learn more: https://go.microsoft.com/fwlink/?linkid=870924
Comment:
    Total (68) less PR, VI, GU, 7 states and 15 locals (as per Janice email from 4/5/2022.</t>
      </text>
    </comment>
    <comment ref="Y26" authorId="23" shapeId="0" xr:uid="{C5CD35EC-9AB0-48A5-AE3C-716122EEC374}">
      <text>
        <t>[Threaded comment]
Your version of Excel allows you to read this threaded comment; however, any edits to it will get removed if the file is opened in a newer version of Excel. Learn more: https://go.microsoft.com/fwlink/?linkid=870924
Comment:
    As part of this cost estimate, we are assuming the least-cost option will be used, which we assume will be using the O&amp;G tool.</t>
      </text>
    </comment>
    <comment ref="B27" authorId="24" shapeId="0" xr:uid="{30D5A844-306F-479D-A38D-EA6595A9EA81}">
      <text>
        <t>[Threaded comment]
Your version of Excel allows you to read this threaded comment; however, any edits to it will get removed if the file is opened in a newer version of Excel. Learn more: https://go.microsoft.com/fwlink/?linkid=870924
Comment:
    All of them who are reporting have rail yards</t>
      </text>
    </comment>
    <comment ref="A32" authorId="25" shapeId="0" xr:uid="{8E859288-225F-47A6-83F0-48474FA2F5D1}">
      <text>
        <t>[Threaded comment]
Your version of Excel allows you to read this threaded comment; however, any edits to it will get removed if the file is opened in a newer version of Excel. Learn more: https://go.microsoft.com/fwlink/?linkid=870924
Comment:
    Based on input from J. Vukovich 4/20/2022 based on the 2020 NEI process</t>
      </text>
    </comment>
    <comment ref="AH32" authorId="26" shapeId="0" xr:uid="{EE2095B4-3A1B-430A-82A1-8E9F3D8661D6}">
      <text>
        <t>[Threaded comment]
Your version of Excel allows you to read this threaded comment; however, any edits to it will get removed if the file is opened in a newer version of Excel. Learn more: https://go.microsoft.com/fwlink/?linkid=870924
Comment:
    Ag fertilzer, livestock, portable fuel containers, and stage II gasoline</t>
      </text>
    </comment>
    <comment ref="B33" authorId="27" shapeId="0" xr:uid="{15F44651-E910-4498-A742-F85992DBCFC6}">
      <text>
        <t>[Threaded comment]
Your version of Excel allows you to read this threaded comment; however, any edits to it will get removed if the file is opened in a newer version of Excel. Learn more: https://go.microsoft.com/fwlink/?linkid=870924
Comment:
    Assumptions: include 2 territories but not DC. Do not include locals separately (assume all such reporting handled at the state level).  Assumes that all states would have fires greater than the acres reporting thresholds.</t>
      </text>
    </comment>
    <comment ref="AH33" authorId="28" shapeId="0" xr:uid="{DEAEA8D6-0AC1-4E6A-ABD6-60CCD9CA9826}">
      <text>
        <t>[Threaded comment]
Your version of Excel allows you to read this threaded comment; however, any edits to it will get removed if the file is opened in a newer version of Excel. Learn more: https://go.microsoft.com/fwlink/?linkid=870924
Comment:
    This is value for 2020 NEI. The following SLTs submitted emissions: AK, CA, CO, NJ, OH, OK, TX, UT, WV, WY (based on Figure 13-1 of the 2020 NEI TSD)</t>
      </text>
    </comment>
    <comment ref="AH34" authorId="29" shapeId="0" xr:uid="{8964F33C-96A4-464B-B524-8AC0930E29CC}">
      <text>
        <t>[Threaded comment]
Your version of Excel allows you to read this threaded comment; however, any edits to it will get removed if the file is opened in a newer version of Excel. Learn more: https://go.microsoft.com/fwlink/?linkid=870924
Comment:
    This is value for 2020 NEI. The following SLTs submitted emissions inputs: KS, NM, OK, PA, TX, WV</t>
      </text>
    </comment>
    <comment ref="AA41" authorId="30" shapeId="0" xr:uid="{CB089928-8097-4236-AEA6-1E72C9C5BA2E}">
      <text>
        <t>[Threaded comment]
Your version of Excel allows you to read this threaded comment; however, any edits to it will get removed if the file is opened in a newer version of Excel. Learn more: https://go.microsoft.com/fwlink/?linkid=870924
Comment:
    Nonpoint/mobile source managerial hours 5%</t>
      </text>
    </comment>
    <comment ref="R42" authorId="31" shapeId="0" xr:uid="{F4A933E4-1F8D-4ABB-86F6-8605C7140486}">
      <text>
        <t>[Threaded comment]
Your version of Excel allows you to read this threaded comment; however, any edits to it will get removed if the file is opened in a newer version of Excel. Learn more: https://go.microsoft.com/fwlink/?linkid=870924
Comment:
    Point source and Rx burning managerial hours 10%</t>
      </text>
    </comment>
    <comment ref="T42" authorId="32" shapeId="0" xr:uid="{4C136BD2-410F-4F27-A726-AE16472EC282}">
      <text>
        <t>[Threaded comment]
Your version of Excel allows you to read this threaded comment; however, any edits to it will get removed if the file is opened in a newer version of Excel. Learn more: https://go.microsoft.com/fwlink/?linkid=870924
Comment:
    Point source and Rx burning managerial hours 10%</t>
      </text>
    </comment>
    <comment ref="AB43" authorId="33" shapeId="0" xr:uid="{BF7A620D-2677-4171-A8AB-3AF9C5BE1D2A}">
      <text>
        <t>[Threaded comment]
Your version of Excel allows you to read this threaded comment; however, any edits to it will get removed if the file is opened in a newer version of Excel. Learn more: https://go.microsoft.com/fwlink/?linkid=870924
Comment:
    Assume 30% of the time as for states</t>
      </text>
    </comment>
    <comment ref="Z44" authorId="34" shapeId="0" xr:uid="{D169419C-35C8-4170-92E7-4E33E59542A2}">
      <text>
        <t>[Threaded comment]
Your version of Excel allows you to read this threaded comment; however, any edits to it will get removed if the file is opened in a newer version of Excel. Learn more: https://go.microsoft.com/fwlink/?linkid=870924
Comment:
    Assume 1/3 of locals and tribes submit for non-EPA sectors</t>
      </text>
    </comment>
    <comment ref="AB44" authorId="35" shapeId="0" xr:uid="{15370E32-D3B4-4DD6-B74D-95F5C7060C01}">
      <text>
        <t>[Threaded comment]
Your version of Excel allows you to read this threaded comment; however, any edits to it will get removed if the file is opened in a newer version of Excel. Learn more: https://go.microsoft.com/fwlink/?linkid=870924
Comment:
    Assume 30% of the time as for states</t>
      </text>
    </comment>
    <comment ref="Y45" authorId="36" shapeId="0" xr:uid="{F01DF3E1-7611-4BAB-990C-81F436DDC7DB}">
      <text>
        <t>[Threaded comment]
Your version of Excel allows you to read this threaded comment; however, any edits to it will get removed if the file is opened in a newer version of Excel. Learn more: https://go.microsoft.com/fwlink/?linkid=870924
Comment:
    Not applicable to local agencies</t>
      </text>
    </comment>
    <comment ref="Z46" authorId="37" shapeId="0" xr:uid="{64532411-6F72-4AF4-9D6E-15BDBB471248}">
      <text>
        <t>[Threaded comment]
Your version of Excel allows you to read this threaded comment; however, any edits to it will get removed if the file is opened in a newer version of Excel. Learn more: https://go.microsoft.com/fwlink/?linkid=870924
Comment:
    Assume same number of local agencies that submit point</t>
      </text>
    </comment>
    <comment ref="Z48" authorId="38" shapeId="0" xr:uid="{98520D6D-7380-4A68-BDC5-F6A6BF0B2939}">
      <text>
        <t>[Threaded comment]
Your version of Excel allows you to read this threaded comment; however, any edits to it will get removed if the file is opened in a newer version of Excel. Learn more: https://go.microsoft.com/fwlink/?linkid=870924
Comment:
    This is covered in table 5a where that number includes state and local (42) in table 5a</t>
      </text>
    </comment>
    <comment ref="Z49" authorId="39" shapeId="0" xr:uid="{BD073359-2A3E-4B7E-A4BA-4F68FEB838DF}">
      <text>
        <t>[Threaded comment]
Your version of Excel allows you to read this threaded comment; however, any edits to it will get removed if the file is opened in a newer version of Excel. Learn more: https://go.microsoft.com/fwlink/?linkid=870924
Comment:
    All locals</t>
      </text>
    </comment>
    <comment ref="B51" authorId="40" shapeId="0" xr:uid="{F072EB9E-1DFD-46BB-B26C-193D3C4DEBE0}">
      <text>
        <t>[Threaded comment]
Your version of Excel allows you to read this threaded comment; however, any edits to it will get removed if the file is opened in a newer version of Excel. Learn more: https://go.microsoft.com/fwlink/?linkid=870924
Comment:
    Listed as P,NP in TSD but that is an error- they don’t even have a 2020 dataset to report to</t>
      </text>
    </comment>
    <comment ref="Z53" authorId="41" shapeId="0" xr:uid="{C105EB0B-9B19-452A-B722-17D8397BA602}">
      <text>
        <t>[Threaded comment]
Your version of Excel allows you to read this threaded comment; however, any edits to it will get removed if the file is opened in a newer version of Excel. Learn more: https://go.microsoft.com/fwlink/?linkid=870924
Comment:
    Assume about 25% of locals still submit emissions and all required tribes
Reply:
    All voluntary tribes</t>
      </text>
    </comment>
    <comment ref="AA53" authorId="42" shapeId="0" xr:uid="{7088F22F-C7BD-46FA-A07D-FFB50BE08E76}">
      <text>
        <t>[Threaded comment]
Your version of Excel allows you to read this threaded comment; however, any edits to it will get removed if the file is opened in a newer version of Excel. Learn more: https://go.microsoft.com/fwlink/?linkid=870924
Comment:
    Assume 5% managerial hours</t>
      </text>
    </comment>
    <comment ref="AB53" authorId="43" shapeId="0" xr:uid="{E6419DA3-C2F0-4E42-9AF2-A7B7F6433E6E}">
      <text>
        <t>[Threaded comment]
Your version of Excel allows you to read this threaded comment; however, any edits to it will get removed if the file is opened in a newer version of Excel. Learn more: https://go.microsoft.com/fwlink/?linkid=870924
Comment:
    Assume 30% of state cost</t>
      </text>
    </comment>
    <comment ref="B54" authorId="44" shapeId="0" xr:uid="{DE5BEFF7-B3B1-4206-8FB3-312BD0EE82DC}">
      <text>
        <t>[Threaded comment]
Your version of Excel allows you to read this threaded comment; however, any edits to it will get removed if the file is opened in a newer version of Excel. Learn more: https://go.microsoft.com/fwlink/?linkid=870924
Comment:
    Empty dataset but listed in TSD, was TSD error they didn’t report</t>
      </text>
    </comment>
    <comment ref="Z54" authorId="45" shapeId="0" xr:uid="{2DF39FF2-D207-408B-A888-3C996F61D12A}">
      <text>
        <t>[Threaded comment]
Your version of Excel allows you to read this threaded comment; however, any edits to it will get removed if the file is opened in a newer version of Excel. Learn more: https://go.microsoft.com/fwlink/?linkid=870924
Comment:
    Assume same number of entities as nonpoint</t>
      </text>
    </comment>
    <comment ref="AA54" authorId="46" shapeId="0" xr:uid="{F22CF768-8670-4DB2-AE26-93E66576D7B5}">
      <text>
        <t>[Threaded comment]
Your version of Excel allows you to read this threaded comment; however, any edits to it will get removed if the file is opened in a newer version of Excel. Learn more: https://go.microsoft.com/fwlink/?linkid=870924
Comment:
    Assume 5% managerial hours</t>
      </text>
    </comment>
    <comment ref="AB54" authorId="47" shapeId="0" xr:uid="{87FD04A2-3F1A-47C1-AE0F-DC8FE2831BCA}">
      <text>
        <t>[Threaded comment]
Your version of Excel allows you to read this threaded comment; however, any edits to it will get removed if the file is opened in a newer version of Excel. Learn more: https://go.microsoft.com/fwlink/?linkid=870924
Comment:
    20 for aircraft/GSE and 20 for railyards</t>
      </text>
    </comment>
    <comment ref="AA55" authorId="48" shapeId="0" xr:uid="{61A1C1D2-DE01-4BD9-A396-90517EB8853F}">
      <text>
        <t>[Threaded comment]
Your version of Excel allows you to read this threaded comment; however, any edits to it will get removed if the file is opened in a newer version of Excel. Learn more: https://go.microsoft.com/fwlink/?linkid=870924
Comment:
    Assume 5% managerial hours</t>
      </text>
    </comment>
    <comment ref="AB55" authorId="49" shapeId="0" xr:uid="{023D22D0-B3D6-4C62-8224-D44E7C415796}">
      <text>
        <t>[Threaded comment]
Your version of Excel allows you to read this threaded comment; however, any edits to it will get removed if the file is opened in a newer version of Excel. Learn more: https://go.microsoft.com/fwlink/?linkid=870924
Comment:
    Assume average of state and local agency--hours for reporting emissions from nonpoint without tools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tc={6577E4D8-5ABF-43E3-9349-AC17D3CB13CE}</author>
    <author>tc={7888A802-E4D8-44D8-91AB-F7C769AEA22D}</author>
    <author>tc={E046F451-8C02-48EC-97B1-D476A61B800F}</author>
    <author>tc={8DD3943F-45DF-4F33-8FE7-72B424BCD979}</author>
    <author>tc={0DEB1211-56BA-4692-B740-263500899430}</author>
    <author>tc={A881CBA5-6E37-470B-B1DE-1AC38933FF14}</author>
    <author>tc={EAFB4E70-6B7D-4C87-B0C8-2E8C25C347C9}</author>
    <author>tc={AF2F9A12-4F10-4700-960F-1ED11EC5143D}</author>
    <author>tc={916DAF0A-9DAB-4C37-92EC-19E43BA3F940}</author>
  </authors>
  <commentList>
    <comment ref="J7" authorId="0" shapeId="0" xr:uid="{6577E4D8-5ABF-43E3-9349-AC17D3CB13CE}">
      <text>
        <t>[Threaded comment]
Your version of Excel allows you to read this threaded comment; however, any edits to it will get removed if the file is opened in a newer version of Excel. Learn more: https://go.microsoft.com/fwlink/?linkid=870924
Comment:
    See: "2017 RAS facility CAPs emis_sum_fac_17363.xlsx"</t>
      </text>
    </comment>
    <comment ref="C8" authorId="1" shapeId="0" xr:uid="{7888A802-E4D8-44D8-91AB-F7C769AEA22D}">
      <text>
        <t>[Threaded comment]
Your version of Excel allows you to read this threaded comment; however, any edits to it will get removed if the file is opened in a newer version of Excel. Learn more: https://go.microsoft.com/fwlink/?linkid=870924
Comment:
    No. ECHO Major * No. ID'd RAS HAP/CAP Major / No. ID'd RAS Major</t>
      </text>
    </comment>
    <comment ref="B11" authorId="2" shapeId="0" xr:uid="{E046F451-8C02-48EC-97B1-D476A61B800F}">
      <text>
        <t>[Threaded comment]
Your version of Excel allows you to read this threaded comment; however, any edits to it will get removed if the file is opened in a newer version of Excel. Learn more: https://go.microsoft.com/fwlink/?linkid=870924
Comment:
    Assumed number of Type A sources based on actual sources from 2014 NEI above thresholds x 2 to account for not using PTE thresholds. Note: all Major. Checked with 2017 data and the number was 1055</t>
      </text>
    </comment>
    <comment ref="E11" authorId="3" shapeId="0" xr:uid="{8DD3943F-45DF-4F33-8FE7-72B424BCD979}">
      <text>
        <t>[Threaded comment]
Your version of Excel allows you to read this threaded comment; however, any edits to it will get removed if the file is opened in a newer version of Excel. Learn more: https://go.microsoft.com/fwlink/?linkid=870924
Comment:
    This value used for no. required facilities including interim years from 2025-2027 NEIs</t>
      </text>
    </comment>
    <comment ref="I12" authorId="4" shapeId="0" xr:uid="{0DEB1211-56BA-4692-B740-263500899430}">
      <text>
        <t>[Threaded comment]
Your version of Excel allows you to read this threaded comment; however, any edits to it will get removed if the file is opened in a newer version of Excel. Learn more: https://go.microsoft.com/fwlink/?linkid=870924
Comment:
    Excludes airports and rail yards</t>
      </text>
    </comment>
    <comment ref="C20" authorId="5" shapeId="0" xr:uid="{A881CBA5-6E37-470B-B1DE-1AC38933FF14}">
      <text>
        <t>[Threaded comment]
Your version of Excel allows you to read this threaded comment; however, any edits to it will get removed if the file is opened in a newer version of Excel. Learn more: https://go.microsoft.com/fwlink/?linkid=870924
Comment:
    From 2021 ICR (From ECHO)</t>
      </text>
    </comment>
    <comment ref="B22" authorId="6" shapeId="0" xr:uid="{EAFB4E70-6B7D-4C87-B0C8-2E8C25C347C9}">
      <text>
        <t>[Threaded comment]
Your version of Excel allows you to read this threaded comment; however, any edits to it will get removed if the file is opened in a newer version of Excel. Learn more: https://go.microsoft.com/fwlink/?linkid=870924
Comment:
    Calculate based on the ratio from 2017 of facilities reported to NEI vs. facilities with only TRI HAP data</t>
      </text>
    </comment>
    <comment ref="C22" authorId="7" shapeId="0" xr:uid="{AF2F9A12-4F10-4700-960F-1ED11EC5143D}">
      <text>
        <t>[Threaded comment]
Your version of Excel allows you to read this threaded comment; however, any edits to it will get removed if the file is opened in a newer version of Excel. Learn more: https://go.microsoft.com/fwlink/?linkid=870924
Comment:
    Based on analysis of 2020 data using R program "Facility_Count_Task.R"</t>
      </text>
    </comment>
    <comment ref="A23" authorId="8" shapeId="0" xr:uid="{916DAF0A-9DAB-4C37-92EC-19E43BA3F940}">
      <text>
        <t>[Threaded comment]
Your version of Excel allows you to read this threaded comment; however, any edits to it will get removed if the file is opened in a newer version of Excel. Learn more: https://go.microsoft.com/fwlink/?linkid=870924
Comment:
    These numbers are from spreadsheet "Facility counts for SBAR materials 05-12-2022.xlsx"</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tc={B77A6D1A-DB3F-4754-B99F-86F09E307D17}</author>
    <author>tc={26371D34-8BE4-4A1A-9521-5AF40D862F6C}</author>
    <author>tc={D63AAF32-C30A-4EDC-901C-EADABF18EFB6}</author>
    <author>tc={5090CF28-2E7C-4601-A0B2-40070D22079A}</author>
    <author>tc={793511F5-D044-45A9-9184-50B3E32198F0}</author>
  </authors>
  <commentList>
    <comment ref="D2" authorId="0" shapeId="0" xr:uid="{B77A6D1A-DB3F-4754-B99F-86F09E307D17}">
      <text>
        <t>[Threaded comment]
Your version of Excel allows you to read this threaded comment; however, any edits to it will get removed if the file is opened in a newer version of Excel. Learn more: https://go.microsoft.com/fwlink/?linkid=870924
Comment:
    Multiplier of 2.1 from Larry Sorrels as per latest OMB guidance</t>
      </text>
    </comment>
    <comment ref="K2" authorId="1" shapeId="0" xr:uid="{26371D34-8BE4-4A1A-9521-5AF40D862F6C}">
      <text>
        <t>[Threaded comment]
Your version of Excel allows you to read this threaded comment; however, any edits to it will get removed if the file is opened in a newer version of Excel. Learn more: https://go.microsoft.com/fwlink/?linkid=870924
Comment:
    From “EIS fips_state_counties_08-08-2025.xlsx”</t>
      </text>
    </comment>
    <comment ref="L2" authorId="2" shapeId="0" xr:uid="{D63AAF32-C30A-4EDC-901C-EADABF18EFB6}">
      <text>
        <t>[Threaded comment]
Your version of Excel allows you to read this threaded comment; however, any edits to it will get removed if the file is opened in a newer version of Excel. Learn more: https://go.microsoft.com/fwlink/?linkid=870924
Comment:
    From “2023 Required Facilities By State.xlsx”</t>
      </text>
    </comment>
    <comment ref="D11" authorId="3" shapeId="0" xr:uid="{5090CF28-2E7C-4601-A0B2-40070D22079A}">
      <text>
        <t>[Threaded comment]
Your version of Excel allows you to read this threaded comment; however, any edits to it will get removed if the file is opened in a newer version of Excel. Learn more: https://go.microsoft.com/fwlink/?linkid=870924
Comment:
    Multiplier of 2.1 from Larry Sorrels as per latest OMB guidance</t>
      </text>
    </comment>
    <comment ref="D32" authorId="4" shapeId="0" xr:uid="{793511F5-D044-45A9-9184-50B3E32198F0}">
      <text>
        <t>[Threaded comment]
Your version of Excel allows you to read this threaded comment; however, any edits to it will get removed if the file is opened in a newer version of Excel. Learn more: https://go.microsoft.com/fwlink/?linkid=870924
Comment:
    Multiplier of 2.1 from Larry Sorrels as per latest OMB guidance</t>
      </text>
    </comment>
  </commentList>
</comments>
</file>

<file path=xl/sharedStrings.xml><?xml version="1.0" encoding="utf-8"?>
<sst xmlns="http://schemas.openxmlformats.org/spreadsheetml/2006/main" count="649" uniqueCount="471">
  <si>
    <t xml:space="preserve"> </t>
  </si>
  <si>
    <r>
      <rPr>
        <b/>
        <sz val="14"/>
        <color theme="1"/>
        <rFont val="Aptos Narrow"/>
        <family val="2"/>
        <scheme val="minor"/>
      </rPr>
      <t>Table 7:</t>
    </r>
    <r>
      <rPr>
        <sz val="14"/>
        <color theme="1"/>
        <rFont val="Aptos Narrow"/>
        <family val="2"/>
        <scheme val="minor"/>
      </rPr>
      <t xml:space="preserve"> Annual Total SLT Burden and Cost by Activity (excluding operations and maintenance)</t>
    </r>
  </si>
  <si>
    <r>
      <rPr>
        <b/>
        <sz val="14"/>
        <color theme="1"/>
        <rFont val="Aptos Narrow"/>
        <family val="2"/>
        <scheme val="minor"/>
      </rPr>
      <t xml:space="preserve">Table 14: </t>
    </r>
    <r>
      <rPr>
        <sz val="14"/>
        <color theme="1"/>
        <rFont val="Aptos Narrow"/>
        <family val="2"/>
        <scheme val="minor"/>
      </rPr>
      <t>Burden Change</t>
    </r>
  </si>
  <si>
    <t>EIS</t>
  </si>
  <si>
    <t>CAERS Case 3</t>
  </si>
  <si>
    <t>CAERS Case 4</t>
  </si>
  <si>
    <t>Total</t>
  </si>
  <si>
    <t>Currently Approved ICR</t>
  </si>
  <si>
    <t>Change</t>
  </si>
  <si>
    <t>Total Requested</t>
  </si>
  <si>
    <t>Information Collection Activity</t>
  </si>
  <si>
    <t>No.
of SLTs</t>
  </si>
  <si>
    <t>Total Hours/
Year</t>
  </si>
  <si>
    <t xml:space="preserve"> Total Cost/
Year</t>
  </si>
  <si>
    <t>Hours/
Year</t>
  </si>
  <si>
    <t>Costs/
Year</t>
  </si>
  <si>
    <t>SLTs</t>
  </si>
  <si>
    <t>Annual Required, Point Sources</t>
  </si>
  <si>
    <t>Annual Responses</t>
  </si>
  <si>
    <t>Triennial Required, Point Sources</t>
  </si>
  <si>
    <t>Annual Respondent Hour Burden</t>
  </si>
  <si>
    <r>
      <t>Triennial Required, Other Sources</t>
    </r>
    <r>
      <rPr>
        <vertAlign val="superscript"/>
        <sz val="11"/>
        <color theme="1"/>
        <rFont val="Calibri"/>
        <family val="2"/>
      </rPr>
      <t>a</t>
    </r>
  </si>
  <si>
    <t>Annual Respondent Cost Burden</t>
  </si>
  <si>
    <t>Labor Subtotal (Required)</t>
  </si>
  <si>
    <t>Owners/Operators</t>
  </si>
  <si>
    <t>One-Time Voluntary: CAERS</t>
  </si>
  <si>
    <t>Annual and Triennial Voluntary</t>
  </si>
  <si>
    <t>Total Voluntary</t>
  </si>
  <si>
    <r>
      <t>a</t>
    </r>
    <r>
      <rPr>
        <sz val="11"/>
        <color rgb="FF000000"/>
        <rFont val="Aptos Narrow"/>
        <family val="2"/>
        <scheme val="minor"/>
      </rPr>
      <t xml:space="preserve"> Costs associated with this activity </t>
    </r>
    <r>
      <rPr>
        <sz val="8"/>
        <color theme="1"/>
        <rFont val="Aptos Narrow"/>
        <family val="2"/>
        <scheme val="minor"/>
      </rPr>
      <t> </t>
    </r>
    <r>
      <rPr>
        <sz val="11"/>
        <color rgb="FF000000"/>
        <rFont val="Aptos Narrow"/>
        <family val="2"/>
        <scheme val="minor"/>
      </rPr>
      <t>are not broken out by CAERS cases. All costs are included with the group for EIS.</t>
    </r>
  </si>
  <si>
    <t>EPA</t>
  </si>
  <si>
    <t>All EPA Costs</t>
  </si>
  <si>
    <r>
      <rPr>
        <b/>
        <sz val="14"/>
        <color theme="1"/>
        <rFont val="Calibri"/>
        <family val="2"/>
      </rPr>
      <t>Table 9:</t>
    </r>
    <r>
      <rPr>
        <sz val="14"/>
        <color theme="1"/>
        <rFont val="Calibri"/>
        <family val="2"/>
      </rPr>
      <t xml:space="preserve"> Annual Total Owner/Operator Respondent Burden and Cost by Activity</t>
    </r>
  </si>
  <si>
    <t>Number of Facilities/year</t>
  </si>
  <si>
    <t>Required activities</t>
  </si>
  <si>
    <t>(Weighted ave per year per facility)</t>
  </si>
  <si>
    <t>Voluntary activities for triennial inventory years</t>
  </si>
  <si>
    <t>3. Provide rail yard data to the EPA for 2026 (in 2027)</t>
  </si>
  <si>
    <r>
      <t xml:space="preserve">Table 12: Annual </t>
    </r>
    <r>
      <rPr>
        <sz val="11"/>
        <color theme="1"/>
        <rFont val="Aptos Narrow"/>
        <family val="2"/>
        <scheme val="minor"/>
      </rPr>
      <t>operations and maintenance (O&amp;M) burden</t>
    </r>
    <r>
      <rPr>
        <b/>
        <sz val="11"/>
        <color theme="1"/>
        <rFont val="Aptos Narrow"/>
        <family val="2"/>
        <scheme val="minor"/>
      </rPr>
      <t xml:space="preserve"> for SLT data systems</t>
    </r>
  </si>
  <si>
    <t>Ave. No.
of SLTs</t>
  </si>
  <si>
    <t xml:space="preserve">Capital cost / SLT = </t>
  </si>
  <si>
    <t>Point Data Collection System O&amp;M - EIS</t>
  </si>
  <si>
    <t xml:space="preserve">Capital maintenance cost / SLT = </t>
  </si>
  <si>
    <t>Point Data Collection System O&amp;M - CAERS Case 3</t>
  </si>
  <si>
    <t>Point Data Collection System O&amp;M - CAERS Case 4</t>
  </si>
  <si>
    <t>Capital and Maintenance</t>
  </si>
  <si>
    <r>
      <t xml:space="preserve">Table 13: </t>
    </r>
    <r>
      <rPr>
        <sz val="14"/>
        <color theme="1"/>
        <rFont val="Aptos Narrow"/>
        <family val="2"/>
        <scheme val="minor"/>
      </rPr>
      <t>Total Estimated Annual Respondent and EPA Burden and Cost Summary</t>
    </r>
    <r>
      <rPr>
        <b/>
        <sz val="14"/>
        <color theme="1"/>
        <rFont val="Aptos Narrow"/>
        <family val="2"/>
        <scheme val="minor"/>
      </rPr>
      <t xml:space="preserve"> </t>
    </r>
    <r>
      <rPr>
        <sz val="14"/>
        <color theme="1"/>
        <rFont val="Aptos Narrow"/>
        <family val="2"/>
        <scheme val="minor"/>
      </rPr>
      <t>for</t>
    </r>
    <r>
      <rPr>
        <b/>
        <sz val="14"/>
        <color theme="1"/>
        <rFont val="Aptos Narrow"/>
        <family val="2"/>
        <scheme val="minor"/>
      </rPr>
      <t xml:space="preserve"> </t>
    </r>
    <r>
      <rPr>
        <sz val="14"/>
        <color theme="1"/>
        <rFont val="Aptos Narrow"/>
        <family val="2"/>
        <scheme val="minor"/>
      </rPr>
      <t>2026 through 2028</t>
    </r>
  </si>
  <si>
    <t>Burden Element/Cost</t>
  </si>
  <si>
    <t>Owners/
Operators</t>
  </si>
  <si>
    <t>EPA costs worksheet</t>
  </si>
  <si>
    <t>Number of Respondents</t>
  </si>
  <si>
    <t>FTEs</t>
  </si>
  <si>
    <t>Total Hours Per year (including voluntary)</t>
  </si>
  <si>
    <t>FTE Hours/year</t>
  </si>
  <si>
    <t>EPA Labor Rate, 2022, GS13, step 7, with 26% overhead</t>
  </si>
  <si>
    <t>Annual Capital Cost</t>
  </si>
  <si>
    <t>EIS and CAERS captial costs (working capital)</t>
  </si>
  <si>
    <t>Annual O&amp;M Cost</t>
  </si>
  <si>
    <t>EIS Contractor</t>
  </si>
  <si>
    <t>Total Annual Capital and O&amp;M Costs</t>
  </si>
  <si>
    <t>CAERS Contractor</t>
  </si>
  <si>
    <t>NEI Contractor costs</t>
  </si>
  <si>
    <t>Labor Cost Per Year (including voluntary)</t>
  </si>
  <si>
    <t>Total Cost Per Year</t>
  </si>
  <si>
    <t>Total FTE Costs</t>
  </si>
  <si>
    <t>Total D&amp;O&amp;M costs</t>
  </si>
  <si>
    <t>Estimated number of agencies reporting</t>
  </si>
  <si>
    <t>Note: see definition of "State" used on page 2 of the ICR supporting statement (it includes delegated Locals, for example)</t>
  </si>
  <si>
    <r>
      <rPr>
        <b/>
        <sz val="14"/>
        <color rgb="FF000000"/>
        <rFont val="Aptos Narrow"/>
        <family val="2"/>
      </rPr>
      <t xml:space="preserve">Table 2: </t>
    </r>
    <r>
      <rPr>
        <sz val="14"/>
        <color rgb="FF000000"/>
        <rFont val="Aptos Narrow"/>
        <family val="2"/>
      </rPr>
      <t>State respondent voluntary burden for one-time point source activities when using CAERS</t>
    </r>
  </si>
  <si>
    <r>
      <t xml:space="preserve">Table 4: </t>
    </r>
    <r>
      <rPr>
        <sz val="14"/>
        <color theme="1"/>
        <rFont val="Aptos Narrow"/>
        <family val="2"/>
        <scheme val="minor"/>
      </rPr>
      <t xml:space="preserve">State point source reporting burden hours by activity </t>
    </r>
  </si>
  <si>
    <r>
      <t>Table 5a:</t>
    </r>
    <r>
      <rPr>
        <b/>
        <sz val="14"/>
        <rFont val="Aptos Narrow"/>
        <family val="2"/>
        <scheme val="minor"/>
      </rPr>
      <t xml:space="preserve"> </t>
    </r>
    <r>
      <rPr>
        <sz val="14"/>
        <rFont val="Aptos Narrow"/>
        <family val="2"/>
        <scheme val="minor"/>
      </rPr>
      <t xml:space="preserve"> State (not local or tribal)</t>
    </r>
    <r>
      <rPr>
        <sz val="14"/>
        <color theme="1"/>
        <rFont val="Aptos Narrow"/>
        <family val="2"/>
        <scheme val="minor"/>
      </rPr>
      <t xml:space="preserve"> nonpoint, mobile, and other sources burden hours by activity</t>
    </r>
  </si>
  <si>
    <r>
      <t>Table 6a:</t>
    </r>
    <r>
      <rPr>
        <sz val="14"/>
        <color theme="1"/>
        <rFont val="Aptos Narrow"/>
        <family val="2"/>
        <scheme val="minor"/>
      </rPr>
      <t xml:space="preserve"> Annualized Burden of NEI submission per Respondent for EIS Approach</t>
    </r>
  </si>
  <si>
    <r>
      <t xml:space="preserve">Table 10: </t>
    </r>
    <r>
      <rPr>
        <sz val="14"/>
        <color theme="1"/>
        <rFont val="Aptos Narrow"/>
        <family val="2"/>
        <scheme val="minor"/>
      </rPr>
      <t>SLT</t>
    </r>
    <r>
      <rPr>
        <b/>
        <sz val="14"/>
        <color theme="1"/>
        <rFont val="Aptos Narrow"/>
        <family val="2"/>
        <scheme val="minor"/>
      </rPr>
      <t xml:space="preserve"> </t>
    </r>
    <r>
      <rPr>
        <sz val="14"/>
        <color theme="1"/>
        <rFont val="Aptos Narrow"/>
        <family val="2"/>
        <scheme val="minor"/>
      </rPr>
      <t>data system operation and maintenance hours for NEI collection from owners/operators</t>
    </r>
  </si>
  <si>
    <t>Agency Type</t>
  </si>
  <si>
    <t>Triennial Point reporting agencies</t>
  </si>
  <si>
    <t>2020 Point</t>
  </si>
  <si>
    <t>2023 Point</t>
  </si>
  <si>
    <t xml:space="preserve">2020 Nonpoint </t>
  </si>
  <si>
    <t>2023 Nonpoint (as of 5/28/25)</t>
  </si>
  <si>
    <t>Hours Per Respondent</t>
  </si>
  <si>
    <t>State/Local Wghted Hours averages</t>
  </si>
  <si>
    <t>State, local, or tribal count</t>
  </si>
  <si>
    <t>Cost/Year</t>
  </si>
  <si>
    <t>State</t>
  </si>
  <si>
    <t>Activity</t>
  </si>
  <si>
    <t>Engineering Managerial Hours</t>
  </si>
  <si>
    <t>Scientist Technical Hours</t>
  </si>
  <si>
    <t>IT Admin Hours</t>
  </si>
  <si>
    <t>Applies to CAERS Cases?</t>
  </si>
  <si>
    <t>State count</t>
  </si>
  <si>
    <t>Engineering Technical Hours</t>
  </si>
  <si>
    <t>Total hours incl. S+L and weighted averages (div. by 3 for annual)</t>
  </si>
  <si>
    <t>Annual Required Activities</t>
  </si>
  <si>
    <t>Local</t>
  </si>
  <si>
    <t>CAERS Case 3 and 4</t>
  </si>
  <si>
    <t>Point sources - Annual (required and voluntary)</t>
  </si>
  <si>
    <t>Submit annually reported point sources CAPs with EIS (see Table 4)</t>
  </si>
  <si>
    <t xml:space="preserve">  1. Collection system operation &amp; maintenance (O&amp;M)</t>
  </si>
  <si>
    <t>Case 3 @ 80%</t>
  </si>
  <si>
    <t>Tribal (voluntary)</t>
  </si>
  <si>
    <t xml:space="preserve">  1. Update and deliver training to owners/operators about new reporting approach</t>
  </si>
  <si>
    <t xml:space="preserve">  1. Quality assurance of submitted data and revision support</t>
  </si>
  <si>
    <t>3 @ 100%, 
4 @ 50%</t>
  </si>
  <si>
    <t xml:space="preserve">1. Report nonpoint emissions, report tool inputs, or review, comment and/or accept EPA data (for sources included in EPA tools) </t>
  </si>
  <si>
    <t>Point Source Triennial Required Activities</t>
  </si>
  <si>
    <t xml:space="preserve">  2. Update collection system with new codes, emission factors, and other new information for reporting year</t>
  </si>
  <si>
    <t xml:space="preserve">  2. Curate list of facilities to remove duplicates</t>
  </si>
  <si>
    <t xml:space="preserve">  2.  Extract data from the state data system</t>
  </si>
  <si>
    <t>2. Report nonpoint emissions for sources not included in EPA tools</t>
  </si>
  <si>
    <t>Submit additional triennial point sources CAPs with EIS (see Table 4)</t>
  </si>
  <si>
    <t xml:space="preserve">  3. User support and training for point source emissions data reporting</t>
  </si>
  <si>
    <t>Case 3 @ 50%, case 4 @ 50%</t>
  </si>
  <si>
    <t xml:space="preserve">  3. Other coordination activities including ensuring any CAERS customizations meet SLT requirements.</t>
  </si>
  <si>
    <t xml:space="preserve">  3.  Convert data into the XML format – facility attributes information</t>
  </si>
  <si>
    <t>3. Adjust nonpoint submissions for  boundaries of Indian country</t>
  </si>
  <si>
    <t>Average Burden per Entity, Required Point Source Activities</t>
  </si>
  <si>
    <t>Subtotal for System O&amp;M EIS and CAERS Case 1 &amp; 2</t>
  </si>
  <si>
    <t>Hours Reduction</t>
  </si>
  <si>
    <t>+ Guam and VI</t>
  </si>
  <si>
    <t xml:space="preserve">  4.  Convert data into the XML format – annual emissions information</t>
  </si>
  <si>
    <t>4.Report aircraft and ground support emissions or review, comment, and/or accept EPA airport activity data</t>
  </si>
  <si>
    <t>Other Triennial Required Activities</t>
  </si>
  <si>
    <t>Subtotal for System O&amp;M with CAERS Case 3</t>
  </si>
  <si>
    <t xml:space="preserve">  4. Modify SLT system to receive data from CAERS user interface.</t>
  </si>
  <si>
    <t xml:space="preserve">  5.  Run EIS quality-assurance checks and resolve critical errors</t>
  </si>
  <si>
    <t>5. Report rail yard emissions or review, comment, and/or accept EPA emissions estimates or EPA activity data</t>
  </si>
  <si>
    <t>States: submit triennial nonpoint; mobile sources/MOVES inputs (see Table 5a)</t>
  </si>
  <si>
    <t>Subtotal for System O&amp;M with CAERS Case 4</t>
  </si>
  <si>
    <t>Inventory years:</t>
  </si>
  <si>
    <t>SubTotal Case 3</t>
  </si>
  <si>
    <t xml:space="preserve">  6.  Submit final file to the EPA via CDX</t>
  </si>
  <si>
    <t>3, 4</t>
  </si>
  <si>
    <t>6. Report commercial marine vessel (CMV) and locomotive emissions data or review, comment, and/or accept EPA emissions estimates.</t>
  </si>
  <si>
    <t>Local agencies: nonpoint, mobile sources/MOVES inputs (see Table 5c)</t>
  </si>
  <si>
    <t>Calendar Year</t>
  </si>
  <si>
    <t>CY 2026</t>
  </si>
  <si>
    <t>CY 2027</t>
  </si>
  <si>
    <t>CY 2028</t>
  </si>
  <si>
    <t>SubTotal - Case 4</t>
  </si>
  <si>
    <t xml:space="preserve">  7.  Respond to follow-up inquiries from the EPA</t>
  </si>
  <si>
    <t>7. For all states but California, report MOVES inputs</t>
  </si>
  <si>
    <t>Average Burden per Entity, Required Other Triennial Activities</t>
  </si>
  <si>
    <t>Point Assumptions</t>
  </si>
  <si>
    <t>Note: see also worksheet at right in Table 6 column</t>
  </si>
  <si>
    <t>Subtotal Annual Point Source 
Reporting via EIS</t>
  </si>
  <si>
    <t>8. For California, report onroad and nonroad emissions</t>
  </si>
  <si>
    <t>Voluntary Activities (Triennial hours from other tables divided by 3 to annualize)</t>
  </si>
  <si>
    <t>SLT Using CAERS</t>
  </si>
  <si>
    <r>
      <t xml:space="preserve">Table 3: </t>
    </r>
    <r>
      <rPr>
        <sz val="14"/>
        <color rgb="FF000000"/>
        <rFont val="Aptos Narrow"/>
        <family val="2"/>
      </rPr>
      <t>Annualized one-time burden per State respondent</t>
    </r>
  </si>
  <si>
    <t>Subtotal Annual Point Source 
Reporting via CAERS Case 3</t>
  </si>
  <si>
    <t>Average hours per state, required activities</t>
  </si>
  <si>
    <t>State annual and triennial voluntary point source HAP reporting with EIS (see Table 4)</t>
  </si>
  <si>
    <r>
      <t xml:space="preserve">Table 11: </t>
    </r>
    <r>
      <rPr>
        <sz val="14"/>
        <color theme="1"/>
        <rFont val="Aptos Narrow"/>
        <family val="2"/>
        <scheme val="minor"/>
      </rPr>
      <t>Agency average burden of data system operation and maintenance costs for NEI collection from owners/operators</t>
    </r>
  </si>
  <si>
    <t>SLT Not using CAERS</t>
  </si>
  <si>
    <t>Manager Hrs/Yr @</t>
  </si>
  <si>
    <t>Scientist
Hrs/Yr @</t>
  </si>
  <si>
    <t>IT 
Hrs/Yr @</t>
  </si>
  <si>
    <t>Hours/Yr</t>
  </si>
  <si>
    <t>Labor Cost/Year</t>
  </si>
  <si>
    <t>Subtotal Annual Point Source 
Reporting via CAERS, Case 4</t>
  </si>
  <si>
    <t>Voluntary Activities</t>
  </si>
  <si>
    <t>Max State count + Local/Tribal</t>
  </si>
  <si>
    <t>State voluntary triennial data reporting activities (see Table 5a)</t>
  </si>
  <si>
    <t>Point source data collection system operations and maintenance for…</t>
  </si>
  <si>
    <t>SLT Report HAP</t>
  </si>
  <si>
    <t>Point sources - Triennial CAPs (required and voluntary), additional hours</t>
  </si>
  <si>
    <t>9. Report documentation for nonpoint</t>
  </si>
  <si>
    <t>Local and tribal voluntary triennial data activities (See Table 5c)</t>
  </si>
  <si>
    <t>EIS reporting</t>
  </si>
  <si>
    <t>SLT Adopts facility HAP direct to EPA reporting</t>
  </si>
  <si>
    <t>Point Sources Optional Activities</t>
  </si>
  <si>
    <t>1. Quality assurance of submitted data and revision support</t>
  </si>
  <si>
    <t>3 @ 100%, 4 @ 50%</t>
  </si>
  <si>
    <t>10. Report documenation  for aircraft, ground support equipment, and/or rail yards</t>
  </si>
  <si>
    <t>Average Burden per Entity, 
Voluntary Activities</t>
  </si>
  <si>
    <t>SLT Report HAP w/ CAERS</t>
  </si>
  <si>
    <t>Transition Tasks for CAERS Case 3</t>
  </si>
  <si>
    <t>2.  Extract data from the state data system</t>
  </si>
  <si>
    <t>11.	Comment on prescribed fire and wildfire activity data, submit activity data, or submit emissions</t>
  </si>
  <si>
    <t>SLT Report HAP w SLT system or CAERS case 1 or 2 (future)</t>
  </si>
  <si>
    <t>Transition Tasks for CAERS case 4</t>
  </si>
  <si>
    <t>3. Convert data into the XML format – facility attributes information</t>
  </si>
  <si>
    <t>12. Format and submit season-day emissions (includes point also)</t>
  </si>
  <si>
    <t>Total and Weighted Average</t>
  </si>
  <si>
    <t>4. Convert data into the XML format – annual emissions information</t>
  </si>
  <si>
    <t>Average hours per state, voluntary activities</t>
  </si>
  <si>
    <t xml:space="preserve"> 5.  Run EIS quality-assurance checks and resolve critical errors</t>
  </si>
  <si>
    <r>
      <t>Table 6b:</t>
    </r>
    <r>
      <rPr>
        <sz val="14"/>
        <color theme="1"/>
        <rFont val="Aptos Narrow"/>
        <family val="2"/>
        <scheme val="minor"/>
      </rPr>
      <t xml:space="preserve"> Annualized Burden </t>
    </r>
    <r>
      <rPr>
        <b/>
        <u/>
        <sz val="14"/>
        <color rgb="FFFF0000"/>
        <rFont val="Aptos Narrow"/>
        <family val="2"/>
        <scheme val="minor"/>
      </rPr>
      <t>Changes</t>
    </r>
    <r>
      <rPr>
        <sz val="14"/>
        <color theme="1"/>
        <rFont val="Aptos Narrow"/>
        <family val="2"/>
        <scheme val="minor"/>
      </rPr>
      <t xml:space="preserve"> per Respondent of NEI Submission for CAERS Cases 3 and 4 Approach</t>
    </r>
  </si>
  <si>
    <t>Nonpoint- and mobile-related counts</t>
  </si>
  <si>
    <t>6.  Submit final file to the EPA</t>
  </si>
  <si>
    <r>
      <t xml:space="preserve">Table 5b: </t>
    </r>
    <r>
      <rPr>
        <sz val="14"/>
        <color theme="1"/>
        <rFont val="Aptos Narrow"/>
        <family val="2"/>
        <scheme val="minor"/>
      </rPr>
      <t>Assumptions and calculations for State nonpoint tool submissions (activities 1 and 2)</t>
    </r>
  </si>
  <si>
    <t>Total Hours Change/
Year</t>
  </si>
  <si>
    <t xml:space="preserve"> Cost Change/
Year</t>
  </si>
  <si>
    <t>Number of input templates for WW</t>
  </si>
  <si>
    <t>7.  Respond to follow-up inquiries from the EPA</t>
  </si>
  <si>
    <t>Review/Prepare/Submit inputs or emissions for sectors with EPA tools (Activity 1)</t>
  </si>
  <si>
    <t>No. States</t>
  </si>
  <si>
    <t>Basis</t>
  </si>
  <si>
    <t>Average Submitted Templates or Sectors Per State</t>
  </si>
  <si>
    <t>Average Hours/ Template or sector</t>
  </si>
  <si>
    <t>Total for All States Performing Sub-task</t>
  </si>
  <si>
    <t>Average Hours Across All States</t>
  </si>
  <si>
    <t>CAERS Case 3 Burden Changes</t>
  </si>
  <si>
    <t>Number of WW sectors</t>
  </si>
  <si>
    <t>Subtotal Triennial Point Source 
Reporting Increment via EIS – all point sources via EIS</t>
  </si>
  <si>
    <t>Prepare/Submit Wagon Wheel Input templates</t>
  </si>
  <si>
    <t>Per template</t>
  </si>
  <si>
    <t>Annual point source CAP reporting (see Table 4b)</t>
  </si>
  <si>
    <t>Number of non-WW EPA sectors</t>
  </si>
  <si>
    <t>Notes: oil &amp; gas, ag fertilizer, livestock, portable fuel containers, stage II gasoline (via MOVES)</t>
  </si>
  <si>
    <t>Subtotal Triennial Point Sources 
Reporting Increment via CAERS Case 3</t>
  </si>
  <si>
    <t>Review/accept Wagon Wheel Input templates</t>
  </si>
  <si>
    <t>Count</t>
  </si>
  <si>
    <t>Triennial point source CAP reporting (see Table 6b)</t>
  </si>
  <si>
    <t>No. states with rail yards</t>
  </si>
  <si>
    <t>Subtotal Triennial Point Source 
Reporting Increment via CAERS Case 4</t>
  </si>
  <si>
    <t>Prepare/report O&amp;G inputs</t>
  </si>
  <si>
    <t>Per sector</t>
  </si>
  <si>
    <t>Number of input templates per state/local</t>
  </si>
  <si>
    <t>State annual and triennial voluntary point source HAP reporting with CAERS Case 3</t>
  </si>
  <si>
    <t>No. locals with rail yards</t>
  </si>
  <si>
    <t>Review/Accept O&amp;G inputs</t>
  </si>
  <si>
    <t>Number of states/locals submitting templates for 2020 NEI at date of this calculation?</t>
  </si>
  <si>
    <t>Subtotal Case 3</t>
  </si>
  <si>
    <t>Number of SLTs with CMV activity</t>
  </si>
  <si>
    <t>Worksheet: Assumptions about SLT use of CAERS by case and year</t>
  </si>
  <si>
    <t>Review/comment/accept other tool inputs (except CMV)</t>
  </si>
  <si>
    <t>How many templates submitted in total across all sectors at date of this calculation?</t>
  </si>
  <si>
    <t>CAERS Case 4 Burden Changes</t>
  </si>
  <si>
    <t>Number of SLTs submitting data for non-EPA sectors</t>
  </si>
  <si>
    <t>CAERS Cases</t>
  </si>
  <si>
    <t>Average</t>
  </si>
  <si>
    <r>
      <rPr>
        <strike/>
        <sz val="11"/>
        <rFont val="Aptos Narrow"/>
        <family val="2"/>
        <scheme val="minor"/>
      </rPr>
      <t>P</t>
    </r>
    <r>
      <rPr>
        <sz val="11"/>
        <color theme="1"/>
        <rFont val="Aptos Narrow"/>
        <family val="2"/>
        <scheme val="minor"/>
      </rPr>
      <t>repare/submit emissions for sectors with EPA tools (except O&amp;G)</t>
    </r>
  </si>
  <si>
    <t>Additional required templates that haven't been received as of the date of this calculation across all S/Ls?</t>
  </si>
  <si>
    <t>Annual point source CAP reporting (see Table 6b)</t>
  </si>
  <si>
    <t>No. SLTs reporting MOVES</t>
  </si>
  <si>
    <t>Cases 1 and 2 (0%)</t>
  </si>
  <si>
    <r>
      <rPr>
        <sz val="11"/>
        <rFont val="Aptos Narrow"/>
        <family val="2"/>
        <scheme val="minor"/>
      </rPr>
      <t>P</t>
    </r>
    <r>
      <rPr>
        <sz val="11"/>
        <color theme="1"/>
        <rFont val="Aptos Narrow"/>
        <family val="2"/>
        <scheme val="minor"/>
      </rPr>
      <t>repare/submit emissions for O&amp;G</t>
    </r>
  </si>
  <si>
    <t>Number of states/locals submitting emissions to date as of the date of this calculation?</t>
  </si>
  <si>
    <t xml:space="preserve">Case 3 (50%)  </t>
  </si>
  <si>
    <t xml:space="preserve"> Complete Nonpoint Survey (approach to accept EPA inputs/estimates)</t>
  </si>
  <si>
    <t>all</t>
  </si>
  <si>
    <t>Number of state/local-sector combinations for emissions submissions as of date of this calculation</t>
  </si>
  <si>
    <t>State annual and triennial voluntary point source HAP reporting with CAERS Case 4</t>
  </si>
  <si>
    <t>Events-related Assumptions</t>
  </si>
  <si>
    <t>Case 4 (50%)</t>
  </si>
  <si>
    <t>SubTotal</t>
  </si>
  <si>
    <t>No. sectors not WW, O&amp;G, or CMV</t>
  </si>
  <si>
    <t>Subtotal Case 4</t>
  </si>
  <si>
    <t>Number of SLTs with Rx fires occurring</t>
  </si>
  <si>
    <t>Prepare/Submit emissions for sectors without EPA tools (Activity 2)</t>
  </si>
  <si>
    <t>No. states/locals submitting O&amp;G emissions</t>
  </si>
  <si>
    <t>Number of SLTs already reporting Rx fires:</t>
  </si>
  <si>
    <t>Not using CAERS</t>
  </si>
  <si>
    <t>Prepare/Submit emissions for sectors without EPA tools</t>
  </si>
  <si>
    <t>No. states/locals submitting O&amp;G inputs</t>
  </si>
  <si>
    <t>Number of SLTs with wildfires</t>
  </si>
  <si>
    <t>Not using CAERS or CAERS Case 1 or 2</t>
  </si>
  <si>
    <t>Number of SLTs voluntarily reporting wildfires data</t>
  </si>
  <si>
    <t>Using CAERS Case 3 or 4</t>
  </si>
  <si>
    <t>Number of states voluntarily reporting ag fires under new approach</t>
  </si>
  <si>
    <t>Number of SLTs reporting ag fires in 2017</t>
  </si>
  <si>
    <t>6 states and 4 tribes.  See 2017 NEI TSD</t>
  </si>
  <si>
    <t>Tribal-nonpoint Assumptions</t>
  </si>
  <si>
    <r>
      <rPr>
        <b/>
        <sz val="14"/>
        <rFont val="Aptos Narrow"/>
        <family val="2"/>
        <scheme val="minor"/>
      </rPr>
      <t xml:space="preserve">Table XX: </t>
    </r>
    <r>
      <rPr>
        <sz val="14"/>
        <rFont val="Aptos Narrow"/>
        <family val="2"/>
        <scheme val="minor"/>
      </rPr>
      <t>Calculations for annual average number of point source reporting hours for different cases</t>
    </r>
  </si>
  <si>
    <r>
      <t>Table 5c:</t>
    </r>
    <r>
      <rPr>
        <sz val="14"/>
        <color theme="1"/>
        <rFont val="Aptos Narrow"/>
        <family val="2"/>
        <scheme val="minor"/>
      </rPr>
      <t xml:space="preserve"> </t>
    </r>
    <r>
      <rPr>
        <sz val="14"/>
        <color rgb="FFFF0000"/>
        <rFont val="Aptos Narrow"/>
        <family val="2"/>
        <scheme val="minor"/>
      </rPr>
      <t xml:space="preserve">Local and tribal </t>
    </r>
    <r>
      <rPr>
        <sz val="14"/>
        <rFont val="Aptos Narrow"/>
        <family val="2"/>
        <scheme val="minor"/>
      </rPr>
      <t>nonpoint, mobile, and other sources burden</t>
    </r>
    <r>
      <rPr>
        <sz val="14"/>
        <color theme="1"/>
        <rFont val="Aptos Narrow"/>
        <family val="2"/>
        <scheme val="minor"/>
      </rPr>
      <t xml:space="preserve"> hours by activity</t>
    </r>
  </si>
  <si>
    <t>States overlapping reporting tribes</t>
  </si>
  <si>
    <t>No. counties overlapping reporting tribes</t>
  </si>
  <si>
    <t>CAPs</t>
  </si>
  <si>
    <t>Voluntary HAPs</t>
  </si>
  <si>
    <t>% Effort HAP</t>
  </si>
  <si>
    <t>Entity count</t>
  </si>
  <si>
    <t>Number tribes reporting nonpoint</t>
  </si>
  <si>
    <t xml:space="preserve">Hours Calculations </t>
  </si>
  <si>
    <t>Engineering Managerial Hours/yr</t>
  </si>
  <si>
    <t>Scientist Technical Hours/Yr</t>
  </si>
  <si>
    <t>Engineering Managerial Hours/Yr</t>
  </si>
  <si>
    <t>Average number of hours per county adjusted for tribal emissions</t>
  </si>
  <si>
    <t>2025 and 2027 emissions reporting without CAERS</t>
  </si>
  <si>
    <t>2025 and 2027 emissions reporting with CAERS, Case 3</t>
  </si>
  <si>
    <t>Tribal details</t>
  </si>
  <si>
    <t>2025 and 2027 emissions reporting with CAERS, Case 4</t>
  </si>
  <si>
    <t xml:space="preserve">2020 report </t>
  </si>
  <si>
    <t>2017 report?</t>
  </si>
  <si>
    <t>State(s) NP overlap</t>
  </si>
  <si>
    <t>Count of overlap counties</t>
  </si>
  <si>
    <t>Reference</t>
  </si>
  <si>
    <t>2026 emissions reporting, 3-year average triennial increment without CAERS</t>
  </si>
  <si>
    <t>Coeur d’Alene Tribe</t>
  </si>
  <si>
    <t>P,NP,OR, NR</t>
  </si>
  <si>
    <t>ID</t>
  </si>
  <si>
    <t>http://idsmoke.blogspot.com/p/for-questions-aboutcurrent-or.html</t>
  </si>
  <si>
    <t>2026 emissions reporting, 3-year average, triennial increment with CAERS, case 3</t>
  </si>
  <si>
    <t>Kootenai Tribe of Idaho</t>
  </si>
  <si>
    <t>NP,OR,NR</t>
  </si>
  <si>
    <t>2026 emissions reporting, 3-year average, triennial increment with CAERS, case 4</t>
  </si>
  <si>
    <t>Nez Perce Tribe</t>
  </si>
  <si>
    <t xml:space="preserve">  7. Report MOVES inputs</t>
  </si>
  <si>
    <t>Northern Cheyenne Tribe</t>
  </si>
  <si>
    <t>P, NP,OR,NR</t>
  </si>
  <si>
    <t>MT</t>
  </si>
  <si>
    <t>https://commons.wikimedia.org/wiki/File:2490R_Northern_Cheyenne_Indian_Reservation_Locator_Map.svg</t>
  </si>
  <si>
    <t xml:space="preserve">  8.  For local agencies, coordinate with state agencies to complete stationary nonpoint, nonroad mobile, and onroad mobile sources for all pollutants  </t>
  </si>
  <si>
    <t>Salt River Pima Maricopa Indian Community (SRPMIC) EPNR</t>
  </si>
  <si>
    <t>P,NP</t>
  </si>
  <si>
    <t>AZ</t>
  </si>
  <si>
    <t>https://commons.wikimedia.org/wiki/File:Maricopa_County_Incorporated_and_Planning_areas_SRPMIC_highlighted.svg</t>
  </si>
  <si>
    <t>Average hours per entity, required activities</t>
  </si>
  <si>
    <t>Shoshone-Bannock Tribes of the Fort Hall Reservation of Idaho</t>
  </si>
  <si>
    <t>See link above for ID</t>
  </si>
  <si>
    <t>Voluntary activities</t>
  </si>
  <si>
    <t>Southern Ute Indian Tribe</t>
  </si>
  <si>
    <t>CO</t>
  </si>
  <si>
    <t>https://en.wikipedia.org/wiki/Southern_Ute_Indian_Reservation#/media/File:3925R_Southern_Ute_Reservation_Locator_Map.svg</t>
  </si>
  <si>
    <t>9. Report documentation for nonpoint  and mobile (locals and Tribes)</t>
  </si>
  <si>
    <t>Ute Mountain Tribe of the Ute Mountain Reservation, Colorado, New Mexico, Utah</t>
  </si>
  <si>
    <t>P</t>
  </si>
  <si>
    <t>Yakama Nation Reservation</t>
  </si>
  <si>
    <t>11. Tribes report emissions other than point</t>
  </si>
  <si>
    <t xml:space="preserve"> Ute Indian Tribe of the Uintah &amp; Ouray Reservation, Utah Reported by EPA Region 8</t>
  </si>
  <si>
    <t>Average hours per entity, voluntary activities</t>
  </si>
  <si>
    <t>This ICR</t>
  </si>
  <si>
    <t>Raw Data for Calculating Estimated Number of Major Sources for Burden</t>
  </si>
  <si>
    <t>Estimated Reporting Entities</t>
  </si>
  <si>
    <t>Average per Year</t>
  </si>
  <si>
    <t>Notes</t>
  </si>
  <si>
    <t>Facilities from 2017 RAS* or 2020 RAS (see comments)</t>
  </si>
  <si>
    <t>Facilities from 2018 RAS*</t>
  </si>
  <si>
    <t>No. Requ'd HAP/CAP Major</t>
  </si>
  <si>
    <t>No. HAP Major ID'd</t>
  </si>
  <si>
    <t>No. Requ'd CAP Major</t>
  </si>
  <si>
    <t xml:space="preserve">No. HAP/CAP ID's </t>
  </si>
  <si>
    <t>No. Required HAP Major</t>
  </si>
  <si>
    <t>No. CAP Major ID'd</t>
  </si>
  <si>
    <t>No. Total Required Major</t>
  </si>
  <si>
    <t>No. Total Major ID'd</t>
  </si>
  <si>
    <t>No. Voluntary HAP Major</t>
  </si>
  <si>
    <t>Total Submitted</t>
  </si>
  <si>
    <t>No. Voluntary HAP/CAP Major</t>
  </si>
  <si>
    <t>No. Voluntary CAP Major</t>
  </si>
  <si>
    <t>No. Voluntary Non-Major</t>
  </si>
  <si>
    <t>* RAS = Responsible Agency Selection, which represents only what the states have reported directly to the EPA</t>
  </si>
  <si>
    <t>No. Voluntary HAP facilities from SLT</t>
  </si>
  <si>
    <t>Note: the older inventory years used here would tend to overestimate the number of sources, since the numbers</t>
  </si>
  <si>
    <t>No. Voluntary total</t>
  </si>
  <si>
    <t xml:space="preserve">          of sources above the thresholds goes down over time.</t>
  </si>
  <si>
    <t>No. HAP or HAP/CAP Major</t>
  </si>
  <si>
    <t>No. CAP or HAP/CAP Major</t>
  </si>
  <si>
    <t>No. Total Major</t>
  </si>
  <si>
    <t>Total Submitted by SLTs</t>
  </si>
  <si>
    <t>Total  w/ HAP submitted By SLTs</t>
  </si>
  <si>
    <t>No. Facilities reporting to EIS and TRI</t>
  </si>
  <si>
    <t>Table 1a: Labor rates (unused) for state versus private employers</t>
  </si>
  <si>
    <t>--&gt; Hourly wage and  benefits from State_M2024_dl_Modified 08-08-2024.xlsx</t>
  </si>
  <si>
    <t>--&gt; County weighted (rate * no counties)</t>
  </si>
  <si>
    <t>--&gt; Point source weighted (rate * no counties)</t>
  </si>
  <si>
    <t>Employee</t>
  </si>
  <si>
    <t>Employer</t>
  </si>
  <si>
    <t>Mean Hourly Wage*</t>
  </si>
  <si>
    <t>Loaded Hourly Rate</t>
  </si>
  <si>
    <t>Source (via https://www.bls.gov/oes/tables.htm)</t>
  </si>
  <si>
    <t>Postal State Code</t>
  </si>
  <si>
    <t>FIPS State Code</t>
  </si>
  <si>
    <t>No. Counties</t>
  </si>
  <si>
    <t>No. Triennial Expected Facilities</t>
  </si>
  <si>
    <t>Architectural and Engineering Managers</t>
  </si>
  <si>
    <t>Environmental Engineers</t>
  </si>
  <si>
    <t>Environmental Scientists and Specialists, Including Health</t>
  </si>
  <si>
    <t>Network and Computer Systems Administrators</t>
  </si>
  <si>
    <t>Environmental Engineer</t>
  </si>
  <si>
    <t>Any</t>
  </si>
  <si>
    <t>https://www.bls.gov/oes/special-requests/oesm24nat.zip</t>
  </si>
  <si>
    <t>AL</t>
  </si>
  <si>
    <t>01</t>
  </si>
  <si>
    <t>AK</t>
  </si>
  <si>
    <t>02</t>
  </si>
  <si>
    <t>04</t>
  </si>
  <si>
    <t>* BLS as of May 2024, downloaded on 5/28/2025</t>
  </si>
  <si>
    <t>AR</t>
  </si>
  <si>
    <t>05</t>
  </si>
  <si>
    <t>CA</t>
  </si>
  <si>
    <t>06</t>
  </si>
  <si>
    <t>08</t>
  </si>
  <si>
    <t>CT</t>
  </si>
  <si>
    <t>09</t>
  </si>
  <si>
    <t>Table 1b: Weighted Labor rates for point sources</t>
  </si>
  <si>
    <t>DE</t>
  </si>
  <si>
    <t>Weighted Hourly Wage</t>
  </si>
  <si>
    <t>Source (via https://www.bls.gov/oes/tables.htm) + Calculations included in this spreadsheet based on table at the right</t>
  </si>
  <si>
    <t>DC</t>
  </si>
  <si>
    <t>https://www.bls.gov/oes/special-requests/oesm24st.zip</t>
  </si>
  <si>
    <t>FL</t>
  </si>
  <si>
    <t>GA</t>
  </si>
  <si>
    <t>HI</t>
  </si>
  <si>
    <t>Network and Computer Systems Administrator</t>
  </si>
  <si>
    <t>IL</t>
  </si>
  <si>
    <t>IN</t>
  </si>
  <si>
    <t>IA</t>
  </si>
  <si>
    <t>KS</t>
  </si>
  <si>
    <t>KY</t>
  </si>
  <si>
    <t>Table 1c: Weighted Labor rates for nonpoint, mobile, and fire sources</t>
  </si>
  <si>
    <t>LA</t>
  </si>
  <si>
    <t>ME</t>
  </si>
  <si>
    <t>MD</t>
  </si>
  <si>
    <t>MA</t>
  </si>
  <si>
    <t>MI</t>
  </si>
  <si>
    <t>MN</t>
  </si>
  <si>
    <t>MS</t>
  </si>
  <si>
    <t>MO</t>
  </si>
  <si>
    <t>NE</t>
  </si>
  <si>
    <t>These rates not used (they would have been used except that we addresed the comment about region-specific labor rates.</t>
  </si>
  <si>
    <t>NV</t>
  </si>
  <si>
    <t>NH</t>
  </si>
  <si>
    <t>State Government</t>
  </si>
  <si>
    <t>https://www.bls.gov/oes/special-requests/oesm24in4.zip</t>
  </si>
  <si>
    <t>NJ</t>
  </si>
  <si>
    <t>NM</t>
  </si>
  <si>
    <t>NY</t>
  </si>
  <si>
    <t>NC</t>
  </si>
  <si>
    <t>ND</t>
  </si>
  <si>
    <t>OH</t>
  </si>
  <si>
    <t>OK</t>
  </si>
  <si>
    <t>OR</t>
  </si>
  <si>
    <t>PA</t>
  </si>
  <si>
    <t>RI</t>
  </si>
  <si>
    <t>SC</t>
  </si>
  <si>
    <t>SD</t>
  </si>
  <si>
    <t>TN</t>
  </si>
  <si>
    <t>TX</t>
  </si>
  <si>
    <t>UT</t>
  </si>
  <si>
    <t>VT</t>
  </si>
  <si>
    <t>VA</t>
  </si>
  <si>
    <t>WA</t>
  </si>
  <si>
    <t>WV</t>
  </si>
  <si>
    <t>WI</t>
  </si>
  <si>
    <t>WY</t>
  </si>
  <si>
    <t>GU</t>
  </si>
  <si>
    <t>PR</t>
  </si>
  <si>
    <t>VI</t>
  </si>
  <si>
    <r>
      <rPr>
        <b/>
        <sz val="14"/>
        <color theme="1"/>
        <rFont val="Aptos Narrow"/>
        <family val="2"/>
        <scheme val="minor"/>
      </rPr>
      <t>Table 8:</t>
    </r>
    <r>
      <rPr>
        <sz val="14"/>
        <color theme="1"/>
        <rFont val="Aptos Narrow"/>
        <family val="2"/>
        <scheme val="minor"/>
      </rPr>
      <t xml:space="preserve"> Annual burden per facility for owners/operator reporting</t>
    </r>
  </si>
  <si>
    <t>Hours per Facility in 1 year</t>
  </si>
  <si>
    <t>Facility
 Count for 1 Year</t>
  </si>
  <si>
    <t>Ave. Facility Count Over 3 Years</t>
  </si>
  <si>
    <t>Total
Hrs/Yr</t>
  </si>
  <si>
    <t>Total
Cost/
Year</t>
  </si>
  <si>
    <t>1.  Report annual CAPs by facility to states for use in triennial (2026) AERR report</t>
  </si>
  <si>
    <t>2.  Report annual CAPs by facility to states for use in 2025 and 2027 AERR reports</t>
  </si>
  <si>
    <t>Required One-Time Activities</t>
  </si>
  <si>
    <t>Sub-total weighted average per year for required activities:</t>
  </si>
  <si>
    <t>FR 1st notice text</t>
  </si>
  <si>
    <t>Workbook reference</t>
  </si>
  <si>
    <t>Checks</t>
  </si>
  <si>
    <r>
      <t>Estimated number of respondents</t>
    </r>
    <r>
      <rPr>
        <sz val="11"/>
        <color rgb="FF000000"/>
        <rFont val="Aptos Narrow"/>
        <family val="2"/>
        <scheme val="minor"/>
      </rPr>
      <t xml:space="preserve">: </t>
    </r>
    <r>
      <rPr>
        <sz val="11"/>
        <color rgb="FFFF0000"/>
        <rFont val="Aptos Narrow"/>
        <family val="2"/>
        <scheme val="minor"/>
      </rPr>
      <t>68</t>
    </r>
  </si>
  <si>
    <t>SLT NEI burden details; Cell B9 (named cell:  "NoSLTsReporting")</t>
  </si>
  <si>
    <r>
      <rPr>
        <sz val="11"/>
        <color rgb="FFFF0000"/>
        <rFont val="Aptos Narrow"/>
        <family val="2"/>
        <scheme val="minor"/>
      </rPr>
      <t>12,379</t>
    </r>
    <r>
      <rPr>
        <sz val="11"/>
        <color rgb="FF000000"/>
        <rFont val="Aptos Narrow"/>
        <family val="2"/>
        <scheme val="minor"/>
      </rPr>
      <t xml:space="preserve"> owners/operators reporting to state and local agencies</t>
    </r>
  </si>
  <si>
    <t>Facility counts worksheet;  Cell B11</t>
  </si>
  <si>
    <r>
      <t>Total estimated burden</t>
    </r>
    <r>
      <rPr>
        <sz val="11"/>
        <color rgb="FF000000"/>
        <rFont val="Aptos Narrow"/>
        <family val="2"/>
        <scheme val="minor"/>
      </rPr>
      <t xml:space="preserve">: </t>
    </r>
    <r>
      <rPr>
        <sz val="11"/>
        <color rgb="FFFF0000"/>
        <rFont val="Aptos Narrow"/>
        <family val="2"/>
        <scheme val="minor"/>
      </rPr>
      <t>60,497</t>
    </r>
    <r>
      <rPr>
        <sz val="11"/>
        <color rgb="FF000000"/>
        <rFont val="Aptos Narrow"/>
        <family val="2"/>
        <scheme val="minor"/>
      </rPr>
      <t xml:space="preserve"> </t>
    </r>
    <r>
      <rPr>
        <sz val="11"/>
        <color theme="1"/>
        <rFont val="Aptos Narrow"/>
        <family val="2"/>
        <scheme val="minor"/>
      </rPr>
      <t xml:space="preserve">hours per year, </t>
    </r>
  </si>
  <si>
    <t>ICR Final Summary Tables/Table 10; cell B37</t>
  </si>
  <si>
    <r>
      <t xml:space="preserve">including </t>
    </r>
    <r>
      <rPr>
        <sz val="11"/>
        <color rgb="FFFF0000"/>
        <rFont val="Aptos Narrow"/>
        <family val="2"/>
        <scheme val="minor"/>
      </rPr>
      <t>14,516</t>
    </r>
    <r>
      <rPr>
        <sz val="11"/>
        <color theme="1"/>
        <rFont val="Aptos Narrow"/>
        <family val="2"/>
        <scheme val="minor"/>
      </rPr>
      <t xml:space="preserve"> for voluntary activities for</t>
    </r>
    <r>
      <rPr>
        <sz val="11"/>
        <color rgb="FF000000"/>
        <rFont val="Aptos Narrow"/>
        <family val="2"/>
        <scheme val="minor"/>
      </rPr>
      <t xml:space="preserve"> State, local, Tribal air agencies </t>
    </r>
  </si>
  <si>
    <t>ICR Final Summary Tables/Table 8; cell K17</t>
  </si>
  <si>
    <r>
      <t xml:space="preserve">and </t>
    </r>
    <r>
      <rPr>
        <sz val="11"/>
        <color rgb="FFFF0000"/>
        <rFont val="Aptos Narrow"/>
        <family val="2"/>
        <scheme val="minor"/>
      </rPr>
      <t>144,993</t>
    </r>
    <r>
      <rPr>
        <sz val="11"/>
        <color theme="1"/>
        <rFont val="Aptos Narrow"/>
        <family val="2"/>
        <scheme val="minor"/>
      </rPr>
      <t xml:space="preserve"> hours per year for owners/operators. </t>
    </r>
  </si>
  <si>
    <t>ICR Final Summary Tables/Table 10; cell C37</t>
  </si>
  <si>
    <r>
      <t>T</t>
    </r>
    <r>
      <rPr>
        <i/>
        <sz val="11"/>
        <color theme="1"/>
        <rFont val="Aptos Narrow"/>
        <family val="2"/>
        <scheme val="minor"/>
      </rPr>
      <t>otal estimated cost</t>
    </r>
    <r>
      <rPr>
        <sz val="11"/>
        <color theme="1"/>
        <rFont val="Aptos Narrow"/>
        <family val="2"/>
        <scheme val="minor"/>
      </rPr>
      <t xml:space="preserve">: </t>
    </r>
    <r>
      <rPr>
        <sz val="11"/>
        <color rgb="FFFF0000"/>
        <rFont val="Aptos Narrow"/>
        <family val="2"/>
        <scheme val="minor"/>
      </rPr>
      <t xml:space="preserve">$21,776,607 </t>
    </r>
    <r>
      <rPr>
        <sz val="11"/>
        <color theme="1"/>
        <rFont val="Aptos Narrow"/>
        <family val="2"/>
        <scheme val="minor"/>
      </rPr>
      <t> per year for State, local, and Tribal air agencies</t>
    </r>
  </si>
  <si>
    <t>ICR Final Summary Tables/Table 8; cell L14 + L17</t>
  </si>
  <si>
    <r>
      <t xml:space="preserve"> including </t>
    </r>
    <r>
      <rPr>
        <sz val="11"/>
        <color rgb="FFFF0000"/>
        <rFont val="Aptos Narrow"/>
        <family val="2"/>
        <scheme val="minor"/>
      </rPr>
      <t>$1,449,776</t>
    </r>
    <r>
      <rPr>
        <sz val="11"/>
        <color theme="1"/>
        <rFont val="Aptos Narrow"/>
        <family val="2"/>
        <scheme val="minor"/>
      </rPr>
      <t xml:space="preserve"> for voluntary activities </t>
    </r>
  </si>
  <si>
    <t>ICR Final Summary Tables/Table 8; cell L17</t>
  </si>
  <si>
    <r>
      <t xml:space="preserve">and </t>
    </r>
    <r>
      <rPr>
        <sz val="11"/>
        <color rgb="FFFF0000"/>
        <rFont val="Aptos Narrow"/>
        <family val="2"/>
        <scheme val="minor"/>
      </rPr>
      <t>$15,756,457</t>
    </r>
    <r>
      <rPr>
        <sz val="11"/>
        <color theme="1"/>
        <rFont val="Aptos Narrow"/>
        <family val="2"/>
        <scheme val="minor"/>
      </rPr>
      <t xml:space="preserve"> in annualized capital, operation, and maintenance costs. </t>
    </r>
  </si>
  <si>
    <t>ICR Final Summary Tables/Table 10; cell B41</t>
  </si>
  <si>
    <r>
      <rPr>
        <sz val="11"/>
        <color rgb="FFFF0000"/>
        <rFont val="Aptos Narrow"/>
        <family val="2"/>
        <scheme val="minor"/>
      </rPr>
      <t xml:space="preserve"> $16,567,945</t>
    </r>
    <r>
      <rPr>
        <sz val="11"/>
        <color theme="1"/>
        <rFont val="Aptos Narrow"/>
        <family val="2"/>
        <scheme val="minor"/>
      </rPr>
      <t xml:space="preserve"> per year for owners/operators.</t>
    </r>
  </si>
  <si>
    <t>ICR Final Summary Tables/Table 10; cell C44</t>
  </si>
  <si>
    <r>
      <t xml:space="preserve">Beyond those changes, the total hours per year for State, local, and Tribal air agencies for required activities has increased by </t>
    </r>
    <r>
      <rPr>
        <sz val="11"/>
        <color rgb="FFFF0000"/>
        <rFont val="Aptos Narrow"/>
        <family val="2"/>
        <scheme val="minor"/>
      </rPr>
      <t>627</t>
    </r>
    <r>
      <rPr>
        <sz val="11"/>
        <color rgb="FF000000"/>
        <rFont val="Aptos Narrow"/>
        <family val="2"/>
        <scheme val="minor"/>
      </rPr>
      <t xml:space="preserve"> hours per year across all agencies, which reflects improved calculation approaches.   </t>
    </r>
  </si>
  <si>
    <t xml:space="preserve">ICR Final Summary Tables:   Table 10; cell K11 minus Table 11;cell O9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</si>
</sst>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0.0"/>
    <numFmt numFmtId="166" formatCode="0.0"/>
    <numFmt numFmtId="167" formatCode="_(&quot;$&quot;* #,##0_);_(&quot;$&quot;* \(#,##0\);_(&quot;$&quot;* &quot;-&quot;??_);_(@_)"/>
    <numFmt numFmtId="168" formatCode="&quot;$&quot;#,##0.00"/>
    <numFmt numFmtId="169" formatCode="_(* #,##0_);_(* \(#,##0\);_(* &quot;-&quot;??_);_(@_)"/>
  </numFmts>
  <fonts count="41"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sz val="11"/>
      <color rgb="FF000000"/>
      <name val="Aptos Narrow"/>
      <family val="2"/>
      <scheme val="minor"/>
    </font>
    <font>
      <b/>
      <sz val="14"/>
      <color theme="1"/>
      <name val="Aptos Narrow"/>
      <family val="2"/>
      <scheme val="minor"/>
    </font>
    <font>
      <b/>
      <sz val="11"/>
      <color rgb="FF000000"/>
      <name val="Calibri"/>
      <family val="2"/>
    </font>
    <font>
      <sz val="11"/>
      <name val="Aptos Narrow"/>
      <family val="2"/>
      <scheme val="minor"/>
    </font>
    <font>
      <sz val="10"/>
      <name val="Arial"/>
      <family val="2"/>
    </font>
    <font>
      <sz val="14"/>
      <color theme="1"/>
      <name val="Aptos Narrow"/>
      <family val="2"/>
      <scheme val="minor"/>
    </font>
    <font>
      <sz val="14"/>
      <color rgb="FFFF0000"/>
      <name val="Aptos Narrow"/>
      <family val="2"/>
      <scheme val="minor"/>
    </font>
    <font>
      <b/>
      <sz val="11"/>
      <color rgb="FF0070C0"/>
      <name val="Aptos Narrow"/>
      <family val="2"/>
      <scheme val="minor"/>
    </font>
    <font>
      <sz val="11"/>
      <color rgb="FF0070C0"/>
      <name val="Aptos Narrow"/>
      <family val="2"/>
      <scheme val="minor"/>
    </font>
    <font>
      <b/>
      <sz val="11"/>
      <color rgb="FF000000"/>
      <name val="Aptos Narrow"/>
      <family val="2"/>
      <scheme val="minor"/>
    </font>
    <font>
      <sz val="11"/>
      <name val="Calibri"/>
      <family val="2"/>
    </font>
    <font>
      <b/>
      <sz val="11"/>
      <name val="Aptos Narrow"/>
      <family val="2"/>
      <scheme val="minor"/>
    </font>
    <font>
      <b/>
      <sz val="11"/>
      <color theme="5" tint="-0.249977111117893"/>
      <name val="Aptos Narrow"/>
      <family val="2"/>
      <scheme val="minor"/>
    </font>
    <font>
      <b/>
      <sz val="11"/>
      <color rgb="FFFF0000"/>
      <name val="Aptos Narrow"/>
      <family val="2"/>
      <scheme val="minor"/>
    </font>
    <font>
      <sz val="11"/>
      <color theme="5" tint="-0.249977111117893"/>
      <name val="Aptos Narrow"/>
      <family val="2"/>
      <scheme val="minor"/>
    </font>
    <font>
      <b/>
      <u/>
      <sz val="14"/>
      <color rgb="FFFF0000"/>
      <name val="Aptos Narrow"/>
      <family val="2"/>
      <scheme val="minor"/>
    </font>
    <font>
      <sz val="14"/>
      <name val="Aptos Narrow"/>
      <family val="2"/>
      <scheme val="minor"/>
    </font>
    <font>
      <b/>
      <sz val="14"/>
      <name val="Aptos Narrow"/>
      <family val="2"/>
      <scheme val="minor"/>
    </font>
    <font>
      <sz val="11"/>
      <color rgb="FF000000"/>
      <name val="Calibri"/>
      <family val="2"/>
    </font>
    <font>
      <sz val="11"/>
      <color theme="1"/>
      <name val="Calibri"/>
      <family val="2"/>
    </font>
    <font>
      <b/>
      <sz val="11"/>
      <color theme="1"/>
      <name val="Calibri"/>
      <family val="2"/>
    </font>
    <font>
      <b/>
      <sz val="11"/>
      <color rgb="FF00B050"/>
      <name val="Aptos Narrow"/>
      <family val="2"/>
      <scheme val="minor"/>
    </font>
    <font>
      <vertAlign val="superscript"/>
      <sz val="11"/>
      <color theme="1"/>
      <name val="Calibri"/>
      <family val="2"/>
    </font>
    <font>
      <vertAlign val="superscript"/>
      <sz val="11"/>
      <color rgb="FF000000"/>
      <name val="Aptos Narrow"/>
      <family val="2"/>
      <scheme val="minor"/>
    </font>
    <font>
      <sz val="8"/>
      <color theme="1"/>
      <name val="Aptos Narrow"/>
      <family val="2"/>
      <scheme val="minor"/>
    </font>
    <font>
      <sz val="11"/>
      <color theme="1"/>
      <name val="Aptos"/>
      <family val="2"/>
    </font>
    <font>
      <strike/>
      <sz val="11"/>
      <name val="Aptos Narrow"/>
      <family val="2"/>
      <scheme val="minor"/>
    </font>
    <font>
      <b/>
      <sz val="14"/>
      <color rgb="FF000000"/>
      <name val="Aptos Narrow"/>
      <family val="2"/>
    </font>
    <font>
      <sz val="14"/>
      <color rgb="FF000000"/>
      <name val="Aptos Narrow"/>
      <family val="2"/>
    </font>
    <font>
      <sz val="9"/>
      <color rgb="FFFF0000"/>
      <name val="Aptos Narrow"/>
      <family val="2"/>
      <scheme val="minor"/>
    </font>
    <font>
      <i/>
      <sz val="11"/>
      <color rgb="FF000000"/>
      <name val="Aptos Narrow"/>
      <family val="2"/>
      <scheme val="minor"/>
    </font>
    <font>
      <i/>
      <sz val="11"/>
      <color theme="1"/>
      <name val="Aptos Narrow"/>
      <family val="2"/>
      <scheme val="minor"/>
    </font>
    <font>
      <b/>
      <sz val="11"/>
      <color theme="1"/>
      <name val="Aptos Narrow"/>
      <family val="2"/>
    </font>
    <font>
      <sz val="11"/>
      <color theme="1"/>
      <name val="Aptos Narrow"/>
      <family val="2"/>
    </font>
    <font>
      <sz val="14"/>
      <color theme="1"/>
      <name val="Calibri"/>
      <family val="2"/>
    </font>
    <font>
      <b/>
      <sz val="14"/>
      <color theme="1"/>
      <name val="Calibri"/>
      <family val="2"/>
    </font>
  </fonts>
  <fills count="7">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
      <patternFill patternType="solid">
        <fgColor theme="4" tint="0.79998168889431442"/>
        <bgColor theme="4" tint="0.79998168889431442"/>
      </patternFill>
    </fill>
  </fills>
  <borders count="63">
    <border>
      <left/>
      <right/>
      <top/>
      <bottom/>
      <diagonal/>
    </border>
    <border>
      <left/>
      <right/>
      <top/>
      <bottom style="medium">
        <color indexed="64"/>
      </bottom>
      <diagonal/>
    </border>
    <border>
      <left/>
      <right/>
      <top style="medium">
        <color indexed="64"/>
      </top>
      <bottom/>
      <diagonal/>
    </border>
    <border>
      <left style="medium">
        <color rgb="FF000000"/>
      </left>
      <right/>
      <top/>
      <bottom style="medium">
        <color rgb="FF000000"/>
      </bottom>
      <diagonal/>
    </border>
    <border>
      <left style="medium">
        <color rgb="FF000000"/>
      </left>
      <right/>
      <top/>
      <bottom/>
      <diagonal/>
    </border>
    <border>
      <left style="medium">
        <color rgb="FF000000"/>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diagonal/>
    </border>
    <border>
      <left style="medium">
        <color rgb="FF000000"/>
      </left>
      <right style="medium">
        <color rgb="FF000000"/>
      </right>
      <top style="medium">
        <color rgb="FF000000"/>
      </top>
      <bottom/>
      <diagonal/>
    </border>
    <border>
      <left style="medium">
        <color indexed="64"/>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rgb="FF000000"/>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rgb="FF000000"/>
      </bottom>
      <diagonal/>
    </border>
    <border>
      <left/>
      <right style="medium">
        <color indexed="64"/>
      </right>
      <top style="medium">
        <color rgb="FF000000"/>
      </top>
      <bottom style="medium">
        <color rgb="FF000000"/>
      </bottom>
      <diagonal/>
    </border>
    <border>
      <left style="medium">
        <color auto="1"/>
      </left>
      <right/>
      <top/>
      <bottom style="medium">
        <color auto="1"/>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medium">
        <color indexed="64"/>
      </left>
      <right style="medium">
        <color indexed="64"/>
      </right>
      <top/>
      <bottom/>
      <diagonal/>
    </border>
    <border>
      <left/>
      <right style="medium">
        <color indexed="64"/>
      </right>
      <top style="medium">
        <color rgb="FF000000"/>
      </top>
      <bottom/>
      <diagonal/>
    </border>
    <border>
      <left style="medium">
        <color auto="1"/>
      </left>
      <right/>
      <top/>
      <bottom/>
      <diagonal/>
    </border>
    <border>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rgb="FF000000"/>
      </bottom>
      <diagonal/>
    </border>
    <border>
      <left style="thin">
        <color auto="1"/>
      </left>
      <right style="thin">
        <color auto="1"/>
      </right>
      <top style="thin">
        <color auto="1"/>
      </top>
      <bottom style="thin">
        <color auto="1"/>
      </bottom>
      <diagonal/>
    </border>
    <border>
      <left/>
      <right style="medium">
        <color rgb="FF000000"/>
      </right>
      <top/>
      <bottom/>
      <diagonal/>
    </border>
    <border>
      <left style="medium">
        <color rgb="FF000000"/>
      </left>
      <right style="medium">
        <color rgb="FF000000"/>
      </right>
      <top/>
      <bottom style="medium">
        <color rgb="FF000000"/>
      </bottom>
      <diagonal/>
    </border>
    <border>
      <left style="thick">
        <color rgb="FF00B050"/>
      </left>
      <right style="thick">
        <color rgb="FF00B050"/>
      </right>
      <top style="thick">
        <color rgb="FF00B050"/>
      </top>
      <bottom style="thick">
        <color rgb="FF00B050"/>
      </bottom>
      <diagonal/>
    </border>
    <border>
      <left style="thick">
        <color auto="1"/>
      </left>
      <right style="thick">
        <color auto="1"/>
      </right>
      <top style="thick">
        <color auto="1"/>
      </top>
      <bottom style="thick">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n">
        <color auto="1"/>
      </bottom>
      <diagonal/>
    </border>
    <border>
      <left/>
      <right style="medium">
        <color indexed="64"/>
      </right>
      <top/>
      <bottom style="medium">
        <color indexed="64"/>
      </bottom>
      <diagonal/>
    </border>
    <border>
      <left style="thick">
        <color auto="1"/>
      </left>
      <right/>
      <top style="thin">
        <color auto="1"/>
      </top>
      <bottom/>
      <diagonal/>
    </border>
    <border>
      <left/>
      <right/>
      <top style="thin">
        <color auto="1"/>
      </top>
      <bottom/>
      <diagonal/>
    </border>
    <border>
      <left/>
      <right style="thick">
        <color auto="1"/>
      </right>
      <top style="thin">
        <color auto="1"/>
      </top>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ck">
        <color auto="1"/>
      </left>
      <right style="thick">
        <color auto="1"/>
      </right>
      <top style="thin">
        <color auto="1"/>
      </top>
      <bottom style="thick">
        <color auto="1"/>
      </bottom>
      <diagonal/>
    </border>
    <border>
      <left style="thick">
        <color indexed="64"/>
      </left>
      <right style="thick">
        <color indexed="64"/>
      </right>
      <top style="thick">
        <color indexed="64"/>
      </top>
      <bottom style="medium">
        <color indexed="64"/>
      </bottom>
      <diagonal/>
    </border>
    <border>
      <left style="thin">
        <color auto="1"/>
      </left>
      <right style="thin">
        <color auto="1"/>
      </right>
      <top style="thick">
        <color auto="1"/>
      </top>
      <bottom style="thin">
        <color auto="1"/>
      </bottom>
      <diagonal/>
    </border>
    <border>
      <left style="thin">
        <color auto="1"/>
      </left>
      <right style="thick">
        <color auto="1"/>
      </right>
      <top style="thin">
        <color auto="1"/>
      </top>
      <bottom style="thick">
        <color auto="1"/>
      </bottom>
      <diagonal/>
    </border>
    <border>
      <left style="medium">
        <color rgb="FF000000"/>
      </left>
      <right style="medium">
        <color rgb="FF000000"/>
      </right>
      <top/>
      <bottom/>
      <diagonal/>
    </border>
    <border>
      <left style="thick">
        <color auto="1"/>
      </left>
      <right style="thick">
        <color auto="1"/>
      </right>
      <top style="thick">
        <color indexed="64"/>
      </top>
      <bottom style="thin">
        <color auto="1"/>
      </bottom>
      <diagonal/>
    </border>
    <border>
      <left/>
      <right/>
      <top/>
      <bottom style="thin">
        <color theme="4" tint="0.39997558519241921"/>
      </bottom>
      <diagonal/>
    </border>
    <border>
      <left style="medium">
        <color rgb="FF000000"/>
      </left>
      <right style="medium">
        <color rgb="FF000000"/>
      </right>
      <top style="medium">
        <color rgb="FF000000"/>
      </top>
      <bottom style="double">
        <color indexed="64"/>
      </bottom>
      <diagonal/>
    </border>
    <border>
      <left style="thick">
        <color auto="1"/>
      </left>
      <right style="thin">
        <color auto="1"/>
      </right>
      <top/>
      <bottom style="thick">
        <color auto="1"/>
      </bottom>
      <diagonal/>
    </border>
    <border>
      <left style="thin">
        <color auto="1"/>
      </left>
      <right style="thin">
        <color auto="1"/>
      </right>
      <top/>
      <bottom style="thick">
        <color auto="1"/>
      </bottom>
      <diagonal/>
    </border>
    <border>
      <left style="thin">
        <color auto="1"/>
      </left>
      <right style="thick">
        <color auto="1"/>
      </right>
      <top/>
      <bottom style="thick">
        <color auto="1"/>
      </bottom>
      <diagonal/>
    </border>
    <border>
      <left style="thick">
        <color auto="1"/>
      </left>
      <right/>
      <top/>
      <bottom/>
      <diagonal/>
    </border>
  </borders>
  <cellStyleXfs count="6">
    <xf numFmtId="0" fontId="0" fillId="0" borderId="0"/>
    <xf numFmtId="9" fontId="1" fillId="0" borderId="0" applyFont="0" applyFill="0" applyBorder="0" applyAlignment="0" applyProtection="0"/>
    <xf numFmtId="0" fontId="4" fillId="0" borderId="0" applyNumberFormat="0" applyFill="0" applyBorder="0" applyAlignment="0" applyProtection="0"/>
    <xf numFmtId="0" fontId="9" fillId="0" borderId="0"/>
    <xf numFmtId="44" fontId="1" fillId="0" borderId="0" applyFont="0" applyFill="0" applyBorder="0" applyAlignment="0" applyProtection="0"/>
    <xf numFmtId="43" fontId="1" fillId="0" borderId="0" applyFont="0" applyFill="0" applyBorder="0" applyAlignment="0" applyProtection="0"/>
  </cellStyleXfs>
  <cellXfs count="517">
    <xf numFmtId="0" fontId="0" fillId="0" borderId="0" xfId="0"/>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8" fontId="5" fillId="0" borderId="0" xfId="0" applyNumberFormat="1" applyFont="1" applyAlignment="1">
      <alignment horizontal="center"/>
    </xf>
    <xf numFmtId="8" fontId="0" fillId="0" borderId="0" xfId="0" applyNumberFormat="1" applyAlignment="1">
      <alignment horizontal="center" vertical="center"/>
    </xf>
    <xf numFmtId="0" fontId="4" fillId="0" borderId="0" xfId="2"/>
    <xf numFmtId="0" fontId="4" fillId="0" borderId="0" xfId="2" applyAlignment="1">
      <alignment horizontal="left" vertical="center"/>
    </xf>
    <xf numFmtId="0" fontId="0" fillId="0" borderId="2" xfId="0" applyBorder="1"/>
    <xf numFmtId="0" fontId="0" fillId="0" borderId="0" xfId="0" applyAlignment="1">
      <alignment horizontal="left" vertical="top"/>
    </xf>
    <xf numFmtId="0" fontId="0" fillId="0" borderId="0" xfId="0" applyAlignment="1">
      <alignment horizontal="left"/>
    </xf>
    <xf numFmtId="0" fontId="0" fillId="0" borderId="0" xfId="0" applyAlignment="1">
      <alignment horizontal="center"/>
    </xf>
    <xf numFmtId="0" fontId="6" fillId="0" borderId="0" xfId="0" applyFont="1"/>
    <xf numFmtId="0" fontId="6" fillId="0" borderId="0" xfId="0" applyFont="1" applyAlignment="1">
      <alignment vertical="center"/>
    </xf>
    <xf numFmtId="0" fontId="0" fillId="0" borderId="0" xfId="0" applyAlignment="1">
      <alignment vertical="center"/>
    </xf>
    <xf numFmtId="0" fontId="3" fillId="0" borderId="0" xfId="0" applyFont="1"/>
    <xf numFmtId="0" fontId="3" fillId="0" borderId="0" xfId="0" applyFont="1" applyAlignment="1">
      <alignment horizont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right" vertical="center" wrapText="1"/>
    </xf>
    <xf numFmtId="8" fontId="0" fillId="0" borderId="0" xfId="0" applyNumberFormat="1"/>
    <xf numFmtId="0" fontId="3" fillId="0" borderId="5" xfId="0" applyFont="1" applyBorder="1" applyAlignment="1">
      <alignment vertical="center" wrapText="1"/>
    </xf>
    <xf numFmtId="0" fontId="3" fillId="0" borderId="9" xfId="0" applyFont="1" applyBorder="1" applyAlignment="1">
      <alignment horizontal="center" vertical="center" wrapText="1"/>
    </xf>
    <xf numFmtId="0" fontId="3" fillId="0" borderId="0" xfId="0" applyFont="1" applyAlignment="1">
      <alignment vertical="center"/>
    </xf>
    <xf numFmtId="0" fontId="3" fillId="0" borderId="4" xfId="0" applyFont="1" applyBorder="1" applyAlignment="1">
      <alignment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0" xfId="0" applyFont="1"/>
    <xf numFmtId="0" fontId="3" fillId="0" borderId="12" xfId="0" applyFont="1" applyBorder="1" applyAlignment="1">
      <alignment horizontal="center" vertical="center" wrapText="1"/>
    </xf>
    <xf numFmtId="0" fontId="0" fillId="0" borderId="0" xfId="0" applyAlignment="1">
      <alignment horizontal="right" vertical="center"/>
    </xf>
    <xf numFmtId="0" fontId="0" fillId="0" borderId="5" xfId="0" applyBorder="1" applyAlignment="1">
      <alignment vertical="center" wrapText="1"/>
    </xf>
    <xf numFmtId="3" fontId="0" fillId="0" borderId="12" xfId="0" applyNumberFormat="1" applyBorder="1" applyAlignment="1">
      <alignment horizontal="center" vertical="center" wrapText="1"/>
    </xf>
    <xf numFmtId="3" fontId="0" fillId="0" borderId="14" xfId="0" applyNumberFormat="1" applyBorder="1" applyAlignment="1">
      <alignment horizontal="center" vertical="center"/>
    </xf>
    <xf numFmtId="0" fontId="0" fillId="0" borderId="13" xfId="0" applyBorder="1"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0" fillId="4" borderId="7" xfId="0" applyFill="1" applyBorder="1" applyAlignment="1">
      <alignment horizontal="center" vertical="center" wrapText="1"/>
    </xf>
    <xf numFmtId="0" fontId="0" fillId="4" borderId="8" xfId="0" applyFill="1" applyBorder="1" applyAlignment="1">
      <alignment horizontal="center" vertical="center" wrapText="1"/>
    </xf>
    <xf numFmtId="0" fontId="13" fillId="0" borderId="0" xfId="0" applyFont="1"/>
    <xf numFmtId="0" fontId="14" fillId="4" borderId="6" xfId="0" applyFont="1" applyFill="1" applyBorder="1" applyAlignment="1">
      <alignment vertical="center" wrapText="1"/>
    </xf>
    <xf numFmtId="0" fontId="5" fillId="4" borderId="7" xfId="0" applyFont="1" applyFill="1" applyBorder="1" applyAlignment="1">
      <alignment vertical="center" wrapText="1"/>
    </xf>
    <xf numFmtId="0" fontId="5" fillId="4" borderId="8" xfId="0" applyFont="1" applyFill="1" applyBorder="1" applyAlignment="1">
      <alignment vertical="center" wrapText="1"/>
    </xf>
    <xf numFmtId="0" fontId="0" fillId="0" borderId="5" xfId="0" applyBorder="1" applyAlignment="1">
      <alignment horizontal="center" vertical="center" wrapText="1"/>
    </xf>
    <xf numFmtId="3" fontId="0" fillId="0" borderId="5" xfId="0" applyNumberFormat="1" applyBorder="1" applyAlignment="1">
      <alignment horizontal="center" vertical="center" wrapText="1"/>
    </xf>
    <xf numFmtId="3" fontId="0" fillId="0" borderId="10" xfId="0" applyNumberFormat="1" applyBorder="1" applyAlignment="1">
      <alignment horizontal="center" vertical="center" wrapText="1"/>
    </xf>
    <xf numFmtId="2" fontId="13" fillId="0" borderId="0" xfId="0" applyNumberFormat="1" applyFont="1" applyAlignment="1">
      <alignment horizontal="center" vertical="center"/>
    </xf>
    <xf numFmtId="0" fontId="13" fillId="0" borderId="0" xfId="0" applyFont="1" applyAlignment="1">
      <alignment horizontal="center" vertical="center"/>
    </xf>
    <xf numFmtId="0" fontId="8" fillId="0" borderId="5" xfId="0" applyFont="1" applyBorder="1" applyAlignment="1">
      <alignment vertical="center" wrapText="1"/>
    </xf>
    <xf numFmtId="0" fontId="0" fillId="0" borderId="12" xfId="0" applyBorder="1" applyAlignment="1">
      <alignment horizontal="center" vertical="center" wrapText="1"/>
    </xf>
    <xf numFmtId="3" fontId="0" fillId="0" borderId="6" xfId="0" applyNumberFormat="1" applyBorder="1" applyAlignment="1">
      <alignment horizontal="center" vertical="center" wrapText="1"/>
    </xf>
    <xf numFmtId="0" fontId="15" fillId="0" borderId="0" xfId="0" applyFont="1" applyAlignment="1">
      <alignment horizontal="left" vertical="center" wrapText="1"/>
    </xf>
    <xf numFmtId="0" fontId="0" fillId="0" borderId="13" xfId="0" applyBorder="1" applyAlignment="1">
      <alignment vertical="center" wrapText="1"/>
    </xf>
    <xf numFmtId="0" fontId="0" fillId="0" borderId="13" xfId="0" applyBorder="1" applyAlignment="1">
      <alignment horizontal="center" wrapText="1"/>
    </xf>
    <xf numFmtId="0" fontId="0" fillId="0" borderId="13" xfId="0" quotePrefix="1" applyBorder="1" applyAlignment="1">
      <alignment vertical="center" wrapText="1"/>
    </xf>
    <xf numFmtId="0" fontId="0" fillId="0" borderId="13" xfId="0" quotePrefix="1" applyBorder="1" applyAlignment="1">
      <alignment horizontal="center" vertical="center" wrapText="1"/>
    </xf>
    <xf numFmtId="0" fontId="0" fillId="0" borderId="0" xfId="0" applyAlignment="1">
      <alignment horizontal="right"/>
    </xf>
    <xf numFmtId="3" fontId="3" fillId="0" borderId="13" xfId="0" applyNumberFormat="1" applyFont="1" applyBorder="1" applyAlignment="1">
      <alignment horizontal="center" vertical="center"/>
    </xf>
    <xf numFmtId="0" fontId="3" fillId="0" borderId="13" xfId="0" applyFont="1" applyBorder="1" applyAlignment="1">
      <alignment horizontal="center" wrapText="1"/>
    </xf>
    <xf numFmtId="0" fontId="0" fillId="0" borderId="13" xfId="0" applyBorder="1" applyAlignment="1">
      <alignment horizontal="center" vertical="center"/>
    </xf>
    <xf numFmtId="0" fontId="3" fillId="0" borderId="0" xfId="0" applyFont="1" applyAlignment="1">
      <alignment horizontal="right" vertical="center"/>
    </xf>
    <xf numFmtId="9" fontId="3" fillId="0" borderId="13" xfId="1" applyFont="1" applyBorder="1" applyAlignment="1">
      <alignment horizontal="center" vertical="center" wrapText="1"/>
    </xf>
    <xf numFmtId="0" fontId="8" fillId="0" borderId="10" xfId="0" applyFont="1" applyBorder="1" applyAlignment="1">
      <alignment vertical="center" wrapText="1"/>
    </xf>
    <xf numFmtId="2" fontId="0" fillId="0" borderId="5" xfId="0" applyNumberFormat="1" applyBorder="1" applyAlignment="1">
      <alignment horizontal="center" vertical="center" wrapText="1"/>
    </xf>
    <xf numFmtId="6" fontId="0" fillId="0" borderId="12" xfId="0" applyNumberFormat="1" applyBorder="1" applyAlignment="1">
      <alignment vertical="center" wrapText="1"/>
    </xf>
    <xf numFmtId="0" fontId="0" fillId="0" borderId="0" xfId="0" quotePrefix="1"/>
    <xf numFmtId="0" fontId="3" fillId="0" borderId="0" xfId="0" quotePrefix="1" applyFont="1" applyAlignment="1">
      <alignment horizontal="right" vertical="center"/>
    </xf>
    <xf numFmtId="0" fontId="16" fillId="0" borderId="5" xfId="0" applyFont="1" applyBorder="1" applyAlignment="1">
      <alignment horizontal="right" vertical="center" wrapText="1"/>
    </xf>
    <xf numFmtId="0" fontId="3" fillId="0" borderId="0" xfId="0" quotePrefix="1" applyFont="1" applyAlignment="1">
      <alignment horizontal="right"/>
    </xf>
    <xf numFmtId="0" fontId="17" fillId="0" borderId="0" xfId="0" applyFont="1" applyAlignment="1">
      <alignment horizontal="right"/>
    </xf>
    <xf numFmtId="0" fontId="17" fillId="0" borderId="0" xfId="0" applyFont="1" applyAlignment="1">
      <alignment horizontal="center"/>
    </xf>
    <xf numFmtId="3" fontId="0" fillId="0" borderId="19" xfId="0" applyNumberFormat="1" applyBorder="1" applyAlignment="1">
      <alignment horizontal="center" vertical="center"/>
    </xf>
    <xf numFmtId="0" fontId="8" fillId="0" borderId="12" xfId="0" applyFont="1" applyBorder="1" applyAlignment="1">
      <alignment vertical="center" wrapText="1"/>
    </xf>
    <xf numFmtId="0" fontId="16" fillId="0" borderId="0" xfId="0" applyFont="1"/>
    <xf numFmtId="0" fontId="16" fillId="0" borderId="0" xfId="0" applyFont="1" applyAlignment="1">
      <alignment horizontal="center" wrapText="1"/>
    </xf>
    <xf numFmtId="0" fontId="0" fillId="0" borderId="9" xfId="0" quotePrefix="1" applyBorder="1" applyAlignment="1">
      <alignment vertical="center" wrapText="1"/>
    </xf>
    <xf numFmtId="0" fontId="0" fillId="0" borderId="9" xfId="0" quotePrefix="1" applyBorder="1" applyAlignment="1">
      <alignment horizontal="center" vertical="center" wrapText="1"/>
    </xf>
    <xf numFmtId="1" fontId="3" fillId="0" borderId="5" xfId="0" applyNumberFormat="1" applyFont="1" applyBorder="1" applyAlignment="1">
      <alignment horizontal="center" vertical="center" wrapText="1"/>
    </xf>
    <xf numFmtId="0" fontId="3" fillId="0" borderId="13" xfId="0" applyFont="1" applyBorder="1" applyAlignment="1">
      <alignment horizontal="right" vertical="center"/>
    </xf>
    <xf numFmtId="0" fontId="3" fillId="2" borderId="6" xfId="0" applyFont="1" applyFill="1" applyBorder="1" applyAlignment="1">
      <alignment horizontal="left" vertical="center" wrapText="1"/>
    </xf>
    <xf numFmtId="3" fontId="0" fillId="2" borderId="7" xfId="0" applyNumberFormat="1" applyFill="1" applyBorder="1" applyAlignment="1">
      <alignment horizontal="center" vertical="center"/>
    </xf>
    <xf numFmtId="3" fontId="0" fillId="2" borderId="20" xfId="0" applyNumberFormat="1" applyFill="1" applyBorder="1" applyAlignment="1">
      <alignment horizontal="center" vertical="center"/>
    </xf>
    <xf numFmtId="0" fontId="3" fillId="0" borderId="12" xfId="0" quotePrefix="1" applyFont="1" applyBorder="1" applyAlignment="1">
      <alignment horizontal="right" vertical="center" wrapText="1"/>
    </xf>
    <xf numFmtId="0" fontId="3" fillId="0" borderId="12" xfId="0" quotePrefix="1" applyFont="1" applyBorder="1" applyAlignment="1">
      <alignment horizontal="center" vertical="center" wrapText="1"/>
    </xf>
    <xf numFmtId="1" fontId="3" fillId="0" borderId="12" xfId="0" applyNumberFormat="1" applyFont="1" applyBorder="1" applyAlignment="1">
      <alignment horizontal="center" vertical="center" wrapText="1"/>
    </xf>
    <xf numFmtId="3" fontId="3" fillId="0" borderId="12" xfId="0" applyNumberFormat="1" applyFont="1" applyBorder="1" applyAlignment="1">
      <alignment horizontal="center" vertical="center" wrapText="1"/>
    </xf>
    <xf numFmtId="2" fontId="2" fillId="0" borderId="0" xfId="0" applyNumberFormat="1" applyFont="1" applyAlignment="1">
      <alignment horizontal="left" vertical="center"/>
    </xf>
    <xf numFmtId="2" fontId="0" fillId="0" borderId="0" xfId="0" applyNumberFormat="1" applyAlignment="1">
      <alignment horizontal="center" vertical="center"/>
    </xf>
    <xf numFmtId="0" fontId="16" fillId="4" borderId="6" xfId="0" applyFont="1" applyFill="1" applyBorder="1" applyAlignment="1">
      <alignment vertical="center"/>
    </xf>
    <xf numFmtId="0" fontId="0" fillId="0" borderId="4" xfId="0" applyBorder="1" applyAlignment="1">
      <alignment horizontal="left" vertical="center" wrapText="1"/>
    </xf>
    <xf numFmtId="3" fontId="0" fillId="0" borderId="21" xfId="0" applyNumberFormat="1" applyBorder="1" applyAlignment="1">
      <alignment horizontal="center" vertical="center"/>
    </xf>
    <xf numFmtId="2" fontId="0" fillId="0" borderId="0" xfId="0" applyNumberFormat="1" applyAlignment="1">
      <alignment horizontal="center" wrapText="1"/>
    </xf>
    <xf numFmtId="3" fontId="8" fillId="0" borderId="6" xfId="0" applyNumberFormat="1" applyFont="1" applyBorder="1" applyAlignment="1">
      <alignment horizontal="left" vertical="center" wrapText="1"/>
    </xf>
    <xf numFmtId="0" fontId="0" fillId="0" borderId="5" xfId="0" applyBorder="1" applyAlignment="1">
      <alignment horizontal="left" vertical="center" wrapText="1"/>
    </xf>
    <xf numFmtId="1" fontId="0" fillId="0" borderId="0" xfId="0" applyNumberFormat="1" applyAlignment="1">
      <alignment horizontal="center" wrapText="1"/>
    </xf>
    <xf numFmtId="0" fontId="0" fillId="0" borderId="12" xfId="0" quotePrefix="1" applyBorder="1" applyAlignment="1">
      <alignment horizontal="left" vertical="center" wrapText="1"/>
    </xf>
    <xf numFmtId="0" fontId="0" fillId="0" borderId="12" xfId="0" quotePrefix="1" applyBorder="1" applyAlignment="1">
      <alignment horizontal="center" vertical="center" wrapText="1"/>
    </xf>
    <xf numFmtId="0" fontId="0" fillId="0" borderId="6" xfId="0" applyBorder="1" applyAlignment="1">
      <alignment horizontal="center" vertical="center" wrapText="1"/>
    </xf>
    <xf numFmtId="0" fontId="0" fillId="0" borderId="12" xfId="0" applyBorder="1" applyAlignment="1">
      <alignment horizontal="center" vertical="center"/>
    </xf>
    <xf numFmtId="0" fontId="19" fillId="0" borderId="0" xfId="0" applyFont="1" applyAlignment="1">
      <alignment horizontal="left"/>
    </xf>
    <xf numFmtId="0" fontId="3" fillId="0" borderId="12" xfId="0" applyFont="1" applyBorder="1" applyAlignment="1">
      <alignment horizontal="right" vertical="center" wrapText="1"/>
    </xf>
    <xf numFmtId="164" fontId="3" fillId="0" borderId="12" xfId="0" applyNumberFormat="1" applyFont="1" applyBorder="1" applyAlignment="1">
      <alignment horizontal="right" vertical="center" wrapText="1"/>
    </xf>
    <xf numFmtId="3" fontId="0" fillId="0" borderId="7" xfId="0" applyNumberForma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1" xfId="0" quotePrefix="1" applyBorder="1" applyAlignment="1">
      <alignment horizontal="left" vertical="center" wrapText="1"/>
    </xf>
    <xf numFmtId="0" fontId="0" fillId="0" borderId="11" xfId="0" applyBorder="1" applyAlignment="1">
      <alignment horizontal="center" vertical="center"/>
    </xf>
    <xf numFmtId="0" fontId="0" fillId="0" borderId="0" xfId="0" quotePrefix="1" applyAlignment="1">
      <alignment horizontal="left" vertical="center" wrapText="1"/>
    </xf>
    <xf numFmtId="3" fontId="0" fillId="0" borderId="0" xfId="0" applyNumberFormat="1" applyAlignment="1">
      <alignment horizontal="center" vertical="center" wrapText="1"/>
    </xf>
    <xf numFmtId="0" fontId="0" fillId="0" borderId="0" xfId="0" quotePrefix="1" applyAlignment="1">
      <alignment horizontal="center" vertical="center" wrapText="1"/>
    </xf>
    <xf numFmtId="0" fontId="0" fillId="0" borderId="13" xfId="0" quotePrefix="1" applyBorder="1" applyAlignment="1">
      <alignment horizontal="left" vertical="center" wrapText="1"/>
    </xf>
    <xf numFmtId="0" fontId="3" fillId="0" borderId="10" xfId="0" applyFont="1" applyBorder="1" applyAlignment="1">
      <alignment horizontal="left" wrapText="1"/>
    </xf>
    <xf numFmtId="0" fontId="3" fillId="0" borderId="12" xfId="0" applyFont="1" applyBorder="1" applyAlignment="1">
      <alignment horizontal="right" vertical="center" wrapText="1" indent="1"/>
    </xf>
    <xf numFmtId="3" fontId="3" fillId="0" borderId="12" xfId="0" applyNumberFormat="1" applyFont="1" applyBorder="1" applyAlignment="1">
      <alignment horizontal="center" vertical="center"/>
    </xf>
    <xf numFmtId="3" fontId="3" fillId="0" borderId="6" xfId="0" applyNumberFormat="1" applyFont="1" applyBorder="1" applyAlignment="1">
      <alignment horizontal="center" vertical="center"/>
    </xf>
    <xf numFmtId="0" fontId="0" fillId="0" borderId="13" xfId="0" applyBorder="1" applyAlignment="1">
      <alignment vertical="center"/>
    </xf>
    <xf numFmtId="0" fontId="3" fillId="0" borderId="4" xfId="0" applyFont="1" applyBorder="1" applyAlignment="1">
      <alignment wrapText="1"/>
    </xf>
    <xf numFmtId="0" fontId="3" fillId="3" borderId="14" xfId="0" applyFont="1" applyFill="1" applyBorder="1" applyAlignment="1">
      <alignment vertical="center"/>
    </xf>
    <xf numFmtId="0" fontId="0" fillId="3" borderId="22" xfId="0" applyFill="1" applyBorder="1"/>
    <xf numFmtId="0" fontId="0" fillId="3" borderId="23" xfId="0" applyFill="1" applyBorder="1"/>
    <xf numFmtId="9" fontId="0" fillId="0" borderId="12" xfId="1" applyFont="1" applyBorder="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center" vertical="center"/>
    </xf>
    <xf numFmtId="0" fontId="0" fillId="0" borderId="25" xfId="0" quotePrefix="1" applyBorder="1" applyAlignment="1">
      <alignment vertical="center" wrapText="1"/>
    </xf>
    <xf numFmtId="3" fontId="0" fillId="0" borderId="25" xfId="0" applyNumberFormat="1" applyBorder="1" applyAlignment="1">
      <alignment horizontal="center" vertical="center"/>
    </xf>
    <xf numFmtId="0" fontId="0" fillId="0" borderId="25" xfId="0" applyBorder="1" applyAlignment="1">
      <alignment horizontal="center" vertical="center"/>
    </xf>
    <xf numFmtId="0" fontId="0" fillId="0" borderId="13" xfId="0" applyBorder="1" applyAlignment="1">
      <alignment horizontal="left" vertical="center"/>
    </xf>
    <xf numFmtId="0" fontId="8" fillId="0" borderId="0" xfId="0" applyFont="1" applyAlignment="1">
      <alignment wrapText="1"/>
    </xf>
    <xf numFmtId="0" fontId="2" fillId="0" borderId="0" xfId="0" applyFont="1"/>
    <xf numFmtId="0" fontId="8" fillId="0" borderId="13" xfId="0" applyFont="1" applyBorder="1" applyAlignment="1">
      <alignment horizontal="center" vertical="center"/>
    </xf>
    <xf numFmtId="0" fontId="0" fillId="0" borderId="13" xfId="0" applyBorder="1" applyAlignment="1">
      <alignment horizontal="left" vertical="center" wrapText="1"/>
    </xf>
    <xf numFmtId="0" fontId="3" fillId="0" borderId="13" xfId="0" applyFont="1" applyBorder="1" applyAlignment="1">
      <alignment horizontal="center" vertical="center"/>
    </xf>
    <xf numFmtId="0" fontId="8" fillId="0" borderId="0" xfId="0" applyFont="1" applyAlignment="1">
      <alignment vertical="center" wrapText="1"/>
    </xf>
    <xf numFmtId="0" fontId="0" fillId="0" borderId="0" xfId="0" applyAlignment="1">
      <alignment horizontal="left" vertical="center" wrapText="1"/>
    </xf>
    <xf numFmtId="0" fontId="3" fillId="0" borderId="13" xfId="0" applyFont="1" applyBorder="1" applyAlignment="1">
      <alignment horizontal="right" vertical="center" wrapText="1"/>
    </xf>
    <xf numFmtId="0" fontId="0" fillId="3" borderId="22" xfId="0" applyFill="1" applyBorder="1" applyAlignment="1">
      <alignment horizontal="center" vertical="center"/>
    </xf>
    <xf numFmtId="3" fontId="0" fillId="0" borderId="0" xfId="0" applyNumberFormat="1" applyAlignment="1">
      <alignment horizontal="center" vertical="center"/>
    </xf>
    <xf numFmtId="0" fontId="8" fillId="0" borderId="0" xfId="0" applyFont="1" applyAlignment="1">
      <alignment vertical="center"/>
    </xf>
    <xf numFmtId="0" fontId="0" fillId="0" borderId="5" xfId="0" applyBorder="1" applyAlignment="1">
      <alignment horizontal="justify" vertical="center" wrapText="1"/>
    </xf>
    <xf numFmtId="0" fontId="5" fillId="0" borderId="0" xfId="0" applyFont="1" applyAlignment="1">
      <alignment vertical="center" wrapText="1"/>
    </xf>
    <xf numFmtId="0" fontId="3" fillId="0" borderId="5" xfId="0" applyFont="1" applyBorder="1" applyAlignment="1">
      <alignment horizontal="right" vertical="center" wrapText="1"/>
    </xf>
    <xf numFmtId="3" fontId="3" fillId="0" borderId="14" xfId="0" applyNumberFormat="1" applyFont="1" applyBorder="1" applyAlignment="1">
      <alignment horizontal="center" vertical="center"/>
    </xf>
    <xf numFmtId="6" fontId="5" fillId="0" borderId="0" xfId="0" applyNumberFormat="1" applyFont="1" applyAlignment="1">
      <alignment vertical="center" wrapText="1"/>
    </xf>
    <xf numFmtId="9" fontId="3" fillId="0" borderId="12" xfId="1" applyFont="1" applyBorder="1" applyAlignment="1">
      <alignment horizontal="center" vertical="center" wrapText="1"/>
    </xf>
    <xf numFmtId="0" fontId="6" fillId="0" borderId="19" xfId="0" applyFont="1" applyBorder="1"/>
    <xf numFmtId="0" fontId="0" fillId="0" borderId="19" xfId="0" quotePrefix="1" applyBorder="1" applyAlignment="1">
      <alignment horizontal="center" vertical="center" wrapText="1"/>
    </xf>
    <xf numFmtId="0" fontId="0" fillId="0" borderId="19" xfId="0" applyBorder="1" applyAlignment="1">
      <alignment horizontal="center" vertical="center" wrapText="1"/>
    </xf>
    <xf numFmtId="0" fontId="0" fillId="0" borderId="19" xfId="0" applyBorder="1" applyAlignment="1">
      <alignment horizontal="center" vertical="center"/>
    </xf>
    <xf numFmtId="3" fontId="0" fillId="0" borderId="19" xfId="0" applyNumberFormat="1" applyBorder="1" applyAlignment="1">
      <alignment horizontal="center" vertical="center" wrapText="1"/>
    </xf>
    <xf numFmtId="0" fontId="3" fillId="0" borderId="15" xfId="0" applyFont="1" applyBorder="1" applyAlignment="1">
      <alignment horizontal="left" vertical="center" wrapText="1" indent="3"/>
    </xf>
    <xf numFmtId="3" fontId="3" fillId="0" borderId="15" xfId="0" applyNumberFormat="1" applyFont="1" applyBorder="1" applyAlignment="1">
      <alignment horizontal="center" vertical="center" wrapText="1"/>
    </xf>
    <xf numFmtId="3" fontId="3" fillId="0" borderId="0" xfId="0" applyNumberFormat="1" applyFont="1" applyAlignment="1">
      <alignment horizontal="center" vertical="center"/>
    </xf>
    <xf numFmtId="0" fontId="3" fillId="0" borderId="0" xfId="0" applyFont="1" applyAlignment="1">
      <alignment horizontal="left"/>
    </xf>
    <xf numFmtId="0" fontId="10" fillId="0" borderId="0" xfId="0" applyFont="1" applyAlignment="1">
      <alignment vertical="center"/>
    </xf>
    <xf numFmtId="0" fontId="3" fillId="0" borderId="0" xfId="0" applyFont="1" applyAlignment="1">
      <alignment vertical="center" wrapText="1"/>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3" fillId="0" borderId="13" xfId="0" applyFont="1" applyBorder="1" applyAlignment="1">
      <alignment horizontal="justify" wrapText="1"/>
    </xf>
    <xf numFmtId="0" fontId="16" fillId="0" borderId="13" xfId="0" applyFont="1" applyBorder="1" applyAlignment="1">
      <alignment horizontal="center" wrapText="1"/>
    </xf>
    <xf numFmtId="0" fontId="0" fillId="0" borderId="13" xfId="0" applyBorder="1" applyAlignment="1">
      <alignment horizontal="justify" vertical="center" wrapText="1"/>
    </xf>
    <xf numFmtId="0" fontId="0" fillId="0" borderId="9" xfId="0" applyBorder="1"/>
    <xf numFmtId="1" fontId="0" fillId="0" borderId="10" xfId="0" applyNumberFormat="1" applyBorder="1" applyAlignment="1">
      <alignment horizontal="center" vertical="center" wrapText="1"/>
    </xf>
    <xf numFmtId="0" fontId="3" fillId="0" borderId="11" xfId="0" applyFont="1" applyBorder="1"/>
    <xf numFmtId="1" fontId="0" fillId="0" borderId="5" xfId="0" applyNumberFormat="1" applyBorder="1" applyAlignment="1">
      <alignment horizontal="center" vertical="center" wrapText="1"/>
    </xf>
    <xf numFmtId="0" fontId="0" fillId="0" borderId="29" xfId="0" quotePrefix="1" applyBorder="1" applyAlignment="1">
      <alignment horizontal="center" vertical="center" wrapText="1"/>
    </xf>
    <xf numFmtId="0" fontId="0" fillId="0" borderId="13" xfId="0" applyBorder="1" applyAlignment="1">
      <alignment horizontal="left" vertical="center" wrapText="1" indent="1"/>
    </xf>
    <xf numFmtId="0" fontId="17" fillId="0" borderId="0" xfId="0" applyFont="1" applyAlignment="1">
      <alignment horizontal="right" vertical="center" wrapText="1"/>
    </xf>
    <xf numFmtId="1" fontId="17" fillId="0" borderId="0" xfId="0" applyNumberFormat="1" applyFont="1" applyAlignment="1">
      <alignment horizontal="center" vertical="center" wrapText="1"/>
    </xf>
    <xf numFmtId="0" fontId="0" fillId="0" borderId="6" xfId="0" applyBorder="1" applyAlignment="1">
      <alignment vertical="center" wrapText="1"/>
    </xf>
    <xf numFmtId="0" fontId="17" fillId="0" borderId="0" xfId="0" applyFont="1" applyAlignment="1">
      <alignment horizontal="right" vertical="center"/>
    </xf>
    <xf numFmtId="0" fontId="17" fillId="0" borderId="0" xfId="0" applyFont="1" applyAlignment="1">
      <alignment horizontal="center" vertical="center"/>
    </xf>
    <xf numFmtId="0" fontId="17" fillId="0" borderId="0" xfId="0" applyFont="1" applyAlignment="1">
      <alignment horizontal="left" vertical="center"/>
    </xf>
    <xf numFmtId="0" fontId="8" fillId="0" borderId="0" xfId="0" applyFont="1" applyAlignment="1">
      <alignment horizontal="left"/>
    </xf>
    <xf numFmtId="0" fontId="21" fillId="0" borderId="0" xfId="0" applyFont="1" applyAlignment="1">
      <alignment horizontal="left" vertical="center"/>
    </xf>
    <xf numFmtId="0" fontId="16" fillId="0" borderId="0" xfId="0" applyFont="1" applyAlignment="1">
      <alignment horizontal="left" vertical="center"/>
    </xf>
    <xf numFmtId="0" fontId="16" fillId="0" borderId="13" xfId="0" applyFont="1" applyBorder="1" applyAlignment="1">
      <alignment horizontal="left" vertical="center"/>
    </xf>
    <xf numFmtId="3" fontId="0" fillId="5" borderId="13" xfId="0" applyNumberFormat="1" applyFill="1" applyBorder="1" applyAlignment="1">
      <alignment horizontal="center" vertical="center"/>
    </xf>
    <xf numFmtId="6" fontId="0" fillId="0" borderId="13" xfId="0" applyNumberFormat="1" applyBorder="1" applyAlignment="1">
      <alignment vertical="center"/>
    </xf>
    <xf numFmtId="3" fontId="0" fillId="0" borderId="0" xfId="0" applyNumberFormat="1"/>
    <xf numFmtId="0" fontId="23" fillId="0" borderId="30" xfId="0" applyFont="1" applyBorder="1" applyAlignment="1">
      <alignment vertical="center"/>
    </xf>
    <xf numFmtId="0" fontId="7" fillId="0" borderId="30" xfId="0" applyFont="1" applyBorder="1" applyAlignment="1">
      <alignment vertical="center" wrapText="1"/>
    </xf>
    <xf numFmtId="0" fontId="23" fillId="0" borderId="30" xfId="0" applyFont="1" applyBorder="1" applyAlignment="1">
      <alignment horizontal="center" vertical="center" wrapText="1"/>
    </xf>
    <xf numFmtId="4" fontId="0" fillId="0" borderId="13" xfId="0" applyNumberFormat="1" applyBorder="1" applyAlignment="1">
      <alignment horizontal="center"/>
    </xf>
    <xf numFmtId="3" fontId="0" fillId="0" borderId="13" xfId="0" applyNumberFormat="1" applyBorder="1" applyAlignment="1">
      <alignment horizontal="center"/>
    </xf>
    <xf numFmtId="9" fontId="8" fillId="0" borderId="0" xfId="1" applyFont="1" applyAlignment="1">
      <alignment horizontal="left" vertical="center"/>
    </xf>
    <xf numFmtId="0" fontId="8" fillId="0" borderId="13" xfId="0" applyFont="1" applyBorder="1" applyAlignment="1">
      <alignment horizontal="left" vertical="center" wrapText="1"/>
    </xf>
    <xf numFmtId="2" fontId="8" fillId="0" borderId="13" xfId="0" applyNumberFormat="1" applyFont="1" applyBorder="1" applyAlignment="1">
      <alignment horizontal="center" vertical="center"/>
    </xf>
    <xf numFmtId="4" fontId="8" fillId="0" borderId="13" xfId="0" applyNumberFormat="1" applyFont="1" applyBorder="1" applyAlignment="1">
      <alignment horizontal="center" vertical="center"/>
    </xf>
    <xf numFmtId="3" fontId="8" fillId="0" borderId="13" xfId="0" applyNumberFormat="1" applyFont="1" applyBorder="1" applyAlignment="1">
      <alignment horizontal="center" vertical="center"/>
    </xf>
    <xf numFmtId="0" fontId="19" fillId="0" borderId="0" xfId="0" applyFont="1" applyAlignment="1">
      <alignment horizontal="left" vertical="center" wrapText="1"/>
    </xf>
    <xf numFmtId="1" fontId="19" fillId="0" borderId="0" xfId="0" applyNumberFormat="1" applyFont="1" applyAlignment="1">
      <alignment horizontal="center" vertical="center"/>
    </xf>
    <xf numFmtId="2" fontId="19" fillId="0" borderId="0" xfId="0" applyNumberFormat="1" applyFont="1" applyAlignment="1">
      <alignment horizontal="center" vertical="center"/>
    </xf>
    <xf numFmtId="9" fontId="19" fillId="0" borderId="0" xfId="1" applyFont="1" applyAlignment="1">
      <alignment horizontal="left" vertical="center"/>
    </xf>
    <xf numFmtId="0" fontId="8" fillId="0" borderId="0" xfId="0" applyFont="1" applyAlignment="1">
      <alignment horizontal="left" vertical="center"/>
    </xf>
    <xf numFmtId="0" fontId="3" fillId="0" borderId="0" xfId="0" applyFont="1" applyAlignment="1">
      <alignment horizontal="left" vertical="center" wrapText="1" indent="3"/>
    </xf>
    <xf numFmtId="0" fontId="0" fillId="0" borderId="32" xfId="0" quotePrefix="1" applyBorder="1" applyAlignment="1">
      <alignment horizontal="left" vertical="center" wrapText="1"/>
    </xf>
    <xf numFmtId="0" fontId="0" fillId="0" borderId="32" xfId="0" quotePrefix="1" applyBorder="1" applyAlignment="1">
      <alignment horizontal="center" vertical="center" wrapText="1"/>
    </xf>
    <xf numFmtId="0" fontId="0" fillId="0" borderId="3" xfId="0" applyBorder="1" applyAlignment="1">
      <alignment horizontal="center" vertical="center" wrapText="1"/>
    </xf>
    <xf numFmtId="0" fontId="0" fillId="0" borderId="32" xfId="0" applyBorder="1" applyAlignment="1">
      <alignment horizontal="center" vertical="center"/>
    </xf>
    <xf numFmtId="3" fontId="0" fillId="0" borderId="32" xfId="0" applyNumberFormat="1" applyBorder="1" applyAlignment="1">
      <alignment horizontal="center" vertical="center" wrapText="1"/>
    </xf>
    <xf numFmtId="0" fontId="0" fillId="0" borderId="10" xfId="0" applyBorder="1"/>
    <xf numFmtId="0" fontId="0" fillId="0" borderId="12" xfId="0" applyBorder="1"/>
    <xf numFmtId="0" fontId="3" fillId="0" borderId="12" xfId="0" applyFont="1" applyBorder="1" applyAlignment="1">
      <alignment horizontal="center"/>
    </xf>
    <xf numFmtId="0" fontId="3" fillId="0" borderId="32" xfId="0" applyFont="1" applyBorder="1"/>
    <xf numFmtId="0" fontId="3" fillId="0" borderId="32" xfId="0" applyFont="1" applyBorder="1" applyAlignment="1">
      <alignment horizontal="center" wrapText="1"/>
    </xf>
    <xf numFmtId="0" fontId="8" fillId="0" borderId="0" xfId="0" applyFont="1"/>
    <xf numFmtId="0" fontId="0" fillId="3" borderId="8" xfId="0" applyFill="1" applyBorder="1"/>
    <xf numFmtId="0" fontId="24" fillId="0" borderId="32" xfId="0" applyFont="1" applyBorder="1" applyAlignment="1">
      <alignment horizontal="left" vertical="center" wrapText="1"/>
    </xf>
    <xf numFmtId="3" fontId="23" fillId="0" borderId="12" xfId="0" applyNumberFormat="1" applyFont="1" applyBorder="1" applyAlignment="1">
      <alignment horizontal="center" vertical="center"/>
    </xf>
    <xf numFmtId="3" fontId="23" fillId="0" borderId="10" xfId="0" applyNumberFormat="1" applyFont="1" applyBorder="1" applyAlignment="1">
      <alignment horizontal="center"/>
    </xf>
    <xf numFmtId="1" fontId="0" fillId="0" borderId="12" xfId="0" applyNumberFormat="1" applyBorder="1" applyAlignment="1">
      <alignment horizontal="center" vertical="center"/>
    </xf>
    <xf numFmtId="6" fontId="0" fillId="0" borderId="12" xfId="0" applyNumberFormat="1" applyBorder="1" applyAlignment="1">
      <alignment vertical="center"/>
    </xf>
    <xf numFmtId="3" fontId="0" fillId="0" borderId="0" xfId="0" applyNumberFormat="1" applyAlignment="1">
      <alignment vertical="center"/>
    </xf>
    <xf numFmtId="3" fontId="23" fillId="0" borderId="32" xfId="0" applyNumberFormat="1" applyFont="1" applyBorder="1" applyAlignment="1">
      <alignment horizontal="center" vertical="center"/>
    </xf>
    <xf numFmtId="6" fontId="0" fillId="0" borderId="0" xfId="0" applyNumberFormat="1" applyAlignment="1">
      <alignment vertical="center"/>
    </xf>
    <xf numFmtId="0" fontId="25" fillId="0" borderId="12" xfId="0" applyFont="1" applyBorder="1" applyAlignment="1">
      <alignment horizontal="right" vertical="center" wrapText="1"/>
    </xf>
    <xf numFmtId="3" fontId="7" fillId="0" borderId="12" xfId="0" applyNumberFormat="1" applyFont="1" applyBorder="1" applyAlignment="1">
      <alignment horizontal="center" vertical="center"/>
    </xf>
    <xf numFmtId="166" fontId="3" fillId="0" borderId="12" xfId="0" applyNumberFormat="1" applyFont="1" applyBorder="1" applyAlignment="1">
      <alignment horizontal="center" vertical="center"/>
    </xf>
    <xf numFmtId="6" fontId="3" fillId="0" borderId="12" xfId="0" applyNumberFormat="1" applyFont="1" applyBorder="1" applyAlignment="1">
      <alignment vertical="center"/>
    </xf>
    <xf numFmtId="0" fontId="15" fillId="0" borderId="12" xfId="0" applyFont="1" applyBorder="1" applyAlignment="1">
      <alignment horizontal="left" vertical="center" wrapText="1"/>
    </xf>
    <xf numFmtId="0" fontId="23" fillId="0" borderId="12" xfId="0" applyFont="1" applyBorder="1" applyAlignment="1">
      <alignment horizontal="center" vertical="center"/>
    </xf>
    <xf numFmtId="0" fontId="23" fillId="0" borderId="0" xfId="0" applyFont="1" applyAlignment="1">
      <alignment vertical="center"/>
    </xf>
    <xf numFmtId="0" fontId="23" fillId="0" borderId="0" xfId="0" applyFont="1" applyAlignment="1">
      <alignment horizontal="center" vertical="center" wrapText="1"/>
    </xf>
    <xf numFmtId="0" fontId="7" fillId="0" borderId="0" xfId="0" applyFont="1" applyAlignment="1">
      <alignment vertical="center"/>
    </xf>
    <xf numFmtId="0" fontId="7" fillId="0" borderId="0" xfId="0" applyFont="1" applyAlignment="1">
      <alignment vertical="center" wrapText="1"/>
    </xf>
    <xf numFmtId="0" fontId="26" fillId="0" borderId="0" xfId="0" applyFont="1"/>
    <xf numFmtId="0" fontId="3" fillId="0" borderId="0" xfId="0" applyFont="1" applyAlignment="1">
      <alignment horizontal="center"/>
    </xf>
    <xf numFmtId="0" fontId="3" fillId="0" borderId="33" xfId="0" applyFont="1" applyBorder="1" applyAlignment="1">
      <alignment horizontal="center" wrapText="1"/>
    </xf>
    <xf numFmtId="0" fontId="3" fillId="0" borderId="0" xfId="0" applyFont="1" applyAlignment="1">
      <alignment wrapText="1"/>
    </xf>
    <xf numFmtId="3" fontId="0" fillId="0" borderId="0" xfId="0" applyNumberFormat="1" applyAlignment="1">
      <alignment horizontal="right" vertical="center"/>
    </xf>
    <xf numFmtId="3" fontId="0" fillId="0" borderId="0" xfId="0" applyNumberFormat="1" applyAlignment="1">
      <alignment horizontal="right"/>
    </xf>
    <xf numFmtId="3" fontId="0" fillId="0" borderId="0" xfId="0" applyNumberFormat="1" applyAlignment="1">
      <alignment horizontal="center"/>
    </xf>
    <xf numFmtId="3" fontId="0" fillId="0" borderId="33" xfId="0" applyNumberFormat="1" applyBorder="1" applyAlignment="1">
      <alignment horizontal="right"/>
    </xf>
    <xf numFmtId="9" fontId="0" fillId="0" borderId="0" xfId="1" applyFont="1"/>
    <xf numFmtId="3" fontId="0" fillId="0" borderId="33" xfId="1" applyNumberFormat="1" applyFont="1" applyBorder="1"/>
    <xf numFmtId="0" fontId="18" fillId="0" borderId="0" xfId="0" applyFont="1" applyAlignment="1">
      <alignment horizontal="left"/>
    </xf>
    <xf numFmtId="0" fontId="18" fillId="0" borderId="0" xfId="0" applyFont="1"/>
    <xf numFmtId="164" fontId="0" fillId="0" borderId="0" xfId="0" applyNumberFormat="1" applyAlignment="1">
      <alignment horizontal="center" vertical="center"/>
    </xf>
    <xf numFmtId="164" fontId="0" fillId="0" borderId="0" xfId="0" applyNumberFormat="1"/>
    <xf numFmtId="164" fontId="3" fillId="0" borderId="0" xfId="0" applyNumberFormat="1" applyFont="1" applyAlignment="1">
      <alignment vertical="top"/>
    </xf>
    <xf numFmtId="0" fontId="10" fillId="0" borderId="0" xfId="0" applyFont="1"/>
    <xf numFmtId="0" fontId="25" fillId="0" borderId="34" xfId="0" applyFont="1" applyBorder="1" applyAlignment="1">
      <alignment vertical="center" wrapText="1"/>
    </xf>
    <xf numFmtId="0" fontId="25" fillId="0" borderId="35" xfId="0" applyFont="1" applyBorder="1" applyAlignment="1">
      <alignment horizontal="center" vertical="center" wrapText="1"/>
    </xf>
    <xf numFmtId="0" fontId="25" fillId="0" borderId="36" xfId="0" applyFont="1" applyBorder="1" applyAlignment="1">
      <alignment horizontal="center" vertical="center" wrapText="1"/>
    </xf>
    <xf numFmtId="0" fontId="25" fillId="0" borderId="37" xfId="0" applyFont="1" applyBorder="1" applyAlignment="1">
      <alignment horizontal="center" vertical="center" wrapText="1"/>
    </xf>
    <xf numFmtId="0" fontId="25" fillId="0" borderId="34" xfId="0" applyFont="1" applyBorder="1" applyAlignment="1">
      <alignment horizontal="center" vertical="center" wrapText="1"/>
    </xf>
    <xf numFmtId="0" fontId="24" fillId="0" borderId="38" xfId="0" applyFont="1" applyBorder="1" applyAlignment="1">
      <alignment horizontal="center" vertical="center" wrapText="1"/>
    </xf>
    <xf numFmtId="6" fontId="24" fillId="0" borderId="39" xfId="0" applyNumberFormat="1" applyFont="1" applyBorder="1" applyAlignment="1">
      <alignment horizontal="right" vertical="center" wrapText="1"/>
    </xf>
    <xf numFmtId="3" fontId="0" fillId="0" borderId="40" xfId="0" applyNumberFormat="1" applyBorder="1" applyAlignment="1">
      <alignment horizontal="center" vertical="center"/>
    </xf>
    <xf numFmtId="164" fontId="0" fillId="0" borderId="40" xfId="0" applyNumberFormat="1" applyBorder="1" applyAlignment="1">
      <alignment horizontal="right" vertical="center"/>
    </xf>
    <xf numFmtId="0" fontId="24" fillId="0" borderId="41" xfId="0" applyFont="1" applyBorder="1" applyAlignment="1">
      <alignment horizontal="center" vertical="center" wrapText="1"/>
    </xf>
    <xf numFmtId="3" fontId="24" fillId="0" borderId="30" xfId="0" applyNumberFormat="1" applyFont="1" applyBorder="1" applyAlignment="1">
      <alignment horizontal="center" vertical="center" wrapText="1"/>
    </xf>
    <xf numFmtId="6" fontId="24" fillId="0" borderId="42" xfId="0" applyNumberFormat="1" applyFont="1" applyBorder="1" applyAlignment="1">
      <alignment horizontal="right" vertical="center" wrapText="1"/>
    </xf>
    <xf numFmtId="6" fontId="24" fillId="0" borderId="43" xfId="0" applyNumberFormat="1" applyFont="1" applyBorder="1" applyAlignment="1">
      <alignment horizontal="right" vertical="center" wrapText="1"/>
    </xf>
    <xf numFmtId="0" fontId="23" fillId="0" borderId="40" xfId="0" applyFont="1" applyBorder="1" applyAlignment="1">
      <alignment vertical="center" wrapText="1"/>
    </xf>
    <xf numFmtId="0" fontId="23" fillId="0" borderId="44" xfId="0" applyFont="1" applyBorder="1" applyAlignment="1">
      <alignment horizontal="center" vertical="center" wrapText="1"/>
    </xf>
    <xf numFmtId="6" fontId="23" fillId="0" borderId="43" xfId="0" applyNumberFormat="1" applyFont="1" applyBorder="1" applyAlignment="1">
      <alignment horizontal="right" vertical="center" wrapText="1"/>
    </xf>
    <xf numFmtId="0" fontId="24" fillId="0" borderId="44" xfId="0" applyFont="1" applyBorder="1" applyAlignment="1">
      <alignment horizontal="center" vertical="center" wrapText="1"/>
    </xf>
    <xf numFmtId="1" fontId="23" fillId="0" borderId="30" xfId="0" applyNumberFormat="1" applyFont="1" applyBorder="1" applyAlignment="1">
      <alignment horizontal="center" vertical="center" wrapText="1"/>
    </xf>
    <xf numFmtId="0" fontId="24" fillId="0" borderId="40" xfId="0" applyFont="1" applyBorder="1" applyAlignment="1">
      <alignment vertical="center" wrapText="1"/>
    </xf>
    <xf numFmtId="0" fontId="0" fillId="0" borderId="46" xfId="0" applyBorder="1" applyAlignment="1">
      <alignment horizontal="center" vertical="center"/>
    </xf>
    <xf numFmtId="3" fontId="24" fillId="0" borderId="47" xfId="0" applyNumberFormat="1" applyFont="1" applyBorder="1" applyAlignment="1">
      <alignment horizontal="center" vertical="center" wrapText="1"/>
    </xf>
    <xf numFmtId="6" fontId="24" fillId="0" borderId="48" xfId="0" applyNumberFormat="1" applyFont="1" applyBorder="1" applyAlignment="1">
      <alignment horizontal="right" vertical="center" wrapText="1"/>
    </xf>
    <xf numFmtId="0" fontId="25" fillId="0" borderId="40" xfId="0" applyFont="1" applyBorder="1" applyAlignment="1">
      <alignment horizontal="right" vertical="center" wrapText="1"/>
    </xf>
    <xf numFmtId="0" fontId="25" fillId="0" borderId="44" xfId="0" applyFont="1" applyBorder="1" applyAlignment="1">
      <alignment horizontal="center" vertical="center" wrapText="1"/>
    </xf>
    <xf numFmtId="3" fontId="25" fillId="0" borderId="30" xfId="0" applyNumberFormat="1" applyFont="1" applyBorder="1" applyAlignment="1">
      <alignment horizontal="center" vertical="center" wrapText="1"/>
    </xf>
    <xf numFmtId="6" fontId="25" fillId="0" borderId="43" xfId="0" applyNumberFormat="1" applyFont="1" applyBorder="1" applyAlignment="1">
      <alignment horizontal="right" vertical="center" wrapText="1"/>
    </xf>
    <xf numFmtId="3" fontId="3" fillId="0" borderId="40" xfId="0" applyNumberFormat="1" applyFont="1" applyBorder="1" applyAlignment="1">
      <alignment horizontal="center" vertical="center"/>
    </xf>
    <xf numFmtId="164" fontId="3" fillId="0" borderId="40" xfId="0" applyNumberFormat="1" applyFont="1" applyBorder="1" applyAlignment="1">
      <alignment horizontal="right" vertical="center"/>
    </xf>
    <xf numFmtId="0" fontId="24" fillId="0" borderId="40" xfId="0" applyFont="1" applyBorder="1" applyAlignment="1">
      <alignment horizontal="left" vertical="center" wrapText="1"/>
    </xf>
    <xf numFmtId="3" fontId="25" fillId="0" borderId="50" xfId="0" applyNumberFormat="1" applyFont="1" applyBorder="1" applyAlignment="1">
      <alignment horizontal="center" vertical="center" wrapText="1"/>
    </xf>
    <xf numFmtId="3" fontId="3" fillId="0" borderId="51" xfId="0" applyNumberFormat="1" applyFont="1" applyBorder="1" applyAlignment="1">
      <alignment horizontal="center" vertical="center"/>
    </xf>
    <xf numFmtId="164" fontId="3" fillId="0" borderId="51" xfId="0" applyNumberFormat="1" applyFont="1" applyBorder="1" applyAlignment="1">
      <alignment horizontal="right" vertical="center"/>
    </xf>
    <xf numFmtId="0" fontId="23" fillId="0" borderId="52" xfId="0" applyFont="1" applyBorder="1" applyAlignment="1">
      <alignment vertical="center" wrapText="1"/>
    </xf>
    <xf numFmtId="3" fontId="24" fillId="0" borderId="38" xfId="0" applyNumberFormat="1" applyFont="1" applyBorder="1" applyAlignment="1">
      <alignment horizontal="center" vertical="center" wrapText="1"/>
    </xf>
    <xf numFmtId="3" fontId="24" fillId="0" borderId="53" xfId="0" applyNumberFormat="1" applyFont="1" applyBorder="1" applyAlignment="1">
      <alignment horizontal="center" vertical="center" wrapText="1"/>
    </xf>
    <xf numFmtId="3" fontId="24" fillId="0" borderId="44" xfId="0" applyNumberFormat="1" applyFont="1" applyBorder="1" applyAlignment="1">
      <alignment horizontal="center" vertical="center" wrapText="1"/>
    </xf>
    <xf numFmtId="1" fontId="24" fillId="0" borderId="30" xfId="0" applyNumberFormat="1" applyFont="1" applyBorder="1" applyAlignment="1">
      <alignment horizontal="center" vertical="center" wrapText="1"/>
    </xf>
    <xf numFmtId="0" fontId="25" fillId="0" borderId="51" xfId="0" applyFont="1" applyBorder="1" applyAlignment="1">
      <alignment horizontal="right" vertical="center" wrapText="1"/>
    </xf>
    <xf numFmtId="3" fontId="7" fillId="0" borderId="49" xfId="0" applyNumberFormat="1" applyFont="1" applyBorder="1" applyAlignment="1">
      <alignment horizontal="center" vertical="center" wrapText="1"/>
    </xf>
    <xf numFmtId="6" fontId="7" fillId="0" borderId="54" xfId="0" applyNumberFormat="1" applyFont="1" applyBorder="1" applyAlignment="1">
      <alignment horizontal="right" vertical="center" wrapText="1"/>
    </xf>
    <xf numFmtId="0" fontId="28" fillId="0" borderId="0" xfId="0" applyFont="1" applyAlignment="1">
      <alignment vertical="center"/>
    </xf>
    <xf numFmtId="0" fontId="25" fillId="0" borderId="12" xfId="0" applyFont="1" applyBorder="1" applyAlignment="1">
      <alignment wrapText="1"/>
    </xf>
    <xf numFmtId="0" fontId="25" fillId="0" borderId="12" xfId="0" applyFont="1" applyBorder="1" applyAlignment="1">
      <alignment horizontal="center" wrapText="1"/>
    </xf>
    <xf numFmtId="3" fontId="0" fillId="0" borderId="12" xfId="0" applyNumberFormat="1" applyBorder="1" applyAlignment="1">
      <alignment horizontal="center" vertical="center"/>
    </xf>
    <xf numFmtId="0" fontId="24" fillId="0" borderId="13" xfId="0" applyFont="1" applyBorder="1" applyAlignment="1">
      <alignment vertical="center" wrapText="1"/>
    </xf>
    <xf numFmtId="0" fontId="25" fillId="0" borderId="28" xfId="0" applyFont="1" applyBorder="1" applyAlignment="1">
      <alignment horizontal="center" vertical="center" wrapText="1"/>
    </xf>
    <xf numFmtId="0" fontId="25" fillId="0" borderId="13" xfId="0" applyFont="1" applyBorder="1" applyAlignment="1">
      <alignment vertical="center" wrapText="1"/>
    </xf>
    <xf numFmtId="0" fontId="25" fillId="0" borderId="0" xfId="0" applyFont="1" applyAlignment="1">
      <alignment horizontal="center" vertical="center" wrapText="1"/>
    </xf>
    <xf numFmtId="0" fontId="24" fillId="3" borderId="11" xfId="0" applyFont="1" applyFill="1" applyBorder="1" applyAlignment="1">
      <alignment vertical="center" wrapText="1"/>
    </xf>
    <xf numFmtId="0" fontId="24" fillId="3" borderId="45" xfId="0" applyFont="1" applyFill="1" applyBorder="1" applyAlignment="1">
      <alignment vertical="center" wrapText="1"/>
    </xf>
    <xf numFmtId="0" fontId="24" fillId="0" borderId="11" xfId="0" applyFont="1" applyBorder="1" applyAlignment="1">
      <alignment vertical="center" wrapText="1"/>
    </xf>
    <xf numFmtId="0" fontId="24" fillId="0" borderId="45" xfId="0" applyFont="1" applyBorder="1" applyAlignment="1">
      <alignment horizontal="center" vertical="center" wrapText="1"/>
    </xf>
    <xf numFmtId="3" fontId="24" fillId="0" borderId="45" xfId="0" applyNumberFormat="1" applyFont="1" applyBorder="1" applyAlignment="1">
      <alignment horizontal="center" vertical="center" wrapText="1"/>
    </xf>
    <xf numFmtId="0" fontId="24" fillId="0" borderId="11" xfId="0" applyFont="1" applyBorder="1" applyAlignment="1">
      <alignment horizontal="left" vertical="center" wrapText="1" indent="1"/>
    </xf>
    <xf numFmtId="0" fontId="0" fillId="0" borderId="45" xfId="0" applyBorder="1" applyAlignment="1">
      <alignment horizontal="center" vertical="center" wrapText="1"/>
    </xf>
    <xf numFmtId="3" fontId="0" fillId="0" borderId="13" xfId="0" applyNumberFormat="1" applyBorder="1" applyAlignment="1">
      <alignment horizontal="center" vertical="center" wrapText="1"/>
    </xf>
    <xf numFmtId="6" fontId="5" fillId="0" borderId="11" xfId="0" applyNumberFormat="1" applyFont="1" applyBorder="1" applyAlignment="1">
      <alignment horizontal="center" vertical="center" wrapText="1"/>
    </xf>
    <xf numFmtId="164" fontId="24" fillId="0" borderId="45" xfId="0" applyNumberFormat="1" applyFont="1" applyBorder="1" applyAlignment="1">
      <alignment horizontal="center" vertical="center" wrapText="1"/>
    </xf>
    <xf numFmtId="6" fontId="24" fillId="0" borderId="45" xfId="0" applyNumberFormat="1" applyFont="1" applyBorder="1" applyAlignment="1">
      <alignment horizontal="right" vertical="center" wrapText="1"/>
    </xf>
    <xf numFmtId="6" fontId="24" fillId="0" borderId="13" xfId="0" applyNumberFormat="1" applyFont="1" applyBorder="1" applyAlignment="1">
      <alignment horizontal="right" vertical="center" wrapText="1"/>
    </xf>
    <xf numFmtId="0" fontId="24" fillId="3" borderId="45" xfId="0" applyFont="1" applyFill="1" applyBorder="1" applyAlignment="1">
      <alignment horizontal="center" vertical="center" wrapText="1"/>
    </xf>
    <xf numFmtId="6" fontId="24" fillId="0" borderId="11" xfId="0" applyNumberFormat="1" applyFont="1" applyBorder="1" applyAlignment="1">
      <alignment horizontal="right" vertical="center" wrapText="1"/>
    </xf>
    <xf numFmtId="0" fontId="24" fillId="0" borderId="45" xfId="0" applyFont="1" applyBorder="1" applyAlignment="1">
      <alignment horizontal="right" vertical="center" wrapText="1"/>
    </xf>
    <xf numFmtId="0" fontId="25" fillId="0" borderId="11" xfId="0" applyFont="1" applyBorder="1" applyAlignment="1">
      <alignment horizontal="right" vertical="center" wrapText="1"/>
    </xf>
    <xf numFmtId="6" fontId="25" fillId="0" borderId="45" xfId="0" applyNumberFormat="1" applyFont="1" applyBorder="1" applyAlignment="1">
      <alignment horizontal="right" vertical="center" wrapText="1"/>
    </xf>
    <xf numFmtId="6" fontId="24" fillId="0" borderId="45" xfId="0" applyNumberFormat="1" applyFont="1" applyBorder="1" applyAlignment="1">
      <alignment horizontal="center" vertical="center" wrapText="1"/>
    </xf>
    <xf numFmtId="0" fontId="0" fillId="0" borderId="27" xfId="0" applyBorder="1" applyAlignment="1">
      <alignment horizontal="center" vertical="center" wrapText="1"/>
    </xf>
    <xf numFmtId="0" fontId="0" fillId="0" borderId="0" xfId="0" applyBorder="1" applyAlignment="1">
      <alignment horizontal="center" vertical="center"/>
    </xf>
    <xf numFmtId="3" fontId="0" fillId="0" borderId="9" xfId="0" applyNumberFormat="1" applyBorder="1" applyAlignment="1">
      <alignment horizontal="center" vertical="center"/>
    </xf>
    <xf numFmtId="3" fontId="0" fillId="0" borderId="11" xfId="0" applyNumberFormat="1" applyBorder="1" applyAlignment="1">
      <alignment horizontal="center" vertical="center"/>
    </xf>
    <xf numFmtId="0" fontId="3" fillId="0" borderId="0" xfId="0" applyFont="1" applyBorder="1" applyAlignment="1">
      <alignment horizontal="right" vertical="center" wrapText="1"/>
    </xf>
    <xf numFmtId="3" fontId="3" fillId="0" borderId="0" xfId="0" applyNumberFormat="1" applyFont="1" applyBorder="1" applyAlignment="1">
      <alignment horizontal="center" vertical="center" wrapText="1"/>
    </xf>
    <xf numFmtId="1" fontId="3" fillId="0" borderId="0" xfId="0" applyNumberFormat="1" applyFont="1" applyBorder="1" applyAlignment="1">
      <alignment horizontal="center" vertical="center" wrapText="1"/>
    </xf>
    <xf numFmtId="164" fontId="3" fillId="0" borderId="0" xfId="0" applyNumberFormat="1" applyFont="1" applyBorder="1" applyAlignment="1">
      <alignment horizontal="right" vertical="center" wrapText="1"/>
    </xf>
    <xf numFmtId="0" fontId="3" fillId="0" borderId="13" xfId="0" applyFont="1" applyBorder="1" applyAlignment="1">
      <alignment vertical="center" wrapText="1"/>
    </xf>
    <xf numFmtId="0" fontId="6" fillId="0" borderId="0" xfId="0" applyFont="1" applyAlignment="1">
      <alignment wrapText="1"/>
    </xf>
    <xf numFmtId="0" fontId="3" fillId="3" borderId="14" xfId="0" applyFont="1" applyFill="1" applyBorder="1" applyAlignment="1">
      <alignment horizontal="left" vertical="center"/>
    </xf>
    <xf numFmtId="0" fontId="3" fillId="3" borderId="22" xfId="0" applyFont="1" applyFill="1" applyBorder="1" applyAlignment="1">
      <alignment horizontal="left" vertical="center"/>
    </xf>
    <xf numFmtId="0" fontId="3" fillId="3" borderId="28" xfId="0" applyFont="1" applyFill="1" applyBorder="1" applyAlignment="1">
      <alignment horizontal="left" vertical="center"/>
    </xf>
    <xf numFmtId="3" fontId="0" fillId="0" borderId="32" xfId="0" applyNumberFormat="1" applyBorder="1" applyAlignment="1">
      <alignment horizontal="center" vertical="center"/>
    </xf>
    <xf numFmtId="3" fontId="0" fillId="0" borderId="56" xfId="0" applyNumberFormat="1" applyBorder="1" applyAlignment="1">
      <alignment horizontal="center" vertical="center"/>
    </xf>
    <xf numFmtId="164" fontId="0" fillId="0" borderId="56" xfId="0" applyNumberFormat="1" applyBorder="1" applyAlignment="1">
      <alignment horizontal="right" vertical="center"/>
    </xf>
    <xf numFmtId="0" fontId="6" fillId="0" borderId="0" xfId="0" applyFont="1" applyAlignment="1"/>
    <xf numFmtId="0" fontId="30" fillId="0" borderId="0" xfId="0" applyFont="1" applyAlignment="1">
      <alignment wrapText="1"/>
    </xf>
    <xf numFmtId="0" fontId="8" fillId="0" borderId="0" xfId="0" applyFont="1" applyFill="1" applyAlignment="1">
      <alignment horizontal="left" wrapText="1"/>
    </xf>
    <xf numFmtId="0" fontId="0" fillId="0" borderId="0" xfId="0" applyAlignment="1">
      <alignment vertical="center" wrapText="1"/>
    </xf>
    <xf numFmtId="1" fontId="0" fillId="0" borderId="0" xfId="0" applyNumberFormat="1" applyAlignment="1">
      <alignment horizontal="center" vertical="center"/>
    </xf>
    <xf numFmtId="1" fontId="0" fillId="0" borderId="0" xfId="0" applyNumberFormat="1"/>
    <xf numFmtId="0" fontId="32" fillId="0" borderId="0" xfId="0" applyFont="1" applyAlignment="1"/>
    <xf numFmtId="0" fontId="32" fillId="0" borderId="0" xfId="0" applyFont="1"/>
    <xf numFmtId="4" fontId="0" fillId="0" borderId="13" xfId="0" applyNumberFormat="1" applyBorder="1" applyAlignment="1">
      <alignment horizontal="center" vertical="center"/>
    </xf>
    <xf numFmtId="164" fontId="24" fillId="3" borderId="45" xfId="0" applyNumberFormat="1" applyFont="1" applyFill="1" applyBorder="1" applyAlignment="1">
      <alignment horizontal="center" vertical="center" wrapText="1"/>
    </xf>
    <xf numFmtId="0" fontId="0" fillId="0" borderId="0" xfId="0" applyFont="1"/>
    <xf numFmtId="0" fontId="12" fillId="0" borderId="0" xfId="0" applyFont="1" applyAlignment="1">
      <alignment horizontal="center" vertical="center" wrapText="1"/>
    </xf>
    <xf numFmtId="0" fontId="16" fillId="0" borderId="0" xfId="0" applyFont="1" applyFill="1" applyAlignment="1">
      <alignment horizontal="center"/>
    </xf>
    <xf numFmtId="0" fontId="2" fillId="0" borderId="0" xfId="0" applyFont="1" applyAlignment="1">
      <alignment wrapText="1"/>
    </xf>
    <xf numFmtId="0" fontId="2" fillId="0" borderId="0" xfId="0" applyFont="1" applyFill="1"/>
    <xf numFmtId="0" fontId="0" fillId="0" borderId="0" xfId="0" applyFill="1"/>
    <xf numFmtId="0" fontId="0" fillId="0" borderId="0" xfId="0" applyFill="1" applyAlignment="1">
      <alignment horizontal="right"/>
    </xf>
    <xf numFmtId="3" fontId="0" fillId="0" borderId="13" xfId="0" applyNumberFormat="1" applyFill="1" applyBorder="1" applyAlignment="1">
      <alignment horizontal="center"/>
    </xf>
    <xf numFmtId="3" fontId="0" fillId="0" borderId="0" xfId="0" applyNumberFormat="1" applyFill="1" applyAlignment="1">
      <alignment horizontal="center"/>
    </xf>
    <xf numFmtId="3" fontId="0" fillId="0" borderId="0" xfId="0" applyNumberFormat="1" applyFill="1" applyAlignment="1">
      <alignment horizontal="center" vertical="center"/>
    </xf>
    <xf numFmtId="0" fontId="0" fillId="0" borderId="0" xfId="0" applyFill="1" applyBorder="1" applyAlignment="1">
      <alignment horizontal="left"/>
    </xf>
    <xf numFmtId="0" fontId="0" fillId="0" borderId="0" xfId="0" quotePrefix="1" applyFill="1" applyBorder="1" applyAlignment="1">
      <alignment horizontal="left"/>
    </xf>
    <xf numFmtId="0" fontId="0" fillId="0" borderId="13" xfId="0" applyBorder="1" applyAlignment="1">
      <alignment wrapText="1"/>
    </xf>
    <xf numFmtId="0" fontId="0" fillId="0" borderId="0" xfId="0" applyFill="1" applyAlignment="1">
      <alignment wrapText="1"/>
    </xf>
    <xf numFmtId="0" fontId="3" fillId="0" borderId="0" xfId="0" applyFont="1" applyFill="1" applyAlignment="1">
      <alignment horizontal="center" wrapText="1"/>
    </xf>
    <xf numFmtId="0" fontId="8" fillId="0" borderId="0" xfId="0" applyFont="1" applyFill="1"/>
    <xf numFmtId="3" fontId="0" fillId="0" borderId="0" xfId="0" applyNumberFormat="1" applyFill="1" applyAlignment="1">
      <alignment vertical="center"/>
    </xf>
    <xf numFmtId="8" fontId="0" fillId="0" borderId="0" xfId="0" applyNumberFormat="1" applyFill="1"/>
    <xf numFmtId="8" fontId="8" fillId="0" borderId="0" xfId="0" applyNumberFormat="1" applyFont="1" applyFill="1"/>
    <xf numFmtId="38" fontId="8" fillId="0" borderId="0" xfId="0" applyNumberFormat="1" applyFont="1" applyFill="1"/>
    <xf numFmtId="6" fontId="3" fillId="0" borderId="0" xfId="0" applyNumberFormat="1" applyFont="1" applyFill="1" applyAlignment="1">
      <alignment vertical="center"/>
    </xf>
    <xf numFmtId="0" fontId="0" fillId="0" borderId="0" xfId="0" applyFill="1" applyAlignment="1">
      <alignment horizontal="center" vertical="center"/>
    </xf>
    <xf numFmtId="6" fontId="0" fillId="0" borderId="0" xfId="0" applyNumberFormat="1" applyFill="1" applyAlignment="1">
      <alignment vertical="center"/>
    </xf>
    <xf numFmtId="3" fontId="8" fillId="0" borderId="0" xfId="0" applyNumberFormat="1" applyFont="1" applyFill="1"/>
    <xf numFmtId="0" fontId="23" fillId="0" borderId="0" xfId="0" applyFont="1" applyFill="1" applyAlignment="1">
      <alignment horizontal="center" vertical="center"/>
    </xf>
    <xf numFmtId="6" fontId="2" fillId="0" borderId="0" xfId="0" applyNumberFormat="1" applyFont="1" applyFill="1" applyAlignment="1">
      <alignment vertical="center"/>
    </xf>
    <xf numFmtId="0" fontId="35" fillId="0" borderId="0" xfId="0" applyFont="1"/>
    <xf numFmtId="0" fontId="5" fillId="0" borderId="0" xfId="0" applyFont="1"/>
    <xf numFmtId="0" fontId="5" fillId="0" borderId="0" xfId="0" applyFont="1" applyAlignment="1">
      <alignment vertical="center"/>
    </xf>
    <xf numFmtId="0" fontId="0" fillId="0" borderId="0" xfId="0" applyFont="1" applyAlignment="1">
      <alignment vertical="center"/>
    </xf>
    <xf numFmtId="0" fontId="5" fillId="0" borderId="0" xfId="0" applyFont="1" applyAlignment="1">
      <alignment wrapText="1"/>
    </xf>
    <xf numFmtId="3" fontId="13" fillId="0" borderId="0" xfId="0" applyNumberFormat="1" applyFont="1" applyAlignment="1">
      <alignment horizontal="center" vertical="center"/>
    </xf>
    <xf numFmtId="0" fontId="18" fillId="0" borderId="6" xfId="0" applyFont="1" applyBorder="1" applyAlignment="1">
      <alignment horizontal="center" vertical="center" wrapText="1"/>
    </xf>
    <xf numFmtId="0" fontId="18" fillId="0" borderId="12" xfId="0" applyFont="1" applyBorder="1" applyAlignment="1">
      <alignment horizontal="center" vertical="center" wrapText="1"/>
    </xf>
    <xf numFmtId="0" fontId="0" fillId="0" borderId="5" xfId="0" applyFill="1" applyBorder="1" applyAlignment="1">
      <alignment vertical="center" wrapText="1"/>
    </xf>
    <xf numFmtId="3" fontId="0" fillId="0" borderId="13" xfId="0" applyNumberFormat="1" applyFill="1" applyBorder="1" applyAlignment="1">
      <alignment horizontal="center" vertical="center"/>
    </xf>
    <xf numFmtId="3" fontId="0" fillId="0" borderId="12" xfId="0" applyNumberFormat="1" applyFill="1" applyBorder="1" applyAlignment="1">
      <alignment horizontal="center" vertical="center" wrapText="1"/>
    </xf>
    <xf numFmtId="3" fontId="0" fillId="0" borderId="14" xfId="0" applyNumberFormat="1" applyFill="1" applyBorder="1" applyAlignment="1">
      <alignment horizontal="center" vertical="center"/>
    </xf>
    <xf numFmtId="0" fontId="3" fillId="0" borderId="5" xfId="0" applyFont="1" applyFill="1" applyBorder="1" applyAlignment="1">
      <alignment horizontal="right" vertical="center" wrapText="1" indent="1"/>
    </xf>
    <xf numFmtId="3" fontId="3" fillId="0" borderId="13" xfId="0" applyNumberFormat="1" applyFont="1" applyFill="1" applyBorder="1" applyAlignment="1">
      <alignment horizontal="center" vertical="center"/>
    </xf>
    <xf numFmtId="3" fontId="3" fillId="0" borderId="14" xfId="0" applyNumberFormat="1" applyFont="1" applyFill="1" applyBorder="1" applyAlignment="1">
      <alignment horizontal="center" vertical="center"/>
    </xf>
    <xf numFmtId="0" fontId="16" fillId="0" borderId="13" xfId="0" applyFont="1" applyFill="1" applyBorder="1" applyAlignment="1">
      <alignment horizontal="center"/>
    </xf>
    <xf numFmtId="0" fontId="0" fillId="0" borderId="13" xfId="0" applyFill="1" applyBorder="1" applyAlignment="1">
      <alignment horizontal="center" vertical="center" wrapText="1"/>
    </xf>
    <xf numFmtId="1" fontId="3" fillId="0" borderId="13" xfId="0" applyNumberFormat="1" applyFont="1" applyFill="1" applyBorder="1" applyAlignment="1">
      <alignment horizontal="center" vertical="center" wrapText="1"/>
    </xf>
    <xf numFmtId="1" fontId="17" fillId="0" borderId="0" xfId="0" applyNumberFormat="1" applyFont="1" applyFill="1" applyAlignment="1">
      <alignment horizontal="center" vertical="center" wrapText="1"/>
    </xf>
    <xf numFmtId="0" fontId="17" fillId="0" borderId="0" xfId="0" applyFont="1" applyFill="1" applyAlignment="1">
      <alignment horizontal="center" vertical="center"/>
    </xf>
    <xf numFmtId="1" fontId="0" fillId="0" borderId="13" xfId="0" applyNumberFormat="1" applyFill="1" applyBorder="1" applyAlignment="1">
      <alignment horizontal="center" vertical="center"/>
    </xf>
    <xf numFmtId="6" fontId="0" fillId="0" borderId="13" xfId="0" applyNumberFormat="1" applyFill="1" applyBorder="1" applyAlignment="1">
      <alignment vertical="center"/>
    </xf>
    <xf numFmtId="0" fontId="17" fillId="0" borderId="16" xfId="0" applyFont="1" applyFill="1" applyBorder="1" applyAlignment="1">
      <alignment horizontal="center"/>
    </xf>
    <xf numFmtId="0" fontId="17" fillId="0" borderId="17" xfId="0" applyFont="1" applyFill="1" applyBorder="1" applyAlignment="1">
      <alignment horizontal="center"/>
    </xf>
    <xf numFmtId="0" fontId="17" fillId="0" borderId="18" xfId="0" applyFont="1" applyFill="1" applyBorder="1" applyAlignment="1">
      <alignment horizontal="center"/>
    </xf>
    <xf numFmtId="167" fontId="0" fillId="0" borderId="0" xfId="4" applyNumberFormat="1" applyFont="1" applyAlignment="1">
      <alignment vertical="center"/>
    </xf>
    <xf numFmtId="164" fontId="0" fillId="0" borderId="0" xfId="0" applyNumberFormat="1" applyAlignment="1">
      <alignment vertical="center"/>
    </xf>
    <xf numFmtId="3" fontId="2" fillId="0" borderId="0" xfId="0" applyNumberFormat="1" applyFont="1" applyAlignment="1">
      <alignment vertical="center"/>
    </xf>
    <xf numFmtId="0" fontId="0" fillId="0" borderId="0" xfId="0" applyBorder="1"/>
    <xf numFmtId="0" fontId="3" fillId="6" borderId="0" xfId="0" applyFont="1" applyFill="1" applyBorder="1" applyAlignment="1">
      <alignment wrapText="1"/>
    </xf>
    <xf numFmtId="0" fontId="3" fillId="6" borderId="0" xfId="0" applyFont="1" applyFill="1" applyBorder="1" applyAlignment="1">
      <alignment horizontal="center" wrapText="1"/>
    </xf>
    <xf numFmtId="0" fontId="0" fillId="0" borderId="0" xfId="0" applyFont="1" applyBorder="1" applyAlignment="1">
      <alignment horizontal="center"/>
    </xf>
    <xf numFmtId="0" fontId="0" fillId="0" borderId="0" xfId="0"/>
    <xf numFmtId="0" fontId="3" fillId="6" borderId="57" xfId="0" applyFont="1" applyFill="1" applyBorder="1" applyAlignment="1">
      <alignment wrapText="1"/>
    </xf>
    <xf numFmtId="168" fontId="0" fillId="0" borderId="0" xfId="0" applyNumberFormat="1"/>
    <xf numFmtId="168" fontId="3" fillId="0" borderId="0" xfId="0" applyNumberFormat="1" applyFont="1"/>
    <xf numFmtId="0" fontId="0" fillId="0" borderId="0" xfId="0" applyFont="1" applyFill="1" applyBorder="1" applyAlignment="1">
      <alignment wrapText="1"/>
    </xf>
    <xf numFmtId="0" fontId="0" fillId="0" borderId="57" xfId="0" applyFont="1" applyBorder="1" applyAlignment="1">
      <alignment horizontal="center"/>
    </xf>
    <xf numFmtId="3" fontId="0" fillId="0" borderId="0" xfId="0" applyNumberFormat="1" applyBorder="1"/>
    <xf numFmtId="168" fontId="0" fillId="0" borderId="0" xfId="0" applyNumberFormat="1" applyAlignment="1">
      <alignment horizontal="center"/>
    </xf>
    <xf numFmtId="0" fontId="3" fillId="0" borderId="0" xfId="0" applyFont="1" applyBorder="1" applyAlignment="1">
      <alignment horizontal="right" vertical="center"/>
    </xf>
    <xf numFmtId="0" fontId="3" fillId="0" borderId="0" xfId="0" applyFont="1" applyBorder="1" applyAlignment="1">
      <alignment horizontal="center" vertical="center"/>
    </xf>
    <xf numFmtId="3" fontId="0" fillId="0" borderId="0" xfId="0" applyNumberFormat="1" applyBorder="1" applyAlignment="1">
      <alignment horizontal="center" vertical="center"/>
    </xf>
    <xf numFmtId="0" fontId="3" fillId="0" borderId="15" xfId="0" applyFont="1" applyFill="1" applyBorder="1" applyAlignment="1">
      <alignment horizontal="right" vertical="center" wrapText="1" indent="1"/>
    </xf>
    <xf numFmtId="9" fontId="3" fillId="0" borderId="0" xfId="1" applyFont="1" applyBorder="1" applyAlignment="1">
      <alignment horizontal="center" vertical="center" wrapText="1"/>
    </xf>
    <xf numFmtId="3" fontId="3" fillId="0" borderId="0" xfId="0" applyNumberFormat="1" applyFont="1" applyFill="1" applyBorder="1" applyAlignment="1">
      <alignment horizontal="center" vertical="center"/>
    </xf>
    <xf numFmtId="0" fontId="3" fillId="0" borderId="0" xfId="0" applyFont="1" applyBorder="1" applyAlignment="1">
      <alignment horizontal="center" vertical="center" wrapText="1"/>
    </xf>
    <xf numFmtId="6" fontId="0" fillId="0" borderId="0" xfId="0" applyNumberFormat="1" applyFill="1" applyBorder="1" applyAlignment="1">
      <alignment vertical="center" wrapText="1"/>
    </xf>
    <xf numFmtId="8" fontId="5" fillId="4" borderId="7" xfId="0" applyNumberFormat="1" applyFont="1" applyFill="1" applyBorder="1" applyAlignment="1">
      <alignment horizontal="center" vertical="center" wrapText="1"/>
    </xf>
    <xf numFmtId="0" fontId="25" fillId="0" borderId="0" xfId="0" applyFont="1" applyBorder="1" applyAlignment="1">
      <alignment horizontal="right" vertical="center" wrapText="1"/>
    </xf>
    <xf numFmtId="0" fontId="25" fillId="0" borderId="0" xfId="0" applyFont="1" applyBorder="1" applyAlignment="1">
      <alignment horizontal="center" vertical="center" wrapText="1"/>
    </xf>
    <xf numFmtId="3" fontId="25" fillId="0" borderId="0" xfId="0" applyNumberFormat="1" applyFont="1" applyBorder="1" applyAlignment="1">
      <alignment horizontal="center" vertical="center" wrapText="1"/>
    </xf>
    <xf numFmtId="6" fontId="25" fillId="0" borderId="0" xfId="0" applyNumberFormat="1" applyFont="1" applyBorder="1" applyAlignment="1">
      <alignment horizontal="right" vertical="center" wrapText="1"/>
    </xf>
    <xf numFmtId="3" fontId="3" fillId="0" borderId="0" xfId="0" applyNumberFormat="1" applyFont="1" applyBorder="1" applyAlignment="1">
      <alignment horizontal="center" vertical="center"/>
    </xf>
    <xf numFmtId="164" fontId="3" fillId="0" borderId="0" xfId="0" applyNumberFormat="1" applyFont="1" applyBorder="1" applyAlignment="1">
      <alignment horizontal="right" vertical="center"/>
    </xf>
    <xf numFmtId="44" fontId="3" fillId="0" borderId="0" xfId="4" applyFont="1" applyFill="1" applyBorder="1" applyAlignment="1">
      <alignment horizontal="center" vertical="center"/>
    </xf>
    <xf numFmtId="3" fontId="0" fillId="5" borderId="6" xfId="0" applyNumberFormat="1" applyFill="1" applyBorder="1" applyAlignment="1">
      <alignment horizontal="center" vertical="center" wrapText="1"/>
    </xf>
    <xf numFmtId="6" fontId="0" fillId="5" borderId="12" xfId="0" applyNumberFormat="1" applyFill="1" applyBorder="1" applyAlignment="1">
      <alignment vertical="center" wrapText="1"/>
    </xf>
    <xf numFmtId="3" fontId="0" fillId="5" borderId="12" xfId="0" applyNumberFormat="1" applyFill="1" applyBorder="1" applyAlignment="1">
      <alignment horizontal="center" vertical="center" wrapText="1"/>
    </xf>
    <xf numFmtId="0" fontId="3" fillId="0" borderId="0" xfId="0" applyFont="1" applyFill="1" applyBorder="1" applyAlignment="1">
      <alignment horizontal="right" vertical="center" wrapText="1" indent="1"/>
    </xf>
    <xf numFmtId="0" fontId="12" fillId="0" borderId="19" xfId="0" applyFont="1" applyBorder="1" applyAlignment="1">
      <alignment vertical="center" wrapText="1"/>
    </xf>
    <xf numFmtId="0" fontId="3" fillId="0" borderId="6" xfId="0" applyFont="1" applyBorder="1" applyAlignment="1">
      <alignment vertical="center"/>
    </xf>
    <xf numFmtId="8" fontId="3" fillId="0" borderId="11" xfId="0" applyNumberFormat="1" applyFont="1" applyBorder="1" applyAlignment="1">
      <alignment horizontal="center"/>
    </xf>
    <xf numFmtId="0" fontId="3" fillId="0" borderId="5" xfId="0" applyFont="1" applyBorder="1" applyAlignment="1">
      <alignment horizontal="center" wrapText="1"/>
    </xf>
    <xf numFmtId="0" fontId="3" fillId="0" borderId="10" xfId="0" applyFont="1" applyBorder="1" applyAlignment="1">
      <alignment horizontal="center" wrapText="1"/>
    </xf>
    <xf numFmtId="0" fontId="3" fillId="0" borderId="12" xfId="0" applyFont="1" applyBorder="1" applyAlignment="1">
      <alignment horizontal="center" wrapText="1"/>
    </xf>
    <xf numFmtId="0" fontId="3" fillId="0" borderId="4" xfId="0" applyFont="1" applyBorder="1" applyAlignment="1">
      <alignment horizont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0" borderId="13" xfId="0" applyFont="1" applyBorder="1" applyAlignment="1">
      <alignment wrapText="1"/>
    </xf>
    <xf numFmtId="0" fontId="3" fillId="0" borderId="10" xfId="0" applyFont="1" applyBorder="1" applyAlignment="1">
      <alignment wrapText="1"/>
    </xf>
    <xf numFmtId="0" fontId="38" fillId="0" borderId="32" xfId="0" applyFont="1" applyBorder="1" applyAlignment="1">
      <alignment vertical="center" wrapText="1"/>
    </xf>
    <xf numFmtId="0" fontId="37" fillId="0" borderId="58" xfId="0" applyFont="1" applyBorder="1" applyAlignment="1">
      <alignment wrapText="1"/>
    </xf>
    <xf numFmtId="1" fontId="0" fillId="0" borderId="13" xfId="0" applyNumberFormat="1" applyBorder="1" applyAlignment="1">
      <alignment horizontal="center" vertical="center"/>
    </xf>
    <xf numFmtId="0" fontId="3" fillId="0" borderId="12" xfId="0" applyFont="1" applyBorder="1" applyAlignment="1">
      <alignment horizontal="right" vertical="center"/>
    </xf>
    <xf numFmtId="166" fontId="0" fillId="0" borderId="12" xfId="0" applyNumberFormat="1" applyBorder="1" applyAlignment="1">
      <alignment horizontal="center" vertical="center"/>
    </xf>
    <xf numFmtId="3" fontId="24" fillId="0" borderId="0" xfId="0" applyNumberFormat="1" applyFont="1" applyBorder="1" applyAlignment="1">
      <alignment horizontal="center" vertical="center" wrapText="1"/>
    </xf>
    <xf numFmtId="0" fontId="25" fillId="0" borderId="59" xfId="0" applyFont="1" applyBorder="1" applyAlignment="1">
      <alignment horizontal="center" vertical="center" wrapText="1"/>
    </xf>
    <xf numFmtId="3" fontId="25" fillId="0" borderId="60" xfId="0" applyNumberFormat="1" applyFont="1" applyBorder="1" applyAlignment="1">
      <alignment horizontal="center" vertical="center" wrapText="1"/>
    </xf>
    <xf numFmtId="6" fontId="25" fillId="0" borderId="61" xfId="0" applyNumberFormat="1" applyFont="1" applyBorder="1" applyAlignment="1">
      <alignment horizontal="right" vertical="center" wrapText="1"/>
    </xf>
    <xf numFmtId="0" fontId="23" fillId="0" borderId="38" xfId="0" applyFont="1" applyBorder="1" applyAlignment="1">
      <alignment horizontal="center" vertical="center" wrapText="1"/>
    </xf>
    <xf numFmtId="6" fontId="23" fillId="0" borderId="39" xfId="0" applyNumberFormat="1" applyFont="1" applyBorder="1" applyAlignment="1">
      <alignment horizontal="right" vertical="center" wrapText="1"/>
    </xf>
    <xf numFmtId="0" fontId="23" fillId="0" borderId="49" xfId="0" applyFont="1" applyBorder="1" applyAlignment="1">
      <alignment horizontal="center" vertical="center" wrapText="1"/>
    </xf>
    <xf numFmtId="6" fontId="23" fillId="0" borderId="54" xfId="0" applyNumberFormat="1" applyFont="1" applyBorder="1" applyAlignment="1">
      <alignment horizontal="right" vertical="center" wrapText="1"/>
    </xf>
    <xf numFmtId="0" fontId="25" fillId="0" borderId="62" xfId="0" applyFont="1" applyBorder="1" applyAlignment="1">
      <alignment horizontal="center" vertical="center" wrapText="1"/>
    </xf>
    <xf numFmtId="6" fontId="23" fillId="0" borderId="0" xfId="0" applyNumberFormat="1" applyFont="1" applyBorder="1" applyAlignment="1">
      <alignment horizontal="right" vertical="center" wrapText="1"/>
    </xf>
    <xf numFmtId="0" fontId="24" fillId="0" borderId="0" xfId="0" applyFont="1" applyBorder="1" applyAlignment="1">
      <alignment horizontal="center" vertical="center" wrapText="1"/>
    </xf>
    <xf numFmtId="164" fontId="23" fillId="0" borderId="0" xfId="0" applyNumberFormat="1" applyFont="1" applyBorder="1" applyAlignment="1">
      <alignment horizontal="right" vertical="center" wrapText="1"/>
    </xf>
    <xf numFmtId="164" fontId="0" fillId="0" borderId="0" xfId="0" applyNumberFormat="1" applyBorder="1" applyAlignment="1">
      <alignment horizontal="right" vertical="center"/>
    </xf>
    <xf numFmtId="0" fontId="23" fillId="0" borderId="62" xfId="0" applyFont="1" applyBorder="1" applyAlignment="1">
      <alignment horizontal="center" vertical="center" wrapText="1"/>
    </xf>
    <xf numFmtId="0" fontId="23" fillId="0" borderId="0" xfId="0" applyFont="1" applyBorder="1" applyAlignment="1">
      <alignment horizontal="center" vertical="center" wrapText="1"/>
    </xf>
    <xf numFmtId="0" fontId="0" fillId="0" borderId="50" xfId="0" applyBorder="1" applyAlignment="1">
      <alignment horizontal="center"/>
    </xf>
    <xf numFmtId="0" fontId="23" fillId="0" borderId="41" xfId="0" applyFont="1" applyBorder="1" applyAlignment="1">
      <alignment horizontal="center" vertical="center" wrapText="1"/>
    </xf>
    <xf numFmtId="6" fontId="23" fillId="0" borderId="42" xfId="0" applyNumberFormat="1" applyFont="1" applyBorder="1" applyAlignment="1">
      <alignment horizontal="right" vertical="center" wrapText="1"/>
    </xf>
    <xf numFmtId="0" fontId="39" fillId="0" borderId="0" xfId="0" applyFont="1"/>
    <xf numFmtId="0" fontId="24" fillId="0" borderId="0" xfId="0" applyFont="1"/>
    <xf numFmtId="0" fontId="25" fillId="4" borderId="3" xfId="0" applyFont="1" applyFill="1" applyBorder="1" applyAlignment="1">
      <alignment horizontal="left" vertical="center" wrapText="1"/>
    </xf>
    <xf numFmtId="0" fontId="24" fillId="3" borderId="0" xfId="0" applyFont="1" applyFill="1"/>
    <xf numFmtId="0" fontId="24" fillId="3" borderId="31" xfId="0" applyFont="1" applyFill="1" applyBorder="1"/>
    <xf numFmtId="3" fontId="24" fillId="0" borderId="10" xfId="0" applyNumberFormat="1" applyFont="1" applyBorder="1" applyAlignment="1">
      <alignment horizontal="center"/>
    </xf>
    <xf numFmtId="164" fontId="24" fillId="0" borderId="10" xfId="0" applyNumberFormat="1" applyFont="1" applyBorder="1" applyAlignment="1">
      <alignment horizontal="center"/>
    </xf>
    <xf numFmtId="3" fontId="24" fillId="0" borderId="55" xfId="0" applyNumberFormat="1" applyFont="1" applyBorder="1" applyAlignment="1">
      <alignment horizontal="center" vertical="center"/>
    </xf>
    <xf numFmtId="164" fontId="24" fillId="0" borderId="55" xfId="0" applyNumberFormat="1" applyFont="1" applyBorder="1" applyAlignment="1">
      <alignment horizontal="center" vertical="center"/>
    </xf>
    <xf numFmtId="0" fontId="25" fillId="4" borderId="6" xfId="0" applyFont="1" applyFill="1" applyBorder="1" applyAlignment="1">
      <alignment horizontal="left" vertical="center" wrapText="1"/>
    </xf>
    <xf numFmtId="3" fontId="24" fillId="0" borderId="12" xfId="0" applyNumberFormat="1" applyFont="1" applyBorder="1" applyAlignment="1">
      <alignment horizontal="center" vertical="center"/>
    </xf>
    <xf numFmtId="164" fontId="24" fillId="0" borderId="12" xfId="0" applyNumberFormat="1" applyFont="1" applyBorder="1" applyAlignment="1">
      <alignment horizontal="center" vertical="center"/>
    </xf>
    <xf numFmtId="8" fontId="25" fillId="0" borderId="62" xfId="0" applyNumberFormat="1" applyFont="1" applyBorder="1" applyAlignment="1">
      <alignment horizontal="center" vertical="center" wrapText="1"/>
    </xf>
    <xf numFmtId="169" fontId="0" fillId="0" borderId="62" xfId="5" applyNumberFormat="1" applyFont="1" applyBorder="1" applyAlignment="1">
      <alignment horizontal="center" vertical="center"/>
    </xf>
    <xf numFmtId="164" fontId="0" fillId="0" borderId="24" xfId="0" applyNumberFormat="1" applyFill="1" applyBorder="1" applyAlignment="1">
      <alignment horizontal="right" vertical="center"/>
    </xf>
    <xf numFmtId="165" fontId="0" fillId="0" borderId="13" xfId="0" applyNumberFormat="1" applyFill="1" applyBorder="1" applyAlignment="1">
      <alignment horizontal="center" vertical="center"/>
    </xf>
    <xf numFmtId="164" fontId="16" fillId="0" borderId="13" xfId="0" applyNumberFormat="1" applyFont="1" applyFill="1" applyBorder="1" applyAlignment="1">
      <alignment horizontal="right" vertical="center"/>
    </xf>
    <xf numFmtId="164" fontId="3" fillId="0" borderId="24" xfId="0" applyNumberFormat="1" applyFont="1" applyFill="1" applyBorder="1" applyAlignment="1">
      <alignment horizontal="right" vertical="center"/>
    </xf>
    <xf numFmtId="1" fontId="3" fillId="5" borderId="5" xfId="0" applyNumberFormat="1" applyFont="1" applyFill="1" applyBorder="1" applyAlignment="1">
      <alignment horizontal="center" vertical="center" wrapText="1"/>
    </xf>
    <xf numFmtId="3" fontId="3" fillId="5" borderId="5" xfId="0" applyNumberFormat="1" applyFont="1" applyFill="1" applyBorder="1" applyAlignment="1">
      <alignment horizontal="center" vertical="center" wrapText="1"/>
    </xf>
    <xf numFmtId="164" fontId="3" fillId="5" borderId="10" xfId="0" applyNumberFormat="1" applyFont="1" applyFill="1" applyBorder="1" applyAlignment="1">
      <alignment horizontal="center" vertical="center" wrapText="1"/>
    </xf>
    <xf numFmtId="0" fontId="5" fillId="0" borderId="0" xfId="0" applyFont="1" applyBorder="1" applyAlignment="1">
      <alignment vertical="center" wrapText="1"/>
    </xf>
    <xf numFmtId="6" fontId="8" fillId="3" borderId="28" xfId="0" applyNumberFormat="1" applyFont="1" applyFill="1" applyBorder="1" applyAlignment="1">
      <alignment horizontal="right" vertical="center"/>
    </xf>
    <xf numFmtId="0" fontId="0" fillId="0" borderId="0" xfId="0" applyFill="1" applyBorder="1"/>
    <xf numFmtId="0" fontId="7" fillId="0" borderId="0" xfId="0" applyFont="1" applyFill="1" applyAlignment="1">
      <alignment vertical="center" wrapText="1"/>
    </xf>
    <xf numFmtId="0" fontId="23" fillId="0" borderId="0" xfId="0" applyFont="1" applyFill="1" applyAlignment="1">
      <alignment vertical="center"/>
    </xf>
    <xf numFmtId="0" fontId="16" fillId="0" borderId="13" xfId="0" applyFont="1" applyBorder="1" applyAlignment="1">
      <alignment horizontal="center" vertical="center" wrapText="1"/>
    </xf>
    <xf numFmtId="0" fontId="34" fillId="0" borderId="0" xfId="0" applyFont="1" applyFill="1" applyAlignment="1">
      <alignment horizontal="center" vertical="top" wrapText="1"/>
    </xf>
    <xf numFmtId="0" fontId="0" fillId="0" borderId="0" xfId="0" applyAlignment="1">
      <alignment horizontal="center" wrapText="1"/>
    </xf>
    <xf numFmtId="0" fontId="3" fillId="0" borderId="9" xfId="0" applyFont="1" applyBorder="1" applyAlignment="1">
      <alignment horizontal="center" wrapText="1"/>
    </xf>
    <xf numFmtId="0" fontId="3" fillId="0" borderId="11" xfId="0" applyFont="1" applyBorder="1" applyAlignment="1">
      <alignment horizontal="center" wrapText="1"/>
    </xf>
    <xf numFmtId="3" fontId="0" fillId="0" borderId="13" xfId="0" applyNumberFormat="1" applyBorder="1" applyAlignment="1">
      <alignment horizontal="center" vertical="center"/>
    </xf>
    <xf numFmtId="6" fontId="23" fillId="0" borderId="0" xfId="0" applyNumberFormat="1" applyFont="1" applyAlignment="1">
      <alignment horizontal="right" vertical="center"/>
    </xf>
    <xf numFmtId="0" fontId="23" fillId="0" borderId="0" xfId="0" applyFont="1" applyAlignment="1">
      <alignment horizontal="center" vertical="center"/>
    </xf>
    <xf numFmtId="6" fontId="3" fillId="0" borderId="12" xfId="0" applyNumberFormat="1" applyFont="1" applyBorder="1" applyAlignment="1">
      <alignment vertical="center" wrapText="1"/>
    </xf>
    <xf numFmtId="0" fontId="3" fillId="0" borderId="34" xfId="0" applyFont="1" applyBorder="1" applyAlignment="1">
      <alignment horizontal="center" wrapText="1"/>
    </xf>
    <xf numFmtId="0" fontId="3" fillId="0" borderId="34" xfId="0" applyFont="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4" fillId="0" borderId="0" xfId="0" applyFont="1" applyFill="1" applyAlignment="1">
      <alignment horizontal="center" vertical="top" wrapText="1"/>
    </xf>
    <xf numFmtId="0" fontId="4" fillId="0" borderId="0" xfId="2" applyAlignment="1">
      <alignment horizontal="center" wrapText="1"/>
    </xf>
    <xf numFmtId="0" fontId="0" fillId="0" borderId="0" xfId="0" applyAlignment="1">
      <alignment horizontal="center" wrapText="1"/>
    </xf>
    <xf numFmtId="0" fontId="3" fillId="0" borderId="9" xfId="0" applyFont="1" applyBorder="1" applyAlignment="1">
      <alignment horizontal="center" wrapText="1"/>
    </xf>
    <xf numFmtId="0" fontId="3" fillId="0" borderId="11" xfId="0" applyFont="1" applyBorder="1" applyAlignment="1">
      <alignment horizontal="center" wrapText="1"/>
    </xf>
    <xf numFmtId="3" fontId="0" fillId="0" borderId="13" xfId="0" applyNumberFormat="1" applyBorder="1" applyAlignment="1">
      <alignment horizontal="center" vertical="center"/>
    </xf>
    <xf numFmtId="0" fontId="16" fillId="0" borderId="14"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13" xfId="0" applyFont="1" applyBorder="1" applyAlignment="1">
      <alignment horizontal="center" vertical="center" wrapText="1"/>
    </xf>
    <xf numFmtId="0" fontId="3" fillId="2" borderId="5"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26" xfId="0" applyFont="1" applyFill="1" applyBorder="1" applyAlignment="1">
      <alignment horizontal="left"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6" fontId="23" fillId="0" borderId="0" xfId="0" applyNumberFormat="1" applyFont="1" applyAlignment="1">
      <alignment horizontal="right" vertical="center"/>
    </xf>
    <xf numFmtId="0" fontId="23" fillId="0" borderId="0" xfId="0" applyFont="1" applyAlignment="1">
      <alignment horizontal="center" vertical="center"/>
    </xf>
  </cellXfs>
  <cellStyles count="6">
    <cellStyle name="Comma" xfId="5" builtinId="3"/>
    <cellStyle name="Currency" xfId="4" builtinId="4"/>
    <cellStyle name="Hyperlink" xfId="2" builtinId="8"/>
    <cellStyle name="Normal" xfId="0" builtinId="0"/>
    <cellStyle name="Normal 2" xfId="3" xr:uid="{E8F32D6C-8C83-4AB2-A526-66468B6BE27C}"/>
    <cellStyle name="Percent" xfId="1"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8" dT="2022-11-17T22:12:21.83" personId="{00000000-0000-0000-0000-000000000000}" id="{76D1EFF1-3977-44D3-BAE0-3547B540FA54}">
    <text>This is the average over 3 years.</text>
  </threadedComment>
  <threadedComment ref="B21" dT="2023-05-30T20:21:17.43" personId="{00000000-0000-0000-0000-000000000000}" id="{7ED87AFE-1C69-4559-8430-C18D77D3C9E1}">
    <text>This is an average per year</text>
  </threadedComment>
  <threadedComment ref="A23" dT="2022-04-21T19:54:23.22" personId="{00000000-0000-0000-0000-000000000000}" id="{A155FD51-D1D7-4E74-9719-4327FB5E13B9}">
    <text>Includes all required provisions including annual reporting, new and modified data fields.  Assume same with or without CAERS.</text>
  </threadedComment>
  <threadedComment ref="A24" dT="2022-04-21T19:54:23.22" personId="{00000000-0000-0000-0000-000000000000}" id="{178BF93A-53A1-4B90-95D1-98F447AEA954}">
    <text>Includes all required provisions including annual reporting, new and modified data fields. Assume same with or without CAERS.</text>
  </threadedComment>
  <threadedComment ref="B45" dT="2022-11-17T19:07:16.12" personId="{00000000-0000-0000-0000-000000000000}" id="{1597C853-FB1D-4C6D-9898-AB20A798ECB6}">
    <text>The /2 is to split out capital from maintenance</text>
  </threadedComment>
  <threadedComment ref="B49" dT="2025-03-27T20:22:58.07" personId="{00000000-0000-0000-0000-000000000000}" id="{C510A071-1510-409F-80F4-960AAA150A12}">
    <text>this includes voluntary, the other columns do not</text>
  </threadedComment>
</ThreadedComments>
</file>

<file path=xl/threadedComments/threadedComment2.xml><?xml version="1.0" encoding="utf-8"?>
<ThreadedComments xmlns="http://schemas.microsoft.com/office/spreadsheetml/2018/threadedcomments" xmlns:x="http://schemas.openxmlformats.org/spreadsheetml/2006/main">
  <threadedComment ref="B3" dT="2022-04-01T20:39:27.83" personId="{00000000-0000-0000-0000-000000000000}" id="{F7B148E9-19F1-4F76-A5DD-4A6CFA67D0C4}">
    <text>Take maximum of 2020 and 2023</text>
  </threadedComment>
  <threadedComment ref="C4" dT="2022-03-30T20:54:26.18" personId="{00000000-0000-0000-0000-000000000000}" id="{9F1FA08F-7C05-4EF8-877E-AAC8D6C25DE4}">
    <text>Includes DC and PR.  Guam and VI did not report.</text>
  </threadedComment>
  <threadedComment ref="R4" dT="2022-04-04T19:53:17.76" personId="{00000000-0000-0000-0000-000000000000}" id="{EB916F77-1444-47AA-9144-58CB72074166}">
    <text>Point source and Rx burning managerial hours 10%</text>
  </threadedComment>
  <threadedComment ref="AA4" dT="2022-04-04T19:53:17.76" personId="{00000000-0000-0000-0000-000000000000}" id="{CF2A6F75-E404-4757-885C-55E873FDAD3B}">
    <text>Nonpoint/mobile source managerial hours 5%</text>
  </threadedComment>
  <threadedComment ref="AR4" dT="2022-04-04T19:53:17.76" personId="{00000000-0000-0000-0000-000000000000}" id="{B7B5B037-2F45-48F0-8B27-FA95FC55D482}">
    <text>Point source and Rx burning managerial hours 10%</text>
  </threadedComment>
  <threadedComment ref="Y6" dT="2025-02-26T14:08:48.42" personId="{00000000-0000-0000-0000-000000000000}" id="{B05D705E-E72F-40C1-8D46-CF555CB3D013}">
    <text>costs assumes use of tools (provide inputs for some sectors accept emissions for other sectors) for any nonpoint category for which there is an EPA tool.  This is the preferred option (and the cost assumes a mix of these two approaches as shown in th top part of Table 7b</text>
  </threadedComment>
  <threadedComment ref="Y7" dT="2025-02-26T19:19:53.33" personId="{00000000-0000-0000-0000-000000000000}" id="{F3672B0B-8E35-4B24-A78D-57FFCDBFC0F6}">
    <text>Estimate hours as: 2 sectors, 120 hours per sector (see table 7b)</text>
  </threadedComment>
  <threadedComment ref="AL7" dT="2024-03-19T20:50:11.71" personId="{00000000-0000-0000-0000-000000000000}" id="{D2A6BF24-76ED-45F1-BA8E-81EA0AACAB4B}">
    <text>Note that this value is 1/3 of the every-year value because in each 3-year period, triennial is only submitted once.  Use with caution.</text>
  </threadedComment>
  <threadedComment ref="AS7" dT="2025-06-03T12:12:00.47" personId="{00000000-0000-0000-0000-000000000000}" id="{B20E8FE6-6799-4BC2-B12E-43CAF1198252}">
    <text>Assumes 4, 3-hr trainings</text>
  </threadedComment>
  <threadedComment ref="AL8" dT="2022-10-13T21:21:54.99" personId="{00000000-0000-0000-0000-000000000000}" id="{0A10CC91-28BF-46FB-8420-D80890063DEB}">
    <text>Note that the formulas on this row are weighted averages and need to be adjusted if any new rows are added. Note that triennial hours are averaged for a once over 3-year report.</text>
  </threadedComment>
  <threadedComment ref="Z10" dT="2022-04-04T19:38:16.58" personId="{00000000-0000-0000-0000-000000000000}" id="{39565082-5006-4FB0-9A74-4F36BF3311FD}">
    <text>Linked to nonpoint assumptions/stats at far left of this worksheet</text>
  </threadedComment>
  <threadedComment ref="AL12" dT="2022-10-13T21:21:54.99" personId="{00000000-0000-0000-0000-000000000000}" id="{AB45E2F1-752F-4284-BC02-15E2BC31680C}">
    <text>Note that the formulas on this row are weighted averages and need to be adjusted if any new rows are added.</text>
  </threadedComment>
  <threadedComment ref="Z16" dT="2022-04-15T19:34:59.44" personId="{00000000-0000-0000-0000-000000000000}" id="{166E78AC-C899-4F50-8B49-90BD1BB86364}">
    <text>Assume about 25% of states submit emissions and documentation</text>
  </threadedComment>
  <threadedComment ref="AA16" dT="2022-04-15T19:36:13.08" personId="{00000000-0000-0000-0000-000000000000}" id="{0210281F-4CB0-472A-A501-5A2267AFC26E}">
    <text>Assume 5% managerial hours</text>
  </threadedComment>
  <threadedComment ref="AB16" dT="2025-02-26T04:47:25.26" personId="{00000000-0000-0000-0000-000000000000}" id="{AF844E32-A146-4024-B8A1-82832B3B7E73}">
    <text>Assume 20 hours per sector. # of Sectors are sum of:  1) those with nonpoint tools for which emissions are being submittted, 2) O&amp;G for which emissions are being submitted and 3)nonpoint sectors without tools</text>
  </threadedComment>
  <threadedComment ref="AR16" dT="2022-11-17T18:18:57.40" personId="{00000000-0000-0000-0000-000000000000}" id="{CFA6C458-FD0C-4BE0-81E5-D2D16FCFBC11}">
    <text>This is total reporting less Case 3 and 4 (note that for Case 3, the "collection system" becomes CAERS and so even if they conitnue to maintain it, it's not AERR cost).</text>
  </threadedComment>
  <threadedComment ref="AA17" dT="2022-04-15T19:36:13.08" personId="{00000000-0000-0000-0000-000000000000}" id="{25995A13-7B9A-42C1-B881-EB43D94C1765}">
    <text>Assume 5% managerial hours</text>
  </threadedComment>
  <threadedComment ref="AB17" dT="2025-02-26T04:49:28.22" personId="{00000000-0000-0000-0000-000000000000}" id="{9A92EB9C-4800-4B8B-B219-EEADD3BA98F3}">
    <text>20 for aircraft/GSE and 20 for railyards</text>
  </threadedComment>
  <threadedComment ref="AL17" dT="2022-10-13T21:21:54.99" personId="{00000000-0000-0000-0000-000000000000}" id="{E599E099-F0FF-4726-88D4-D5831E6431D1}">
    <text>Note that the formulas on this row are weighted averages and need to be adjusted if any new rows are added.</text>
  </threadedComment>
  <threadedComment ref="Z19" dT="2025-02-25T11:50:08.46" personId="{00000000-0000-0000-0000-000000000000}" id="{8E729056-488A-4434-93B1-A6732D59C424}">
    <text>In the 2020 NEI, 9 states reported O3day for 1 or more inventory sectors</text>
  </threadedComment>
  <threadedComment ref="AB19" dT="2025-06-03T12:05:06.61" personId="{00000000-0000-0000-0000-000000000000}" id="{97D8C7F3-9C39-489D-8F42-9765461BD2DD}">
    <text>Hours are low for reporting season-day emissions because this isn't including calculating them - just reporting them (since AERR doesn't require them, cost isn't attributed to AERR)</text>
  </threadedComment>
  <threadedComment ref="Z25" dT="2022-06-24T19:39:06.19" personId="{00000000-0000-0000-0000-000000000000}" id="{8DDE9A24-5F0F-4306-AE31-8EE1286CB67C}">
    <text>All states have at least some accepting of EPA templates</text>
  </threadedComment>
  <threadedComment ref="B26" dT="2022-04-06T11:59:25.31" personId="{00000000-0000-0000-0000-000000000000}" id="{DD24E7A9-6C4F-452A-ADA9-373E813507F0}">
    <text>Total (68) less PR, VI, GU, 7 states and 15 locals (as per Janice email from 4/5/2022.</text>
  </threadedComment>
  <threadedComment ref="Y26" dT="2025-02-26T13:56:35.34" personId="{00000000-0000-0000-0000-000000000000}" id="{C5CD35EC-9AB0-48A5-AE3C-716122EEC374}">
    <text>As part of this cost estimate, we are assuming the least-cost option will be used, which we assume will be using the O&amp;G tool.</text>
  </threadedComment>
  <threadedComment ref="B27" dT="2025-08-22T18:06:32.08" personId="{00000000-0000-0000-0000-000000000000}" id="{30D5A844-306F-479D-A38D-EA6595A9EA81}">
    <text>All of them who are reporting have rail yards</text>
  </threadedComment>
  <threadedComment ref="A32" dT="2022-04-20T18:52:42.55" personId="{00000000-0000-0000-0000-000000000000}" id="{8E859288-225F-47A6-83F0-48474FA2F5D1}">
    <text>Based on input from J. Vukovich 4/20/2022 based on the 2020 NEI process</text>
  </threadedComment>
  <threadedComment ref="AH32" dT="2022-04-15T18:48:39.59" personId="{00000000-0000-0000-0000-000000000000}" id="{EE2095B4-3A1B-430A-82A1-8E9F3D8661D6}">
    <text>Ag fertilzer, livestock, portable fuel containers, and stage II gasoline</text>
  </threadedComment>
  <threadedComment ref="B33" dT="2022-04-20T18:56:43.09" personId="{00000000-0000-0000-0000-000000000000}" id="{15F44651-E910-4498-A742-F85992DBCFC6}">
    <text>Assumptions: include 2 territories but not DC. Do not include locals separately (assume all such reporting handled at the state level).  Assumes that all states would have fires greater than the acres reporting thresholds.</text>
  </threadedComment>
  <threadedComment ref="AH33" dT="2025-05-28T18:58:23.32" personId="{00000000-0000-0000-0000-000000000000}" id="{DEAEA8D6-0AC1-4E6A-ABD6-60CCD9CA9826}">
    <text>This is value for 2020 NEI. The following SLTs submitted emissions: AK, CA, CO, NJ, OH, OK, TX, UT, WV, WY (based on Figure 13-1 of the 2020 NEI TSD)</text>
  </threadedComment>
  <threadedComment ref="AH34" dT="2025-05-28T19:00:00.20" personId="{00000000-0000-0000-0000-000000000000}" id="{8964F33C-96A4-464B-B524-8AC0930E29CC}">
    <text>This is value for 2020 NEI. The following SLTs submitted emissions inputs: KS, NM, OK, PA, TX, WV</text>
  </threadedComment>
  <threadedComment ref="AA41" dT="2022-04-04T19:53:17.76" personId="{00000000-0000-0000-0000-000000000000}" id="{CB089928-8097-4236-AEA6-1E72C9C5BA2E}">
    <text>Nonpoint/mobile source managerial hours 5%</text>
  </threadedComment>
  <threadedComment ref="R42" dT="2022-04-04T19:53:17.76" personId="{00000000-0000-0000-0000-000000000000}" id="{F4A933E4-1F8D-4ABB-86F6-8605C7140486}">
    <text>Point source and Rx burning managerial hours 10%</text>
  </threadedComment>
  <threadedComment ref="T42" dT="2022-04-04T19:53:17.76" personId="{00000000-0000-0000-0000-000000000000}" id="{4C136BD2-410F-4F27-A726-AE16472EC282}">
    <text>Point source and Rx burning managerial hours 10%</text>
  </threadedComment>
  <threadedComment ref="AB43" dT="2022-04-15T19:27:21.00" personId="{00000000-0000-0000-0000-000000000000}" id="{BF7A620D-2677-4171-A8AB-3AF9C5BE1D2A}">
    <text>Assume 30% of the time as for states</text>
  </threadedComment>
  <threadedComment ref="Z44" dT="2022-04-20T01:56:03.09" personId="{00000000-0000-0000-0000-000000000000}" id="{D169419C-35C8-4170-92E7-4E33E59542A2}">
    <text>Assume 1/3 of locals and tribes submit for non-EPA sectors</text>
  </threadedComment>
  <threadedComment ref="AB44" dT="2022-04-15T19:27:21.00" personId="{00000000-0000-0000-0000-000000000000}" id="{15370E32-D3B4-4DD6-B74D-95F5C7060C01}">
    <text>Assume 30% of the time as for states</text>
  </threadedComment>
  <threadedComment ref="Y45" dT="2025-02-26T19:31:30.37" personId="{00000000-0000-0000-0000-000000000000}" id="{F01DF3E1-7611-4BAB-990C-81F436DDC7DB}">
    <text>Not applicable to local agencies</text>
  </threadedComment>
  <threadedComment ref="Z46" dT="2025-02-26T05:12:05.06" personId="{00000000-0000-0000-0000-000000000000}" id="{64532411-6F72-4AF4-9D6E-15BDBB471248}">
    <text>Assume same number of local agencies that submit point</text>
  </threadedComment>
  <threadedComment ref="Z48" dT="2022-04-04T19:38:16.58" personId="{00000000-0000-0000-0000-000000000000}" id="{98520D6D-7380-4A68-BDC5-F6A6BF0B2939}">
    <text>This is covered in table 5a where that number includes state and local (42) in table 5a</text>
  </threadedComment>
  <threadedComment ref="Z49" dT="2022-04-15T18:18:55.36" personId="{00000000-0000-0000-0000-000000000000}" id="{BD073359-2A3E-4B7E-A4BA-4F68FEB838DF}">
    <text>All locals</text>
  </threadedComment>
  <threadedComment ref="B51" dT="2025-02-26T15:20:53.48" personId="{00000000-0000-0000-0000-000000000000}" id="{F072EB9E-1DFD-46BB-B26C-193D3C4DEBE0}">
    <text>Listed as P,NP in TSD but that is an error- they don’t even have a 2020 dataset to report to</text>
  </threadedComment>
  <threadedComment ref="Z53" dT="2022-04-15T19:34:59.44" personId="{00000000-0000-0000-0000-000000000000}" id="{C105EB0B-9B19-452A-B722-17D8397BA602}">
    <text>Assume about 25% of locals still submit emissions and all required tribes</text>
  </threadedComment>
  <threadedComment ref="Z53" dT="2025-02-26T15:48:33.05" personId="{00000000-0000-0000-0000-000000000000}" id="{D8A1584B-CA6D-47D4-A595-47D2D5017B0C}" parentId="{C105EB0B-9B19-452A-B722-17D8397BA602}">
    <text>All voluntary tribes</text>
  </threadedComment>
  <threadedComment ref="AA53" dT="2022-04-15T19:36:13.08" personId="{00000000-0000-0000-0000-000000000000}" id="{7088F22F-C7BD-46FA-A07D-FFB50BE08E76}">
    <text>Assume 5% managerial hours</text>
  </threadedComment>
  <threadedComment ref="AB53" dT="2025-02-26T04:47:25.26" personId="{00000000-0000-0000-0000-000000000000}" id="{E6419DA3-C2F0-4E42-9AF2-A7B7F6433E6E}">
    <text>Assume 30% of state cost</text>
  </threadedComment>
  <threadedComment ref="B54" dT="2025-02-26T12:54:06.55" personId="{00000000-0000-0000-0000-000000000000}" id="{DE5BEFF7-B3B1-4206-8FB3-312BD0EE82DC}">
    <text>Empty dataset but listed in TSD, was TSD error they didn’t report</text>
  </threadedComment>
  <threadedComment ref="Z54" dT="2025-02-26T15:53:39.38" personId="{00000000-0000-0000-0000-000000000000}" id="{2DF39FF2-D207-408B-A888-3C996F61D12A}">
    <text>Assume same number of entities as nonpoint</text>
  </threadedComment>
  <threadedComment ref="AA54" dT="2022-04-15T19:36:13.08" personId="{00000000-0000-0000-0000-000000000000}" id="{F22CF768-8670-4DB2-AE26-93E66576D7B5}">
    <text>Assume 5% managerial hours</text>
  </threadedComment>
  <threadedComment ref="AB54" dT="2025-02-26T04:49:28.22" personId="{00000000-0000-0000-0000-000000000000}" id="{87FD04A2-3F1A-47C1-AE0F-DC8FE2831BCA}">
    <text>20 for aircraft/GSE and 20 for railyards</text>
  </threadedComment>
  <threadedComment ref="AA55" dT="2022-04-15T19:36:13.08" personId="{00000000-0000-0000-0000-000000000000}" id="{61A1C1D2-DE01-4BD9-A396-90517EB8853F}">
    <text>Assume 5% managerial hours</text>
  </threadedComment>
  <threadedComment ref="AB55" dT="2025-02-26T05:38:07.85" personId="{00000000-0000-0000-0000-000000000000}" id="{023D22D0-B3D6-4C62-8224-D44E7C415796}">
    <text>Assume average of state and local agency--hours for reporting emissions from nonpoint without tools</text>
  </threadedComment>
</ThreadedComments>
</file>

<file path=xl/threadedComments/threadedComment3.xml><?xml version="1.0" encoding="utf-8"?>
<ThreadedComments xmlns="http://schemas.microsoft.com/office/spreadsheetml/2018/threadedcomments" xmlns:x="http://schemas.openxmlformats.org/spreadsheetml/2006/main">
  <threadedComment ref="J7" dT="2022-04-20T21:57:05.34" personId="{00000000-0000-0000-0000-000000000000}" id="{6577E4D8-5ABF-43E3-9349-AC17D3CB13CE}">
    <text>See: "2017 RAS facility CAPs emis_sum_fac_17363.xlsx"</text>
  </threadedComment>
  <threadedComment ref="C8" dT="2022-04-21T18:16:23.23" personId="{00000000-0000-0000-0000-000000000000}" id="{7888A802-E4D8-44D8-91AB-F7C769AEA22D}">
    <text>No. ECHO Major * No. ID'd RAS HAP/CAP Major / No. ID'd RAS Major</text>
  </threadedComment>
  <threadedComment ref="B11" dT="2022-04-21T18:08:03.34" personId="{00000000-0000-0000-0000-000000000000}" id="{E046F451-8C02-48EC-97B1-D476A61B800F}">
    <text>Assumed number of Type A sources based on actual sources from 2014 NEI above thresholds x 2 to account for not using PTE thresholds. Note: all Major. Checked with 2017 data and the number was 1055</text>
  </threadedComment>
  <threadedComment ref="E11" dT="2022-04-22T12:24:30.25" personId="{00000000-0000-0000-0000-000000000000}" id="{8DD3943F-45DF-4F33-8FE7-72B424BCD979}">
    <text>This value used for no. required facilities including interim years from 2025-2027 NEIs</text>
  </threadedComment>
  <threadedComment ref="I12" dT="2024-02-29T15:34:30.35" personId="{00000000-0000-0000-0000-000000000000}" id="{0DEB1211-56BA-4692-B740-263500899430}">
    <text>Excludes airports and rail yards</text>
  </threadedComment>
  <threadedComment ref="C20" dT="2022-04-21T18:14:13.09" personId="{00000000-0000-0000-0000-000000000000}" id="{A881CBA5-6E37-470B-B1DE-1AC38933FF14}">
    <text>From 2021 ICR (From ECHO)</text>
  </threadedComment>
  <threadedComment ref="B22" dT="2022-04-21T19:45:22.85" personId="{00000000-0000-0000-0000-000000000000}" id="{EAFB4E70-6B7D-4C87-B0C8-2E8C25C347C9}">
    <text>Calculate based on the ratio from 2017 of facilities reported to NEI vs. facilities with only TRI HAP data</text>
  </threadedComment>
  <threadedComment ref="C22" dT="2024-02-29T15:33:48.33" personId="{00000000-0000-0000-0000-000000000000}" id="{AF2F9A12-4F10-4700-960F-1ED11EC5143D}">
    <text>Based on analysis of 2020 data using R program "Facility_Count_Task.R"</text>
  </threadedComment>
  <threadedComment ref="A23" dT="2022-05-13T13:58:05.81" personId="{00000000-0000-0000-0000-000000000000}" id="{916DAF0A-9DAB-4C37-92EC-19E43BA3F940}">
    <text>These numbers are from spreadsheet "Facility counts for SBAR materials 05-12-2022.xlsx"</text>
  </threadedComment>
</ThreadedComments>
</file>

<file path=xl/threadedComments/threadedComment4.xml><?xml version="1.0" encoding="utf-8"?>
<ThreadedComments xmlns="http://schemas.microsoft.com/office/spreadsheetml/2018/threadedcomments" xmlns:x="http://schemas.openxmlformats.org/spreadsheetml/2006/main">
  <threadedComment ref="D2" dT="2025-05-28T17:51:10.94" personId="{00000000-0000-0000-0000-000000000000}" id="{B77A6D1A-DB3F-4754-B99F-86F09E307D17}">
    <text>Multiplier of 2.1 from Larry Sorrels as per latest OMB guidance</text>
  </threadedComment>
  <threadedComment ref="K2" dT="2025-08-11T11:39:38.32" personId="{00000000-0000-0000-0000-000000000000}" id="{26371D34-8BE4-4A1A-9521-5AF40D862F6C}">
    <text>From “EIS fips_state_counties_08-08-2025.xlsx”</text>
  </threadedComment>
  <threadedComment ref="L2" dT="2025-08-11T11:40:27.28" personId="{00000000-0000-0000-0000-000000000000}" id="{D63AAF32-C30A-4EDC-901C-EADABF18EFB6}">
    <text>From “2023 Required Facilities By State.xlsx”</text>
  </threadedComment>
  <threadedComment ref="D11" dT="2025-05-28T17:51:10.94" personId="{00000000-0000-0000-0000-000000000000}" id="{5090CF28-2E7C-4601-A0B2-40070D22079A}">
    <text>Multiplier of 2.1 from Larry Sorrels as per latest OMB guidance</text>
  </threadedComment>
  <threadedComment ref="D32" dT="2025-05-28T17:51:10.94" personId="{00000000-0000-0000-0000-000000000000}" id="{793511F5-D044-45A9-9184-50B3E32198F0}">
    <text>Multiplier of 2.1 from Larry Sorrels as per latest OMB guidance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commons.wikimedia.org/wiki/File:2490R_Northern_Cheyenne_Indian_Reservation_Locator_Map.svg" TargetMode="External"/><Relationship Id="rId1" Type="http://schemas.openxmlformats.org/officeDocument/2006/relationships/hyperlink" Target="http://idsmoke.blogspot.com/p/for-questions-aboutcurrent-or.html" TargetMode="External"/><Relationship Id="rId6" Type="http://schemas.microsoft.com/office/2017/10/relationships/threadedComment" Target="../threadedComments/threadedComment2.xm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6B69D-F89B-46E4-9DBC-DCC72D2F0A9A}">
  <dimension ref="A1:R52"/>
  <sheetViews>
    <sheetView tabSelected="1" workbookViewId="0">
      <selection activeCell="C4" sqref="C4"/>
    </sheetView>
  </sheetViews>
  <sheetFormatPr defaultRowHeight="15" x14ac:dyDescent="0.25"/>
  <cols>
    <col min="1" max="1" width="45.140625" customWidth="1"/>
    <col min="2" max="2" width="13.28515625" customWidth="1"/>
    <col min="3" max="3" width="13" customWidth="1"/>
    <col min="4" max="4" width="14.5703125" customWidth="1"/>
    <col min="5" max="5" width="12.7109375" customWidth="1"/>
    <col min="6" max="7" width="10.42578125" customWidth="1"/>
    <col min="8" max="8" width="13.5703125" customWidth="1"/>
    <col min="9" max="9" width="11.42578125" bestFit="1" customWidth="1"/>
    <col min="10" max="10" width="14.28515625" customWidth="1"/>
    <col min="11" max="11" width="7.7109375" customWidth="1"/>
    <col min="12" max="12" width="11.42578125" customWidth="1"/>
    <col min="13" max="13" width="9.42578125" customWidth="1"/>
    <col min="14" max="14" width="32.85546875" customWidth="1"/>
    <col min="15" max="15" width="21.42578125" customWidth="1"/>
    <col min="16" max="16" width="25.42578125" customWidth="1"/>
    <col min="17" max="17" width="24.5703125" customWidth="1"/>
    <col min="18" max="18" width="12" bestFit="1" customWidth="1"/>
    <col min="19" max="19" width="35.85546875" customWidth="1"/>
    <col min="20" max="20" width="11.42578125" customWidth="1"/>
    <col min="21" max="21" width="11.140625" bestFit="1" customWidth="1"/>
    <col min="22" max="22" width="11.5703125" customWidth="1"/>
    <col min="23" max="23" width="8" customWidth="1"/>
    <col min="24" max="24" width="10.7109375" bestFit="1" customWidth="1"/>
  </cols>
  <sheetData>
    <row r="1" spans="1:18" x14ac:dyDescent="0.25">
      <c r="A1" s="397" t="s">
        <v>0</v>
      </c>
      <c r="B1" s="397"/>
      <c r="C1" s="397"/>
      <c r="D1" s="397"/>
      <c r="E1" s="397"/>
      <c r="F1" s="397"/>
      <c r="G1" s="397"/>
      <c r="H1" s="397"/>
      <c r="I1" s="397"/>
      <c r="J1" s="397"/>
      <c r="K1" s="397"/>
      <c r="L1" s="397"/>
      <c r="M1" s="397"/>
      <c r="N1" s="397"/>
      <c r="O1" s="397"/>
      <c r="P1" s="397"/>
      <c r="Q1" s="397"/>
      <c r="R1" s="397"/>
    </row>
    <row r="3" spans="1:18" x14ac:dyDescent="0.25">
      <c r="A3" s="211"/>
      <c r="B3" s="397"/>
      <c r="C3" s="397"/>
      <c r="D3" s="397"/>
      <c r="E3" s="397"/>
      <c r="F3" s="397"/>
      <c r="G3" s="397"/>
      <c r="H3" s="397"/>
      <c r="I3" s="397"/>
      <c r="J3" s="397"/>
      <c r="K3" s="397"/>
      <c r="L3" s="397"/>
      <c r="M3" s="397"/>
      <c r="N3" s="397"/>
      <c r="O3" s="397"/>
      <c r="P3" s="397"/>
      <c r="Q3" s="397"/>
      <c r="R3" s="397"/>
    </row>
    <row r="4" spans="1:18" ht="42.95" customHeight="1" x14ac:dyDescent="0.25">
      <c r="A4" s="331"/>
      <c r="B4" s="331"/>
      <c r="C4" s="331"/>
      <c r="D4" s="331"/>
      <c r="E4" s="397"/>
      <c r="F4" s="397"/>
      <c r="G4" s="397"/>
      <c r="H4" s="397"/>
      <c r="I4" s="397"/>
      <c r="J4" s="397"/>
      <c r="K4" s="397"/>
      <c r="L4" s="397"/>
      <c r="M4" s="397"/>
      <c r="N4" s="397"/>
      <c r="O4" s="397"/>
      <c r="P4" s="397"/>
      <c r="Q4" s="397"/>
      <c r="R4" s="397"/>
    </row>
    <row r="5" spans="1:18" ht="19.5" thickBot="1" x14ac:dyDescent="0.35">
      <c r="A5" s="246" t="s">
        <v>1</v>
      </c>
      <c r="B5" s="397"/>
      <c r="C5" s="397"/>
      <c r="D5" s="397"/>
      <c r="E5" s="397"/>
      <c r="F5" s="397"/>
      <c r="G5" s="397"/>
      <c r="H5" s="397"/>
      <c r="I5" s="397"/>
      <c r="J5" s="397"/>
      <c r="K5" s="397"/>
      <c r="L5" s="397"/>
      <c r="M5" s="397"/>
      <c r="N5" s="246" t="s">
        <v>2</v>
      </c>
      <c r="O5" s="397"/>
      <c r="P5" s="397"/>
      <c r="Q5" s="397"/>
      <c r="R5" s="397"/>
    </row>
    <row r="6" spans="1:18" ht="31.5" thickTop="1" thickBot="1" x14ac:dyDescent="0.3">
      <c r="A6" s="397"/>
      <c r="B6" s="495" t="s">
        <v>3</v>
      </c>
      <c r="C6" s="495"/>
      <c r="D6" s="495"/>
      <c r="E6" s="496" t="s">
        <v>4</v>
      </c>
      <c r="F6" s="496"/>
      <c r="G6" s="496"/>
      <c r="H6" s="496" t="s">
        <v>5</v>
      </c>
      <c r="I6" s="496"/>
      <c r="J6" s="496"/>
      <c r="K6" s="496" t="s">
        <v>6</v>
      </c>
      <c r="L6" s="496"/>
      <c r="M6" s="397"/>
      <c r="N6" s="291"/>
      <c r="O6" s="292" t="s">
        <v>7</v>
      </c>
      <c r="P6" s="292" t="s">
        <v>8</v>
      </c>
      <c r="Q6" s="292" t="s">
        <v>9</v>
      </c>
      <c r="R6" s="397"/>
    </row>
    <row r="7" spans="1:18" ht="46.5" thickTop="1" thickBot="1" x14ac:dyDescent="0.3">
      <c r="A7" s="247" t="s">
        <v>10</v>
      </c>
      <c r="B7" s="248" t="s">
        <v>11</v>
      </c>
      <c r="C7" s="249" t="s">
        <v>12</v>
      </c>
      <c r="D7" s="250" t="s">
        <v>13</v>
      </c>
      <c r="E7" s="248" t="s">
        <v>11</v>
      </c>
      <c r="F7" s="249" t="s">
        <v>12</v>
      </c>
      <c r="G7" s="250" t="s">
        <v>13</v>
      </c>
      <c r="H7" s="248" t="s">
        <v>11</v>
      </c>
      <c r="I7" s="249" t="s">
        <v>12</v>
      </c>
      <c r="J7" s="250" t="s">
        <v>13</v>
      </c>
      <c r="K7" s="251" t="s">
        <v>14</v>
      </c>
      <c r="L7" s="251" t="s">
        <v>15</v>
      </c>
      <c r="M7" s="397"/>
      <c r="N7" s="295" t="s">
        <v>16</v>
      </c>
      <c r="O7" s="296"/>
      <c r="P7" s="296"/>
      <c r="Q7" s="296"/>
      <c r="R7" s="397"/>
    </row>
    <row r="8" spans="1:18" ht="16.5" thickTop="1" thickBot="1" x14ac:dyDescent="0.3">
      <c r="A8" s="260" t="s">
        <v>17</v>
      </c>
      <c r="B8" s="261">
        <f>NoSLTsReporting-'ICR Final Summary Tables'!E9-'ICR Final Summary Tables'!H9</f>
        <v>56</v>
      </c>
      <c r="C8" s="257">
        <f>B8*'SLT NEI burden details'!AN5</f>
        <v>2979.2000000000003</v>
      </c>
      <c r="D8" s="262">
        <f>B8*'SLT NEI burden details'!AO5</f>
        <v>271682.44159189187</v>
      </c>
      <c r="E8" s="263">
        <f>'SLT NEI burden details'!$U$31</f>
        <v>2</v>
      </c>
      <c r="F8" s="257">
        <f>$E$8*('SLT NEI burden details'!AN5+'SLT NEI burden details'!AM24)</f>
        <v>80.000000000000014</v>
      </c>
      <c r="G8" s="259">
        <f>$E$8*('SLT NEI burden details'!AO5+'SLT NEI burden details'!AN24)</f>
        <v>7302.4784094594597</v>
      </c>
      <c r="H8" s="263">
        <f>'SLT NEI burden details'!$U$32</f>
        <v>10</v>
      </c>
      <c r="I8" s="264">
        <f>$H$8*('SLT NEI burden details'!AN5+'SLT NEI burden details'!AM29)</f>
        <v>152.00000000000003</v>
      </c>
      <c r="J8" s="259">
        <f>$H$8*('SLT NEI burden details'!AO5+'SLT NEI burden details'!AN29)</f>
        <v>14863.342847972972</v>
      </c>
      <c r="K8" s="254">
        <f t="shared" ref="K8:L11" si="0">C8+F8+I8</f>
        <v>3211.2000000000003</v>
      </c>
      <c r="L8" s="255">
        <f t="shared" si="0"/>
        <v>293848.26284932432</v>
      </c>
      <c r="M8" s="397"/>
      <c r="N8" s="300" t="s">
        <v>18</v>
      </c>
      <c r="O8" s="301">
        <v>85</v>
      </c>
      <c r="P8" s="298" t="str">
        <f>IF(Q8-O8&gt;0,"+","")&amp;Q8-O8</f>
        <v>-17</v>
      </c>
      <c r="Q8" s="299">
        <f>'ICR Final Summary Tables'!B42</f>
        <v>68</v>
      </c>
      <c r="R8" s="397"/>
    </row>
    <row r="9" spans="1:18" ht="15.75" thickBot="1" x14ac:dyDescent="0.3">
      <c r="A9" s="260" t="s">
        <v>19</v>
      </c>
      <c r="B9" s="261">
        <f>B8</f>
        <v>56</v>
      </c>
      <c r="C9" s="257">
        <f>B9*'SLT NEI burden details'!AN7</f>
        <v>4246.666666666667</v>
      </c>
      <c r="D9" s="259">
        <f>B9*'SLT NEI burden details'!AO7</f>
        <v>397459.43468299555</v>
      </c>
      <c r="E9" s="256">
        <f>'SLT NEI burden details'!$U$31</f>
        <v>2</v>
      </c>
      <c r="F9" s="257">
        <f>$E$9*('SLT NEI burden details'!AN7+'SLT NEI burden details'!AM25)</f>
        <v>102.93333333333335</v>
      </c>
      <c r="G9" s="259">
        <f>$E$9*('SLT NEI burden details'!AO7+'SLT NEI burden details'!AN25)</f>
        <v>9732.5254659909915</v>
      </c>
      <c r="H9" s="256">
        <f>'SLT NEI burden details'!$U$32</f>
        <v>10</v>
      </c>
      <c r="I9" s="257">
        <f>$H$9*('SLT NEI burden details'!AN7+'SLT NEI burden details'!AM30)</f>
        <v>256</v>
      </c>
      <c r="J9" s="259">
        <f>$H$9*('SLT NEI burden details'!AO7+'SLT NEI burden details'!AN30)</f>
        <v>25220.506090090086</v>
      </c>
      <c r="K9" s="254">
        <f t="shared" si="0"/>
        <v>4605.6000000000004</v>
      </c>
      <c r="L9" s="255">
        <f t="shared" si="0"/>
        <v>432412.46623907663</v>
      </c>
      <c r="M9" s="397"/>
      <c r="N9" s="300" t="s">
        <v>20</v>
      </c>
      <c r="O9" s="302">
        <v>48702</v>
      </c>
      <c r="P9" s="298" t="str">
        <f>IF(Q9-O9&gt;0,"+","")&amp;TEXT(ROUND(Q9-O9,0),"0,000")</f>
        <v>+4,780</v>
      </c>
      <c r="Q9" s="299">
        <f>'ICR Final Summary Tables'!B43</f>
        <v>53481.866666666669</v>
      </c>
      <c r="R9" s="19"/>
    </row>
    <row r="10" spans="1:18" ht="18" thickBot="1" x14ac:dyDescent="0.3">
      <c r="A10" s="265" t="s">
        <v>21</v>
      </c>
      <c r="B10" s="263">
        <f>'SLT NEI burden details'!AK12</f>
        <v>63</v>
      </c>
      <c r="C10" s="257">
        <f>B10*'SLT NEI burden details'!$AN$12</f>
        <v>37800</v>
      </c>
      <c r="D10" s="259">
        <f>B10*'SLT NEI burden details'!$AO$12</f>
        <v>3284946.0162046319</v>
      </c>
      <c r="E10" s="266"/>
      <c r="F10" s="267"/>
      <c r="G10" s="268"/>
      <c r="H10" s="266"/>
      <c r="I10" s="267"/>
      <c r="J10" s="268"/>
      <c r="K10" s="254">
        <f t="shared" si="0"/>
        <v>37800</v>
      </c>
      <c r="L10" s="255">
        <f t="shared" si="0"/>
        <v>3284946.0162046319</v>
      </c>
      <c r="M10" s="397"/>
      <c r="N10" s="300" t="s">
        <v>22</v>
      </c>
      <c r="O10" s="303">
        <v>4960908</v>
      </c>
      <c r="P10" s="304">
        <f>Q10-O10</f>
        <v>14893130.160328284</v>
      </c>
      <c r="Q10" s="304">
        <f>'ICR Final Summary Tables'!B50</f>
        <v>19854038.160328284</v>
      </c>
      <c r="R10" s="19"/>
    </row>
    <row r="11" spans="1:18" ht="29.45" customHeight="1" thickBot="1" x14ac:dyDescent="0.3">
      <c r="A11" s="269" t="s">
        <v>23</v>
      </c>
      <c r="B11" s="270"/>
      <c r="C11" s="271">
        <f>SUM(C8:C10)</f>
        <v>45025.866666666669</v>
      </c>
      <c r="D11" s="272">
        <f>SUM(D8:D10)</f>
        <v>3954087.8924795194</v>
      </c>
      <c r="E11" s="270"/>
      <c r="F11" s="271">
        <f>SUM(F8:F10)</f>
        <v>182.93333333333337</v>
      </c>
      <c r="G11" s="272">
        <f>SUM(G8:G10)</f>
        <v>17035.003875450449</v>
      </c>
      <c r="H11" s="270"/>
      <c r="I11" s="271">
        <f>SUM(I8:I10)</f>
        <v>408</v>
      </c>
      <c r="J11" s="272">
        <f>SUM(J8:J10)</f>
        <v>40083.848938063056</v>
      </c>
      <c r="K11" s="273">
        <f t="shared" si="0"/>
        <v>45616.800000000003</v>
      </c>
      <c r="L11" s="274">
        <f t="shared" si="0"/>
        <v>4011206.7452930328</v>
      </c>
      <c r="M11" s="397"/>
      <c r="N11" s="295" t="s">
        <v>24</v>
      </c>
      <c r="O11" s="307"/>
      <c r="P11" s="307"/>
      <c r="Q11" s="307"/>
      <c r="R11" s="19"/>
    </row>
    <row r="12" spans="1:18" ht="16.5" thickTop="1" thickBot="1" x14ac:dyDescent="0.3">
      <c r="A12" s="279" t="s">
        <v>25</v>
      </c>
      <c r="B12" s="280">
        <v>0</v>
      </c>
      <c r="C12" s="281">
        <v>0</v>
      </c>
      <c r="D12" s="253">
        <v>0</v>
      </c>
      <c r="E12" s="252">
        <f>'SLT NEI burden details'!T31-'SLT NEI burden details'!R31</f>
        <v>0</v>
      </c>
      <c r="F12" s="281">
        <f>$E12*'SLT NEI burden details'!N18</f>
        <v>0</v>
      </c>
      <c r="G12" s="253">
        <f>$E12*'SLT NEI burden details'!O18</f>
        <v>0</v>
      </c>
      <c r="H12" s="252">
        <f>'SLT NEI burden details'!T32-'SLT NEI burden details'!R32</f>
        <v>5</v>
      </c>
      <c r="I12" s="281">
        <f>$H12*'SLT NEI burden details'!N19</f>
        <v>1613.333333333333</v>
      </c>
      <c r="J12" s="253">
        <f>$H12*'SLT NEI burden details'!O19</f>
        <v>148736.23881193696</v>
      </c>
      <c r="K12" s="327">
        <f>C12+F12+I12</f>
        <v>1613.333333333333</v>
      </c>
      <c r="L12" s="328">
        <f>D12+G12+J12</f>
        <v>148736.23881193696</v>
      </c>
      <c r="M12" s="397"/>
      <c r="N12" s="300" t="s">
        <v>18</v>
      </c>
      <c r="O12" s="298">
        <v>0</v>
      </c>
      <c r="P12" s="298" t="str">
        <f>IF('ICR Final Summary Tables'!C42-O12&gt;0,"+","")&amp;TEXT(ROUND('ICR Final Summary Tables'!C42-O12,0),"0,000")</f>
        <v>+5,807</v>
      </c>
      <c r="Q12" s="299">
        <f>'ICR Final Summary Tables'!C42</f>
        <v>5806.7365586433998</v>
      </c>
      <c r="R12" s="19"/>
    </row>
    <row r="13" spans="1:18" ht="29.45" customHeight="1" thickBot="1" x14ac:dyDescent="0.3">
      <c r="A13" s="265" t="s">
        <v>26</v>
      </c>
      <c r="B13" s="282">
        <f>B8</f>
        <v>56</v>
      </c>
      <c r="C13" s="257">
        <f>$B$13*'SLT NEI burden details'!AN17</f>
        <v>6104</v>
      </c>
      <c r="D13" s="259">
        <f>$B$13*'SLT NEI burden details'!AO17</f>
        <v>549416</v>
      </c>
      <c r="E13" s="282">
        <f>E8</f>
        <v>2</v>
      </c>
      <c r="F13" s="257">
        <f>$E$13*('SLT NEI burden details'!AN14+'SLT NEI burden details'!AM26)</f>
        <v>45.733333333333334</v>
      </c>
      <c r="G13" s="258">
        <f>$E$13*('SLT NEI burden details'!AO14+'SLT NEI burden details'!AN26)</f>
        <v>4258.7509688626124</v>
      </c>
      <c r="H13" s="282">
        <f>H8</f>
        <v>10</v>
      </c>
      <c r="I13" s="283">
        <f>$H$13*('SLT NEI burden details'!AN14+'SLT NEI burden details'!AM31)</f>
        <v>101.99999999999996</v>
      </c>
      <c r="J13" s="258">
        <f>$H$13*('SLT NEI burden details'!AO14+'SLT NEI burden details'!AN31)</f>
        <v>10020.962234515764</v>
      </c>
      <c r="K13" s="254">
        <f>C13+F13+I13</f>
        <v>6251.7333333333336</v>
      </c>
      <c r="L13" s="255">
        <f>D13+G13+J13</f>
        <v>563695.71320337837</v>
      </c>
      <c r="M13" s="184"/>
      <c r="N13" s="300" t="s">
        <v>20</v>
      </c>
      <c r="O13" s="298">
        <v>0</v>
      </c>
      <c r="P13" s="298" t="str">
        <f>IF('ICR Final Summary Tables'!C43-O13&gt;0,"+","")&amp;TEXT(ROUND('ICR Final Summary Tables'!C43-O13,0),"0,000")</f>
        <v>+145,077</v>
      </c>
      <c r="Q13" s="299">
        <f>'ICR Final Summary Tables'!C43</f>
        <v>145077.41396608501</v>
      </c>
      <c r="R13" s="397"/>
    </row>
    <row r="14" spans="1:18" ht="15.75" thickBot="1" x14ac:dyDescent="0.3">
      <c r="A14" s="284" t="s">
        <v>27</v>
      </c>
      <c r="B14" s="285"/>
      <c r="C14" s="276">
        <f>SUM(C12:C13)</f>
        <v>6104</v>
      </c>
      <c r="D14" s="286">
        <f>SUM(D12:D13)</f>
        <v>549416</v>
      </c>
      <c r="E14" s="285"/>
      <c r="F14" s="276">
        <f>SUM(F12:F13)</f>
        <v>45.733333333333334</v>
      </c>
      <c r="G14" s="286">
        <f>SUM(G12:G13)</f>
        <v>4258.7509688626124</v>
      </c>
      <c r="H14" s="285"/>
      <c r="I14" s="276">
        <f>SUM(I12:I13)</f>
        <v>1715.333333333333</v>
      </c>
      <c r="J14" s="286">
        <f>SUM(J12:J13)</f>
        <v>158757.20104645271</v>
      </c>
      <c r="K14" s="277">
        <f>SUM(K12:K13)</f>
        <v>7865.0666666666666</v>
      </c>
      <c r="L14" s="278">
        <f>SUM(L12:L13)</f>
        <v>712431.9520153153</v>
      </c>
      <c r="M14" s="397"/>
      <c r="N14" s="300" t="s">
        <v>22</v>
      </c>
      <c r="O14" s="304">
        <v>0</v>
      </c>
      <c r="P14" s="304">
        <f>Q14-O14</f>
        <v>16578243.266452959</v>
      </c>
      <c r="Q14" s="304">
        <f>'ICR Final Summary Tables'!C49</f>
        <v>16578243.266452959</v>
      </c>
      <c r="R14" s="397"/>
    </row>
    <row r="15" spans="1:18" ht="18" thickTop="1" thickBot="1" x14ac:dyDescent="0.3">
      <c r="A15" s="287" t="s">
        <v>28</v>
      </c>
      <c r="B15" s="397"/>
      <c r="C15" s="397"/>
      <c r="D15" s="397"/>
      <c r="E15" s="397"/>
      <c r="F15" s="397"/>
      <c r="G15" s="397"/>
      <c r="H15" s="397"/>
      <c r="I15" s="397"/>
      <c r="J15" s="397"/>
      <c r="K15" s="397"/>
      <c r="L15" s="397"/>
      <c r="M15" s="397"/>
      <c r="N15" s="295" t="s">
        <v>29</v>
      </c>
      <c r="O15" s="307"/>
      <c r="P15" s="338"/>
      <c r="Q15" s="307"/>
      <c r="R15" s="397"/>
    </row>
    <row r="16" spans="1:18" ht="15.75" thickBot="1" x14ac:dyDescent="0.3">
      <c r="A16" s="397"/>
      <c r="B16" s="184"/>
      <c r="C16" s="397"/>
      <c r="D16" s="397"/>
      <c r="E16" s="211"/>
      <c r="F16" s="211"/>
      <c r="G16" s="211"/>
      <c r="H16" s="211"/>
      <c r="I16" s="397"/>
      <c r="J16" s="397"/>
      <c r="K16" s="397"/>
      <c r="L16" s="397"/>
      <c r="M16" s="397"/>
      <c r="N16" s="300" t="s">
        <v>30</v>
      </c>
      <c r="O16" s="303">
        <v>5589000</v>
      </c>
      <c r="P16" s="304">
        <f>Q16-O16</f>
        <v>-221200</v>
      </c>
      <c r="Q16" s="312">
        <f>'ICR Final Summary Tables'!D50</f>
        <v>5367800</v>
      </c>
      <c r="R16" s="397"/>
    </row>
    <row r="20" spans="1:12" ht="19.5" thickBot="1" x14ac:dyDescent="0.35">
      <c r="A20" s="460" t="s">
        <v>31</v>
      </c>
      <c r="B20" s="461"/>
      <c r="C20" s="461"/>
      <c r="D20" s="461"/>
      <c r="E20" s="397"/>
      <c r="F20" s="132"/>
      <c r="G20" s="397"/>
      <c r="H20" s="397"/>
      <c r="I20" s="397"/>
      <c r="J20" s="397"/>
      <c r="K20" s="397"/>
      <c r="L20" s="397"/>
    </row>
    <row r="21" spans="1:12" s="397" customFormat="1" ht="45.75" thickBot="1" x14ac:dyDescent="0.3">
      <c r="A21" s="288" t="s">
        <v>10</v>
      </c>
      <c r="B21" s="289" t="s">
        <v>32</v>
      </c>
      <c r="C21" s="289" t="s">
        <v>12</v>
      </c>
      <c r="D21" s="289" t="s">
        <v>13</v>
      </c>
    </row>
    <row r="22" spans="1:12" s="397" customFormat="1" ht="21" customHeight="1" thickBot="1" x14ac:dyDescent="0.3">
      <c r="A22" s="462" t="s">
        <v>33</v>
      </c>
      <c r="B22" s="463"/>
      <c r="C22" s="463"/>
      <c r="D22" s="464"/>
    </row>
    <row r="23" spans="1:12" s="397" customFormat="1" ht="30.75" thickBot="1" x14ac:dyDescent="0.3">
      <c r="A23" s="213" t="str">
        <f>'Facility burden summary tables'!A8</f>
        <v>1.  Report annual CAPs by facility to states for use in triennial (2026) AERR report</v>
      </c>
      <c r="B23" s="465">
        <f>'Facility burden summary tables'!C8</f>
        <v>5799.7365586433998</v>
      </c>
      <c r="C23" s="465">
        <f>$B23*'Facility burden summary tables'!F8</f>
        <v>144993.41396608501</v>
      </c>
      <c r="D23" s="466">
        <f>$B23*'Facility burden summary tables'!G8</f>
        <v>16567945.034452958</v>
      </c>
      <c r="E23" s="244">
        <f>((D23*B23+2*D24*B24)/B23)/3</f>
        <v>5522648.3448176533</v>
      </c>
      <c r="F23" s="397" t="s">
        <v>34</v>
      </c>
    </row>
    <row r="24" spans="1:12" s="397" customFormat="1" ht="30.75" thickBot="1" x14ac:dyDescent="0.3">
      <c r="A24" s="213" t="str">
        <f>'Facility burden summary tables'!A9</f>
        <v>2.  Report annual CAPs by facility to states for use in 2025 and 2027 AERR reports</v>
      </c>
      <c r="B24" s="467"/>
      <c r="C24" s="467"/>
      <c r="D24" s="468"/>
    </row>
    <row r="25" spans="1:12" ht="15.75" thickBot="1" x14ac:dyDescent="0.3">
      <c r="A25" s="469" t="s">
        <v>35</v>
      </c>
      <c r="B25" s="463"/>
      <c r="C25" s="463"/>
      <c r="D25" s="464"/>
      <c r="E25" s="397"/>
      <c r="F25" s="211"/>
      <c r="G25" s="211"/>
      <c r="H25" s="211"/>
      <c r="I25" s="211"/>
      <c r="J25" s="211"/>
      <c r="K25" s="397"/>
      <c r="L25" s="397"/>
    </row>
    <row r="26" spans="1:12" ht="30.75" thickBot="1" x14ac:dyDescent="0.3">
      <c r="A26" s="225" t="s">
        <v>36</v>
      </c>
      <c r="B26" s="470">
        <f>'Facility burden summary tables'!B13</f>
        <v>7</v>
      </c>
      <c r="C26" s="470">
        <f>$B26*'Facility burden summary tables'!F13</f>
        <v>84</v>
      </c>
      <c r="D26" s="471">
        <f>$B26*'Facility burden summary tables'!G13</f>
        <v>10298.232</v>
      </c>
      <c r="E26" s="211"/>
      <c r="F26" s="397"/>
      <c r="G26" s="397"/>
      <c r="H26" s="397"/>
      <c r="I26" s="397"/>
      <c r="J26" s="397"/>
      <c r="K26" s="397"/>
      <c r="L26" s="397"/>
    </row>
    <row r="27" spans="1:12" s="397" customFormat="1" x14ac:dyDescent="0.25">
      <c r="A27" s="55"/>
      <c r="B27" s="140"/>
      <c r="C27" s="140"/>
      <c r="D27" s="243"/>
      <c r="E27" s="211"/>
    </row>
    <row r="28" spans="1:12" s="397" customFormat="1" x14ac:dyDescent="0.25">
      <c r="E28" s="211"/>
    </row>
    <row r="29" spans="1:12" s="397" customFormat="1" x14ac:dyDescent="0.25"/>
    <row r="30" spans="1:12" ht="15.75" thickBot="1" x14ac:dyDescent="0.3">
      <c r="A30" s="25" t="s">
        <v>37</v>
      </c>
      <c r="B30" s="184"/>
      <c r="C30" s="397"/>
      <c r="D30" s="397"/>
      <c r="E30" s="211"/>
      <c r="F30" s="211"/>
      <c r="G30" s="211"/>
      <c r="H30" s="211"/>
      <c r="I30" s="397"/>
      <c r="J30" s="397"/>
      <c r="K30" s="397"/>
      <c r="L30" s="397"/>
    </row>
    <row r="31" spans="1:12" ht="31.5" thickTop="1" thickBot="1" x14ac:dyDescent="0.3">
      <c r="A31" s="247" t="s">
        <v>10</v>
      </c>
      <c r="B31" s="248" t="s">
        <v>38</v>
      </c>
      <c r="C31" s="249" t="s">
        <v>12</v>
      </c>
      <c r="D31" s="250" t="s">
        <v>13</v>
      </c>
      <c r="E31" s="450"/>
      <c r="F31" s="483"/>
      <c r="G31" s="60" t="s">
        <v>39</v>
      </c>
      <c r="H31" s="244">
        <v>1500</v>
      </c>
      <c r="I31" s="415"/>
      <c r="J31" s="415"/>
      <c r="K31" s="415"/>
      <c r="L31" s="415"/>
    </row>
    <row r="32" spans="1:12" ht="15.75" thickTop="1" x14ac:dyDescent="0.25">
      <c r="A32" s="275" t="s">
        <v>40</v>
      </c>
      <c r="B32" s="446">
        <f>B9</f>
        <v>56</v>
      </c>
      <c r="C32" s="281">
        <f>B32*'SLT NEI burden details'!AV16</f>
        <v>143696</v>
      </c>
      <c r="D32" s="447">
        <f>B32*('SLT NEI burden details'!AW16)</f>
        <v>14035410.856250001</v>
      </c>
      <c r="E32" s="473"/>
      <c r="F32" s="412"/>
      <c r="G32" s="60" t="s">
        <v>41</v>
      </c>
      <c r="H32" s="244">
        <v>1500</v>
      </c>
      <c r="I32" s="442"/>
      <c r="J32" s="453"/>
      <c r="K32" s="407"/>
      <c r="L32" s="454"/>
    </row>
    <row r="33" spans="1:18" ht="30" x14ac:dyDescent="0.25">
      <c r="A33" s="275" t="s">
        <v>42</v>
      </c>
      <c r="B33" s="458">
        <f>E9</f>
        <v>2</v>
      </c>
      <c r="C33" s="257">
        <f>B33*'SLT NEI burden details'!AV17</f>
        <v>3384.4</v>
      </c>
      <c r="D33" s="459">
        <f>B33*('SLT NEI burden details'!AW17)</f>
        <v>334196.71129273647</v>
      </c>
      <c r="E33" s="473"/>
      <c r="F33" s="412"/>
      <c r="G33" s="60"/>
      <c r="H33" s="245">
        <f>SUM(H31:H32)</f>
        <v>3000</v>
      </c>
      <c r="I33" s="442"/>
      <c r="J33" s="453"/>
      <c r="K33" s="407"/>
      <c r="L33" s="454"/>
      <c r="M33" s="397"/>
      <c r="N33" s="397"/>
      <c r="O33" s="397"/>
      <c r="P33" s="397"/>
      <c r="Q33" s="397"/>
      <c r="R33" s="397"/>
    </row>
    <row r="34" spans="1:18" ht="30" x14ac:dyDescent="0.25">
      <c r="A34" s="275" t="s">
        <v>43</v>
      </c>
      <c r="B34" s="261">
        <f>H9</f>
        <v>10</v>
      </c>
      <c r="C34" s="257">
        <f>B34*'SLT NEI burden details'!AV18</f>
        <v>6010</v>
      </c>
      <c r="D34" s="459">
        <f>B34*('SLT NEI burden details'!AW18)</f>
        <v>556791.89547719597</v>
      </c>
      <c r="E34" s="473"/>
      <c r="F34" s="412"/>
      <c r="G34" s="451"/>
      <c r="H34" s="452"/>
      <c r="I34" s="442"/>
      <c r="J34" s="453"/>
      <c r="K34" s="407"/>
      <c r="L34" s="454"/>
      <c r="M34" s="397"/>
      <c r="N34" s="397"/>
      <c r="O34" s="397"/>
      <c r="P34" s="397"/>
      <c r="Q34" s="397"/>
      <c r="R34" s="397"/>
    </row>
    <row r="35" spans="1:18" ht="15.75" thickBot="1" x14ac:dyDescent="0.3">
      <c r="A35" s="260" t="s">
        <v>44</v>
      </c>
      <c r="B35" s="448">
        <f>NoSLTsReporting</f>
        <v>68</v>
      </c>
      <c r="C35" s="457">
        <v>0</v>
      </c>
      <c r="D35" s="449">
        <f>B35*$H$33</f>
        <v>204000</v>
      </c>
      <c r="E35" s="455"/>
      <c r="F35" s="483"/>
      <c r="G35" s="451"/>
      <c r="H35" s="456"/>
      <c r="I35" s="393"/>
      <c r="J35" s="451"/>
      <c r="K35" s="393"/>
      <c r="L35" s="454"/>
      <c r="M35" s="397"/>
      <c r="N35" s="397"/>
      <c r="O35" s="397"/>
      <c r="P35" s="397"/>
      <c r="Q35" s="397"/>
      <c r="R35" s="397"/>
    </row>
    <row r="36" spans="1:18" ht="16.5" thickTop="1" thickBot="1" x14ac:dyDescent="0.3">
      <c r="A36" s="284" t="s">
        <v>6</v>
      </c>
      <c r="B36" s="443"/>
      <c r="C36" s="444">
        <f>SUM(C32:C35)</f>
        <v>153090.4</v>
      </c>
      <c r="D36" s="445">
        <f>SUM(D32:D35)</f>
        <v>15130399.463019934</v>
      </c>
      <c r="E36" s="472"/>
      <c r="F36" s="416"/>
      <c r="G36" s="417"/>
      <c r="H36" s="415"/>
      <c r="I36" s="416"/>
      <c r="J36" s="417"/>
      <c r="K36" s="418"/>
      <c r="L36" s="419"/>
      <c r="M36" s="397"/>
      <c r="N36" s="397"/>
      <c r="O36" s="397"/>
      <c r="P36" s="397"/>
      <c r="Q36" s="397"/>
      <c r="R36" s="397"/>
    </row>
    <row r="37" spans="1:18" ht="15.75" thickTop="1" x14ac:dyDescent="0.25">
      <c r="A37" s="414"/>
      <c r="B37" s="415"/>
      <c r="C37" s="416"/>
      <c r="D37" s="417"/>
      <c r="E37" s="415"/>
      <c r="F37" s="416"/>
      <c r="G37" s="417"/>
      <c r="H37" s="415"/>
      <c r="I37" s="416"/>
      <c r="J37" s="417"/>
      <c r="K37" s="418"/>
      <c r="L37" s="419"/>
      <c r="M37" s="397"/>
      <c r="N37" s="397"/>
      <c r="O37" s="397"/>
      <c r="P37" s="397"/>
      <c r="Q37" s="397"/>
      <c r="R37" s="397"/>
    </row>
    <row r="38" spans="1:18" ht="29.45" customHeight="1" x14ac:dyDescent="0.25">
      <c r="A38" s="414"/>
      <c r="B38" s="415"/>
      <c r="C38" s="416"/>
      <c r="D38" s="417"/>
      <c r="E38" s="415"/>
      <c r="F38" s="416"/>
      <c r="G38" s="417"/>
      <c r="H38" s="415"/>
      <c r="I38" s="416"/>
      <c r="J38" s="417"/>
      <c r="K38" s="418"/>
      <c r="L38" s="419"/>
      <c r="M38" s="397"/>
      <c r="N38" s="397"/>
      <c r="O38" s="397"/>
      <c r="P38" s="397"/>
      <c r="Q38" s="397"/>
      <c r="R38" s="397"/>
    </row>
    <row r="39" spans="1:18" x14ac:dyDescent="0.25">
      <c r="A39" s="414"/>
      <c r="B39" s="415"/>
      <c r="C39" s="416"/>
      <c r="D39" s="417"/>
      <c r="E39" s="415"/>
      <c r="F39" s="416"/>
      <c r="G39" s="417"/>
      <c r="H39" s="415"/>
      <c r="I39" s="416"/>
      <c r="J39" s="417"/>
      <c r="K39" s="418"/>
      <c r="L39" s="419"/>
      <c r="M39" s="397"/>
      <c r="N39" s="397"/>
      <c r="O39" s="397"/>
      <c r="P39" s="397"/>
      <c r="Q39" s="397"/>
      <c r="R39" s="397"/>
    </row>
    <row r="40" spans="1:18" ht="19.5" thickBot="1" x14ac:dyDescent="0.3">
      <c r="A40" s="15" t="s">
        <v>45</v>
      </c>
      <c r="B40" s="397"/>
      <c r="C40" s="397"/>
      <c r="D40" s="397"/>
      <c r="E40" s="211"/>
      <c r="F40" s="397"/>
      <c r="G40" s="397"/>
      <c r="H40" s="397"/>
      <c r="I40" s="397"/>
      <c r="J40" s="397"/>
      <c r="K40" s="397"/>
      <c r="L40" s="397"/>
      <c r="M40" s="397"/>
      <c r="N40" s="397"/>
      <c r="O40" s="397"/>
      <c r="P40" s="397"/>
      <c r="Q40" s="397"/>
      <c r="R40" s="397"/>
    </row>
    <row r="41" spans="1:18" ht="30.75" thickBot="1" x14ac:dyDescent="0.3">
      <c r="A41" s="293" t="s">
        <v>46</v>
      </c>
      <c r="B41" s="292" t="s">
        <v>16</v>
      </c>
      <c r="C41" s="292" t="s">
        <v>47</v>
      </c>
      <c r="D41" s="292" t="s">
        <v>29</v>
      </c>
      <c r="E41" s="292" t="s">
        <v>6</v>
      </c>
      <c r="F41" s="397"/>
      <c r="G41" s="294" t="s">
        <v>48</v>
      </c>
      <c r="H41" s="397"/>
      <c r="I41" s="397"/>
      <c r="J41" s="397"/>
      <c r="K41" s="397"/>
      <c r="L41" s="397"/>
      <c r="M41" s="397"/>
    </row>
    <row r="42" spans="1:18" ht="15.75" thickBot="1" x14ac:dyDescent="0.3">
      <c r="A42" s="297" t="s">
        <v>49</v>
      </c>
      <c r="B42" s="298">
        <f>NoSLTsReporting</f>
        <v>68</v>
      </c>
      <c r="C42" s="299">
        <f>B23+B26</f>
        <v>5806.7365586433998</v>
      </c>
      <c r="D42" s="298"/>
      <c r="E42" s="299">
        <f>SUM(B42:D42)</f>
        <v>5874.7365586433998</v>
      </c>
      <c r="F42" s="397"/>
      <c r="G42" s="16">
        <v>15.3</v>
      </c>
      <c r="H42" s="16" t="s">
        <v>50</v>
      </c>
      <c r="I42" s="397"/>
      <c r="J42" s="397"/>
      <c r="K42" s="397"/>
      <c r="L42" s="397"/>
      <c r="M42" s="397"/>
    </row>
    <row r="43" spans="1:18" ht="15.75" thickBot="1" x14ac:dyDescent="0.3">
      <c r="A43" s="297" t="s">
        <v>51</v>
      </c>
      <c r="B43" s="299">
        <f>'ICR Final Summary Tables'!K11+K14</f>
        <v>53481.866666666669</v>
      </c>
      <c r="C43" s="299">
        <f>C23+C26</f>
        <v>145077.41396608501</v>
      </c>
      <c r="D43" s="299">
        <f>G43</f>
        <v>31824</v>
      </c>
      <c r="E43" s="299">
        <f>SUM(B43:D43)</f>
        <v>230383.28063275167</v>
      </c>
      <c r="F43" s="397"/>
      <c r="G43" s="218">
        <f>G42*2080</f>
        <v>31824</v>
      </c>
      <c r="H43" s="16" t="s">
        <v>52</v>
      </c>
      <c r="I43" s="397"/>
      <c r="J43" s="397"/>
      <c r="K43" s="397"/>
      <c r="L43" s="397"/>
      <c r="M43" s="397"/>
    </row>
    <row r="44" spans="1:18" ht="15.75" thickBot="1" x14ac:dyDescent="0.3">
      <c r="A44" s="297"/>
      <c r="B44" s="298"/>
      <c r="C44" s="298"/>
      <c r="D44" s="298"/>
      <c r="E44" s="298"/>
      <c r="F44" s="397"/>
      <c r="G44" s="390">
        <v>166000</v>
      </c>
      <c r="H44" s="16" t="s">
        <v>53</v>
      </c>
      <c r="I44" s="397"/>
      <c r="J44" s="397"/>
      <c r="K44" s="397"/>
      <c r="L44" s="397"/>
      <c r="M44" s="397"/>
    </row>
    <row r="45" spans="1:18" ht="15.75" thickBot="1" x14ac:dyDescent="0.3">
      <c r="A45" s="297" t="s">
        <v>54</v>
      </c>
      <c r="B45" s="305">
        <f>'ICR Final Summary Tables'!D35/2</f>
        <v>102000</v>
      </c>
      <c r="C45" s="305">
        <v>0</v>
      </c>
      <c r="D45" s="306">
        <v>403000</v>
      </c>
      <c r="E45" s="305">
        <f>SUM(B45:D45)</f>
        <v>505000</v>
      </c>
      <c r="F45" s="211"/>
      <c r="G45" s="391">
        <v>300000</v>
      </c>
      <c r="H45" s="16" t="s">
        <v>55</v>
      </c>
      <c r="I45" s="397"/>
      <c r="J45" s="397"/>
      <c r="K45" s="397"/>
      <c r="L45" s="397"/>
      <c r="M45" s="397"/>
    </row>
    <row r="46" spans="1:18" ht="18.95" customHeight="1" thickBot="1" x14ac:dyDescent="0.3">
      <c r="A46" s="297" t="s">
        <v>56</v>
      </c>
      <c r="B46" s="305">
        <f>D36-B45</f>
        <v>15028399.463019934</v>
      </c>
      <c r="C46" s="305">
        <v>0</v>
      </c>
      <c r="D46" s="308">
        <f>SUM(G46:G48)</f>
        <v>2425000</v>
      </c>
      <c r="E46" s="305">
        <f>SUM(B46:D46)</f>
        <v>17453399.463019934</v>
      </c>
      <c r="F46" s="397"/>
      <c r="G46" s="391">
        <v>1300000</v>
      </c>
      <c r="H46" s="220" t="s">
        <v>57</v>
      </c>
      <c r="I46" s="397"/>
      <c r="J46" s="397"/>
      <c r="K46" s="397"/>
      <c r="L46" s="397"/>
      <c r="M46" s="397"/>
    </row>
    <row r="47" spans="1:18" ht="20.45" customHeight="1" thickBot="1" x14ac:dyDescent="0.3">
      <c r="A47" s="297" t="s">
        <v>58</v>
      </c>
      <c r="B47" s="305">
        <f>SUM(B45:B46)</f>
        <v>15130399.463019934</v>
      </c>
      <c r="C47" s="305">
        <f>SUM(C45:C46)</f>
        <v>0</v>
      </c>
      <c r="D47" s="305">
        <f>SUM(D45:D46)</f>
        <v>2828000</v>
      </c>
      <c r="E47" s="305">
        <f>SUM(B47:D47)</f>
        <v>17958399.463019934</v>
      </c>
      <c r="F47" s="397"/>
      <c r="G47" s="391">
        <v>325000</v>
      </c>
      <c r="H47" s="16" t="s">
        <v>59</v>
      </c>
      <c r="I47" s="397"/>
      <c r="J47" s="397"/>
      <c r="K47" s="397"/>
      <c r="L47" s="397"/>
      <c r="M47" s="397"/>
    </row>
    <row r="48" spans="1:18" ht="15.75" thickBot="1" x14ac:dyDescent="0.3">
      <c r="A48" s="297"/>
      <c r="B48" s="309"/>
      <c r="C48" s="309"/>
      <c r="D48" s="309"/>
      <c r="E48" s="309"/>
      <c r="F48" s="397"/>
      <c r="G48" s="391">
        <v>800000</v>
      </c>
      <c r="H48" s="16" t="s">
        <v>60</v>
      </c>
      <c r="I48" s="397"/>
      <c r="J48" s="397"/>
      <c r="K48" s="397"/>
      <c r="L48" s="397"/>
      <c r="M48" s="397"/>
    </row>
    <row r="49" spans="1:18" ht="15.75" thickBot="1" x14ac:dyDescent="0.3">
      <c r="A49" s="297" t="s">
        <v>61</v>
      </c>
      <c r="B49" s="305">
        <f>'ICR Final Summary Tables'!L11+L14</f>
        <v>4723638.6973083485</v>
      </c>
      <c r="C49" s="305">
        <f>D23+D26</f>
        <v>16578243.266452959</v>
      </c>
      <c r="D49" s="305">
        <f>G42*G44</f>
        <v>2539800</v>
      </c>
      <c r="E49" s="305">
        <f>SUM(B49:D49)</f>
        <v>23841681.963761307</v>
      </c>
      <c r="F49" s="397"/>
      <c r="G49" s="397"/>
      <c r="H49" s="397"/>
      <c r="I49" s="397"/>
      <c r="J49" s="397"/>
      <c r="K49" s="397"/>
      <c r="L49" s="397"/>
      <c r="M49" s="397"/>
    </row>
    <row r="50" spans="1:18" ht="15.75" thickBot="1" x14ac:dyDescent="0.3">
      <c r="A50" s="310" t="s">
        <v>62</v>
      </c>
      <c r="B50" s="311">
        <f>SUM(B47:B49)</f>
        <v>19854038.160328284</v>
      </c>
      <c r="C50" s="311">
        <f>SUM(C47:C49)</f>
        <v>16578243.266452959</v>
      </c>
      <c r="D50" s="311">
        <f>SUM(D47:D49)</f>
        <v>5367800</v>
      </c>
      <c r="E50" s="311">
        <f>SUM(B50:D50)</f>
        <v>41800081.426781245</v>
      </c>
      <c r="F50" s="397"/>
      <c r="G50" s="16"/>
      <c r="H50" s="16"/>
      <c r="I50" s="397"/>
      <c r="J50" s="397"/>
      <c r="K50" s="397"/>
      <c r="L50" s="397"/>
      <c r="M50" s="397"/>
    </row>
    <row r="51" spans="1:18" x14ac:dyDescent="0.25">
      <c r="A51" s="397"/>
      <c r="B51" s="397"/>
      <c r="C51" s="397"/>
      <c r="D51" s="397"/>
      <c r="E51" s="397"/>
      <c r="F51" s="397"/>
      <c r="G51" s="391">
        <f>G42*G44</f>
        <v>2539800</v>
      </c>
      <c r="H51" s="25" t="s">
        <v>63</v>
      </c>
      <c r="I51" s="397"/>
      <c r="J51" s="397"/>
      <c r="K51" s="397"/>
      <c r="L51" s="397"/>
      <c r="M51" s="397"/>
    </row>
    <row r="52" spans="1:18" x14ac:dyDescent="0.25">
      <c r="A52" s="397"/>
      <c r="B52" s="397"/>
      <c r="C52" s="397"/>
      <c r="D52" s="397"/>
      <c r="E52" s="397"/>
      <c r="F52" s="397"/>
      <c r="G52" s="391">
        <f>SUM(G46:G48)</f>
        <v>2425000</v>
      </c>
      <c r="H52" s="25" t="s">
        <v>64</v>
      </c>
      <c r="I52" s="397"/>
      <c r="J52" s="397"/>
      <c r="K52" s="397"/>
      <c r="L52" s="397"/>
      <c r="M52" s="397"/>
      <c r="N52" s="397"/>
      <c r="O52" s="397"/>
      <c r="P52" s="397"/>
      <c r="Q52" s="397"/>
      <c r="R52" s="397"/>
    </row>
  </sheetData>
  <mergeCells count="4">
    <mergeCell ref="B6:D6"/>
    <mergeCell ref="E6:G6"/>
    <mergeCell ref="H6:J6"/>
    <mergeCell ref="K6:L6"/>
  </mergeCells>
  <pageMargins left="0.7" right="0.7" top="0.75" bottom="0.75" header="0.3" footer="0.3"/>
  <pageSetup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6EF04-2963-4902-BB25-B33BE7D7DF66}">
  <dimension ref="A1:AX61"/>
  <sheetViews>
    <sheetView zoomScale="85" zoomScaleNormal="85" workbookViewId="0">
      <selection activeCell="AP7" sqref="AP7"/>
    </sheetView>
  </sheetViews>
  <sheetFormatPr defaultRowHeight="15" x14ac:dyDescent="0.25"/>
  <cols>
    <col min="1" max="1" width="20.85546875" customWidth="1"/>
    <col min="2" max="2" width="11.42578125" customWidth="1"/>
    <col min="3" max="3" width="12.42578125" customWidth="1"/>
    <col min="4" max="4" width="10.28515625" customWidth="1"/>
    <col min="5" max="5" width="9" customWidth="1"/>
    <col min="6" max="6" width="10.5703125" customWidth="1"/>
    <col min="7" max="7" width="17.42578125" customWidth="1"/>
    <col min="8" max="8" width="9" customWidth="1"/>
    <col min="9" max="9" width="5" customWidth="1"/>
    <col min="10" max="10" width="41" customWidth="1"/>
    <col min="11" max="11" width="11.7109375" customWidth="1"/>
    <col min="12" max="12" width="11.85546875" customWidth="1"/>
    <col min="13" max="13" width="10.42578125" customWidth="1"/>
    <col min="14" max="15" width="11.42578125" customWidth="1"/>
    <col min="17" max="17" width="47.85546875" customWidth="1"/>
    <col min="18" max="18" width="10.85546875" customWidth="1"/>
    <col min="19" max="20" width="10.7109375" customWidth="1"/>
    <col min="21" max="21" width="10.140625" customWidth="1"/>
    <col min="22" max="22" width="9.42578125" customWidth="1"/>
    <col min="23" max="23" width="10.42578125" customWidth="1"/>
    <col min="24" max="24" width="10.42578125" style="397" customWidth="1"/>
    <col min="25" max="25" width="48.85546875" customWidth="1"/>
    <col min="26" max="26" width="11.42578125" customWidth="1"/>
    <col min="27" max="27" width="10.85546875" customWidth="1"/>
    <col min="28" max="29" width="10.7109375" customWidth="1"/>
    <col min="30" max="30" width="12.140625" customWidth="1"/>
    <col min="31" max="31" width="11" customWidth="1"/>
    <col min="32" max="32" width="10.5703125" customWidth="1"/>
    <col min="33" max="33" width="34.28515625" customWidth="1"/>
    <col min="34" max="34" width="11.85546875" customWidth="1"/>
    <col min="35" max="35" width="7.42578125" customWidth="1"/>
    <col min="36" max="36" width="39.85546875" customWidth="1"/>
    <col min="37" max="37" width="11.140625" customWidth="1"/>
    <col min="38" max="38" width="10.140625" customWidth="1"/>
    <col min="39" max="39" width="10.42578125" customWidth="1"/>
    <col min="40" max="40" width="9.85546875" customWidth="1"/>
    <col min="41" max="41" width="11.140625" bestFit="1" customWidth="1"/>
    <col min="42" max="42" width="11.85546875" customWidth="1"/>
    <col min="43" max="43" width="47.85546875" customWidth="1"/>
    <col min="44" max="44" width="10.85546875" customWidth="1"/>
    <col min="45" max="46" width="10.7109375" customWidth="1"/>
    <col min="47" max="47" width="10.140625" customWidth="1"/>
    <col min="48" max="48" width="9.42578125" customWidth="1"/>
    <col min="49" max="49" width="10.42578125" customWidth="1"/>
  </cols>
  <sheetData>
    <row r="1" spans="1:50" ht="18.75" x14ac:dyDescent="0.3">
      <c r="A1" s="14" t="s">
        <v>65</v>
      </c>
      <c r="B1" s="397"/>
      <c r="C1" s="397"/>
      <c r="D1" s="397"/>
      <c r="E1" s="397"/>
      <c r="F1" s="397"/>
      <c r="G1" s="397"/>
      <c r="H1" s="397"/>
      <c r="I1" s="397"/>
      <c r="J1" s="397"/>
      <c r="K1" s="397"/>
      <c r="L1" s="397"/>
      <c r="M1" s="397"/>
      <c r="N1" s="397"/>
      <c r="O1" s="397"/>
      <c r="P1" s="397"/>
      <c r="Q1" s="397" t="s">
        <v>66</v>
      </c>
      <c r="R1" s="397"/>
      <c r="S1" s="397"/>
      <c r="T1" s="397"/>
      <c r="U1" s="397"/>
      <c r="V1" s="397"/>
      <c r="W1" s="397"/>
      <c r="Y1" s="397"/>
      <c r="Z1" s="397"/>
      <c r="AA1" s="397"/>
      <c r="AB1" s="397"/>
      <c r="AC1" s="397"/>
      <c r="AD1" s="397"/>
      <c r="AE1" s="397"/>
      <c r="AF1" s="397"/>
      <c r="AG1" s="397"/>
      <c r="AH1" s="397"/>
      <c r="AI1" s="397"/>
      <c r="AJ1" s="397"/>
      <c r="AK1" s="397"/>
      <c r="AL1" s="22"/>
      <c r="AM1" s="22"/>
      <c r="AN1" s="397"/>
      <c r="AO1" s="397"/>
      <c r="AP1" s="397"/>
      <c r="AQ1" s="397"/>
      <c r="AR1" s="397"/>
      <c r="AS1" s="397"/>
      <c r="AT1" s="397"/>
      <c r="AU1" s="397"/>
      <c r="AV1" s="397"/>
      <c r="AW1" s="397"/>
      <c r="AX1" s="397"/>
    </row>
    <row r="2" spans="1:50" ht="19.5" thickBot="1" x14ac:dyDescent="0.35">
      <c r="A2" s="397"/>
      <c r="B2" s="397"/>
      <c r="C2" s="397"/>
      <c r="D2" s="397"/>
      <c r="E2" s="397"/>
      <c r="F2" s="397"/>
      <c r="G2" s="397"/>
      <c r="H2" s="397"/>
      <c r="I2" s="397"/>
      <c r="J2" s="335" t="s">
        <v>67</v>
      </c>
      <c r="K2" s="322"/>
      <c r="L2" s="322"/>
      <c r="M2" s="322"/>
      <c r="N2" s="322"/>
      <c r="O2" s="20"/>
      <c r="P2" s="397"/>
      <c r="Q2" s="14" t="s">
        <v>68</v>
      </c>
      <c r="R2" s="75"/>
      <c r="S2" s="75"/>
      <c r="T2" s="75"/>
      <c r="U2" s="75"/>
      <c r="V2" s="488"/>
      <c r="W2" s="488"/>
      <c r="X2" s="488"/>
      <c r="Y2" s="14" t="s">
        <v>69</v>
      </c>
      <c r="Z2" s="14"/>
      <c r="AA2" s="397"/>
      <c r="AB2" s="397"/>
      <c r="AC2" s="397"/>
      <c r="AD2" s="397"/>
      <c r="AE2" s="425"/>
      <c r="AF2" s="425"/>
      <c r="AG2" s="425"/>
      <c r="AH2" s="340"/>
      <c r="AI2" s="20"/>
      <c r="AJ2" s="15" t="s">
        <v>70</v>
      </c>
      <c r="AK2" s="25"/>
      <c r="AL2" s="397"/>
      <c r="AM2" s="397"/>
      <c r="AN2" s="397"/>
      <c r="AO2" s="397"/>
      <c r="AP2" s="397"/>
      <c r="AQ2" s="14" t="s">
        <v>71</v>
      </c>
      <c r="AR2" s="397"/>
      <c r="AS2" s="397"/>
      <c r="AT2" s="397"/>
      <c r="AU2" s="397"/>
      <c r="AV2" s="397"/>
      <c r="AW2" s="397"/>
      <c r="AX2" s="397"/>
    </row>
    <row r="3" spans="1:50" ht="60.75" thickBot="1" x14ac:dyDescent="0.3">
      <c r="A3" s="20" t="s">
        <v>72</v>
      </c>
      <c r="B3" s="18" t="s">
        <v>73</v>
      </c>
      <c r="C3" s="18" t="s">
        <v>74</v>
      </c>
      <c r="D3" s="18" t="s">
        <v>75</v>
      </c>
      <c r="E3" s="18"/>
      <c r="F3" s="18" t="s">
        <v>76</v>
      </c>
      <c r="G3" s="18" t="s">
        <v>77</v>
      </c>
      <c r="H3" s="18"/>
      <c r="I3" s="397"/>
      <c r="J3" s="23"/>
      <c r="K3" s="497" t="s">
        <v>78</v>
      </c>
      <c r="L3" s="498"/>
      <c r="M3" s="498"/>
      <c r="N3" s="499"/>
      <c r="O3" s="20"/>
      <c r="P3" s="397"/>
      <c r="Q3" s="23"/>
      <c r="R3" s="497" t="s">
        <v>78</v>
      </c>
      <c r="S3" s="498"/>
      <c r="T3" s="498"/>
      <c r="U3" s="499"/>
      <c r="V3" s="20"/>
      <c r="W3" s="488"/>
      <c r="X3" s="488"/>
      <c r="Y3" s="23"/>
      <c r="Z3" s="23"/>
      <c r="AA3" s="497" t="s">
        <v>78</v>
      </c>
      <c r="AB3" s="498"/>
      <c r="AC3" s="499"/>
      <c r="AD3" s="397"/>
      <c r="AE3" s="512" t="s">
        <v>79</v>
      </c>
      <c r="AF3" s="513"/>
      <c r="AG3" s="514"/>
      <c r="AH3" s="32"/>
      <c r="AI3" s="397"/>
      <c r="AJ3" s="436" t="s">
        <v>10</v>
      </c>
      <c r="AK3" s="430" t="s">
        <v>80</v>
      </c>
      <c r="AL3" s="428" t="str">
        <f>"Manager Hrs/yr @"</f>
        <v>Manager Hrs/yr @</v>
      </c>
      <c r="AM3" s="428" t="str">
        <f>"Scientist Hrs/yr @"</f>
        <v>Scientist Hrs/yr @</v>
      </c>
      <c r="AN3" s="428" t="s">
        <v>12</v>
      </c>
      <c r="AO3" s="429" t="s">
        <v>81</v>
      </c>
      <c r="AP3" s="397"/>
      <c r="AQ3" s="23"/>
      <c r="AR3" s="497" t="s">
        <v>78</v>
      </c>
      <c r="AS3" s="498"/>
      <c r="AT3" s="498"/>
      <c r="AU3" s="498"/>
      <c r="AV3" s="24"/>
      <c r="AW3" s="20"/>
      <c r="AX3" s="20"/>
    </row>
    <row r="4" spans="1:50" ht="60.75" thickBot="1" x14ac:dyDescent="0.3">
      <c r="A4" s="34" t="s">
        <v>82</v>
      </c>
      <c r="B4" s="5">
        <f>MAX(C4:D4)</f>
        <v>52</v>
      </c>
      <c r="C4" s="5">
        <v>52</v>
      </c>
      <c r="D4" s="5">
        <v>52</v>
      </c>
      <c r="E4" s="5"/>
      <c r="F4" s="5">
        <v>23</v>
      </c>
      <c r="G4" s="5">
        <v>17</v>
      </c>
      <c r="H4" s="333"/>
      <c r="I4" s="397"/>
      <c r="J4" s="120" t="s">
        <v>83</v>
      </c>
      <c r="K4" s="428" t="s">
        <v>84</v>
      </c>
      <c r="L4" s="428" t="s">
        <v>85</v>
      </c>
      <c r="M4" s="428" t="s">
        <v>86</v>
      </c>
      <c r="N4" s="429" t="s">
        <v>6</v>
      </c>
      <c r="O4" s="397"/>
      <c r="P4" s="397"/>
      <c r="Q4" s="26" t="s">
        <v>83</v>
      </c>
      <c r="R4" s="428" t="s">
        <v>84</v>
      </c>
      <c r="S4" s="428" t="s">
        <v>85</v>
      </c>
      <c r="T4" s="429" t="s">
        <v>6</v>
      </c>
      <c r="U4" s="430" t="s">
        <v>87</v>
      </c>
      <c r="V4" s="20"/>
      <c r="W4" s="488"/>
      <c r="X4" s="488"/>
      <c r="Y4" s="120" t="s">
        <v>83</v>
      </c>
      <c r="Z4" s="431" t="s">
        <v>88</v>
      </c>
      <c r="AA4" s="428" t="s">
        <v>84</v>
      </c>
      <c r="AB4" s="428" t="s">
        <v>85</v>
      </c>
      <c r="AC4" s="429" t="s">
        <v>6</v>
      </c>
      <c r="AD4" s="397"/>
      <c r="AE4" s="30" t="s">
        <v>84</v>
      </c>
      <c r="AF4" s="30" t="s">
        <v>89</v>
      </c>
      <c r="AG4" s="31" t="s">
        <v>90</v>
      </c>
      <c r="AH4" s="43"/>
      <c r="AI4" s="397"/>
      <c r="AJ4" s="44" t="s">
        <v>91</v>
      </c>
      <c r="AK4" s="45"/>
      <c r="AL4" s="413">
        <f>'Labor Information'!D14</f>
        <v>168.10050380067568</v>
      </c>
      <c r="AM4" s="413">
        <f>'Labor Information'!D13</f>
        <v>84.601021537162168</v>
      </c>
      <c r="AN4" s="45"/>
      <c r="AO4" s="46"/>
      <c r="AP4" s="397"/>
      <c r="AQ4" s="120" t="s">
        <v>83</v>
      </c>
      <c r="AR4" s="428" t="s">
        <v>84</v>
      </c>
      <c r="AS4" s="428" t="s">
        <v>85</v>
      </c>
      <c r="AT4" s="428" t="s">
        <v>86</v>
      </c>
      <c r="AU4" s="428" t="s">
        <v>6</v>
      </c>
      <c r="AV4" s="490" t="s">
        <v>87</v>
      </c>
      <c r="AW4" s="20"/>
      <c r="AX4" s="20"/>
    </row>
    <row r="5" spans="1:50" ht="30.75" thickBot="1" x14ac:dyDescent="0.3">
      <c r="A5" s="34" t="s">
        <v>92</v>
      </c>
      <c r="B5" s="5">
        <f>MAX(C5:D5)</f>
        <v>9</v>
      </c>
      <c r="C5" s="5">
        <v>9</v>
      </c>
      <c r="D5" s="5">
        <v>9</v>
      </c>
      <c r="E5" s="5"/>
      <c r="F5" s="5">
        <v>5</v>
      </c>
      <c r="G5" s="5">
        <v>4</v>
      </c>
      <c r="H5" s="333"/>
      <c r="I5" s="397"/>
      <c r="J5" s="426" t="s">
        <v>93</v>
      </c>
      <c r="K5" s="106"/>
      <c r="L5" s="107"/>
      <c r="M5" s="107"/>
      <c r="N5" s="108"/>
      <c r="O5" s="397"/>
      <c r="P5" s="397"/>
      <c r="Q5" s="83" t="s">
        <v>94</v>
      </c>
      <c r="R5" s="84"/>
      <c r="S5" s="84"/>
      <c r="T5" s="84"/>
      <c r="U5" s="85"/>
      <c r="V5" s="18"/>
      <c r="W5" s="18"/>
      <c r="X5" s="18"/>
      <c r="Y5" s="39" t="s">
        <v>33</v>
      </c>
      <c r="Z5" s="40"/>
      <c r="AA5" s="41"/>
      <c r="AB5" s="41"/>
      <c r="AC5" s="42"/>
      <c r="AD5" s="397"/>
      <c r="AE5" s="370">
        <f>($Z6*AA6+$Z43*AA43)/($Z6+$Z43)</f>
        <v>79.084745762711862</v>
      </c>
      <c r="AF5" s="370">
        <f>($Z6*AB6+$Z43*AB43)/($Z6+$Z43)</f>
        <v>1579.4237288135594</v>
      </c>
      <c r="AG5" s="370">
        <f>(Z6+Z43)*(AE5+AF5)/3</f>
        <v>32617.333333333332</v>
      </c>
      <c r="AH5" s="43"/>
      <c r="AI5" s="397"/>
      <c r="AJ5" s="52" t="s">
        <v>95</v>
      </c>
      <c r="AK5" s="53">
        <f>AR16</f>
        <v>56</v>
      </c>
      <c r="AL5" s="421">
        <f>R43</f>
        <v>4.1999999999999993</v>
      </c>
      <c r="AM5" s="421">
        <f>S43</f>
        <v>49</v>
      </c>
      <c r="AN5" s="421">
        <f>SUM(AL5:AM5)</f>
        <v>53.2</v>
      </c>
      <c r="AO5" s="422">
        <f>AL5*AL$4+AM5*$AM$4</f>
        <v>4851.4721712837836</v>
      </c>
      <c r="AP5" s="397"/>
      <c r="AQ5" s="35" t="s">
        <v>96</v>
      </c>
      <c r="AR5" s="491">
        <f>ROUNDUP(0.1 *(AS5+AT5),0)</f>
        <v>112</v>
      </c>
      <c r="AS5" s="36">
        <v>80</v>
      </c>
      <c r="AT5" s="36">
        <f>2080/2</f>
        <v>1040</v>
      </c>
      <c r="AU5" s="37">
        <f t="shared" ref="AU5:AU10" si="0">SUM(AR5:AT5)</f>
        <v>1232</v>
      </c>
      <c r="AV5" s="38" t="s">
        <v>97</v>
      </c>
      <c r="AW5" s="397"/>
      <c r="AX5" s="397"/>
    </row>
    <row r="6" spans="1:50" ht="45.75" thickBot="1" x14ac:dyDescent="0.3">
      <c r="A6" s="34" t="s">
        <v>98</v>
      </c>
      <c r="B6" s="5">
        <f>MAX(C6:D6)</f>
        <v>5</v>
      </c>
      <c r="C6" s="5">
        <v>5</v>
      </c>
      <c r="D6" s="5">
        <v>2</v>
      </c>
      <c r="E6" s="5"/>
      <c r="F6" s="5">
        <v>5</v>
      </c>
      <c r="G6" s="5">
        <v>2</v>
      </c>
      <c r="H6" s="333"/>
      <c r="I6" s="397"/>
      <c r="J6" s="109" t="s">
        <v>99</v>
      </c>
      <c r="K6" s="316">
        <f>0.1 *(L6+M6)</f>
        <v>24</v>
      </c>
      <c r="L6" s="110">
        <f>6*40</f>
        <v>240</v>
      </c>
      <c r="M6" s="110"/>
      <c r="N6" s="316">
        <f>SUM(K6:M6)</f>
        <v>264</v>
      </c>
      <c r="O6" s="397"/>
      <c r="P6" s="397"/>
      <c r="Q6" s="93" t="s">
        <v>100</v>
      </c>
      <c r="R6" s="316">
        <v>2</v>
      </c>
      <c r="S6" s="316">
        <f>ROUND(0.2*S17,0)</f>
        <v>24</v>
      </c>
      <c r="T6" s="94">
        <f t="shared" ref="T6:T12" si="1">R6+S6</f>
        <v>26</v>
      </c>
      <c r="U6" s="53" t="s">
        <v>101</v>
      </c>
      <c r="V6" s="488"/>
      <c r="W6" s="95"/>
      <c r="X6" s="95"/>
      <c r="Y6" s="58" t="s">
        <v>102</v>
      </c>
      <c r="Z6" s="59">
        <f>B4+2</f>
        <v>54</v>
      </c>
      <c r="AA6" s="47">
        <f t="shared" ref="AA6:AA13" si="2">ROUNDUP(0.05*AB6,0)</f>
        <v>84</v>
      </c>
      <c r="AB6" s="491">
        <f>AE32</f>
        <v>1679</v>
      </c>
      <c r="AC6" s="49">
        <f t="shared" ref="AC6:AC14" si="3">SUM(AA6:AB6)</f>
        <v>1763</v>
      </c>
      <c r="AD6" s="397"/>
      <c r="AE6" s="370">
        <f>($Z7*AA7+$Z44*AA44)/($Z7+$Z44)</f>
        <v>11.2</v>
      </c>
      <c r="AF6" s="370">
        <f>($Z7*AB7+$Z44*AB44)/($Z7+$Z44)</f>
        <v>223.2</v>
      </c>
      <c r="AG6" s="370">
        <f>(Z7+Z44)*(AE6+AF6)/3</f>
        <v>1562.6666666666667</v>
      </c>
      <c r="AH6" s="43"/>
      <c r="AI6" s="397"/>
      <c r="AJ6" s="44" t="s">
        <v>103</v>
      </c>
      <c r="AK6" s="45"/>
      <c r="AL6" s="45"/>
      <c r="AM6" s="45"/>
      <c r="AN6" s="45"/>
      <c r="AO6" s="46"/>
      <c r="AP6" s="397"/>
      <c r="AQ6" s="373" t="s">
        <v>104</v>
      </c>
      <c r="AR6" s="374">
        <f>ROUNDUP(0.1 *(AS6+AT6),0)</f>
        <v>12</v>
      </c>
      <c r="AS6" s="375">
        <v>40</v>
      </c>
      <c r="AT6" s="375">
        <v>80</v>
      </c>
      <c r="AU6" s="376">
        <f t="shared" si="0"/>
        <v>132</v>
      </c>
      <c r="AV6" s="38" t="s">
        <v>97</v>
      </c>
      <c r="AW6" s="13"/>
      <c r="AX6" s="13"/>
    </row>
    <row r="7" spans="1:50" ht="60.75" thickBot="1" x14ac:dyDescent="0.3">
      <c r="A7" s="60" t="s">
        <v>0</v>
      </c>
      <c r="B7" s="5"/>
      <c r="C7" s="397"/>
      <c r="D7" s="397"/>
      <c r="E7" s="397"/>
      <c r="F7" s="397"/>
      <c r="G7" s="397"/>
      <c r="H7" s="334"/>
      <c r="I7" s="397"/>
      <c r="J7" s="114" t="s">
        <v>105</v>
      </c>
      <c r="K7" s="491">
        <f>0.1 *(L7+M7)</f>
        <v>16</v>
      </c>
      <c r="L7" s="63">
        <f>4*40</f>
        <v>160</v>
      </c>
      <c r="M7" s="63"/>
      <c r="N7" s="491">
        <f>SUM(K7:M7)</f>
        <v>176</v>
      </c>
      <c r="O7" s="397"/>
      <c r="P7" s="397"/>
      <c r="Q7" s="97" t="s">
        <v>106</v>
      </c>
      <c r="R7" s="491"/>
      <c r="S7" s="491">
        <v>4</v>
      </c>
      <c r="T7" s="94">
        <f t="shared" si="1"/>
        <v>4</v>
      </c>
      <c r="U7" s="53">
        <v>3</v>
      </c>
      <c r="V7" s="19"/>
      <c r="W7" s="98"/>
      <c r="X7" s="98"/>
      <c r="Y7" s="58" t="s">
        <v>107</v>
      </c>
      <c r="Z7" s="59">
        <f>ROUNDUP(1/3*$B$4,0)</f>
        <v>18</v>
      </c>
      <c r="AA7" s="47">
        <f>ROUNDUP(0.05*AB7,0)</f>
        <v>12</v>
      </c>
      <c r="AB7" s="491">
        <f>AB34*AC34</f>
        <v>240</v>
      </c>
      <c r="AC7" s="49">
        <f t="shared" si="3"/>
        <v>252</v>
      </c>
      <c r="AD7" s="397"/>
      <c r="AE7" s="370">
        <f>($Z8*AA8)/($Z8)</f>
        <v>3</v>
      </c>
      <c r="AF7" s="370">
        <f>($Z8*AB8)/($Z8)</f>
        <v>54.4</v>
      </c>
      <c r="AG7" s="370">
        <f>(Z8)*(AE7)/3</f>
        <v>4</v>
      </c>
      <c r="AH7" s="43"/>
      <c r="AI7" s="397"/>
      <c r="AJ7" s="66" t="s">
        <v>108</v>
      </c>
      <c r="AK7" s="53">
        <f>$AK$5</f>
        <v>56</v>
      </c>
      <c r="AL7" s="67">
        <f>R46</f>
        <v>8.1666666666666661</v>
      </c>
      <c r="AM7" s="67">
        <f>S46</f>
        <v>67.666666666666671</v>
      </c>
      <c r="AN7" s="54">
        <f>SUM(AL7:AM7)</f>
        <v>75.833333333333343</v>
      </c>
      <c r="AO7" s="68">
        <f>AL7*$AL$4+AM7*$AM$4</f>
        <v>7097.4899050534914</v>
      </c>
      <c r="AP7" s="397"/>
      <c r="AQ7" s="373" t="s">
        <v>109</v>
      </c>
      <c r="AR7" s="374">
        <f>ROUNDUP(0.1 *(AS7+AT7),0)</f>
        <v>110</v>
      </c>
      <c r="AS7" s="375">
        <f>2080/2+12</f>
        <v>1052</v>
      </c>
      <c r="AT7" s="375">
        <v>40</v>
      </c>
      <c r="AU7" s="376">
        <f t="shared" si="0"/>
        <v>1202</v>
      </c>
      <c r="AV7" s="57" t="s">
        <v>110</v>
      </c>
      <c r="AW7" s="13"/>
      <c r="AX7" s="13"/>
    </row>
    <row r="8" spans="1:50" ht="45.75" thickBot="1" x14ac:dyDescent="0.3">
      <c r="A8" s="64" t="s">
        <v>6</v>
      </c>
      <c r="B8" s="5">
        <f>SUM(B4:B7)</f>
        <v>66</v>
      </c>
      <c r="C8" s="397"/>
      <c r="D8" s="397"/>
      <c r="E8" s="5"/>
      <c r="F8" s="397"/>
      <c r="G8" s="397"/>
      <c r="H8" s="333"/>
      <c r="I8" s="397"/>
      <c r="J8" s="58" t="s">
        <v>111</v>
      </c>
      <c r="K8" s="491">
        <f>0.1 *(L8+M8)</f>
        <v>48</v>
      </c>
      <c r="L8" s="63">
        <f>12*40</f>
        <v>480</v>
      </c>
      <c r="M8" s="63"/>
      <c r="N8" s="491">
        <f>SUM(K8:M8)</f>
        <v>528</v>
      </c>
      <c r="O8" s="397"/>
      <c r="P8" s="397"/>
      <c r="Q8" s="97" t="s">
        <v>112</v>
      </c>
      <c r="R8" s="491"/>
      <c r="S8" s="491">
        <v>8</v>
      </c>
      <c r="T8" s="94">
        <f t="shared" si="1"/>
        <v>8</v>
      </c>
      <c r="U8" s="53">
        <v>3</v>
      </c>
      <c r="V8" s="19"/>
      <c r="W8" s="95"/>
      <c r="X8" s="95"/>
      <c r="Y8" s="58" t="s">
        <v>113</v>
      </c>
      <c r="Z8" s="59">
        <v>4</v>
      </c>
      <c r="AA8" s="47">
        <f>ROUNDUP(0.05*AB8,0)</f>
        <v>3</v>
      </c>
      <c r="AB8" s="491">
        <f>$B$41*$B$43/$B$40</f>
        <v>54.4</v>
      </c>
      <c r="AC8" s="49">
        <f t="shared" si="3"/>
        <v>57.4</v>
      </c>
      <c r="AD8" s="397"/>
      <c r="AE8" s="370">
        <f t="shared" ref="AE8:AF11" si="4">($Z9*AA9+$Z46*AA46)/($Z9+$Z46)</f>
        <v>2.1428571428571428</v>
      </c>
      <c r="AF8" s="370">
        <f t="shared" si="4"/>
        <v>42.142857142857146</v>
      </c>
      <c r="AG8" s="370">
        <f>(Z9+Z46)*(AE8+AF8)/3</f>
        <v>930.00000000000011</v>
      </c>
      <c r="AH8" s="43"/>
      <c r="AI8" s="397"/>
      <c r="AJ8" s="71" t="s">
        <v>114</v>
      </c>
      <c r="AK8" s="27">
        <f>AK7</f>
        <v>56</v>
      </c>
      <c r="AL8" s="478">
        <f>ROUND(($AR$16*AS16+$AK$5*AL5+$AK$7*AL7)/$AK$8,0)</f>
        <v>246</v>
      </c>
      <c r="AM8" s="479">
        <f>ROUND(($AR$16*AT16+$AK$5*AM5+$AK$7*AM7)/$AK$8,0)</f>
        <v>1289</v>
      </c>
      <c r="AN8" s="479">
        <f>ROUND(($AR$16*AV16+$AK$5*AN5+$AK$7*AN7)/$AK$8,0)</f>
        <v>2695</v>
      </c>
      <c r="AO8" s="480">
        <f>ROUND(($AK$5*AO5+$AK$7*AO7)/$AK$8,0)</f>
        <v>11949</v>
      </c>
      <c r="AP8" s="397"/>
      <c r="AQ8" s="377" t="s">
        <v>115</v>
      </c>
      <c r="AR8" s="378">
        <f>SUM(AR5:AR7)</f>
        <v>234</v>
      </c>
      <c r="AS8" s="378">
        <f>SUM(AS5:AS7)</f>
        <v>1172</v>
      </c>
      <c r="AT8" s="378">
        <f>SUM(AT5:AT7)</f>
        <v>1160</v>
      </c>
      <c r="AU8" s="379">
        <f t="shared" si="0"/>
        <v>2566</v>
      </c>
      <c r="AV8" s="62" t="s">
        <v>116</v>
      </c>
      <c r="AW8" s="488"/>
      <c r="AX8" s="488"/>
    </row>
    <row r="9" spans="1:50" ht="45.75" thickBot="1" x14ac:dyDescent="0.3">
      <c r="A9" s="70" t="s">
        <v>117</v>
      </c>
      <c r="B9" s="5">
        <f>B8+2</f>
        <v>68</v>
      </c>
      <c r="C9" s="397"/>
      <c r="D9" s="397"/>
      <c r="E9" s="5"/>
      <c r="F9" s="397"/>
      <c r="G9" s="397"/>
      <c r="H9" s="333"/>
      <c r="I9" s="397"/>
      <c r="J9" s="426" t="s">
        <v>4</v>
      </c>
      <c r="K9" s="107"/>
      <c r="L9" s="107"/>
      <c r="M9" s="107"/>
      <c r="N9" s="108"/>
      <c r="O9" s="397"/>
      <c r="P9" s="397"/>
      <c r="Q9" s="97" t="s">
        <v>118</v>
      </c>
      <c r="R9" s="491"/>
      <c r="S9" s="491">
        <v>4</v>
      </c>
      <c r="T9" s="94">
        <f t="shared" si="1"/>
        <v>4</v>
      </c>
      <c r="U9" s="53">
        <v>3</v>
      </c>
      <c r="V9" s="19"/>
      <c r="W9" s="95"/>
      <c r="X9" s="95"/>
      <c r="Y9" s="58" t="s">
        <v>119</v>
      </c>
      <c r="Z9" s="59">
        <f>Z6</f>
        <v>54</v>
      </c>
      <c r="AA9" s="47">
        <f>ROUNDUP(0.05*AB9,0)</f>
        <v>2</v>
      </c>
      <c r="AB9" s="63">
        <v>40</v>
      </c>
      <c r="AC9" s="49">
        <f t="shared" si="3"/>
        <v>42</v>
      </c>
      <c r="AD9" s="397"/>
      <c r="AE9" s="370">
        <f t="shared" si="4"/>
        <v>1.1730769230769231</v>
      </c>
      <c r="AF9" s="370">
        <f t="shared" si="4"/>
        <v>20.153846153846153</v>
      </c>
      <c r="AG9" s="370">
        <f>(Z9+Z47)*(AE9+AF9)/3</f>
        <v>447.86538461538458</v>
      </c>
      <c r="AH9" s="43"/>
      <c r="AI9" s="397"/>
      <c r="AJ9" s="44" t="s">
        <v>120</v>
      </c>
      <c r="AK9" s="45"/>
      <c r="AL9" s="413">
        <f>'Labor Information'!D25</f>
        <v>163.97728482780022</v>
      </c>
      <c r="AM9" s="413">
        <f>'Labor Information'!D24</f>
        <v>82.988894916305028</v>
      </c>
      <c r="AN9" s="45"/>
      <c r="AO9" s="46"/>
      <c r="AP9" s="397"/>
      <c r="AQ9" s="377" t="s">
        <v>121</v>
      </c>
      <c r="AR9" s="378">
        <f>(AR5+AR6)*0.8+AR7*0.5</f>
        <v>154.19999999999999</v>
      </c>
      <c r="AS9" s="378">
        <f>(AS5+AS6)*0.8+AS7*0.5</f>
        <v>622</v>
      </c>
      <c r="AT9" s="378">
        <f>(AT5+AT6)*0.8+AT7*0.5</f>
        <v>916</v>
      </c>
      <c r="AU9" s="379">
        <f t="shared" si="0"/>
        <v>1692.2</v>
      </c>
      <c r="AV9" s="65">
        <f>($AU$8-AU9)/$AU$8</f>
        <v>0.34053000779423226</v>
      </c>
      <c r="AW9" s="488"/>
      <c r="AX9" s="488"/>
    </row>
    <row r="10" spans="1:50" ht="45.75" thickBot="1" x14ac:dyDescent="0.3">
      <c r="A10" s="72"/>
      <c r="B10" s="5"/>
      <c r="C10" s="397"/>
      <c r="D10" s="397"/>
      <c r="E10" s="488"/>
      <c r="F10" s="488"/>
      <c r="G10" s="397"/>
      <c r="H10" s="397"/>
      <c r="I10" s="397"/>
      <c r="J10" s="127" t="s">
        <v>122</v>
      </c>
      <c r="K10" s="128">
        <f>0.1 *(L10+M10)</f>
        <v>104</v>
      </c>
      <c r="L10" s="129"/>
      <c r="M10" s="128">
        <f>2080/2</f>
        <v>1040</v>
      </c>
      <c r="N10" s="128">
        <f>SUM(K10:M10)</f>
        <v>1144</v>
      </c>
      <c r="O10" s="397"/>
      <c r="P10" s="397"/>
      <c r="Q10" s="97" t="s">
        <v>123</v>
      </c>
      <c r="R10" s="491">
        <v>2</v>
      </c>
      <c r="S10" s="491">
        <v>24</v>
      </c>
      <c r="T10" s="94">
        <f t="shared" si="1"/>
        <v>26</v>
      </c>
      <c r="U10" s="53"/>
      <c r="V10" s="19"/>
      <c r="W10" s="98"/>
      <c r="X10" s="98"/>
      <c r="Y10" s="58" t="s">
        <v>124</v>
      </c>
      <c r="Z10" s="59">
        <f>$B$26</f>
        <v>43</v>
      </c>
      <c r="AA10" s="47">
        <f t="shared" si="2"/>
        <v>1</v>
      </c>
      <c r="AB10" s="63">
        <v>16</v>
      </c>
      <c r="AC10" s="49">
        <f t="shared" si="3"/>
        <v>17</v>
      </c>
      <c r="AD10" s="397"/>
      <c r="AE10" s="370">
        <f t="shared" si="4"/>
        <v>4</v>
      </c>
      <c r="AF10" s="370">
        <f t="shared" si="4"/>
        <v>80</v>
      </c>
      <c r="AG10" s="370">
        <f>(Z11+Z48)*(AE10+AF10)/3</f>
        <v>1176</v>
      </c>
      <c r="AH10" s="43"/>
      <c r="AI10" s="397"/>
      <c r="AJ10" s="76" t="s">
        <v>125</v>
      </c>
      <c r="AK10" s="47">
        <f>$Z$6</f>
        <v>54</v>
      </c>
      <c r="AL10" s="169">
        <f>'SLT NEI burden details'!AA14/3</f>
        <v>32</v>
      </c>
      <c r="AM10" s="67">
        <f>'SLT NEI burden details'!AB14/3</f>
        <v>638.33333333333337</v>
      </c>
      <c r="AN10" s="54">
        <f>SUM(AL10:AM10)</f>
        <v>670.33333333333337</v>
      </c>
      <c r="AO10" s="68">
        <f>AL10*$AL$9+AM10*$AM$9</f>
        <v>58221.851036064319</v>
      </c>
      <c r="AP10" s="397"/>
      <c r="AQ10" s="377" t="s">
        <v>126</v>
      </c>
      <c r="AR10" s="378">
        <f>AR7*0.5</f>
        <v>55</v>
      </c>
      <c r="AS10" s="378">
        <f>AS7*0.5</f>
        <v>526</v>
      </c>
      <c r="AT10" s="378">
        <f>AT7*0.5</f>
        <v>20</v>
      </c>
      <c r="AU10" s="379">
        <f t="shared" si="0"/>
        <v>601</v>
      </c>
      <c r="AV10" s="65">
        <f>($AU$8-AU10)/$AU$8</f>
        <v>0.76578332034294627</v>
      </c>
      <c r="AW10" s="488"/>
      <c r="AX10" s="488"/>
    </row>
    <row r="11" spans="1:50" ht="45.75" thickBot="1" x14ac:dyDescent="0.3">
      <c r="A11" s="73" t="s">
        <v>127</v>
      </c>
      <c r="B11" s="387">
        <v>2025</v>
      </c>
      <c r="C11" s="388">
        <v>2026</v>
      </c>
      <c r="D11" s="389">
        <v>2027</v>
      </c>
      <c r="E11" s="74"/>
      <c r="F11" s="74"/>
      <c r="G11" s="397"/>
      <c r="H11" s="397"/>
      <c r="I11" s="397"/>
      <c r="J11" s="82" t="s">
        <v>128</v>
      </c>
      <c r="K11" s="61">
        <f>SUM(K5:K8)+K10</f>
        <v>192</v>
      </c>
      <c r="L11" s="61">
        <f>SUM(L5:L8)+L10</f>
        <v>880</v>
      </c>
      <c r="M11" s="61">
        <f>SUM(M5:M8)+M10</f>
        <v>1040</v>
      </c>
      <c r="N11" s="61">
        <f>SUM(N5:N8)+N10</f>
        <v>2112</v>
      </c>
      <c r="O11" s="397"/>
      <c r="P11" s="397"/>
      <c r="Q11" s="97" t="s">
        <v>129</v>
      </c>
      <c r="R11" s="491"/>
      <c r="S11" s="491">
        <v>2</v>
      </c>
      <c r="T11" s="94">
        <f t="shared" si="1"/>
        <v>2</v>
      </c>
      <c r="U11" s="53" t="s">
        <v>130</v>
      </c>
      <c r="V11" s="19"/>
      <c r="W11" s="95"/>
      <c r="X11" s="95"/>
      <c r="Y11" s="58" t="s">
        <v>131</v>
      </c>
      <c r="Z11" s="59">
        <f>$B$28</f>
        <v>42</v>
      </c>
      <c r="AA11" s="47">
        <f>ROUNDUP(0.05*AB11,0)</f>
        <v>4</v>
      </c>
      <c r="AB11" s="63">
        <v>80</v>
      </c>
      <c r="AC11" s="49">
        <f t="shared" si="3"/>
        <v>84</v>
      </c>
      <c r="AD11" s="397"/>
      <c r="AE11" s="370">
        <f t="shared" si="4"/>
        <v>5.419354838709677</v>
      </c>
      <c r="AF11" s="370">
        <f t="shared" si="4"/>
        <v>108.38709677419355</v>
      </c>
      <c r="AG11" s="370">
        <f>(Z12+Z49)*(AE11+AF11)/3</f>
        <v>2352</v>
      </c>
      <c r="AH11" s="43"/>
      <c r="AI11" s="397"/>
      <c r="AJ11" s="76" t="s">
        <v>132</v>
      </c>
      <c r="AK11" s="47">
        <f>'SLT NEI burden details'!$Z$51</f>
        <v>9</v>
      </c>
      <c r="AL11" s="169">
        <f>'SLT NEI burden details'!AA51/3</f>
        <v>8</v>
      </c>
      <c r="AM11" s="67">
        <f>'SLT NEI burden details'!AB51/3</f>
        <v>170.33333333333334</v>
      </c>
      <c r="AN11" s="54">
        <f>SUM(AL11:AM11)</f>
        <v>178.33333333333334</v>
      </c>
      <c r="AO11" s="68">
        <f>AL11*$AL$9+AM11*$AM$9</f>
        <v>15447.593379366359</v>
      </c>
      <c r="AP11" s="397"/>
      <c r="AQ11" s="408"/>
      <c r="AR11" s="410"/>
      <c r="AS11" s="410"/>
      <c r="AT11" s="410"/>
      <c r="AU11" s="410"/>
      <c r="AV11" s="409"/>
      <c r="AW11" s="488"/>
      <c r="AX11" s="488"/>
    </row>
    <row r="12" spans="1:50" ht="30.75" thickBot="1" x14ac:dyDescent="0.3">
      <c r="A12" s="77" t="s">
        <v>133</v>
      </c>
      <c r="B12" s="341" t="s">
        <v>134</v>
      </c>
      <c r="C12" s="341" t="s">
        <v>135</v>
      </c>
      <c r="D12" s="341" t="s">
        <v>136</v>
      </c>
      <c r="E12" s="78"/>
      <c r="F12" s="341"/>
      <c r="G12" s="397"/>
      <c r="H12" s="397"/>
      <c r="I12" s="397"/>
      <c r="J12" s="82" t="s">
        <v>137</v>
      </c>
      <c r="K12" s="135">
        <f>SUM(K6:K8)</f>
        <v>88</v>
      </c>
      <c r="L12" s="135">
        <f>SUM(L6:L8)</f>
        <v>880</v>
      </c>
      <c r="M12" s="135"/>
      <c r="N12" s="135">
        <f>SUM(N6:N8)</f>
        <v>968</v>
      </c>
      <c r="O12" s="397"/>
      <c r="P12" s="397"/>
      <c r="Q12" s="97" t="s">
        <v>138</v>
      </c>
      <c r="R12" s="315">
        <v>2</v>
      </c>
      <c r="S12" s="315">
        <v>4</v>
      </c>
      <c r="T12" s="94">
        <f t="shared" si="1"/>
        <v>6</v>
      </c>
      <c r="U12" s="53" t="s">
        <v>130</v>
      </c>
      <c r="V12" s="19"/>
      <c r="W12" s="98"/>
      <c r="X12" s="98"/>
      <c r="Y12" s="58" t="s">
        <v>139</v>
      </c>
      <c r="Z12" s="59">
        <f>Z6-1</f>
        <v>53</v>
      </c>
      <c r="AA12" s="47">
        <f t="shared" si="2"/>
        <v>6</v>
      </c>
      <c r="AB12" s="63">
        <v>120</v>
      </c>
      <c r="AC12" s="49">
        <f t="shared" si="3"/>
        <v>126</v>
      </c>
      <c r="AD12" s="397"/>
      <c r="AE12" s="370"/>
      <c r="AF12" s="370" t="s">
        <v>0</v>
      </c>
      <c r="AG12" s="370">
        <f>Z13*AC13/3</f>
        <v>63</v>
      </c>
      <c r="AH12" s="43"/>
      <c r="AI12" s="397"/>
      <c r="AJ12" s="71" t="s">
        <v>140</v>
      </c>
      <c r="AK12" s="27">
        <f>SUM(AK10:AK11)</f>
        <v>63</v>
      </c>
      <c r="AL12" s="81">
        <f>ROUND(($AK$10*AL10+$AK$11*AL11)/$AK$12,0)</f>
        <v>29</v>
      </c>
      <c r="AM12" s="81">
        <f>ROUND(($AK$10*AM10+$AK$11*AM11)/$AK$12,0)</f>
        <v>571</v>
      </c>
      <c r="AN12" s="81">
        <f>ROUND(($AK$10*AN10+$AK$11*AN11)/$AK$12,0)</f>
        <v>600</v>
      </c>
      <c r="AO12" s="494">
        <f>AL12*$AL$9+AM12*$AM$9</f>
        <v>52142.000257216379</v>
      </c>
      <c r="AP12" s="397"/>
      <c r="AQ12" s="424"/>
      <c r="AR12" s="410"/>
      <c r="AS12" s="410"/>
      <c r="AT12" s="410"/>
      <c r="AU12" s="410"/>
      <c r="AV12" s="409"/>
      <c r="AW12" s="488"/>
      <c r="AX12" s="488"/>
    </row>
    <row r="13" spans="1:50" ht="45.75" thickBot="1" x14ac:dyDescent="0.3">
      <c r="A13" s="17" t="s">
        <v>141</v>
      </c>
      <c r="B13" s="103" t="s">
        <v>142</v>
      </c>
      <c r="C13" s="13"/>
      <c r="D13" s="13"/>
      <c r="E13" s="397"/>
      <c r="F13" s="397"/>
      <c r="G13" s="397"/>
      <c r="H13" s="397"/>
      <c r="I13" s="397"/>
      <c r="J13" s="405"/>
      <c r="K13" s="406"/>
      <c r="L13" s="406"/>
      <c r="M13" s="406"/>
      <c r="N13" s="406"/>
      <c r="O13" s="397"/>
      <c r="P13" s="397"/>
      <c r="Q13" s="116" t="s">
        <v>143</v>
      </c>
      <c r="R13" s="117">
        <f>SUM(R6:R12)</f>
        <v>6</v>
      </c>
      <c r="S13" s="117">
        <f>SUM(S6:S12)</f>
        <v>70</v>
      </c>
      <c r="T13" s="118">
        <f>SUM(T6:T12)</f>
        <v>76</v>
      </c>
      <c r="U13" s="33" t="s">
        <v>116</v>
      </c>
      <c r="V13" s="98"/>
      <c r="W13" s="98"/>
      <c r="X13" s="98"/>
      <c r="Y13" s="79" t="s">
        <v>144</v>
      </c>
      <c r="Z13" s="80">
        <v>1</v>
      </c>
      <c r="AA13" s="47">
        <f t="shared" si="2"/>
        <v>9</v>
      </c>
      <c r="AB13" s="80">
        <v>180</v>
      </c>
      <c r="AC13" s="49">
        <f t="shared" si="3"/>
        <v>189</v>
      </c>
      <c r="AD13" s="397"/>
      <c r="AE13" s="50" t="s">
        <v>0</v>
      </c>
      <c r="AF13" s="50"/>
      <c r="AG13" s="51" t="s">
        <v>0</v>
      </c>
      <c r="AH13" s="43"/>
      <c r="AI13" s="397"/>
      <c r="AJ13" s="92" t="s">
        <v>145</v>
      </c>
      <c r="AK13" s="45"/>
      <c r="AL13" s="45"/>
      <c r="AM13" s="45"/>
      <c r="AN13" s="45"/>
      <c r="AO13" s="46"/>
      <c r="AP13" s="397"/>
      <c r="AQ13" s="424"/>
      <c r="AR13" s="410"/>
      <c r="AS13" s="420">
        <f>'Labor Information'!D14</f>
        <v>168.10050380067568</v>
      </c>
      <c r="AT13" s="420">
        <f>'Labor Information'!D13</f>
        <v>84.601021537162168</v>
      </c>
      <c r="AU13" s="420">
        <f>'Labor Information'!D15</f>
        <v>96.676225506756765</v>
      </c>
      <c r="AV13" s="409"/>
      <c r="AW13" s="488"/>
      <c r="AX13" s="488"/>
    </row>
    <row r="14" spans="1:50" ht="30.75" thickBot="1" x14ac:dyDescent="0.35">
      <c r="A14" s="332" t="s">
        <v>146</v>
      </c>
      <c r="B14" s="19">
        <v>9</v>
      </c>
      <c r="C14" s="19">
        <v>12</v>
      </c>
      <c r="D14" s="19">
        <v>14</v>
      </c>
      <c r="E14" s="5"/>
      <c r="F14" s="5"/>
      <c r="G14" s="500"/>
      <c r="H14" s="397"/>
      <c r="I14" s="397"/>
      <c r="J14" s="336" t="s">
        <v>147</v>
      </c>
      <c r="K14" s="397"/>
      <c r="L14" s="397"/>
      <c r="M14" s="397"/>
      <c r="N14" s="397"/>
      <c r="O14" s="397"/>
      <c r="P14" s="397"/>
      <c r="Q14" s="116" t="s">
        <v>148</v>
      </c>
      <c r="R14" s="117">
        <f>R13-R10</f>
        <v>4</v>
      </c>
      <c r="S14" s="117">
        <f>S13-S10</f>
        <v>46</v>
      </c>
      <c r="T14" s="118">
        <f>T13-T10</f>
        <v>50</v>
      </c>
      <c r="U14" s="124">
        <f>($T$13-T14)/$T$13</f>
        <v>0.34210526315789475</v>
      </c>
      <c r="V14" s="397"/>
      <c r="W14" s="98"/>
      <c r="X14" s="98"/>
      <c r="Y14" s="86" t="s">
        <v>149</v>
      </c>
      <c r="Z14" s="87">
        <f>MAX(Z6:Z13)</f>
        <v>54</v>
      </c>
      <c r="AA14" s="88">
        <f>ROUND(($Z$6*(AA6+AA9)+$Z$10*AA10+$Z$11*AA11+$Z$12*AA12+$Z$13*AA13)/$Z$14,0)</f>
        <v>96</v>
      </c>
      <c r="AB14" s="89">
        <f>ROUND(($Z$6*(AB6+AB9)+$Z$10*AB10+$Z$11*AB11+$Z$12*AB12+$Z$13*AB13)/$Z$14,0)</f>
        <v>1915</v>
      </c>
      <c r="AC14" s="89">
        <f t="shared" si="3"/>
        <v>2011</v>
      </c>
      <c r="AD14" s="397"/>
      <c r="AE14" s="90"/>
      <c r="AF14" s="91"/>
      <c r="AG14" s="397"/>
      <c r="AH14" s="397"/>
      <c r="AI14" s="397"/>
      <c r="AJ14" s="96" t="s">
        <v>150</v>
      </c>
      <c r="AK14" s="54">
        <f>AK7</f>
        <v>56</v>
      </c>
      <c r="AL14" s="54">
        <f>T43+T46</f>
        <v>5.3</v>
      </c>
      <c r="AM14" s="54">
        <f>U43+U46</f>
        <v>50</v>
      </c>
      <c r="AN14" s="54">
        <f>SUM(AL14:AM14)</f>
        <v>55.3</v>
      </c>
      <c r="AO14" s="68">
        <f>AL14*$AL$4+AM14*$AM$4</f>
        <v>5120.9837470016892</v>
      </c>
      <c r="AP14" s="397"/>
      <c r="AQ14" s="14" t="s">
        <v>151</v>
      </c>
      <c r="AR14" s="410"/>
      <c r="AS14" s="397"/>
      <c r="AT14" s="397"/>
      <c r="AU14" s="397"/>
      <c r="AV14" s="409"/>
      <c r="AW14" s="488"/>
      <c r="AX14" s="488"/>
    </row>
    <row r="15" spans="1:50" ht="60.75" thickBot="1" x14ac:dyDescent="0.3">
      <c r="A15" s="332" t="s">
        <v>152</v>
      </c>
      <c r="B15" s="5">
        <f>$B$9-B14</f>
        <v>59</v>
      </c>
      <c r="C15" s="5">
        <f>$B$9-C14</f>
        <v>56</v>
      </c>
      <c r="D15" s="5">
        <f>$B$9-D14</f>
        <v>54</v>
      </c>
      <c r="E15" s="5"/>
      <c r="F15" s="5"/>
      <c r="G15" s="500"/>
      <c r="H15" s="397"/>
      <c r="I15" s="397"/>
      <c r="J15" s="166"/>
      <c r="K15" s="489" t="s">
        <v>153</v>
      </c>
      <c r="L15" s="489" t="s">
        <v>154</v>
      </c>
      <c r="M15" s="489" t="s">
        <v>155</v>
      </c>
      <c r="N15" s="503" t="s">
        <v>156</v>
      </c>
      <c r="O15" s="503" t="s">
        <v>157</v>
      </c>
      <c r="P15" s="397"/>
      <c r="Q15" s="116" t="s">
        <v>158</v>
      </c>
      <c r="R15" s="117">
        <f>R6*0.5+R12</f>
        <v>3</v>
      </c>
      <c r="S15" s="117">
        <f>S6*0.5+S12</f>
        <v>16</v>
      </c>
      <c r="T15" s="118">
        <f>T6*0.5+T12</f>
        <v>19</v>
      </c>
      <c r="U15" s="124">
        <f>($T$13-T15)/$T$13</f>
        <v>0.75</v>
      </c>
      <c r="V15" s="397"/>
      <c r="W15" s="98"/>
      <c r="X15" s="98"/>
      <c r="Y15" s="432" t="s">
        <v>159</v>
      </c>
      <c r="Z15" s="433"/>
      <c r="AA15" s="433"/>
      <c r="AB15" s="433"/>
      <c r="AC15" s="434"/>
      <c r="AD15" s="397"/>
      <c r="AE15" s="371" t="s">
        <v>160</v>
      </c>
      <c r="AF15" s="371" t="s">
        <v>84</v>
      </c>
      <c r="AG15" s="372" t="s">
        <v>89</v>
      </c>
      <c r="AH15" s="397"/>
      <c r="AI15" s="397"/>
      <c r="AJ15" s="96" t="s">
        <v>161</v>
      </c>
      <c r="AK15" s="54">
        <f>'SLT NEI burden details'!Z20</f>
        <v>20</v>
      </c>
      <c r="AL15" s="54">
        <f>'SLT NEI burden details'!AA20/3</f>
        <v>6</v>
      </c>
      <c r="AM15" s="54">
        <f>'SLT NEI burden details'!AB20/3</f>
        <v>119</v>
      </c>
      <c r="AN15" s="54">
        <f>SUM(AL15:AM15)</f>
        <v>125</v>
      </c>
      <c r="AO15" s="68">
        <f>AL15*$AL$9+AM15*$AM$9</f>
        <v>10859.542204007099</v>
      </c>
      <c r="AP15" s="397"/>
      <c r="AQ15" s="438" t="s">
        <v>162</v>
      </c>
      <c r="AR15" s="430" t="s">
        <v>80</v>
      </c>
      <c r="AS15" s="430" t="str">
        <f>"Manager Hrs/yr @ "&amp;TEXT($AS$13,"$000.00")&amp;"/Hr"</f>
        <v>Manager Hrs/yr @ $168.10/Hr</v>
      </c>
      <c r="AT15" s="430" t="str">
        <f>"Scientist Hrs/yr @ "&amp;TEXT(AT13,"$00.00")&amp;"/Hr"</f>
        <v>Scientist Hrs/yr @ $84.60/Hr</v>
      </c>
      <c r="AU15" s="430" t="str">
        <f>"IT Hrs/yr @ "&amp;TEXT(AU13,"$00.00")&amp;"/Hr"</f>
        <v>IT Hrs/yr @ $96.68/Hr</v>
      </c>
      <c r="AV15" s="430" t="s">
        <v>12</v>
      </c>
      <c r="AW15" s="430" t="s">
        <v>81</v>
      </c>
      <c r="AX15" s="411"/>
    </row>
    <row r="16" spans="1:50" ht="30.75" thickBot="1" x14ac:dyDescent="0.3">
      <c r="A16" s="332" t="s">
        <v>163</v>
      </c>
      <c r="B16" s="5">
        <v>75</v>
      </c>
      <c r="C16" s="5">
        <v>75</v>
      </c>
      <c r="D16" s="5">
        <v>70</v>
      </c>
      <c r="E16" s="91"/>
      <c r="F16" s="5"/>
      <c r="G16" s="487"/>
      <c r="H16" s="397"/>
      <c r="I16" s="397"/>
      <c r="J16" s="168" t="s">
        <v>83</v>
      </c>
      <c r="K16" s="427">
        <f>'Labor Information'!D14</f>
        <v>168.10050380067568</v>
      </c>
      <c r="L16" s="427">
        <f>'Labor Information'!D13</f>
        <v>84.601021537162168</v>
      </c>
      <c r="M16" s="427">
        <f>'Labor Information'!D15</f>
        <v>96.676225506756765</v>
      </c>
      <c r="N16" s="504"/>
      <c r="O16" s="504"/>
      <c r="P16" s="397"/>
      <c r="Q16" s="509" t="s">
        <v>164</v>
      </c>
      <c r="R16" s="510"/>
      <c r="S16" s="510"/>
      <c r="T16" s="510"/>
      <c r="U16" s="511"/>
      <c r="V16" s="488"/>
      <c r="W16" s="488"/>
      <c r="X16" s="488"/>
      <c r="Y16" s="201" t="s">
        <v>165</v>
      </c>
      <c r="Z16" s="202">
        <v>13</v>
      </c>
      <c r="AA16" s="203">
        <f>ROUNDUP(0.05*AB16,0)</f>
        <v>14</v>
      </c>
      <c r="AB16" s="204">
        <f>(AB29+AB30+AB34)*20</f>
        <v>280</v>
      </c>
      <c r="AC16" s="205">
        <f>SUM(AA16:AB16)</f>
        <v>294</v>
      </c>
      <c r="AD16" s="397"/>
      <c r="AE16" s="333">
        <f>MAX(Z16:Z17)+Z56</f>
        <v>20</v>
      </c>
      <c r="AF16" s="91">
        <f>($Z$16*AA16+$Z$17*AA17+$Z$53*AA53+$Z$54*AA54)/$AE$16</f>
        <v>12.05</v>
      </c>
      <c r="AG16" s="91">
        <f>($Z$16*AB16+$Z$17*AB17+$Z$53*AB53+$Z$54*AB54)/$AE$16</f>
        <v>235.4</v>
      </c>
      <c r="AH16" s="397"/>
      <c r="AI16" s="397"/>
      <c r="AJ16" s="96" t="s">
        <v>166</v>
      </c>
      <c r="AK16" s="54">
        <f>'SLT NEI burden details'!Z56</f>
        <v>7</v>
      </c>
      <c r="AL16" s="54">
        <f>'SLT NEI burden details'!AA56/3</f>
        <v>4</v>
      </c>
      <c r="AM16" s="54">
        <f>'SLT NEI burden details'!AB56/3</f>
        <v>70.333333333333329</v>
      </c>
      <c r="AN16" s="54">
        <f>SUM(AL16:AM16)</f>
        <v>74.333333333333329</v>
      </c>
      <c r="AO16" s="68">
        <f>AL16*$AL$9+AM16*$AM$9</f>
        <v>6492.7947484246542</v>
      </c>
      <c r="AP16" s="397"/>
      <c r="AQ16" s="437" t="s">
        <v>167</v>
      </c>
      <c r="AR16" s="53">
        <f>NoSLTsReporting-U32-U31</f>
        <v>56</v>
      </c>
      <c r="AS16" s="423">
        <f>'SLT NEI burden details'!AR8</f>
        <v>234</v>
      </c>
      <c r="AT16" s="423">
        <f>'SLT NEI burden details'!AS8</f>
        <v>1172</v>
      </c>
      <c r="AU16" s="423">
        <f>'SLT NEI burden details'!AT8</f>
        <v>1160</v>
      </c>
      <c r="AV16" s="423">
        <f>SUM(AS16:AU16)</f>
        <v>2566</v>
      </c>
      <c r="AW16" s="422">
        <f>AS16*$AS$13+AT16*$AT$13+AU16*$AU$13</f>
        <v>250632.33671875001</v>
      </c>
      <c r="AX16" s="412"/>
    </row>
    <row r="17" spans="1:50" ht="45.75" thickBot="1" x14ac:dyDescent="0.3">
      <c r="A17" s="332" t="s">
        <v>168</v>
      </c>
      <c r="B17" s="5"/>
      <c r="C17" s="5"/>
      <c r="D17" s="5"/>
      <c r="E17" s="91"/>
      <c r="F17" s="5"/>
      <c r="G17" s="397"/>
      <c r="H17" s="397"/>
      <c r="I17" s="397"/>
      <c r="J17" s="323" t="s">
        <v>169</v>
      </c>
      <c r="K17" s="324"/>
      <c r="L17" s="324"/>
      <c r="M17" s="324"/>
      <c r="N17" s="324"/>
      <c r="O17" s="325"/>
      <c r="P17" s="397"/>
      <c r="Q17" s="97" t="s">
        <v>170</v>
      </c>
      <c r="R17" s="491">
        <f>ROUNDUP(0.1 *(S17),0)</f>
        <v>12</v>
      </c>
      <c r="S17" s="36">
        <v>120</v>
      </c>
      <c r="T17" s="37">
        <f t="shared" ref="T17:T26" si="5">R17+S17</f>
        <v>132</v>
      </c>
      <c r="U17" s="53" t="s">
        <v>171</v>
      </c>
      <c r="V17" s="397"/>
      <c r="W17" s="488"/>
      <c r="X17" s="488"/>
      <c r="Y17" s="99" t="s">
        <v>172</v>
      </c>
      <c r="Z17" s="36">
        <v>5</v>
      </c>
      <c r="AA17" s="36">
        <f>ROUNDUP(0.05*AB17,0)</f>
        <v>2</v>
      </c>
      <c r="AB17" s="102">
        <f>40</f>
        <v>40</v>
      </c>
      <c r="AC17" s="36">
        <f>SUM(AA17:AB17)</f>
        <v>42</v>
      </c>
      <c r="AD17" s="397"/>
      <c r="AE17" s="91" t="s">
        <v>0</v>
      </c>
      <c r="AF17" s="91"/>
      <c r="AG17" s="397"/>
      <c r="AH17" s="397"/>
      <c r="AI17" s="397"/>
      <c r="AJ17" s="104" t="s">
        <v>173</v>
      </c>
      <c r="AK17" s="89">
        <f>MAX(AK14:AK16)</f>
        <v>56</v>
      </c>
      <c r="AL17" s="88">
        <f>ROUND(($AK$14*AL14+$AK$15*AL15+$AK$16*AL16)/$AK$17,0)</f>
        <v>8</v>
      </c>
      <c r="AM17" s="88">
        <f>ROUND(($AK$14*AM14+$AK$15*AM15+$AK$16*AM16)/$AK$17,0)</f>
        <v>101</v>
      </c>
      <c r="AN17" s="88">
        <f>ROUND(($AK$14*AN14+$AK$15*AN15+$AK$16*AN16)/$AK$17,0)</f>
        <v>109</v>
      </c>
      <c r="AO17" s="105">
        <f>ROUND((AK14*AO14+$AK$15*AO15+$AK$16*AO16)/$AK$17,0)</f>
        <v>9811</v>
      </c>
      <c r="AP17" s="397"/>
      <c r="AQ17" s="437" t="s">
        <v>4</v>
      </c>
      <c r="AR17" s="102">
        <f>U31</f>
        <v>2</v>
      </c>
      <c r="AS17" s="423">
        <f>'SLT NEI burden details'!AR9</f>
        <v>154.19999999999999</v>
      </c>
      <c r="AT17" s="423">
        <f>'SLT NEI burden details'!AS9</f>
        <v>622</v>
      </c>
      <c r="AU17" s="423">
        <f>'SLT NEI burden details'!AT9</f>
        <v>916</v>
      </c>
      <c r="AV17" s="423">
        <f t="shared" ref="AV17:AV18" si="6">SUM(AS17:AU17)</f>
        <v>1692.2</v>
      </c>
      <c r="AW17" s="422">
        <f>AS17*$AS$13+AT17*$AT$13+AU17*$AU$13</f>
        <v>167098.35564636823</v>
      </c>
      <c r="AX17" s="397"/>
    </row>
    <row r="18" spans="1:50" ht="30.75" thickBot="1" x14ac:dyDescent="0.3">
      <c r="A18" s="332" t="s">
        <v>174</v>
      </c>
      <c r="B18" s="5">
        <f>B14</f>
        <v>9</v>
      </c>
      <c r="C18" s="5">
        <f>C14</f>
        <v>12</v>
      </c>
      <c r="D18" s="5">
        <f>D14</f>
        <v>14</v>
      </c>
      <c r="E18" s="333"/>
      <c r="F18" s="5"/>
      <c r="G18" s="397"/>
      <c r="H18" s="397"/>
      <c r="I18" s="397"/>
      <c r="J18" s="171" t="s">
        <v>175</v>
      </c>
      <c r="K18" s="385">
        <f t="shared" ref="K18:M19" si="7">K11/3</f>
        <v>64</v>
      </c>
      <c r="L18" s="385">
        <f t="shared" si="7"/>
        <v>293.33333333333331</v>
      </c>
      <c r="M18" s="385">
        <f t="shared" si="7"/>
        <v>346.66666666666669</v>
      </c>
      <c r="N18" s="374">
        <f>SUM(K18:M18)</f>
        <v>704</v>
      </c>
      <c r="O18" s="386">
        <f>K18*$K$16+L18*$L$16+M18*$M$16</f>
        <v>69089.156736486504</v>
      </c>
      <c r="P18" s="397"/>
      <c r="Q18" s="97" t="s">
        <v>176</v>
      </c>
      <c r="R18" s="491">
        <v>0</v>
      </c>
      <c r="S18" s="48">
        <v>4</v>
      </c>
      <c r="T18" s="37">
        <f t="shared" si="5"/>
        <v>4</v>
      </c>
      <c r="U18" s="53">
        <v>3</v>
      </c>
      <c r="V18" s="397"/>
      <c r="W18" s="19"/>
      <c r="X18" s="19"/>
      <c r="Y18" s="99" t="s">
        <v>177</v>
      </c>
      <c r="Z18" s="36">
        <v>20</v>
      </c>
      <c r="AA18" s="36">
        <f>AB18*0.05</f>
        <v>8</v>
      </c>
      <c r="AB18" s="102">
        <v>160</v>
      </c>
      <c r="AC18" s="36">
        <f>SUM(AA18:AB18)</f>
        <v>168</v>
      </c>
      <c r="AD18" s="397"/>
      <c r="AE18" s="91"/>
      <c r="AF18" s="91"/>
      <c r="AG18" s="397"/>
      <c r="AH18" s="397"/>
      <c r="AI18" s="397"/>
      <c r="AJ18" s="317"/>
      <c r="AK18" s="318"/>
      <c r="AL18" s="319"/>
      <c r="AM18" s="319"/>
      <c r="AN18" s="319"/>
      <c r="AO18" s="319"/>
      <c r="AP18" s="320"/>
      <c r="AQ18" s="437" t="s">
        <v>5</v>
      </c>
      <c r="AR18" s="290">
        <f>U32</f>
        <v>10</v>
      </c>
      <c r="AS18" s="423">
        <f>'SLT NEI burden details'!AR10</f>
        <v>55</v>
      </c>
      <c r="AT18" s="423">
        <f>'SLT NEI burden details'!AS10</f>
        <v>526</v>
      </c>
      <c r="AU18" s="423">
        <f>'SLT NEI burden details'!AT10</f>
        <v>20</v>
      </c>
      <c r="AV18" s="423">
        <f t="shared" si="6"/>
        <v>601</v>
      </c>
      <c r="AW18" s="422">
        <f>AS18*$AS$13+AT18*$AT$13+AU18*$AU$13</f>
        <v>55679.189547719594</v>
      </c>
      <c r="AX18" s="488"/>
    </row>
    <row r="19" spans="1:50" ht="45.75" thickBot="1" x14ac:dyDescent="0.3">
      <c r="A19" s="332" t="s">
        <v>178</v>
      </c>
      <c r="B19" s="5">
        <f>B16-B18</f>
        <v>66</v>
      </c>
      <c r="C19" s="5">
        <f>C16-C18</f>
        <v>63</v>
      </c>
      <c r="D19" s="5">
        <f>D16-D18</f>
        <v>56</v>
      </c>
      <c r="E19" s="91"/>
      <c r="F19" s="5"/>
      <c r="G19" s="397"/>
      <c r="H19" s="397"/>
      <c r="I19" s="397"/>
      <c r="J19" s="171" t="s">
        <v>179</v>
      </c>
      <c r="K19" s="182">
        <f t="shared" si="7"/>
        <v>29.333333333333332</v>
      </c>
      <c r="L19" s="182">
        <f t="shared" si="7"/>
        <v>293.33333333333331</v>
      </c>
      <c r="M19" s="182">
        <f t="shared" si="7"/>
        <v>0</v>
      </c>
      <c r="N19" s="182">
        <f>SUM(K19:M19)</f>
        <v>322.66666666666663</v>
      </c>
      <c r="O19" s="183">
        <f>K19*$K$16+L19*$L$16+M19*$M$16</f>
        <v>29747.247762387389</v>
      </c>
      <c r="P19" s="397"/>
      <c r="Q19" s="97" t="s">
        <v>180</v>
      </c>
      <c r="R19" s="491">
        <v>0</v>
      </c>
      <c r="S19" s="48">
        <v>16</v>
      </c>
      <c r="T19" s="37">
        <f t="shared" si="5"/>
        <v>16</v>
      </c>
      <c r="U19" s="53">
        <v>3</v>
      </c>
      <c r="V19" s="397"/>
      <c r="W19" s="19"/>
      <c r="X19" s="19"/>
      <c r="Y19" s="99" t="s">
        <v>181</v>
      </c>
      <c r="Z19" s="36">
        <v>9</v>
      </c>
      <c r="AA19" s="36">
        <v>1</v>
      </c>
      <c r="AB19" s="102">
        <v>10</v>
      </c>
      <c r="AC19" s="36">
        <f>SUM(AA19:AB19)</f>
        <v>11</v>
      </c>
      <c r="AD19" s="397"/>
      <c r="AE19" s="91"/>
      <c r="AF19" s="91"/>
      <c r="AG19" s="397"/>
      <c r="AH19" s="397"/>
      <c r="AI19" s="397"/>
      <c r="AJ19" s="317"/>
      <c r="AK19" s="318"/>
      <c r="AL19" s="319"/>
      <c r="AM19" s="319"/>
      <c r="AN19" s="319"/>
      <c r="AO19" s="319"/>
      <c r="AP19" s="320"/>
      <c r="AQ19" s="440" t="s">
        <v>182</v>
      </c>
      <c r="AR19" s="102">
        <f>SUM(AR16:AR18)</f>
        <v>68</v>
      </c>
      <c r="AS19" s="441">
        <f>(AS16*$AR$16+AS17*$AR$17+AS18*$AR$18)/$AR$19</f>
        <v>205.32941176470587</v>
      </c>
      <c r="AT19" s="441">
        <f>(AT16*$AR$16+AT17*$AR$17+AT18*$AR$18)/$AR$19</f>
        <v>1060.8235294117646</v>
      </c>
      <c r="AU19" s="441">
        <f>(AU16*$AR$16+AU17*$AR$17+AU18*$AR$18)/$AR$19</f>
        <v>985.17647058823525</v>
      </c>
      <c r="AV19" s="441">
        <f>(AV16*$AR$16+AV17*$AR$17+AV18*$AR$18)/$AR$19</f>
        <v>2251.3294117647056</v>
      </c>
      <c r="AW19" s="422">
        <f>(AW16*$AR$16+AW17*$AR$17+AW18*$AR$18)/$AR$19</f>
        <v>219505.87445617549</v>
      </c>
      <c r="AX19" s="397"/>
    </row>
    <row r="20" spans="1:50" ht="30.75" thickBot="1" x14ac:dyDescent="0.3">
      <c r="A20" s="397"/>
      <c r="B20" s="397"/>
      <c r="C20" s="397"/>
      <c r="D20" s="397"/>
      <c r="E20" s="397"/>
      <c r="F20" s="397"/>
      <c r="G20" s="343"/>
      <c r="H20" s="397"/>
      <c r="I20" s="397"/>
      <c r="J20" s="397"/>
      <c r="K20" s="397"/>
      <c r="L20" s="397"/>
      <c r="M20" s="397"/>
      <c r="N20" s="397"/>
      <c r="O20" s="397"/>
      <c r="P20" s="397"/>
      <c r="Q20" s="97" t="s">
        <v>183</v>
      </c>
      <c r="R20" s="491">
        <v>0</v>
      </c>
      <c r="S20" s="48">
        <v>8</v>
      </c>
      <c r="T20" s="37">
        <f t="shared" si="5"/>
        <v>8</v>
      </c>
      <c r="U20" s="53">
        <v>3</v>
      </c>
      <c r="V20" s="397"/>
      <c r="W20" s="19"/>
      <c r="X20" s="19"/>
      <c r="Y20" s="86" t="s">
        <v>184</v>
      </c>
      <c r="Z20" s="89">
        <f>MAX(Z16:Z18)</f>
        <v>20</v>
      </c>
      <c r="AA20" s="89">
        <f>ROUND(($Z$16*AA16+$Z$17*AA17+$Z$18*AA18+$Z$19*AA19)/$Z$20,0)</f>
        <v>18</v>
      </c>
      <c r="AB20" s="89">
        <f>ROUND(($Z$16*AB16+$Z$17*AB17+$Z$18*AB18+$Z$19*AB19)/$Z$20,0)</f>
        <v>357</v>
      </c>
      <c r="AC20" s="89">
        <f>ROUND(($Z$16*AC16+$Z$17*AC17+$Z$18*AC18+$Z19*AC19)/$Z$20,0)</f>
        <v>375</v>
      </c>
      <c r="AD20" s="397"/>
      <c r="AE20" s="91"/>
      <c r="AF20" s="91"/>
      <c r="AG20" s="397"/>
      <c r="AH20" s="397"/>
      <c r="AI20" s="397"/>
      <c r="AJ20" s="397"/>
      <c r="AK20" s="22">
        <f>'Labor Information'!D14</f>
        <v>168.10050380067568</v>
      </c>
      <c r="AL20" s="22">
        <f>'Labor Information'!D13</f>
        <v>84.601021537162168</v>
      </c>
      <c r="AM20" s="397"/>
      <c r="AN20" s="397"/>
      <c r="AO20" s="397"/>
      <c r="AP20" s="397"/>
      <c r="AQ20" s="397"/>
      <c r="AR20" s="397"/>
      <c r="AS20" s="397"/>
      <c r="AT20" s="397"/>
      <c r="AU20" s="397"/>
      <c r="AV20" s="397"/>
      <c r="AW20" s="397"/>
      <c r="AX20" s="397"/>
    </row>
    <row r="21" spans="1:50" ht="30.75" thickBot="1" x14ac:dyDescent="0.3">
      <c r="A21" s="397"/>
      <c r="B21" s="397"/>
      <c r="C21" s="342"/>
      <c r="D21" s="342"/>
      <c r="E21" s="342"/>
      <c r="F21" s="342"/>
      <c r="G21" s="342"/>
      <c r="H21" s="342"/>
      <c r="I21" s="397"/>
      <c r="J21" s="397"/>
      <c r="K21" s="397"/>
      <c r="L21" s="397"/>
      <c r="M21" s="397"/>
      <c r="N21" s="397"/>
      <c r="O21" s="178"/>
      <c r="P21" s="397"/>
      <c r="Q21" s="97" t="s">
        <v>185</v>
      </c>
      <c r="R21" s="491">
        <f>ROUNDUP(0.1 *(S21),0)</f>
        <v>12</v>
      </c>
      <c r="S21" s="48">
        <v>120</v>
      </c>
      <c r="T21" s="37">
        <f t="shared" si="5"/>
        <v>132</v>
      </c>
      <c r="U21" s="53"/>
      <c r="V21" s="397"/>
      <c r="W21" s="19"/>
      <c r="X21" s="19"/>
      <c r="Y21" s="111"/>
      <c r="Z21" s="112"/>
      <c r="AA21" s="112"/>
      <c r="AB21" s="113"/>
      <c r="AC21" s="112"/>
      <c r="AD21" s="397"/>
      <c r="AE21" s="91"/>
      <c r="AF21" s="91"/>
      <c r="AG21" s="397"/>
      <c r="AH21" s="397"/>
      <c r="AI21" s="397"/>
      <c r="AJ21" s="15" t="s">
        <v>186</v>
      </c>
      <c r="AK21" s="397"/>
      <c r="AL21" s="397"/>
      <c r="AM21" s="397"/>
      <c r="AN21" s="397"/>
      <c r="AO21" s="397"/>
      <c r="AP21" s="397"/>
      <c r="AQ21" s="397"/>
      <c r="AR21" s="397"/>
      <c r="AS21" s="397"/>
      <c r="AT21" s="397"/>
      <c r="AU21" s="397"/>
      <c r="AV21" s="397"/>
      <c r="AW21" s="397"/>
      <c r="AX21" s="397"/>
    </row>
    <row r="22" spans="1:50" ht="60.75" thickBot="1" x14ac:dyDescent="0.35">
      <c r="A22" s="17" t="s">
        <v>187</v>
      </c>
      <c r="B22" s="5"/>
      <c r="C22" s="397"/>
      <c r="D22" s="397"/>
      <c r="E22" s="397"/>
      <c r="F22" s="397"/>
      <c r="G22" s="397"/>
      <c r="H22" s="397"/>
      <c r="I22" s="397"/>
      <c r="J22" s="397"/>
      <c r="K22" s="397"/>
      <c r="L22" s="397"/>
      <c r="M22" s="397"/>
      <c r="N22" s="397"/>
      <c r="O22" s="178"/>
      <c r="P22" s="397"/>
      <c r="Q22" s="142" t="s">
        <v>188</v>
      </c>
      <c r="R22" s="491">
        <f>ROUNDUP(0.1 *(S22),0)</f>
        <v>1</v>
      </c>
      <c r="S22" s="48">
        <v>2</v>
      </c>
      <c r="T22" s="37">
        <f t="shared" si="5"/>
        <v>3</v>
      </c>
      <c r="U22" s="53" t="s">
        <v>130</v>
      </c>
      <c r="V22" s="397"/>
      <c r="W22" s="19"/>
      <c r="X22" s="19"/>
      <c r="Y22" s="329" t="s">
        <v>189</v>
      </c>
      <c r="Z22" s="322"/>
      <c r="AA22" s="322"/>
      <c r="AB22" s="322"/>
      <c r="AC22" s="322"/>
      <c r="AD22" s="397"/>
      <c r="AE22" s="91"/>
      <c r="AF22" s="91"/>
      <c r="AG22" s="397"/>
      <c r="AH22" s="397"/>
      <c r="AI22" s="397"/>
      <c r="AJ22" s="115" t="s">
        <v>10</v>
      </c>
      <c r="AK22" s="27" t="str">
        <f>"Manager Hrs/yr @ "&amp;TEXT(AK20,"$000.00")&amp;"/Hr"</f>
        <v>Manager Hrs/yr @ $168.10/Hr</v>
      </c>
      <c r="AL22" s="27" t="str">
        <f>"Scientist Hrs/yr @ "&amp;TEXT(AL20,"$00.00")&amp;"/Hr"</f>
        <v>Scientist Hrs/yr @ $84.60/Hr</v>
      </c>
      <c r="AM22" s="27" t="s">
        <v>190</v>
      </c>
      <c r="AN22" s="28" t="s">
        <v>191</v>
      </c>
      <c r="AO22" s="397"/>
      <c r="AP22" s="397"/>
      <c r="AQ22" s="397"/>
      <c r="AR22" s="397"/>
      <c r="AS22" s="397"/>
      <c r="AT22" s="397"/>
      <c r="AU22" s="397"/>
      <c r="AV22" s="397"/>
      <c r="AW22" s="397"/>
      <c r="AX22" s="397"/>
    </row>
    <row r="23" spans="1:50" ht="75.75" thickBot="1" x14ac:dyDescent="0.3">
      <c r="A23" s="137" t="s">
        <v>192</v>
      </c>
      <c r="B23" s="5">
        <v>92</v>
      </c>
      <c r="C23" s="397"/>
      <c r="D23" s="397"/>
      <c r="E23" s="397"/>
      <c r="F23" s="397"/>
      <c r="G23" s="397"/>
      <c r="H23" s="397"/>
      <c r="I23" s="397"/>
      <c r="J23" s="397"/>
      <c r="K23" s="397"/>
      <c r="L23" s="397"/>
      <c r="M23" s="397"/>
      <c r="N23" s="397"/>
      <c r="O23" s="178"/>
      <c r="P23" s="397"/>
      <c r="Q23" s="142" t="s">
        <v>193</v>
      </c>
      <c r="R23" s="491">
        <v>10</v>
      </c>
      <c r="S23" s="48">
        <v>20</v>
      </c>
      <c r="T23" s="37">
        <f t="shared" si="5"/>
        <v>30</v>
      </c>
      <c r="U23" s="53" t="s">
        <v>130</v>
      </c>
      <c r="V23" s="397"/>
      <c r="W23" s="19"/>
      <c r="X23" s="19"/>
      <c r="Y23" s="435" t="s">
        <v>194</v>
      </c>
      <c r="Z23" s="62" t="s">
        <v>195</v>
      </c>
      <c r="AA23" s="62" t="s">
        <v>196</v>
      </c>
      <c r="AB23" s="62" t="s">
        <v>197</v>
      </c>
      <c r="AC23" s="62" t="s">
        <v>198</v>
      </c>
      <c r="AD23" s="62" t="s">
        <v>199</v>
      </c>
      <c r="AE23" s="62" t="s">
        <v>200</v>
      </c>
      <c r="AF23" s="397"/>
      <c r="AG23" s="397"/>
      <c r="AH23" s="397"/>
      <c r="AI23" s="397"/>
      <c r="AJ23" s="121" t="s">
        <v>201</v>
      </c>
      <c r="AK23" s="122"/>
      <c r="AL23" s="122"/>
      <c r="AM23" s="122"/>
      <c r="AN23" s="123"/>
      <c r="AO23" s="397"/>
      <c r="AP23" s="397"/>
      <c r="AQ23" s="397"/>
      <c r="AR23" s="397"/>
      <c r="AS23" s="397"/>
      <c r="AT23" s="397"/>
      <c r="AU23" s="397"/>
      <c r="AV23" s="397"/>
      <c r="AW23" s="397"/>
      <c r="AX23" s="397"/>
    </row>
    <row r="24" spans="1:50" ht="45.75" thickBot="1" x14ac:dyDescent="0.3">
      <c r="A24" s="137" t="s">
        <v>202</v>
      </c>
      <c r="B24" s="5">
        <v>20</v>
      </c>
      <c r="C24" s="397"/>
      <c r="D24" s="397"/>
      <c r="E24" s="397"/>
      <c r="F24" s="397"/>
      <c r="G24" s="397"/>
      <c r="H24" s="397"/>
      <c r="I24" s="397"/>
      <c r="J24" s="397"/>
      <c r="K24" s="397"/>
      <c r="L24" s="397"/>
      <c r="M24" s="397"/>
      <c r="N24" s="397"/>
      <c r="O24" s="178"/>
      <c r="P24" s="397"/>
      <c r="Q24" s="144" t="s">
        <v>203</v>
      </c>
      <c r="R24" s="117">
        <f>SUM(R17:R23)</f>
        <v>35</v>
      </c>
      <c r="S24" s="117">
        <f>SUM(S17:S23)</f>
        <v>290</v>
      </c>
      <c r="T24" s="145">
        <f t="shared" si="5"/>
        <v>325</v>
      </c>
      <c r="U24" s="33" t="s">
        <v>116</v>
      </c>
      <c r="V24" s="397"/>
      <c r="W24" s="19"/>
      <c r="X24" s="19"/>
      <c r="Y24" s="119" t="s">
        <v>204</v>
      </c>
      <c r="Z24" s="63">
        <f>AH27</f>
        <v>36</v>
      </c>
      <c r="AA24" s="63" t="s">
        <v>205</v>
      </c>
      <c r="AB24" s="63">
        <f>2*ROUNDUP((AH28+AH29)/AH27,0)</f>
        <v>12</v>
      </c>
      <c r="AC24" s="63">
        <v>20</v>
      </c>
      <c r="AD24" s="491">
        <f t="shared" ref="AD24:AD30" si="8">Z24*AB24*AC24</f>
        <v>8640</v>
      </c>
      <c r="AE24" s="505">
        <f>ROUND(SUM(AD25+AD24)/$Z$25,0)</f>
        <v>1168</v>
      </c>
      <c r="AF24" s="397"/>
      <c r="AG24" s="397"/>
      <c r="AH24" s="397"/>
      <c r="AI24" s="397"/>
      <c r="AJ24" s="130" t="s">
        <v>206</v>
      </c>
      <c r="AK24" s="374">
        <f>R44-R43</f>
        <v>-0.99999999999999911</v>
      </c>
      <c r="AL24" s="475">
        <f>S44-S43</f>
        <v>-12.199999999999996</v>
      </c>
      <c r="AM24" s="475">
        <f>SUM(AK24:AL24)</f>
        <v>-13.199999999999996</v>
      </c>
      <c r="AN24" s="474">
        <f>AK24*$AK$20+AL24*$AL$20</f>
        <v>-1200.2329665540537</v>
      </c>
      <c r="AO24" s="397"/>
      <c r="AP24" s="397"/>
      <c r="AQ24" s="397"/>
      <c r="AR24" s="397"/>
      <c r="AS24" s="397"/>
      <c r="AT24" s="397"/>
      <c r="AU24" s="397"/>
      <c r="AV24" s="397"/>
      <c r="AW24" s="397"/>
      <c r="AX24" s="397"/>
    </row>
    <row r="25" spans="1:50" ht="30.75" thickBot="1" x14ac:dyDescent="0.3">
      <c r="A25" s="137" t="s">
        <v>207</v>
      </c>
      <c r="B25" s="5">
        <v>5</v>
      </c>
      <c r="C25" s="16" t="s">
        <v>208</v>
      </c>
      <c r="D25" s="397"/>
      <c r="E25" s="397"/>
      <c r="F25" s="397"/>
      <c r="G25" s="397"/>
      <c r="H25" s="397"/>
      <c r="I25" s="397"/>
      <c r="J25" s="397"/>
      <c r="K25" s="397"/>
      <c r="L25" s="397"/>
      <c r="M25" s="397"/>
      <c r="N25" s="397"/>
      <c r="O25" s="178"/>
      <c r="P25" s="397"/>
      <c r="Q25" s="144" t="s">
        <v>209</v>
      </c>
      <c r="R25" s="117">
        <f>R24-R21</f>
        <v>23</v>
      </c>
      <c r="S25" s="117">
        <f>S24-S21</f>
        <v>170</v>
      </c>
      <c r="T25" s="145">
        <f t="shared" si="5"/>
        <v>193</v>
      </c>
      <c r="U25" s="147">
        <f>($T$24-T25)/$T$24</f>
        <v>0.40615384615384614</v>
      </c>
      <c r="V25" s="397"/>
      <c r="W25" s="19"/>
      <c r="X25" s="19"/>
      <c r="Y25" s="130" t="s">
        <v>210</v>
      </c>
      <c r="Z25" s="63">
        <f>Z6</f>
        <v>54</v>
      </c>
      <c r="AA25" s="63" t="s">
        <v>205</v>
      </c>
      <c r="AB25" s="63">
        <f>ROUND((Z24*(AH26-AB24)+(Z25-Z24)*AH26)/Z25,0)</f>
        <v>84</v>
      </c>
      <c r="AC25" s="63">
        <v>12</v>
      </c>
      <c r="AD25" s="491">
        <f t="shared" si="8"/>
        <v>54432</v>
      </c>
      <c r="AE25" s="505"/>
      <c r="AF25" s="397"/>
      <c r="AG25" s="120" t="s">
        <v>83</v>
      </c>
      <c r="AH25" s="29" t="s">
        <v>211</v>
      </c>
      <c r="AI25" s="20"/>
      <c r="AJ25" s="134" t="s">
        <v>212</v>
      </c>
      <c r="AK25" s="475">
        <f>R47-R46</f>
        <v>-2.0333333333333323</v>
      </c>
      <c r="AL25" s="475">
        <f>S47-S46</f>
        <v>-22.333333333333336</v>
      </c>
      <c r="AM25" s="475">
        <f>SUM(AK25:AL25)</f>
        <v>-24.366666666666667</v>
      </c>
      <c r="AN25" s="474">
        <f>AK25*$AK$20+AL25*$AL$20</f>
        <v>-2231.2271720579956</v>
      </c>
      <c r="AO25" s="397"/>
      <c r="AP25" s="397"/>
      <c r="AQ25" s="397"/>
      <c r="AR25" s="397"/>
      <c r="AS25" s="397"/>
      <c r="AT25" s="397"/>
      <c r="AU25" s="397"/>
      <c r="AV25" s="397"/>
      <c r="AW25" s="397"/>
      <c r="AX25" s="397"/>
    </row>
    <row r="26" spans="1:50" ht="30.75" thickBot="1" x14ac:dyDescent="0.3">
      <c r="A26" s="137" t="s">
        <v>213</v>
      </c>
      <c r="B26" s="5">
        <f>NoSLTsReporting-25</f>
        <v>43</v>
      </c>
      <c r="C26" s="397"/>
      <c r="D26" s="397"/>
      <c r="E26" s="397"/>
      <c r="F26" s="397"/>
      <c r="G26" s="397"/>
      <c r="H26" s="397"/>
      <c r="I26" s="397"/>
      <c r="J26" s="397"/>
      <c r="K26" s="397"/>
      <c r="L26" s="397"/>
      <c r="M26" s="397"/>
      <c r="N26" s="397"/>
      <c r="O26" s="178"/>
      <c r="P26" s="397"/>
      <c r="Q26" s="144" t="s">
        <v>214</v>
      </c>
      <c r="R26" s="117">
        <f>R17*0.5+R23</f>
        <v>16</v>
      </c>
      <c r="S26" s="117">
        <f>S17*0.5+S23</f>
        <v>80</v>
      </c>
      <c r="T26" s="145">
        <f t="shared" si="5"/>
        <v>96</v>
      </c>
      <c r="U26" s="147">
        <f>($T$24-T26)/$T$24</f>
        <v>0.70461538461538464</v>
      </c>
      <c r="V26" s="397"/>
      <c r="W26" s="112"/>
      <c r="X26" s="112"/>
      <c r="Y26" s="119" t="s">
        <v>215</v>
      </c>
      <c r="Z26" s="133">
        <f>AH34+AH33</f>
        <v>16</v>
      </c>
      <c r="AA26" s="133" t="s">
        <v>216</v>
      </c>
      <c r="AB26" s="63">
        <v>1</v>
      </c>
      <c r="AC26" s="63">
        <v>40</v>
      </c>
      <c r="AD26" s="491">
        <f t="shared" si="8"/>
        <v>640</v>
      </c>
      <c r="AE26" s="505">
        <f>ROUND(SUM(AD27+AD26)/$Z$25,0)</f>
        <v>17</v>
      </c>
      <c r="AF26" s="397"/>
      <c r="AG26" s="125" t="s">
        <v>217</v>
      </c>
      <c r="AH26" s="126">
        <v>92</v>
      </c>
      <c r="AI26" s="126"/>
      <c r="AJ26" s="96" t="s">
        <v>218</v>
      </c>
      <c r="AK26" s="475">
        <f>T44-T43+T47-T46</f>
        <v>-2.9666666666666663</v>
      </c>
      <c r="AL26" s="475">
        <f>U44-U43+U47-U46</f>
        <v>-29.466666666666665</v>
      </c>
      <c r="AM26" s="475">
        <f>SUM(AK26:AL26)</f>
        <v>-32.43333333333333</v>
      </c>
      <c r="AN26" s="474">
        <f>AK26*$AK$20+AL26*$AL$20</f>
        <v>-2991.608262570383</v>
      </c>
      <c r="AO26" s="397"/>
      <c r="AP26" s="397"/>
      <c r="AQ26" s="397"/>
      <c r="AR26" s="397"/>
      <c r="AS26" s="397"/>
      <c r="AT26" s="397"/>
      <c r="AU26" s="397"/>
      <c r="AV26" s="397"/>
      <c r="AW26" s="397"/>
      <c r="AX26" s="397"/>
    </row>
    <row r="27" spans="1:50" ht="45.75" thickBot="1" x14ac:dyDescent="0.3">
      <c r="A27" s="137" t="s">
        <v>219</v>
      </c>
      <c r="B27" s="5">
        <f>B5</f>
        <v>9</v>
      </c>
      <c r="C27" s="397"/>
      <c r="D27" s="397"/>
      <c r="E27" s="397"/>
      <c r="F27" s="397"/>
      <c r="G27" s="397"/>
      <c r="H27" s="397"/>
      <c r="I27" s="397"/>
      <c r="J27" s="397"/>
      <c r="K27" s="397"/>
      <c r="L27" s="397"/>
      <c r="M27" s="397"/>
      <c r="N27" s="397"/>
      <c r="O27" s="178"/>
      <c r="P27" s="397"/>
      <c r="Q27" s="153"/>
      <c r="R27" s="154"/>
      <c r="S27" s="154"/>
      <c r="T27" s="154"/>
      <c r="U27" s="155"/>
      <c r="V27" s="112"/>
      <c r="W27" s="112"/>
      <c r="X27" s="112"/>
      <c r="Y27" s="119" t="s">
        <v>220</v>
      </c>
      <c r="Z27" s="63">
        <v>22</v>
      </c>
      <c r="AA27" s="133" t="s">
        <v>216</v>
      </c>
      <c r="AB27" s="63">
        <v>1</v>
      </c>
      <c r="AC27" s="63">
        <v>12</v>
      </c>
      <c r="AD27" s="491">
        <f t="shared" si="8"/>
        <v>264</v>
      </c>
      <c r="AE27" s="505"/>
      <c r="AF27" s="397"/>
      <c r="AG27" s="131" t="s">
        <v>221</v>
      </c>
      <c r="AH27" s="126">
        <v>36</v>
      </c>
      <c r="AI27" s="126"/>
      <c r="AJ27" s="82" t="s">
        <v>222</v>
      </c>
      <c r="AK27" s="378">
        <f>SUM(AK24:AK26)</f>
        <v>-5.9999999999999982</v>
      </c>
      <c r="AL27" s="378">
        <f>SUM(AL24:AL26)</f>
        <v>-64</v>
      </c>
      <c r="AM27" s="378">
        <f>SUM(AM24:AM26)</f>
        <v>-70</v>
      </c>
      <c r="AN27" s="477">
        <f>SUM(AN24:AN26)</f>
        <v>-6423.0684011824324</v>
      </c>
      <c r="AO27" s="397"/>
      <c r="AP27" s="397"/>
      <c r="AQ27" s="397"/>
      <c r="AR27" s="397"/>
      <c r="AS27" s="397"/>
      <c r="AT27" s="397"/>
      <c r="AU27" s="397"/>
      <c r="AV27" s="397"/>
      <c r="AW27" s="397"/>
      <c r="AX27" s="397"/>
    </row>
    <row r="28" spans="1:50" ht="45.75" thickBot="1" x14ac:dyDescent="0.3">
      <c r="A28" s="137" t="s">
        <v>223</v>
      </c>
      <c r="B28" s="5">
        <v>42</v>
      </c>
      <c r="C28" s="397"/>
      <c r="D28" s="397"/>
      <c r="E28" s="397"/>
      <c r="F28" s="397"/>
      <c r="G28" s="397"/>
      <c r="H28" s="397"/>
      <c r="I28" s="397"/>
      <c r="J28" s="397"/>
      <c r="K28" s="397"/>
      <c r="L28" s="397"/>
      <c r="M28" s="397"/>
      <c r="N28" s="397"/>
      <c r="O28" s="178"/>
      <c r="P28" s="397"/>
      <c r="Q28" s="157" t="s">
        <v>224</v>
      </c>
      <c r="R28" s="158"/>
      <c r="S28" s="158"/>
      <c r="T28" s="158"/>
      <c r="U28" s="158"/>
      <c r="V28" s="397"/>
      <c r="W28" s="397"/>
      <c r="Y28" s="56" t="s">
        <v>225</v>
      </c>
      <c r="Z28" s="63">
        <f>Z6</f>
        <v>54</v>
      </c>
      <c r="AA28" s="133" t="s">
        <v>216</v>
      </c>
      <c r="AB28" s="63">
        <f>AH32</f>
        <v>4</v>
      </c>
      <c r="AC28" s="63">
        <v>12</v>
      </c>
      <c r="AD28" s="491">
        <f t="shared" si="8"/>
        <v>2592</v>
      </c>
      <c r="AE28" s="491">
        <f>ROUND(AD28/$Z$25,0)</f>
        <v>48</v>
      </c>
      <c r="AF28" s="397"/>
      <c r="AG28" s="131" t="s">
        <v>226</v>
      </c>
      <c r="AH28" s="126">
        <v>179</v>
      </c>
      <c r="AI28" s="126"/>
      <c r="AJ28" s="323" t="s">
        <v>227</v>
      </c>
      <c r="AK28" s="139"/>
      <c r="AL28" s="139"/>
      <c r="AM28" s="139"/>
      <c r="AN28" s="482"/>
      <c r="AO28" s="397"/>
      <c r="AP28" s="397"/>
      <c r="AQ28" s="397"/>
      <c r="AR28" s="397"/>
      <c r="AS28" s="397"/>
      <c r="AT28" s="397"/>
      <c r="AU28" s="397"/>
      <c r="AV28" s="397"/>
      <c r="AW28" s="397"/>
      <c r="AX28" s="397"/>
    </row>
    <row r="29" spans="1:50" ht="45.75" thickBot="1" x14ac:dyDescent="0.3">
      <c r="A29" s="137" t="s">
        <v>228</v>
      </c>
      <c r="B29" s="5"/>
      <c r="C29" s="397"/>
      <c r="D29" s="397"/>
      <c r="E29" s="397"/>
      <c r="F29" s="397"/>
      <c r="G29" s="397"/>
      <c r="H29" s="397"/>
      <c r="I29" s="397"/>
      <c r="J29" s="397"/>
      <c r="K29" s="397"/>
      <c r="L29" s="397"/>
      <c r="M29" s="397"/>
      <c r="N29" s="397"/>
      <c r="O29" s="397"/>
      <c r="P29" s="397"/>
      <c r="Q29" s="163" t="s">
        <v>229</v>
      </c>
      <c r="R29" s="380" t="s">
        <v>134</v>
      </c>
      <c r="S29" s="380" t="s">
        <v>135</v>
      </c>
      <c r="T29" s="380" t="s">
        <v>136</v>
      </c>
      <c r="U29" s="164" t="s">
        <v>230</v>
      </c>
      <c r="V29" s="74"/>
      <c r="W29" s="397"/>
      <c r="Y29" s="56" t="s">
        <v>231</v>
      </c>
      <c r="Z29" s="63">
        <f>Z16</f>
        <v>13</v>
      </c>
      <c r="AA29" s="133" t="s">
        <v>216</v>
      </c>
      <c r="AB29" s="63">
        <f>ROUND($AH$31/$AH$30,0)</f>
        <v>11</v>
      </c>
      <c r="AC29" s="63">
        <v>80</v>
      </c>
      <c r="AD29" s="491">
        <f t="shared" si="8"/>
        <v>11440</v>
      </c>
      <c r="AE29" s="491">
        <f>ROUND(AD29/$Z$25,0)</f>
        <v>212</v>
      </c>
      <c r="AF29" s="397"/>
      <c r="AG29" s="136" t="s">
        <v>232</v>
      </c>
      <c r="AH29" s="126">
        <v>22</v>
      </c>
      <c r="AI29" s="126"/>
      <c r="AJ29" s="130" t="s">
        <v>233</v>
      </c>
      <c r="AK29" s="475">
        <f>R45-R43</f>
        <v>-1.7999999999999989</v>
      </c>
      <c r="AL29" s="475">
        <f>S45-S43</f>
        <v>-36.200000000000003</v>
      </c>
      <c r="AM29" s="475">
        <f>SUM(AK29:AL29)</f>
        <v>-38</v>
      </c>
      <c r="AN29" s="474">
        <f>AK29*$AK$20+AL29*$AL$20</f>
        <v>-3365.1378864864864</v>
      </c>
      <c r="AO29" s="397"/>
      <c r="AP29" s="397"/>
      <c r="AQ29" s="397"/>
      <c r="AR29" s="397"/>
      <c r="AS29" s="397"/>
      <c r="AT29" s="397"/>
      <c r="AU29" s="397"/>
      <c r="AV29" s="397"/>
      <c r="AW29" s="397"/>
      <c r="AX29" s="397"/>
    </row>
    <row r="30" spans="1:50" ht="45.75" thickBot="1" x14ac:dyDescent="0.3">
      <c r="A30" s="137" t="s">
        <v>234</v>
      </c>
      <c r="B30" s="5">
        <f>Z12+Z49</f>
        <v>62</v>
      </c>
      <c r="C30" s="397"/>
      <c r="D30" s="397"/>
      <c r="E30" s="397"/>
      <c r="F30" s="397"/>
      <c r="G30" s="397"/>
      <c r="H30" s="397"/>
      <c r="I30" s="397"/>
      <c r="J30" s="397"/>
      <c r="K30" s="397"/>
      <c r="L30" s="397"/>
      <c r="M30" s="397"/>
      <c r="N30" s="397"/>
      <c r="O30" s="397"/>
      <c r="P30" s="397"/>
      <c r="Q30" s="165" t="s">
        <v>235</v>
      </c>
      <c r="R30" s="381">
        <f>ROUND(R$33*0,0)</f>
        <v>0</v>
      </c>
      <c r="S30" s="381">
        <f>ROUND(S$33*0,0)</f>
        <v>0</v>
      </c>
      <c r="T30" s="381">
        <f>ROUND(T$33*0,0)</f>
        <v>0</v>
      </c>
      <c r="U30" s="63">
        <f>ROUND(AVERAGE(R30:T30),0)</f>
        <v>0</v>
      </c>
      <c r="V30" s="314"/>
      <c r="W30" s="397"/>
      <c r="Y30" s="56" t="s">
        <v>236</v>
      </c>
      <c r="Z30" s="133">
        <f>AH33</f>
        <v>10</v>
      </c>
      <c r="AA30" s="133" t="s">
        <v>216</v>
      </c>
      <c r="AB30" s="63">
        <v>1</v>
      </c>
      <c r="AC30" s="63">
        <v>120</v>
      </c>
      <c r="AD30" s="491">
        <f t="shared" si="8"/>
        <v>1200</v>
      </c>
      <c r="AE30" s="491">
        <f>ROUND(AD30/$Z$25,0)</f>
        <v>22</v>
      </c>
      <c r="AF30" s="397">
        <v>1231</v>
      </c>
      <c r="AG30" s="131" t="s">
        <v>237</v>
      </c>
      <c r="AH30" s="126">
        <v>26</v>
      </c>
      <c r="AI30" s="126"/>
      <c r="AJ30" s="134" t="s">
        <v>212</v>
      </c>
      <c r="AK30" s="475">
        <f>R48-R46</f>
        <v>-3.8999999999999995</v>
      </c>
      <c r="AL30" s="475">
        <f>S48-S46</f>
        <v>-46.333333333333343</v>
      </c>
      <c r="AM30" s="475">
        <f>SUM(AK30:AL30)</f>
        <v>-50.233333333333341</v>
      </c>
      <c r="AN30" s="474">
        <f>AK30*$AK$20+AL30*$AL$20</f>
        <v>-4575.4392960444829</v>
      </c>
      <c r="AO30" s="397"/>
      <c r="AP30" s="397"/>
      <c r="AQ30" s="397"/>
      <c r="AR30" s="397"/>
      <c r="AS30" s="397"/>
      <c r="AT30" s="397"/>
      <c r="AU30" s="397"/>
      <c r="AV30" s="397"/>
      <c r="AW30" s="397"/>
      <c r="AX30" s="397"/>
    </row>
    <row r="31" spans="1:50" ht="60.75" thickBot="1" x14ac:dyDescent="0.3">
      <c r="A31" s="137"/>
      <c r="B31" s="5"/>
      <c r="C31" s="397"/>
      <c r="D31" s="397"/>
      <c r="E31" s="397"/>
      <c r="F31" s="397"/>
      <c r="G31" s="397"/>
      <c r="H31" s="397"/>
      <c r="I31" s="397"/>
      <c r="J31" s="397"/>
      <c r="K31" s="397"/>
      <c r="L31" s="397"/>
      <c r="M31" s="397"/>
      <c r="N31" s="397"/>
      <c r="O31" s="397"/>
      <c r="P31" s="397"/>
      <c r="Q31" s="165" t="s">
        <v>238</v>
      </c>
      <c r="R31" s="381">
        <v>2</v>
      </c>
      <c r="S31" s="381">
        <f>R31</f>
        <v>2</v>
      </c>
      <c r="T31" s="381">
        <f>S31</f>
        <v>2</v>
      </c>
      <c r="U31" s="63">
        <f>ROUND(AVERAGE(R31:T31),0)</f>
        <v>2</v>
      </c>
      <c r="V31" s="314"/>
      <c r="W31" s="19"/>
      <c r="X31" s="19"/>
      <c r="Y31" s="56" t="s">
        <v>239</v>
      </c>
      <c r="Z31" s="63">
        <v>54</v>
      </c>
      <c r="AA31" s="133" t="s">
        <v>240</v>
      </c>
      <c r="AB31" s="63">
        <v>1</v>
      </c>
      <c r="AC31" s="63">
        <v>2</v>
      </c>
      <c r="AD31" s="491">
        <f>Z29*AB29*AC29</f>
        <v>11440</v>
      </c>
      <c r="AE31" s="491">
        <f>ROUND(AD29/$Z$25,0)</f>
        <v>212</v>
      </c>
      <c r="AF31" s="397"/>
      <c r="AG31" s="131" t="s">
        <v>241</v>
      </c>
      <c r="AH31" s="126">
        <v>290</v>
      </c>
      <c r="AI31" s="126"/>
      <c r="AJ31" s="96" t="s">
        <v>242</v>
      </c>
      <c r="AK31" s="475">
        <f>T45-T43+T48-T46</f>
        <v>-3.6333333333333329</v>
      </c>
      <c r="AL31" s="475">
        <f>U45-U43+U48-U46</f>
        <v>-41.466666666666669</v>
      </c>
      <c r="AM31" s="475">
        <f>SUM(AK31:AL31)</f>
        <v>-45.1</v>
      </c>
      <c r="AN31" s="474">
        <f>AK31*$AK$20+AL31*$AL$20</f>
        <v>-4118.8875235501127</v>
      </c>
      <c r="AO31" s="397"/>
      <c r="AP31" s="397"/>
      <c r="AQ31" s="397"/>
      <c r="AR31" s="397"/>
      <c r="AS31" s="397"/>
      <c r="AT31" s="397"/>
      <c r="AU31" s="397"/>
      <c r="AV31" s="397"/>
      <c r="AW31" s="397"/>
      <c r="AX31" s="397"/>
    </row>
    <row r="32" spans="1:50" ht="15.75" thickBot="1" x14ac:dyDescent="0.3">
      <c r="A32" s="156" t="s">
        <v>243</v>
      </c>
      <c r="B32" s="5"/>
      <c r="C32" s="397"/>
      <c r="D32" s="397"/>
      <c r="E32" s="397"/>
      <c r="F32" s="397"/>
      <c r="G32" s="397"/>
      <c r="H32" s="397"/>
      <c r="I32" s="397"/>
      <c r="J32" s="397"/>
      <c r="K32" s="397"/>
      <c r="L32" s="397"/>
      <c r="M32" s="397"/>
      <c r="N32" s="397"/>
      <c r="O32" s="397"/>
      <c r="P32" s="397"/>
      <c r="Q32" s="165" t="s">
        <v>244</v>
      </c>
      <c r="R32" s="381">
        <v>7</v>
      </c>
      <c r="S32" s="381">
        <v>10</v>
      </c>
      <c r="T32" s="381">
        <v>12</v>
      </c>
      <c r="U32" s="439">
        <f>ROUND(AVERAGE(R32:T32),0)</f>
        <v>10</v>
      </c>
      <c r="V32" s="314"/>
      <c r="W32" s="19"/>
      <c r="X32" s="19"/>
      <c r="Y32" s="138" t="s">
        <v>245</v>
      </c>
      <c r="Z32" s="63"/>
      <c r="AA32" s="133"/>
      <c r="AB32" s="63"/>
      <c r="AC32" s="63"/>
      <c r="AD32" s="491" t="s">
        <v>0</v>
      </c>
      <c r="AE32" s="491">
        <f>SUM(AE24:AE31)</f>
        <v>1679</v>
      </c>
      <c r="AF32" s="397"/>
      <c r="AG32" s="136" t="s">
        <v>246</v>
      </c>
      <c r="AH32" s="126">
        <v>4</v>
      </c>
      <c r="AI32" s="126"/>
      <c r="AJ32" s="82" t="s">
        <v>247</v>
      </c>
      <c r="AK32" s="378">
        <f>SUM(AK29:AK31)</f>
        <v>-9.3333333333333321</v>
      </c>
      <c r="AL32" s="378">
        <f>SUM(AL29:AL31)</f>
        <v>-124.00000000000001</v>
      </c>
      <c r="AM32" s="378">
        <f>SUM(AM29:AM31)</f>
        <v>-133.33333333333334</v>
      </c>
      <c r="AN32" s="476">
        <f>SUM(AN29:AN31)</f>
        <v>-12059.464706081082</v>
      </c>
      <c r="AO32" s="397"/>
      <c r="AP32" s="397"/>
      <c r="AQ32" s="397"/>
      <c r="AR32" s="397"/>
      <c r="AS32" s="397"/>
      <c r="AT32" s="397"/>
      <c r="AU32" s="397"/>
      <c r="AV32" s="397"/>
      <c r="AW32" s="397"/>
      <c r="AX32" s="397"/>
    </row>
    <row r="33" spans="1:43" ht="75.75" thickBot="1" x14ac:dyDescent="0.3">
      <c r="A33" s="137" t="s">
        <v>248</v>
      </c>
      <c r="B33" s="5">
        <v>52</v>
      </c>
      <c r="C33" s="397"/>
      <c r="D33" s="397"/>
      <c r="E33" s="397"/>
      <c r="F33" s="397"/>
      <c r="G33" s="397"/>
      <c r="H33" s="397"/>
      <c r="I33" s="397"/>
      <c r="J33" s="397"/>
      <c r="K33" s="397"/>
      <c r="L33" s="397"/>
      <c r="M33" s="397"/>
      <c r="N33" s="397"/>
      <c r="O33" s="397"/>
      <c r="P33" s="397"/>
      <c r="Q33" s="138" t="s">
        <v>6</v>
      </c>
      <c r="R33" s="382">
        <f>B14</f>
        <v>9</v>
      </c>
      <c r="S33" s="382">
        <f>C14</f>
        <v>12</v>
      </c>
      <c r="T33" s="382">
        <f>D14</f>
        <v>14</v>
      </c>
      <c r="U33" s="63">
        <f>ROUND(AVERAGE(R33:T33),0)</f>
        <v>12</v>
      </c>
      <c r="V33" s="313"/>
      <c r="W33" s="19"/>
      <c r="X33" s="19"/>
      <c r="Y33" s="321" t="s">
        <v>249</v>
      </c>
      <c r="Z33" s="62" t="s">
        <v>195</v>
      </c>
      <c r="AA33" s="62" t="s">
        <v>196</v>
      </c>
      <c r="AB33" s="62" t="s">
        <v>197</v>
      </c>
      <c r="AC33" s="62" t="s">
        <v>198</v>
      </c>
      <c r="AD33" s="62" t="s">
        <v>199</v>
      </c>
      <c r="AE33" s="62" t="s">
        <v>200</v>
      </c>
      <c r="AF33" s="397"/>
      <c r="AG33" s="141" t="s">
        <v>250</v>
      </c>
      <c r="AH33" s="126">
        <v>10</v>
      </c>
      <c r="AI33" s="126"/>
      <c r="AJ33" s="397"/>
      <c r="AK33" s="397"/>
      <c r="AL33" s="397"/>
      <c r="AM33" s="397"/>
      <c r="AN33" s="393"/>
      <c r="AO33" s="481"/>
      <c r="AP33" s="143"/>
      <c r="AQ33" s="397"/>
    </row>
    <row r="34" spans="1:43" ht="45.75" thickBot="1" x14ac:dyDescent="0.3">
      <c r="A34" s="137" t="s">
        <v>251</v>
      </c>
      <c r="B34" s="5">
        <v>20</v>
      </c>
      <c r="C34" s="397"/>
      <c r="D34" s="397"/>
      <c r="E34" s="397"/>
      <c r="F34" s="397"/>
      <c r="G34" s="397"/>
      <c r="H34" s="397"/>
      <c r="I34" s="397"/>
      <c r="J34" s="397"/>
      <c r="K34" s="397"/>
      <c r="L34" s="397"/>
      <c r="M34" s="397"/>
      <c r="N34" s="397"/>
      <c r="O34" s="397"/>
      <c r="P34" s="16"/>
      <c r="Q34" s="172" t="s">
        <v>252</v>
      </c>
      <c r="R34" s="383">
        <f>NoSLTsReporting-R33</f>
        <v>59</v>
      </c>
      <c r="S34" s="383">
        <f>NoSLTsReporting-S33</f>
        <v>56</v>
      </c>
      <c r="T34" s="383">
        <f>NoSLTsReporting-T33</f>
        <v>54</v>
      </c>
      <c r="U34" s="173">
        <f>NoSLTsReporting-U33</f>
        <v>56</v>
      </c>
      <c r="V34" s="173"/>
      <c r="W34" s="19"/>
      <c r="X34" s="19"/>
      <c r="Y34" s="351" t="s">
        <v>253</v>
      </c>
      <c r="Z34" s="63">
        <f>Z7</f>
        <v>18</v>
      </c>
      <c r="AA34" s="133" t="s">
        <v>216</v>
      </c>
      <c r="AB34" s="63">
        <v>2</v>
      </c>
      <c r="AC34" s="63">
        <v>120</v>
      </c>
      <c r="AD34" s="491">
        <f>Z34*AB34*AC34</f>
        <v>4320</v>
      </c>
      <c r="AE34" s="491">
        <f>ROUND(AD34/$Z$25,0)</f>
        <v>80</v>
      </c>
      <c r="AF34" s="397"/>
      <c r="AG34" s="141" t="s">
        <v>254</v>
      </c>
      <c r="AH34" s="126">
        <v>6</v>
      </c>
      <c r="AI34" s="126"/>
      <c r="AJ34" s="397"/>
      <c r="AK34" s="397"/>
      <c r="AL34" s="397"/>
      <c r="AM34" s="397"/>
      <c r="AN34" s="397"/>
      <c r="AO34" s="112"/>
      <c r="AP34" s="146"/>
      <c r="AQ34" s="397"/>
    </row>
    <row r="35" spans="1:43" ht="30" x14ac:dyDescent="0.25">
      <c r="A35" s="137" t="s">
        <v>255</v>
      </c>
      <c r="B35" s="5">
        <v>50</v>
      </c>
      <c r="C35" s="397"/>
      <c r="D35" s="397"/>
      <c r="E35" s="397"/>
      <c r="F35" s="397"/>
      <c r="G35" s="397"/>
      <c r="H35" s="397"/>
      <c r="I35" s="397"/>
      <c r="J35" s="397"/>
      <c r="K35" s="397"/>
      <c r="L35" s="397"/>
      <c r="M35" s="397"/>
      <c r="N35" s="397"/>
      <c r="O35" s="397"/>
      <c r="P35" s="397"/>
      <c r="Q35" s="172" t="s">
        <v>256</v>
      </c>
      <c r="R35" s="383">
        <f>R34+R30</f>
        <v>59</v>
      </c>
      <c r="S35" s="383">
        <f>S34+S30</f>
        <v>56</v>
      </c>
      <c r="T35" s="383">
        <f>T34+T30</f>
        <v>54</v>
      </c>
      <c r="U35" s="173">
        <f>U34+U30</f>
        <v>56</v>
      </c>
      <c r="V35" s="173"/>
      <c r="W35" s="19"/>
      <c r="X35" s="19"/>
      <c r="Y35" s="332"/>
      <c r="Z35" s="5"/>
      <c r="AA35" s="126"/>
      <c r="AB35" s="5"/>
      <c r="AC35" s="5"/>
      <c r="AD35" s="140"/>
      <c r="AE35" s="140"/>
      <c r="AF35" s="397"/>
      <c r="AG35" s="397"/>
      <c r="AH35" s="397"/>
      <c r="AI35" s="126"/>
      <c r="AJ35" s="397"/>
      <c r="AK35" s="397"/>
      <c r="AL35" s="397"/>
      <c r="AM35" s="397"/>
      <c r="AN35" s="397"/>
      <c r="AO35" s="397"/>
      <c r="AP35" s="112"/>
      <c r="AQ35" s="146"/>
    </row>
    <row r="36" spans="1:43" ht="45" x14ac:dyDescent="0.25">
      <c r="A36" s="137" t="s">
        <v>257</v>
      </c>
      <c r="B36" s="5">
        <v>15</v>
      </c>
      <c r="C36" s="397"/>
      <c r="D36" s="397"/>
      <c r="E36" s="397"/>
      <c r="F36" s="397"/>
      <c r="G36" s="397"/>
      <c r="H36" s="397"/>
      <c r="I36" s="397"/>
      <c r="J36" s="397"/>
      <c r="K36" s="397"/>
      <c r="L36" s="397"/>
      <c r="M36" s="397"/>
      <c r="N36" s="397"/>
      <c r="O36" s="397"/>
      <c r="P36" s="397"/>
      <c r="Q36" s="172" t="s">
        <v>258</v>
      </c>
      <c r="R36" s="383">
        <f>R31+R32</f>
        <v>9</v>
      </c>
      <c r="S36" s="383">
        <f>S31+S32</f>
        <v>12</v>
      </c>
      <c r="T36" s="383">
        <f>T31+T32</f>
        <v>14</v>
      </c>
      <c r="U36" s="173">
        <f>U31+U32</f>
        <v>12</v>
      </c>
      <c r="V36" s="173"/>
      <c r="W36" s="19"/>
      <c r="X36" s="19"/>
      <c r="Y36" s="332"/>
      <c r="Z36" s="126"/>
      <c r="AA36" s="126"/>
      <c r="AB36" s="5"/>
      <c r="AC36" s="5"/>
      <c r="AD36" s="140"/>
      <c r="AE36" s="140"/>
      <c r="AF36" s="91"/>
      <c r="AG36" s="397"/>
      <c r="AH36" s="397"/>
      <c r="AI36" s="397"/>
      <c r="AJ36" s="397"/>
      <c r="AK36" s="397"/>
      <c r="AL36" s="397"/>
      <c r="AM36" s="397"/>
      <c r="AN36" s="397"/>
      <c r="AO36" s="397"/>
      <c r="AP36" s="397"/>
      <c r="AQ36" s="397"/>
    </row>
    <row r="37" spans="1:43" ht="60" x14ac:dyDescent="0.25">
      <c r="A37" s="137" t="s">
        <v>259</v>
      </c>
      <c r="B37" s="5">
        <v>6</v>
      </c>
      <c r="C37" s="397"/>
      <c r="D37" s="397"/>
      <c r="E37" s="397"/>
      <c r="F37" s="397"/>
      <c r="G37" s="397"/>
      <c r="H37" s="397"/>
      <c r="I37" s="397"/>
      <c r="J37" s="397"/>
      <c r="K37" s="397"/>
      <c r="L37" s="397"/>
      <c r="M37" s="397"/>
      <c r="N37" s="397"/>
      <c r="O37" s="397"/>
      <c r="P37" s="397"/>
      <c r="Q37" s="175" t="s">
        <v>127</v>
      </c>
      <c r="R37" s="384">
        <v>2025</v>
      </c>
      <c r="S37" s="384">
        <v>2026</v>
      </c>
      <c r="T37" s="384">
        <v>2027</v>
      </c>
      <c r="U37" s="176"/>
      <c r="V37" s="176"/>
      <c r="W37" s="19"/>
      <c r="X37" s="19"/>
      <c r="Y37" s="21" t="s">
        <v>0</v>
      </c>
      <c r="Z37" s="397"/>
      <c r="AA37" s="397"/>
      <c r="AB37" s="397"/>
      <c r="AC37" s="397"/>
      <c r="AD37" s="397"/>
      <c r="AE37" s="5"/>
      <c r="AF37" s="397"/>
      <c r="AG37" s="397"/>
      <c r="AH37" s="397"/>
      <c r="AI37" s="397"/>
      <c r="AJ37" s="397"/>
      <c r="AK37" s="397"/>
      <c r="AL37" s="397"/>
      <c r="AM37" s="397"/>
      <c r="AN37" s="397"/>
      <c r="AO37" s="397"/>
      <c r="AP37" s="397"/>
      <c r="AQ37" s="397"/>
    </row>
    <row r="38" spans="1:43" ht="45" x14ac:dyDescent="0.25">
      <c r="A38" s="137" t="s">
        <v>260</v>
      </c>
      <c r="B38" s="5">
        <v>10</v>
      </c>
      <c r="C38" s="332" t="s">
        <v>261</v>
      </c>
      <c r="D38" s="397"/>
      <c r="E38" s="397"/>
      <c r="F38" s="397"/>
      <c r="G38" s="397"/>
      <c r="H38" s="397"/>
      <c r="I38" s="397"/>
      <c r="J38" s="397"/>
      <c r="K38" s="397"/>
      <c r="L38" s="397"/>
      <c r="M38" s="397"/>
      <c r="N38" s="397"/>
      <c r="O38" s="397"/>
      <c r="P38" s="397"/>
      <c r="Q38" s="177"/>
      <c r="R38" s="177"/>
      <c r="S38" s="177"/>
      <c r="T38" s="177"/>
      <c r="U38" s="177"/>
      <c r="V38" s="177"/>
      <c r="W38" s="137"/>
      <c r="X38" s="137"/>
      <c r="Y38" s="397"/>
      <c r="Z38" s="397"/>
      <c r="AA38" s="397"/>
      <c r="AB38" s="397"/>
      <c r="AC38" s="397"/>
      <c r="AD38" s="397"/>
      <c r="AE38" s="397"/>
      <c r="AF38" s="397"/>
      <c r="AG38" s="397"/>
      <c r="AH38" s="397"/>
      <c r="AI38" s="397"/>
      <c r="AJ38" s="397"/>
      <c r="AK38" s="397"/>
      <c r="AL38" s="397"/>
      <c r="AM38" s="397"/>
      <c r="AN38" s="397"/>
      <c r="AO38" s="397"/>
      <c r="AP38" s="397"/>
      <c r="AQ38" s="397"/>
    </row>
    <row r="39" spans="1:43" ht="19.5" thickBot="1" x14ac:dyDescent="0.35">
      <c r="A39" s="17" t="s">
        <v>262</v>
      </c>
      <c r="B39" s="397"/>
      <c r="C39" s="397"/>
      <c r="D39" s="397"/>
      <c r="E39" s="397"/>
      <c r="F39" s="397"/>
      <c r="G39" s="397"/>
      <c r="H39" s="397"/>
      <c r="I39" s="397"/>
      <c r="J39" s="397"/>
      <c r="K39" s="397"/>
      <c r="L39" s="397"/>
      <c r="M39" s="397"/>
      <c r="N39" s="397"/>
      <c r="O39" s="397"/>
      <c r="P39" s="397"/>
      <c r="Q39" s="179" t="s">
        <v>263</v>
      </c>
      <c r="R39" s="180"/>
      <c r="S39" s="180"/>
      <c r="T39" s="180"/>
      <c r="U39" s="180"/>
      <c r="V39" s="180"/>
      <c r="W39" s="125"/>
      <c r="X39" s="125"/>
      <c r="Y39" s="148" t="s">
        <v>264</v>
      </c>
      <c r="Z39" s="149"/>
      <c r="AA39" s="150"/>
      <c r="AB39" s="151"/>
      <c r="AC39" s="152"/>
      <c r="AD39" s="397"/>
      <c r="AE39" s="91"/>
      <c r="AF39" s="397"/>
      <c r="AG39" s="397"/>
      <c r="AH39" s="397"/>
      <c r="AI39" s="397"/>
      <c r="AJ39" s="397"/>
      <c r="AK39" s="397"/>
      <c r="AL39" s="397"/>
      <c r="AM39" s="397"/>
      <c r="AN39" s="397"/>
      <c r="AO39" s="397"/>
      <c r="AP39" s="397"/>
      <c r="AQ39" s="397"/>
    </row>
    <row r="40" spans="1:43" ht="30.75" thickBot="1" x14ac:dyDescent="0.3">
      <c r="A40" s="332" t="s">
        <v>265</v>
      </c>
      <c r="B40" s="5">
        <v>5</v>
      </c>
      <c r="C40" s="397"/>
      <c r="D40" s="397"/>
      <c r="E40" s="397"/>
      <c r="F40" s="397"/>
      <c r="G40" s="397"/>
      <c r="H40" s="397"/>
      <c r="I40" s="397"/>
      <c r="J40" s="397"/>
      <c r="K40" s="397"/>
      <c r="L40" s="397"/>
      <c r="M40" s="397"/>
      <c r="N40" s="397"/>
      <c r="O40" s="397"/>
      <c r="P40" s="397"/>
      <c r="Q40" s="181"/>
      <c r="R40" s="508" t="s">
        <v>78</v>
      </c>
      <c r="S40" s="508"/>
      <c r="T40" s="508" t="s">
        <v>78</v>
      </c>
      <c r="U40" s="508"/>
      <c r="V40" s="180"/>
      <c r="W40" s="125"/>
      <c r="X40" s="125"/>
      <c r="Y40" s="23"/>
      <c r="Z40" s="23"/>
      <c r="AA40" s="497" t="s">
        <v>78</v>
      </c>
      <c r="AB40" s="498"/>
      <c r="AC40" s="499"/>
      <c r="AD40" s="397"/>
      <c r="AE40" s="397"/>
      <c r="AF40" s="397"/>
      <c r="AG40" s="397"/>
      <c r="AH40" s="397"/>
      <c r="AI40" s="397"/>
      <c r="AJ40" s="397"/>
      <c r="AK40" s="397"/>
      <c r="AL40" s="397"/>
      <c r="AM40" s="397"/>
      <c r="AN40" s="397"/>
      <c r="AO40" s="397"/>
      <c r="AP40" s="397"/>
      <c r="AQ40" s="397"/>
    </row>
    <row r="41" spans="1:43" ht="60.75" thickBot="1" x14ac:dyDescent="0.3">
      <c r="A41" s="332" t="s">
        <v>266</v>
      </c>
      <c r="B41" s="5">
        <v>17</v>
      </c>
      <c r="C41" s="397"/>
      <c r="D41" s="397"/>
      <c r="E41" s="397"/>
      <c r="F41" s="397"/>
      <c r="G41" s="397"/>
      <c r="H41" s="397"/>
      <c r="I41" s="397"/>
      <c r="J41" s="397"/>
      <c r="K41" s="397"/>
      <c r="L41" s="397"/>
      <c r="M41" s="397"/>
      <c r="N41" s="397"/>
      <c r="O41" s="397"/>
      <c r="P41" s="397"/>
      <c r="Q41" s="181"/>
      <c r="R41" s="506" t="s">
        <v>267</v>
      </c>
      <c r="S41" s="507"/>
      <c r="T41" s="506" t="s">
        <v>268</v>
      </c>
      <c r="U41" s="507"/>
      <c r="V41" s="180" t="s">
        <v>269</v>
      </c>
      <c r="W41" s="125"/>
      <c r="X41" s="125"/>
      <c r="Y41" s="120" t="s">
        <v>83</v>
      </c>
      <c r="Z41" s="431" t="s">
        <v>270</v>
      </c>
      <c r="AA41" s="428" t="s">
        <v>84</v>
      </c>
      <c r="AB41" s="428" t="s">
        <v>85</v>
      </c>
      <c r="AC41" s="429" t="s">
        <v>6</v>
      </c>
      <c r="AD41" s="397"/>
      <c r="AE41" s="397"/>
      <c r="AF41" s="397"/>
      <c r="AG41" s="397"/>
      <c r="AH41" s="397"/>
      <c r="AI41" s="397"/>
      <c r="AJ41" s="397"/>
      <c r="AK41" s="397"/>
      <c r="AL41" s="397"/>
      <c r="AM41" s="397"/>
      <c r="AN41" s="397"/>
      <c r="AO41" s="397"/>
      <c r="AP41" s="397"/>
      <c r="AQ41" s="397"/>
    </row>
    <row r="42" spans="1:43" ht="60.75" thickBot="1" x14ac:dyDescent="0.3">
      <c r="A42" s="332" t="s">
        <v>271</v>
      </c>
      <c r="B42" s="5">
        <f>B6</f>
        <v>5</v>
      </c>
      <c r="C42" s="397"/>
      <c r="D42" s="397"/>
      <c r="E42" s="397"/>
      <c r="F42" s="397"/>
      <c r="G42" s="397"/>
      <c r="H42" s="397"/>
      <c r="I42" s="397"/>
      <c r="J42" s="397"/>
      <c r="K42" s="397"/>
      <c r="L42" s="397"/>
      <c r="M42" s="397"/>
      <c r="N42" s="397"/>
      <c r="O42" s="397"/>
      <c r="P42" s="397"/>
      <c r="Q42" s="181" t="s">
        <v>272</v>
      </c>
      <c r="R42" s="486" t="s">
        <v>273</v>
      </c>
      <c r="S42" s="486" t="s">
        <v>274</v>
      </c>
      <c r="T42" s="486" t="s">
        <v>275</v>
      </c>
      <c r="U42" s="486" t="s">
        <v>274</v>
      </c>
      <c r="V42" s="180"/>
      <c r="W42" s="125"/>
      <c r="X42" s="125"/>
      <c r="Y42" s="159" t="s">
        <v>33</v>
      </c>
      <c r="Z42" s="160"/>
      <c r="AA42" s="161"/>
      <c r="AB42" s="161"/>
      <c r="AC42" s="162"/>
      <c r="AD42" s="397"/>
      <c r="AE42" s="397"/>
      <c r="AF42" s="397"/>
      <c r="AG42" s="397"/>
      <c r="AH42" s="397"/>
      <c r="AI42" s="397"/>
      <c r="AJ42" s="397"/>
      <c r="AK42" s="397"/>
      <c r="AL42" s="397"/>
      <c r="AM42" s="397"/>
      <c r="AN42" s="397"/>
      <c r="AO42" s="397"/>
      <c r="AP42" s="397"/>
      <c r="AQ42" s="397"/>
    </row>
    <row r="43" spans="1:43" ht="60.75" thickBot="1" x14ac:dyDescent="0.3">
      <c r="A43" s="332" t="s">
        <v>276</v>
      </c>
      <c r="B43" s="5">
        <v>16</v>
      </c>
      <c r="C43" s="397"/>
      <c r="D43" s="397"/>
      <c r="E43" s="397"/>
      <c r="F43" s="397"/>
      <c r="G43" s="397"/>
      <c r="H43" s="397"/>
      <c r="I43" s="397"/>
      <c r="J43" s="397"/>
      <c r="K43" s="397"/>
      <c r="L43" s="397"/>
      <c r="M43" s="397"/>
      <c r="N43" s="397"/>
      <c r="O43" s="397"/>
      <c r="P43" s="397"/>
      <c r="Q43" s="119" t="s">
        <v>277</v>
      </c>
      <c r="R43" s="337">
        <f t="shared" ref="R43:S45" si="9">R13*(1-$V43)</f>
        <v>4.1999999999999993</v>
      </c>
      <c r="S43" s="491">
        <f t="shared" si="9"/>
        <v>49</v>
      </c>
      <c r="T43" s="188">
        <f t="shared" ref="T43:U45" si="10">R13*$V43</f>
        <v>1.7999999999999998</v>
      </c>
      <c r="U43" s="189">
        <f t="shared" si="10"/>
        <v>21</v>
      </c>
      <c r="V43" s="190">
        <v>0.3</v>
      </c>
      <c r="W43" s="125"/>
      <c r="X43" s="125"/>
      <c r="Y43" s="58" t="str">
        <f t="shared" ref="Y43:Y48" si="11">Y6</f>
        <v xml:space="preserve">1. Report nonpoint emissions, report tool inputs, or review, comment and/or accept EPA data (for sources included in EPA tools) </v>
      </c>
      <c r="Z43" s="47">
        <f>$F$5</f>
        <v>5</v>
      </c>
      <c r="AA43" s="47">
        <f>ROUNDUP(0.05*AB43,0)</f>
        <v>26</v>
      </c>
      <c r="AB43" s="47">
        <f>ROUNDUP(0.3*AB6,0)</f>
        <v>504</v>
      </c>
      <c r="AC43" s="49">
        <f t="shared" ref="AC43:AC51" si="12">SUM(AA43:AB43)</f>
        <v>530</v>
      </c>
      <c r="AD43" s="397" t="s">
        <v>0</v>
      </c>
      <c r="AE43" s="397"/>
      <c r="AF43" s="397"/>
      <c r="AG43" s="397"/>
      <c r="AH43" s="397"/>
      <c r="AI43" s="397"/>
      <c r="AJ43" s="397"/>
      <c r="AK43" s="397"/>
      <c r="AL43" s="397"/>
      <c r="AM43" s="397"/>
      <c r="AN43" s="397"/>
      <c r="AO43" s="397"/>
      <c r="AP43" s="397"/>
      <c r="AQ43" s="397"/>
    </row>
    <row r="44" spans="1:43" ht="30.75" thickBot="1" x14ac:dyDescent="0.3">
      <c r="A44" s="397"/>
      <c r="B44" s="397"/>
      <c r="C44" s="397"/>
      <c r="D44" s="397"/>
      <c r="E44" s="397"/>
      <c r="F44" s="397"/>
      <c r="G44" s="397"/>
      <c r="H44" s="397"/>
      <c r="I44" s="397"/>
      <c r="J44" s="397"/>
      <c r="K44" s="397"/>
      <c r="L44" s="397"/>
      <c r="M44" s="397"/>
      <c r="N44" s="397"/>
      <c r="O44" s="397"/>
      <c r="P44" s="397"/>
      <c r="Q44" s="119" t="s">
        <v>278</v>
      </c>
      <c r="R44" s="337">
        <f t="shared" si="9"/>
        <v>3.2</v>
      </c>
      <c r="S44" s="337">
        <f t="shared" si="9"/>
        <v>36.800000000000004</v>
      </c>
      <c r="T44" s="188">
        <f t="shared" si="10"/>
        <v>0.8</v>
      </c>
      <c r="U44" s="188">
        <f t="shared" si="10"/>
        <v>9.2000000000000011</v>
      </c>
      <c r="V44" s="190">
        <v>0.2</v>
      </c>
      <c r="W44" s="125"/>
      <c r="X44" s="125"/>
      <c r="Y44" s="58" t="str">
        <f t="shared" si="11"/>
        <v>2. Report nonpoint emissions for sources not included in EPA tools</v>
      </c>
      <c r="Z44" s="47">
        <f>ROUND((F5)/3,0)</f>
        <v>2</v>
      </c>
      <c r="AA44" s="47">
        <f>ROUNDUP(0.05*AB44,0)</f>
        <v>4</v>
      </c>
      <c r="AB44" s="47">
        <f>ROUNDUP(0.3*AB7,0)</f>
        <v>72</v>
      </c>
      <c r="AC44" s="167">
        <f t="shared" si="12"/>
        <v>76</v>
      </c>
      <c r="AD44" s="397"/>
      <c r="AE44" s="397"/>
      <c r="AF44" s="397"/>
      <c r="AG44" s="397"/>
      <c r="AH44" s="397"/>
      <c r="AI44" s="397"/>
      <c r="AJ44" s="397"/>
      <c r="AK44" s="397"/>
      <c r="AL44" s="397"/>
      <c r="AM44" s="397"/>
      <c r="AN44" s="397"/>
      <c r="AO44" s="397"/>
      <c r="AP44" s="397"/>
      <c r="AQ44" s="397"/>
    </row>
    <row r="45" spans="1:43" ht="30.75" thickBot="1" x14ac:dyDescent="0.3">
      <c r="A45" s="17" t="s">
        <v>279</v>
      </c>
      <c r="B45" s="397"/>
      <c r="C45" s="397"/>
      <c r="D45" s="397"/>
      <c r="E45" s="397"/>
      <c r="F45" s="397"/>
      <c r="G45" s="397"/>
      <c r="H45" s="397"/>
      <c r="I45" s="397"/>
      <c r="J45" s="397"/>
      <c r="K45" s="397"/>
      <c r="L45" s="397"/>
      <c r="M45" s="397"/>
      <c r="N45" s="397"/>
      <c r="O45" s="397"/>
      <c r="P45" s="12"/>
      <c r="Q45" s="119" t="s">
        <v>280</v>
      </c>
      <c r="R45" s="337">
        <f t="shared" si="9"/>
        <v>2.4000000000000004</v>
      </c>
      <c r="S45" s="337">
        <f t="shared" si="9"/>
        <v>12.8</v>
      </c>
      <c r="T45" s="188">
        <f t="shared" si="10"/>
        <v>0.60000000000000009</v>
      </c>
      <c r="U45" s="188">
        <f t="shared" si="10"/>
        <v>3.2</v>
      </c>
      <c r="V45" s="190">
        <v>0.2</v>
      </c>
      <c r="W45" s="125"/>
      <c r="X45" s="125"/>
      <c r="Y45" s="58" t="str">
        <f t="shared" si="11"/>
        <v>3. Adjust nonpoint submissions for  boundaries of Indian country</v>
      </c>
      <c r="Z45" s="47">
        <v>0</v>
      </c>
      <c r="AA45" s="47">
        <v>0</v>
      </c>
      <c r="AB45" s="47">
        <v>0</v>
      </c>
      <c r="AC45" s="167">
        <v>0</v>
      </c>
      <c r="AD45" s="397"/>
      <c r="AE45" s="397"/>
      <c r="AF45" s="397"/>
      <c r="AG45" s="397"/>
      <c r="AH45" s="397"/>
      <c r="AI45" s="397"/>
      <c r="AJ45" s="397"/>
      <c r="AK45" s="397"/>
      <c r="AL45" s="397"/>
      <c r="AM45" s="397"/>
      <c r="AN45" s="397"/>
      <c r="AO45" s="397"/>
      <c r="AP45" s="397"/>
      <c r="AQ45" s="397"/>
    </row>
    <row r="46" spans="1:43" ht="45.75" thickBot="1" x14ac:dyDescent="0.3">
      <c r="A46" s="185"/>
      <c r="B46" s="186" t="s">
        <v>281</v>
      </c>
      <c r="C46" s="186" t="s">
        <v>282</v>
      </c>
      <c r="D46" s="18" t="s">
        <v>283</v>
      </c>
      <c r="E46" s="18" t="s">
        <v>284</v>
      </c>
      <c r="F46" s="397" t="s">
        <v>285</v>
      </c>
      <c r="G46" s="397"/>
      <c r="H46" s="397"/>
      <c r="I46" s="397"/>
      <c r="J46" s="397"/>
      <c r="K46" s="397"/>
      <c r="L46" s="397"/>
      <c r="M46" s="397"/>
      <c r="N46" s="397"/>
      <c r="O46" s="397"/>
      <c r="P46" s="178"/>
      <c r="Q46" s="191" t="s">
        <v>286</v>
      </c>
      <c r="R46" s="192">
        <f t="shared" ref="R46:S48" si="13">(R24)*(1-$V46)/3</f>
        <v>8.1666666666666661</v>
      </c>
      <c r="S46" s="192">
        <f t="shared" si="13"/>
        <v>67.666666666666671</v>
      </c>
      <c r="T46" s="193">
        <f t="shared" ref="T46:U48" si="14">(R24)*$V46/3</f>
        <v>3.5</v>
      </c>
      <c r="U46" s="194">
        <f t="shared" si="14"/>
        <v>29</v>
      </c>
      <c r="V46" s="190">
        <v>0.3</v>
      </c>
      <c r="W46" s="125"/>
      <c r="X46" s="125"/>
      <c r="Y46" s="58" t="str">
        <f t="shared" si="11"/>
        <v>4.Report aircraft and ground support emissions or review, comment, and/or accept EPA airport activity data</v>
      </c>
      <c r="Z46" s="47">
        <f>$B$5</f>
        <v>9</v>
      </c>
      <c r="AA46" s="47">
        <f>ROUNDUP(0.05*AB46,0)</f>
        <v>3</v>
      </c>
      <c r="AB46" s="169">
        <f>ROUNDUP($B$41*$B$43/$B$42,0)</f>
        <v>55</v>
      </c>
      <c r="AC46" s="167">
        <f t="shared" si="12"/>
        <v>58</v>
      </c>
      <c r="AD46" s="397"/>
      <c r="AE46" s="397"/>
      <c r="AF46" s="397"/>
      <c r="AG46" s="397"/>
      <c r="AH46" s="397"/>
      <c r="AI46" s="397"/>
      <c r="AJ46" s="397"/>
      <c r="AK46" s="397"/>
      <c r="AL46" s="397"/>
      <c r="AM46" s="397"/>
      <c r="AN46" s="397"/>
      <c r="AO46" s="397"/>
      <c r="AP46" s="397"/>
      <c r="AQ46" s="397"/>
    </row>
    <row r="47" spans="1:43" ht="45.75" thickBot="1" x14ac:dyDescent="0.3">
      <c r="A47" s="185" t="s">
        <v>287</v>
      </c>
      <c r="B47" s="187" t="s">
        <v>288</v>
      </c>
      <c r="C47" s="187" t="s">
        <v>288</v>
      </c>
      <c r="D47" s="5" t="s">
        <v>289</v>
      </c>
      <c r="E47" s="5">
        <v>2</v>
      </c>
      <c r="F47" s="501" t="s">
        <v>290</v>
      </c>
      <c r="G47" s="397"/>
      <c r="H47" s="397"/>
      <c r="I47" s="397"/>
      <c r="J47" s="397"/>
      <c r="K47" s="397"/>
      <c r="L47" s="397"/>
      <c r="M47" s="397"/>
      <c r="N47" s="397"/>
      <c r="O47" s="397"/>
      <c r="P47" s="178"/>
      <c r="Q47" s="191" t="s">
        <v>291</v>
      </c>
      <c r="R47" s="192">
        <f t="shared" si="13"/>
        <v>6.1333333333333337</v>
      </c>
      <c r="S47" s="192">
        <f t="shared" si="13"/>
        <v>45.333333333333336</v>
      </c>
      <c r="T47" s="193">
        <f t="shared" si="14"/>
        <v>1.5333333333333334</v>
      </c>
      <c r="U47" s="193">
        <f t="shared" si="14"/>
        <v>11.333333333333334</v>
      </c>
      <c r="V47" s="190">
        <v>0.2</v>
      </c>
      <c r="W47" s="125"/>
      <c r="X47" s="125"/>
      <c r="Y47" s="58" t="str">
        <f t="shared" si="11"/>
        <v>5. Report rail yard emissions or review, comment, and/or accept EPA emissions estimates or EPA activity data</v>
      </c>
      <c r="Z47" s="170">
        <f>$B$27</f>
        <v>9</v>
      </c>
      <c r="AA47" s="47">
        <f>ROUNDUP(0.05*AB47,0)</f>
        <v>2</v>
      </c>
      <c r="AB47" s="47">
        <f>AB9</f>
        <v>40</v>
      </c>
      <c r="AC47" s="49">
        <f t="shared" si="12"/>
        <v>42</v>
      </c>
      <c r="AD47" s="397"/>
      <c r="AE47" s="397"/>
      <c r="AF47" s="397"/>
      <c r="AG47" s="397"/>
      <c r="AH47" s="397"/>
      <c r="AI47" s="397"/>
      <c r="AJ47" s="397"/>
      <c r="AK47" s="397"/>
      <c r="AL47" s="397"/>
      <c r="AM47" s="397"/>
      <c r="AN47" s="397"/>
      <c r="AO47" s="397"/>
      <c r="AP47" s="397"/>
      <c r="AQ47" s="397"/>
    </row>
    <row r="48" spans="1:43" ht="45.75" thickBot="1" x14ac:dyDescent="0.3">
      <c r="A48" s="185" t="s">
        <v>292</v>
      </c>
      <c r="B48" s="187" t="s">
        <v>293</v>
      </c>
      <c r="C48" s="187" t="s">
        <v>293</v>
      </c>
      <c r="D48" s="5" t="s">
        <v>289</v>
      </c>
      <c r="E48" s="5">
        <v>1</v>
      </c>
      <c r="F48" s="502"/>
      <c r="G48" s="397"/>
      <c r="H48" s="397"/>
      <c r="I48" s="397"/>
      <c r="J48" s="397"/>
      <c r="K48" s="397"/>
      <c r="L48" s="397"/>
      <c r="M48" s="397"/>
      <c r="N48" s="397"/>
      <c r="O48" s="397"/>
      <c r="P48" s="178"/>
      <c r="Q48" s="191" t="s">
        <v>294</v>
      </c>
      <c r="R48" s="192">
        <f t="shared" si="13"/>
        <v>4.2666666666666666</v>
      </c>
      <c r="S48" s="192">
        <f t="shared" si="13"/>
        <v>21.333333333333332</v>
      </c>
      <c r="T48" s="193">
        <f t="shared" si="14"/>
        <v>1.0666666666666667</v>
      </c>
      <c r="U48" s="193">
        <f t="shared" si="14"/>
        <v>5.333333333333333</v>
      </c>
      <c r="V48" s="190">
        <v>0.2</v>
      </c>
      <c r="W48" s="125"/>
      <c r="X48" s="125"/>
      <c r="Y48" s="58" t="str">
        <f t="shared" si="11"/>
        <v>6. Report commercial marine vessel (CMV) and locomotive emissions data or review, comment, and/or accept EPA emissions estimates.</v>
      </c>
      <c r="Z48" s="59">
        <v>0</v>
      </c>
      <c r="AA48" s="47">
        <v>0</v>
      </c>
      <c r="AB48" s="47">
        <v>0</v>
      </c>
      <c r="AC48" s="49">
        <f t="shared" si="12"/>
        <v>0</v>
      </c>
      <c r="AD48" s="397"/>
      <c r="AE48" s="397"/>
      <c r="AF48" s="397"/>
      <c r="AG48" s="397"/>
      <c r="AH48" s="397"/>
      <c r="AI48" s="397"/>
      <c r="AJ48" s="397"/>
      <c r="AK48" s="397"/>
      <c r="AL48" s="397"/>
      <c r="AM48" s="397"/>
      <c r="AN48" s="397"/>
      <c r="AO48" s="397"/>
      <c r="AP48" s="397"/>
      <c r="AQ48" s="397"/>
    </row>
    <row r="49" spans="1:31" ht="30.75" thickBot="1" x14ac:dyDescent="0.3">
      <c r="A49" s="185" t="s">
        <v>295</v>
      </c>
      <c r="B49" s="187" t="s">
        <v>288</v>
      </c>
      <c r="C49" s="187" t="s">
        <v>288</v>
      </c>
      <c r="D49" s="5" t="s">
        <v>289</v>
      </c>
      <c r="E49" s="5">
        <v>4</v>
      </c>
      <c r="F49" s="502"/>
      <c r="G49" s="397"/>
      <c r="H49" s="397"/>
      <c r="I49" s="397"/>
      <c r="J49" s="397"/>
      <c r="K49" s="397"/>
      <c r="L49" s="397"/>
      <c r="M49" s="397"/>
      <c r="N49" s="397"/>
      <c r="O49" s="397"/>
      <c r="P49" s="178"/>
      <c r="Q49" s="195"/>
      <c r="R49" s="196"/>
      <c r="S49" s="196"/>
      <c r="T49" s="197"/>
      <c r="U49" s="196"/>
      <c r="V49" s="198"/>
      <c r="W49" s="125"/>
      <c r="X49" s="125"/>
      <c r="Y49" s="58" t="s">
        <v>296</v>
      </c>
      <c r="Z49" s="47">
        <f>B5</f>
        <v>9</v>
      </c>
      <c r="AA49" s="47">
        <f>ROUNDUP(0.05*AB49,0)</f>
        <v>2</v>
      </c>
      <c r="AB49" s="47">
        <v>40</v>
      </c>
      <c r="AC49" s="49">
        <f t="shared" si="12"/>
        <v>42</v>
      </c>
      <c r="AD49" s="397"/>
      <c r="AE49" s="397"/>
    </row>
    <row r="50" spans="1:31" ht="45.75" thickBot="1" x14ac:dyDescent="0.3">
      <c r="A50" s="185" t="s">
        <v>297</v>
      </c>
      <c r="B50" s="187" t="s">
        <v>298</v>
      </c>
      <c r="C50" s="187" t="s">
        <v>288</v>
      </c>
      <c r="D50" s="5" t="s">
        <v>299</v>
      </c>
      <c r="E50" s="5">
        <v>2</v>
      </c>
      <c r="F50" s="8" t="s">
        <v>300</v>
      </c>
      <c r="G50" s="397"/>
      <c r="H50" s="397"/>
      <c r="I50" s="397"/>
      <c r="J50" s="397"/>
      <c r="K50" s="397"/>
      <c r="L50" s="397"/>
      <c r="M50" s="397"/>
      <c r="N50" s="397"/>
      <c r="O50" s="397"/>
      <c r="P50" s="178"/>
      <c r="Q50" s="195"/>
      <c r="R50" s="196"/>
      <c r="S50" s="196"/>
      <c r="T50" s="197"/>
      <c r="U50" s="196"/>
      <c r="V50" s="198"/>
      <c r="W50" s="125"/>
      <c r="X50" s="125"/>
      <c r="Y50" s="174" t="s">
        <v>301</v>
      </c>
      <c r="Z50" s="101">
        <f>B5</f>
        <v>9</v>
      </c>
      <c r="AA50" s="101">
        <f>INT(AB50*0.051)</f>
        <v>4</v>
      </c>
      <c r="AB50" s="101">
        <v>80</v>
      </c>
      <c r="AC50" s="36">
        <f t="shared" si="12"/>
        <v>84</v>
      </c>
      <c r="AD50" s="397"/>
      <c r="AE50" s="397"/>
    </row>
    <row r="51" spans="1:31" ht="15.75" thickBot="1" x14ac:dyDescent="0.3">
      <c r="A51" s="185" t="s">
        <v>302</v>
      </c>
      <c r="B51" s="187" t="s">
        <v>0</v>
      </c>
      <c r="C51" s="187" t="s">
        <v>303</v>
      </c>
      <c r="D51" s="5" t="s">
        <v>304</v>
      </c>
      <c r="E51" s="5">
        <v>1</v>
      </c>
      <c r="F51" s="397" t="s">
        <v>305</v>
      </c>
      <c r="G51" s="397"/>
      <c r="H51" s="397"/>
      <c r="I51" s="397"/>
      <c r="J51" s="397"/>
      <c r="K51" s="397"/>
      <c r="L51" s="397"/>
      <c r="M51" s="397"/>
      <c r="N51" s="397"/>
      <c r="O51" s="397"/>
      <c r="P51" s="178"/>
      <c r="Q51" s="195"/>
      <c r="R51" s="196"/>
      <c r="S51" s="196"/>
      <c r="T51" s="197"/>
      <c r="U51" s="196"/>
      <c r="V51" s="198"/>
      <c r="W51" s="125"/>
      <c r="X51" s="125"/>
      <c r="Y51" s="86" t="s">
        <v>306</v>
      </c>
      <c r="Z51" s="87">
        <f>MAX(Z43:Z50)</f>
        <v>9</v>
      </c>
      <c r="AA51" s="88">
        <f>ROUND(($Z$43*(AA43)+$Z$47*(AA47)+$Z$43*(AA49+AA50)+$Z$44*AA44+$Z$46*AA46+$Z$48*AA48)/$Z$51,0)</f>
        <v>24</v>
      </c>
      <c r="AB51" s="88">
        <f>ROUND(($Z$43*(AB43)+$Z$47*(AB47)+$Z$49*(AB49+AB50)+$Z$44*AB44+$Z$46*AB46+$Z$48*AB48)/$Z$51,0)</f>
        <v>511</v>
      </c>
      <c r="AC51" s="89">
        <f t="shared" si="12"/>
        <v>535</v>
      </c>
      <c r="AD51" s="397"/>
      <c r="AE51" s="397"/>
    </row>
    <row r="52" spans="1:31" ht="30.75" thickBot="1" x14ac:dyDescent="0.3">
      <c r="A52" s="185" t="s">
        <v>307</v>
      </c>
      <c r="B52" s="187" t="s">
        <v>288</v>
      </c>
      <c r="C52" s="187" t="s">
        <v>288</v>
      </c>
      <c r="D52" s="5" t="s">
        <v>289</v>
      </c>
      <c r="E52" s="5">
        <v>4</v>
      </c>
      <c r="F52" s="397" t="s">
        <v>308</v>
      </c>
      <c r="G52" s="397"/>
      <c r="H52" s="397"/>
      <c r="I52" s="397"/>
      <c r="J52" s="397"/>
      <c r="K52" s="397"/>
      <c r="L52" s="397"/>
      <c r="M52" s="397"/>
      <c r="N52" s="397"/>
      <c r="O52" s="397"/>
      <c r="P52" s="178"/>
      <c r="Q52" s="199"/>
      <c r="R52" s="199"/>
      <c r="S52" s="199"/>
      <c r="T52" s="199"/>
      <c r="U52" s="199"/>
      <c r="V52" s="180"/>
      <c r="W52" s="125"/>
      <c r="X52" s="125"/>
      <c r="Y52" s="159" t="s">
        <v>309</v>
      </c>
      <c r="Z52" s="160"/>
      <c r="AA52" s="161"/>
      <c r="AB52" s="161"/>
      <c r="AC52" s="162"/>
      <c r="AD52" s="397"/>
      <c r="AE52" s="397"/>
    </row>
    <row r="53" spans="1:31" ht="30.75" thickBot="1" x14ac:dyDescent="0.3">
      <c r="A53" s="185" t="s">
        <v>310</v>
      </c>
      <c r="B53" s="187" t="s">
        <v>303</v>
      </c>
      <c r="C53" s="187" t="s">
        <v>303</v>
      </c>
      <c r="D53" s="5" t="s">
        <v>311</v>
      </c>
      <c r="E53" s="5">
        <v>2</v>
      </c>
      <c r="F53" s="397" t="s">
        <v>312</v>
      </c>
      <c r="G53" s="397"/>
      <c r="H53" s="397"/>
      <c r="I53" s="397"/>
      <c r="J53" s="397"/>
      <c r="K53" s="397"/>
      <c r="L53" s="397"/>
      <c r="M53" s="397"/>
      <c r="N53" s="397"/>
      <c r="O53" s="397"/>
      <c r="P53" s="178"/>
      <c r="Q53" s="200"/>
      <c r="R53" s="19"/>
      <c r="S53" s="19"/>
      <c r="T53" s="19"/>
      <c r="U53" s="19"/>
      <c r="V53" s="397"/>
      <c r="W53" s="397"/>
      <c r="Y53" s="99" t="s">
        <v>313</v>
      </c>
      <c r="Z53" s="100">
        <f>ROUND(0.25*B5,0)+B42</f>
        <v>7</v>
      </c>
      <c r="AA53" s="101">
        <f>ROUNDUP(0.05*AB53,0)</f>
        <v>5</v>
      </c>
      <c r="AB53" s="204">
        <f>0.3*((AB29+AB30+AB34)*20)</f>
        <v>84</v>
      </c>
      <c r="AC53" s="36">
        <f>SUM(AA53:AB53)</f>
        <v>89</v>
      </c>
      <c r="AD53" s="397"/>
      <c r="AE53" s="140"/>
    </row>
    <row r="54" spans="1:31" ht="30.75" thickBot="1" x14ac:dyDescent="0.3">
      <c r="A54" s="185" t="s">
        <v>314</v>
      </c>
      <c r="B54" s="187" t="s">
        <v>0</v>
      </c>
      <c r="C54" s="187" t="s">
        <v>315</v>
      </c>
      <c r="D54" s="397"/>
      <c r="E54" s="397"/>
      <c r="F54" s="397"/>
      <c r="G54" s="397"/>
      <c r="H54" s="397"/>
      <c r="I54" s="397"/>
      <c r="J54" s="397"/>
      <c r="K54" s="397"/>
      <c r="L54" s="397"/>
      <c r="M54" s="397"/>
      <c r="N54" s="397"/>
      <c r="O54" s="397"/>
      <c r="P54" s="178"/>
      <c r="Q54" s="397"/>
      <c r="R54" s="397"/>
      <c r="S54" s="397"/>
      <c r="T54" s="397"/>
      <c r="U54" s="397"/>
      <c r="V54" s="397"/>
      <c r="W54" s="397"/>
      <c r="Y54" s="99" t="str">
        <f>Y17</f>
        <v>10. Report documenation  for aircraft, ground support equipment, and/or rail yards</v>
      </c>
      <c r="Z54" s="36">
        <f>Z53</f>
        <v>7</v>
      </c>
      <c r="AA54" s="36">
        <f>ROUNDUP(0.05*AB54,0)</f>
        <v>2</v>
      </c>
      <c r="AB54" s="102">
        <f>40</f>
        <v>40</v>
      </c>
      <c r="AC54" s="36">
        <f>SUM(AA54:AB54)</f>
        <v>42</v>
      </c>
      <c r="AD54" s="140"/>
      <c r="AE54" s="5"/>
    </row>
    <row r="55" spans="1:31" ht="15.75" thickBot="1" x14ac:dyDescent="0.3">
      <c r="A55" s="185" t="s">
        <v>316</v>
      </c>
      <c r="B55" s="187"/>
      <c r="C55" s="187" t="s">
        <v>315</v>
      </c>
      <c r="D55" s="397"/>
      <c r="E55" s="397"/>
      <c r="F55" s="397"/>
      <c r="G55" s="397"/>
      <c r="H55" s="397"/>
      <c r="I55" s="397"/>
      <c r="J55" s="397"/>
      <c r="K55" s="397"/>
      <c r="L55" s="397"/>
      <c r="M55" s="397"/>
      <c r="N55" s="397"/>
      <c r="O55" s="397"/>
      <c r="P55" s="178"/>
      <c r="Q55" s="397"/>
      <c r="R55" s="397"/>
      <c r="S55" s="397"/>
      <c r="T55" s="397"/>
      <c r="U55" s="397"/>
      <c r="V55" s="397"/>
      <c r="W55" s="397"/>
      <c r="Y55" s="99" t="s">
        <v>317</v>
      </c>
      <c r="Z55" s="36">
        <f>B6</f>
        <v>5</v>
      </c>
      <c r="AA55" s="36">
        <f>ROUNDUP(0.05*AB55,0)</f>
        <v>7</v>
      </c>
      <c r="AB55" s="326">
        <f>(AB7+AA44)/2</f>
        <v>122</v>
      </c>
      <c r="AC55" s="36">
        <f>SUM(AA55:AB55)</f>
        <v>129</v>
      </c>
      <c r="AD55" s="397"/>
      <c r="AE55" s="184"/>
    </row>
    <row r="56" spans="1:31" ht="75.75" thickBot="1" x14ac:dyDescent="0.3">
      <c r="A56" s="330" t="s">
        <v>318</v>
      </c>
      <c r="B56" s="5" t="s">
        <v>315</v>
      </c>
      <c r="C56" s="397"/>
      <c r="D56" s="5" t="s">
        <v>0</v>
      </c>
      <c r="E56" s="397" t="s">
        <v>0</v>
      </c>
      <c r="F56" s="397"/>
      <c r="G56" s="397"/>
      <c r="H56" s="397"/>
      <c r="I56" s="397"/>
      <c r="J56" s="397"/>
      <c r="K56" s="397"/>
      <c r="L56" s="397"/>
      <c r="M56" s="397"/>
      <c r="N56" s="397"/>
      <c r="O56" s="397"/>
      <c r="P56" s="178"/>
      <c r="Q56" s="397"/>
      <c r="R56" s="397"/>
      <c r="S56" s="397"/>
      <c r="T56" s="397"/>
      <c r="U56" s="397"/>
      <c r="V56" s="397"/>
      <c r="W56" s="397"/>
      <c r="Y56" s="86" t="s">
        <v>319</v>
      </c>
      <c r="Z56" s="89">
        <f>MAX(Z52:Z54)</f>
        <v>7</v>
      </c>
      <c r="AA56" s="89">
        <f>ROUND(($Z$53*AA53+$Z$54*AA54+$Z$55*$AA$55)/$Z$56,0)</f>
        <v>12</v>
      </c>
      <c r="AB56" s="89">
        <f>ROUND(($Z$53*AB53+$Z$54*AB54+$Z$55*AB55)/$Z$56,0)</f>
        <v>211</v>
      </c>
      <c r="AC56" s="89">
        <f>SUM(AA56:AB56)</f>
        <v>223</v>
      </c>
      <c r="AD56" s="397"/>
      <c r="AE56" s="397"/>
    </row>
    <row r="57" spans="1:31" x14ac:dyDescent="0.25">
      <c r="A57" s="397"/>
      <c r="B57" s="397"/>
      <c r="C57" s="397"/>
      <c r="D57" s="397"/>
      <c r="E57" s="397"/>
      <c r="F57" s="397"/>
      <c r="G57" s="397"/>
      <c r="H57" s="397"/>
      <c r="I57" s="397"/>
      <c r="J57" s="397"/>
      <c r="K57" s="397"/>
      <c r="L57" s="397"/>
      <c r="M57" s="397"/>
      <c r="N57" s="397"/>
      <c r="O57" s="397"/>
      <c r="P57" s="178"/>
      <c r="Q57" s="397"/>
      <c r="R57" s="397"/>
      <c r="S57" s="397"/>
      <c r="T57" s="397"/>
      <c r="U57" s="397"/>
      <c r="V57" s="397"/>
      <c r="W57" s="397"/>
      <c r="Y57" s="332"/>
      <c r="Z57" s="126"/>
      <c r="AA57" s="126"/>
      <c r="AB57" s="5"/>
      <c r="AC57" s="5"/>
      <c r="AD57" s="397"/>
      <c r="AE57" s="397"/>
    </row>
    <row r="58" spans="1:31" x14ac:dyDescent="0.25">
      <c r="A58" s="397"/>
      <c r="B58" s="397"/>
      <c r="C58" s="397"/>
      <c r="D58" s="397"/>
      <c r="E58" s="397"/>
      <c r="F58" s="397"/>
      <c r="G58" s="397"/>
      <c r="H58" s="397"/>
      <c r="I58" s="397"/>
      <c r="J58" s="397"/>
      <c r="K58" s="397"/>
      <c r="L58" s="397"/>
      <c r="M58" s="397"/>
      <c r="N58" s="397"/>
      <c r="O58" s="397"/>
      <c r="P58" s="178"/>
      <c r="Q58" s="397"/>
      <c r="R58" s="397"/>
      <c r="S58" s="397"/>
      <c r="T58" s="397"/>
      <c r="U58" s="397"/>
      <c r="V58" s="397"/>
      <c r="W58" s="397"/>
      <c r="Y58" s="21"/>
      <c r="Z58" s="397"/>
      <c r="AA58" s="397"/>
      <c r="AB58" s="397"/>
      <c r="AC58" s="397"/>
      <c r="AD58" s="397"/>
      <c r="AE58" s="397"/>
    </row>
    <row r="59" spans="1:31" x14ac:dyDescent="0.25">
      <c r="A59" s="397"/>
      <c r="B59" s="397"/>
      <c r="C59" s="397"/>
      <c r="D59" s="397"/>
      <c r="E59" s="397"/>
      <c r="F59" s="397"/>
      <c r="G59" s="397"/>
      <c r="H59" s="397"/>
      <c r="I59" s="397"/>
      <c r="J59" s="397"/>
      <c r="K59" s="397"/>
      <c r="L59" s="397"/>
      <c r="M59" s="397"/>
      <c r="N59" s="397"/>
      <c r="O59" s="397"/>
      <c r="P59" s="178"/>
      <c r="Q59" s="397"/>
      <c r="R59" s="397"/>
      <c r="S59" s="397"/>
      <c r="T59" s="397"/>
      <c r="U59" s="397"/>
      <c r="V59" s="397"/>
      <c r="W59" s="397"/>
      <c r="Y59" s="397"/>
      <c r="Z59" s="397"/>
      <c r="AA59" s="397"/>
      <c r="AB59" s="397"/>
      <c r="AC59" s="397"/>
      <c r="AD59" s="397"/>
      <c r="AE59" s="397"/>
    </row>
    <row r="61" spans="1:31" ht="84" customHeight="1" x14ac:dyDescent="0.25">
      <c r="A61" s="397"/>
      <c r="B61" s="397"/>
      <c r="C61" s="397"/>
      <c r="D61" s="397"/>
      <c r="E61" s="397"/>
      <c r="F61" s="397"/>
      <c r="G61" s="397"/>
      <c r="H61" s="397"/>
      <c r="I61" s="397"/>
      <c r="J61" s="397"/>
      <c r="K61" s="397"/>
      <c r="L61" s="397"/>
      <c r="M61" s="397"/>
      <c r="N61" s="397"/>
      <c r="O61" s="397"/>
      <c r="P61" s="397"/>
      <c r="Q61" s="397"/>
      <c r="R61" s="397"/>
      <c r="S61" s="397"/>
      <c r="T61" s="397"/>
      <c r="U61" s="397"/>
      <c r="V61" s="397"/>
      <c r="W61" s="397"/>
      <c r="Y61" s="397"/>
      <c r="Z61" s="397"/>
      <c r="AA61" s="397"/>
      <c r="AB61" s="397"/>
      <c r="AC61" s="397"/>
      <c r="AD61" s="397"/>
      <c r="AE61" s="397"/>
    </row>
  </sheetData>
  <mergeCells count="17">
    <mergeCell ref="AE26:AE27"/>
    <mergeCell ref="R41:S41"/>
    <mergeCell ref="T41:U41"/>
    <mergeCell ref="T40:U40"/>
    <mergeCell ref="AR3:AU3"/>
    <mergeCell ref="AA40:AC40"/>
    <mergeCell ref="Q16:U16"/>
    <mergeCell ref="R3:U3"/>
    <mergeCell ref="R40:S40"/>
    <mergeCell ref="AA3:AC3"/>
    <mergeCell ref="AE3:AG3"/>
    <mergeCell ref="AE24:AE25"/>
    <mergeCell ref="K3:N3"/>
    <mergeCell ref="G14:G15"/>
    <mergeCell ref="F47:F49"/>
    <mergeCell ref="N15:N16"/>
    <mergeCell ref="O15:O16"/>
  </mergeCells>
  <conditionalFormatting sqref="A16:A19">
    <cfRule type="duplicateValues" dxfId="1" priority="5"/>
    <cfRule type="duplicateValues" dxfId="0" priority="6"/>
  </conditionalFormatting>
  <hyperlinks>
    <hyperlink ref="F47" r:id="rId1" xr:uid="{2C42E84D-699F-449A-8CF7-6CEFA0481D34}"/>
    <hyperlink ref="F50" r:id="rId2" xr:uid="{FA2B1B53-F538-4833-B457-86843E37DB55}"/>
  </hyperlinks>
  <pageMargins left="0.7" right="0.7" top="0.75" bottom="0.75" header="0.3" footer="0.3"/>
  <pageSetup orientation="portrait" horizontalDpi="300" verticalDpi="300"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D6E37-2826-42A1-8296-23B79E3D41E4}">
  <dimension ref="A2:L108"/>
  <sheetViews>
    <sheetView workbookViewId="0">
      <selection activeCell="J10" sqref="J10"/>
    </sheetView>
  </sheetViews>
  <sheetFormatPr defaultRowHeight="15" x14ac:dyDescent="0.25"/>
  <cols>
    <col min="1" max="1" width="51.5703125" customWidth="1"/>
    <col min="2" max="5" width="12.28515625" customWidth="1"/>
    <col min="6" max="7" width="14" customWidth="1"/>
    <col min="8" max="8" width="25.28515625" customWidth="1"/>
    <col min="9" max="9" width="14" customWidth="1"/>
    <col min="10" max="10" width="14.42578125" customWidth="1"/>
    <col min="11" max="11" width="14.85546875" customWidth="1"/>
  </cols>
  <sheetData>
    <row r="2" spans="1:11" x14ac:dyDescent="0.25">
      <c r="A2" s="69"/>
      <c r="B2" s="397"/>
      <c r="C2" s="397"/>
      <c r="D2" s="397"/>
      <c r="E2" s="397"/>
      <c r="F2" s="397"/>
      <c r="G2" s="397"/>
      <c r="H2" s="397"/>
      <c r="I2" s="397"/>
      <c r="J2" s="397"/>
      <c r="K2" s="397"/>
    </row>
    <row r="4" spans="1:11" x14ac:dyDescent="0.25">
      <c r="A4" s="397"/>
      <c r="B4" s="397"/>
      <c r="C4" s="397"/>
      <c r="D4" s="397"/>
      <c r="E4" s="397"/>
      <c r="F4" s="184" t="s">
        <v>0</v>
      </c>
      <c r="G4" s="397"/>
      <c r="H4" s="397"/>
      <c r="I4" s="397"/>
      <c r="J4" s="397"/>
      <c r="K4" s="397"/>
    </row>
    <row r="5" spans="1:11" x14ac:dyDescent="0.25">
      <c r="A5" s="397"/>
      <c r="B5" s="231"/>
      <c r="C5" s="397"/>
      <c r="D5" s="397"/>
      <c r="E5" s="397"/>
      <c r="F5" s="397"/>
      <c r="G5" s="397"/>
      <c r="H5" s="397"/>
      <c r="I5" s="397"/>
      <c r="J5" s="397"/>
      <c r="K5" s="397"/>
    </row>
    <row r="6" spans="1:11" ht="15.75" thickBot="1" x14ac:dyDescent="0.3">
      <c r="A6" s="73" t="s">
        <v>127</v>
      </c>
      <c r="B6" s="74">
        <v>2027</v>
      </c>
      <c r="C6" s="74">
        <v>2026</v>
      </c>
      <c r="D6" s="74">
        <v>2025</v>
      </c>
      <c r="E6" s="74" t="s">
        <v>320</v>
      </c>
      <c r="F6" s="397"/>
      <c r="G6" s="397"/>
      <c r="H6" s="17" t="s">
        <v>321</v>
      </c>
      <c r="I6" s="397"/>
      <c r="J6" s="397"/>
      <c r="K6" s="397"/>
    </row>
    <row r="7" spans="1:11" ht="61.5" thickTop="1" thickBot="1" x14ac:dyDescent="0.3">
      <c r="A7" s="1" t="s">
        <v>322</v>
      </c>
      <c r="B7" s="2" t="s">
        <v>136</v>
      </c>
      <c r="C7" s="2" t="s">
        <v>135</v>
      </c>
      <c r="D7" s="2" t="s">
        <v>134</v>
      </c>
      <c r="E7" s="2" t="s">
        <v>323</v>
      </c>
      <c r="F7" s="2" t="s">
        <v>324</v>
      </c>
      <c r="G7" s="232"/>
      <c r="H7" s="232"/>
      <c r="I7" s="397"/>
      <c r="J7" s="233" t="s">
        <v>325</v>
      </c>
      <c r="K7" s="18" t="s">
        <v>326</v>
      </c>
    </row>
    <row r="8" spans="1:11" ht="14.45" customHeight="1" x14ac:dyDescent="0.25">
      <c r="A8" s="34" t="s">
        <v>327</v>
      </c>
      <c r="B8" s="140">
        <f>B11*K9/SUM(K9:K10)</f>
        <v>1654.3020627295846</v>
      </c>
      <c r="C8" s="140">
        <f>C20*(J9/$J$11)</f>
        <v>7736.5414089188444</v>
      </c>
      <c r="D8" s="140">
        <f>B8</f>
        <v>1654.3020627295846</v>
      </c>
      <c r="E8" s="140">
        <f t="shared" ref="E8:E23" si="0">AVERAGE(B8:D8)</f>
        <v>3681.715178126005</v>
      </c>
      <c r="F8" s="12"/>
      <c r="G8" s="397"/>
      <c r="H8" s="13"/>
      <c r="I8" s="34" t="s">
        <v>328</v>
      </c>
      <c r="J8" s="235">
        <v>840</v>
      </c>
      <c r="K8" s="236">
        <v>546</v>
      </c>
    </row>
    <row r="9" spans="1:11" x14ac:dyDescent="0.25">
      <c r="A9" s="34" t="s">
        <v>329</v>
      </c>
      <c r="B9" s="140">
        <f>B11*K10/SUM(K9:K10)</f>
        <v>855.69793727041542</v>
      </c>
      <c r="C9" s="140">
        <f>C20*J10/$J$11</f>
        <v>4642.668267011356</v>
      </c>
      <c r="D9" s="140">
        <f>B9</f>
        <v>855.69793727041542</v>
      </c>
      <c r="E9" s="140">
        <f t="shared" si="0"/>
        <v>2118.0213805173958</v>
      </c>
      <c r="F9" s="13"/>
      <c r="G9" s="397"/>
      <c r="H9" s="13"/>
      <c r="I9" s="34" t="s">
        <v>330</v>
      </c>
      <c r="J9" s="235">
        <v>6244</v>
      </c>
      <c r="K9" s="236">
        <v>4665</v>
      </c>
    </row>
    <row r="10" spans="1:11" ht="15.75" thickBot="1" x14ac:dyDescent="0.3">
      <c r="A10" s="60" t="s">
        <v>331</v>
      </c>
      <c r="B10" s="13">
        <v>0</v>
      </c>
      <c r="C10" s="13">
        <v>0</v>
      </c>
      <c r="D10" s="13">
        <v>0</v>
      </c>
      <c r="E10" s="140">
        <f t="shared" si="0"/>
        <v>0</v>
      </c>
      <c r="F10" s="397"/>
      <c r="G10" s="13"/>
      <c r="H10" s="13"/>
      <c r="I10" s="34" t="s">
        <v>332</v>
      </c>
      <c r="J10" s="235">
        <v>3747</v>
      </c>
      <c r="K10" s="236">
        <v>2413</v>
      </c>
    </row>
    <row r="11" spans="1:11" ht="15.75" thickBot="1" x14ac:dyDescent="0.3">
      <c r="A11" s="345" t="s">
        <v>333</v>
      </c>
      <c r="B11" s="347">
        <v>2510</v>
      </c>
      <c r="C11" s="346">
        <f>SUM(C8:C9)</f>
        <v>12379.2096759302</v>
      </c>
      <c r="D11" s="348">
        <f>B11</f>
        <v>2510</v>
      </c>
      <c r="E11" s="348">
        <f t="shared" si="0"/>
        <v>5799.7365586433998</v>
      </c>
      <c r="F11" s="397"/>
      <c r="G11" s="13"/>
      <c r="H11" s="13"/>
      <c r="I11" s="60" t="s">
        <v>334</v>
      </c>
      <c r="J11" s="236">
        <f>SUM(J8:J10)</f>
        <v>10831</v>
      </c>
      <c r="K11" s="236">
        <f>SUM(K8:K10)</f>
        <v>7624</v>
      </c>
    </row>
    <row r="12" spans="1:11" ht="16.5" thickTop="1" thickBot="1" x14ac:dyDescent="0.3">
      <c r="A12" s="60" t="s">
        <v>335</v>
      </c>
      <c r="B12" s="237">
        <f>K8</f>
        <v>546</v>
      </c>
      <c r="C12" s="237">
        <f>C20-C11</f>
        <v>1040.7903240697997</v>
      </c>
      <c r="D12" s="140">
        <f>B12</f>
        <v>546</v>
      </c>
      <c r="E12" s="140">
        <f t="shared" si="0"/>
        <v>710.9301080232666</v>
      </c>
      <c r="F12" s="397"/>
      <c r="G12" s="12"/>
      <c r="H12" s="13"/>
      <c r="I12" s="60" t="s">
        <v>336</v>
      </c>
      <c r="J12" s="238">
        <v>77486</v>
      </c>
      <c r="K12" s="236">
        <v>21172</v>
      </c>
    </row>
    <row r="13" spans="1:11" ht="16.5" thickTop="1" thickBot="1" x14ac:dyDescent="0.3">
      <c r="A13" s="60" t="s">
        <v>337</v>
      </c>
      <c r="B13" s="237">
        <f>K9-B8</f>
        <v>3010.6979372704154</v>
      </c>
      <c r="C13" s="13">
        <v>0</v>
      </c>
      <c r="D13" s="140">
        <f>B13</f>
        <v>3010.6979372704154</v>
      </c>
      <c r="E13" s="140">
        <f t="shared" si="0"/>
        <v>2007.131958180277</v>
      </c>
      <c r="F13" s="397"/>
      <c r="G13" s="12"/>
      <c r="H13" s="13"/>
      <c r="I13" s="60"/>
      <c r="J13" s="240"/>
      <c r="K13" s="239"/>
    </row>
    <row r="14" spans="1:11" ht="15.75" thickTop="1" x14ac:dyDescent="0.25">
      <c r="A14" s="60" t="s">
        <v>338</v>
      </c>
      <c r="B14" s="237">
        <f>K10-B9</f>
        <v>1557.3020627295846</v>
      </c>
      <c r="C14" s="237">
        <v>0</v>
      </c>
      <c r="D14" s="140">
        <f>B14</f>
        <v>1557.3020627295846</v>
      </c>
      <c r="E14" s="140">
        <f t="shared" si="0"/>
        <v>1038.2013751530565</v>
      </c>
      <c r="F14" s="397"/>
      <c r="G14" s="12"/>
      <c r="H14" s="13"/>
      <c r="I14" s="60"/>
      <c r="J14" s="239"/>
      <c r="K14" s="239"/>
    </row>
    <row r="15" spans="1:11" x14ac:dyDescent="0.25">
      <c r="A15" s="60" t="s">
        <v>339</v>
      </c>
      <c r="B15" s="237">
        <f>B21-B20</f>
        <v>13548</v>
      </c>
      <c r="C15" s="237">
        <f>C21-C20</f>
        <v>64066</v>
      </c>
      <c r="D15" s="140">
        <f>B15</f>
        <v>13548</v>
      </c>
      <c r="E15" s="140">
        <f t="shared" si="0"/>
        <v>30387.333333333332</v>
      </c>
      <c r="F15" s="397"/>
      <c r="G15" s="12"/>
      <c r="H15" s="13"/>
      <c r="I15" s="397" t="s">
        <v>340</v>
      </c>
      <c r="J15" s="397"/>
      <c r="K15" s="397"/>
    </row>
    <row r="16" spans="1:11" x14ac:dyDescent="0.25">
      <c r="A16" s="60" t="s">
        <v>341</v>
      </c>
      <c r="B16" s="237">
        <f>B22</f>
        <v>15212.986139431638</v>
      </c>
      <c r="C16" s="237">
        <f>C22</f>
        <v>55677</v>
      </c>
      <c r="D16" s="237">
        <f>D22</f>
        <v>15212.986139431638</v>
      </c>
      <c r="E16" s="140">
        <f t="shared" si="0"/>
        <v>28700.990759621094</v>
      </c>
      <c r="F16" s="397"/>
      <c r="G16" s="397"/>
      <c r="H16" s="13"/>
      <c r="I16" s="349" t="s">
        <v>342</v>
      </c>
      <c r="J16" s="397"/>
      <c r="K16" s="397"/>
    </row>
    <row r="17" spans="1:12" x14ac:dyDescent="0.25">
      <c r="A17" s="60" t="s">
        <v>343</v>
      </c>
      <c r="B17" s="237">
        <f>SUM(B12:B15)</f>
        <v>18662</v>
      </c>
      <c r="C17" s="237">
        <f>SUM(C12:C15)</f>
        <v>65106.7903240698</v>
      </c>
      <c r="D17" s="237">
        <f>SUM(D12:D15)</f>
        <v>18662</v>
      </c>
      <c r="E17" s="140">
        <f t="shared" si="0"/>
        <v>34143.596774689933</v>
      </c>
      <c r="F17" s="397"/>
      <c r="G17" s="12"/>
      <c r="H17" s="13"/>
      <c r="I17" s="350" t="s">
        <v>344</v>
      </c>
      <c r="J17" s="397"/>
      <c r="K17" s="397"/>
      <c r="L17" s="397"/>
    </row>
    <row r="18" spans="1:12" x14ac:dyDescent="0.25">
      <c r="A18" s="60" t="s">
        <v>345</v>
      </c>
      <c r="B18" s="237">
        <f>B8+B12</f>
        <v>2200.3020627295846</v>
      </c>
      <c r="C18" s="237">
        <f>C8+C12</f>
        <v>8777.3317329886449</v>
      </c>
      <c r="D18" s="140">
        <f>B18</f>
        <v>2200.3020627295846</v>
      </c>
      <c r="E18" s="140">
        <f t="shared" si="0"/>
        <v>4392.6452861492717</v>
      </c>
      <c r="F18" s="397"/>
      <c r="G18" s="12"/>
      <c r="H18" s="13"/>
      <c r="I18" s="397"/>
      <c r="J18" s="397"/>
      <c r="K18" s="397"/>
      <c r="L18" s="397"/>
    </row>
    <row r="19" spans="1:12" ht="15.75" thickBot="1" x14ac:dyDescent="0.3">
      <c r="A19" s="60" t="s">
        <v>346</v>
      </c>
      <c r="B19" s="237">
        <f>B8+B9+B13+B14</f>
        <v>7078</v>
      </c>
      <c r="C19" s="237">
        <f>C8+C9+C13+C14</f>
        <v>12379.2096759302</v>
      </c>
      <c r="D19" s="140">
        <f>B19</f>
        <v>7078</v>
      </c>
      <c r="E19" s="140">
        <f t="shared" si="0"/>
        <v>8845.0698919767328</v>
      </c>
      <c r="F19" s="397"/>
      <c r="G19" s="12"/>
      <c r="H19" s="397"/>
      <c r="I19" s="397"/>
      <c r="J19" s="234"/>
      <c r="K19" s="234"/>
      <c r="L19" s="397"/>
    </row>
    <row r="20" spans="1:12" ht="15.75" thickBot="1" x14ac:dyDescent="0.3">
      <c r="A20" s="60" t="s">
        <v>347</v>
      </c>
      <c r="B20" s="237">
        <f>K11</f>
        <v>7624</v>
      </c>
      <c r="C20" s="189">
        <v>13420</v>
      </c>
      <c r="D20" s="140">
        <f>B20</f>
        <v>7624</v>
      </c>
      <c r="E20" s="140">
        <f t="shared" si="0"/>
        <v>9556</v>
      </c>
      <c r="F20" s="397"/>
      <c r="G20" s="397"/>
      <c r="H20" s="397"/>
      <c r="I20" s="397"/>
      <c r="J20" s="397"/>
      <c r="K20" s="397"/>
      <c r="L20" s="397"/>
    </row>
    <row r="21" spans="1:12" ht="15.75" thickBot="1" x14ac:dyDescent="0.3">
      <c r="A21" s="60" t="s">
        <v>348</v>
      </c>
      <c r="B21" s="237">
        <f>K12</f>
        <v>21172</v>
      </c>
      <c r="C21" s="189">
        <f>J12</f>
        <v>77486</v>
      </c>
      <c r="D21" s="140">
        <f>B21</f>
        <v>21172</v>
      </c>
      <c r="E21" s="140">
        <f t="shared" si="0"/>
        <v>39943.333333333336</v>
      </c>
      <c r="F21" s="397"/>
      <c r="G21" s="12"/>
      <c r="H21" s="397"/>
      <c r="I21" s="397"/>
      <c r="J21" s="397"/>
      <c r="K21" s="397"/>
      <c r="L21" s="234"/>
    </row>
    <row r="22" spans="1:12" s="211" customFormat="1" x14ac:dyDescent="0.25">
      <c r="A22" s="60" t="s">
        <v>349</v>
      </c>
      <c r="B22" s="237">
        <f>B21*(C22/C21)</f>
        <v>15212.986139431638</v>
      </c>
      <c r="C22" s="237">
        <v>55677</v>
      </c>
      <c r="D22" s="237">
        <f>B22</f>
        <v>15212.986139431638</v>
      </c>
      <c r="E22" s="140">
        <f t="shared" si="0"/>
        <v>28700.990759621094</v>
      </c>
      <c r="F22" s="12"/>
      <c r="G22" s="13"/>
      <c r="H22" s="397"/>
      <c r="I22" s="397"/>
      <c r="J22" s="397"/>
      <c r="K22" s="397"/>
      <c r="L22" s="397"/>
    </row>
    <row r="23" spans="1:12" x14ac:dyDescent="0.25">
      <c r="A23" s="60" t="s">
        <v>350</v>
      </c>
      <c r="B23" s="237">
        <f>4931</f>
        <v>4931</v>
      </c>
      <c r="C23" s="237">
        <f>4931+2399</f>
        <v>7330</v>
      </c>
      <c r="D23" s="237">
        <f>4931</f>
        <v>4931</v>
      </c>
      <c r="E23" s="140">
        <f t="shared" si="0"/>
        <v>5730.666666666667</v>
      </c>
      <c r="F23" s="397"/>
      <c r="G23" s="397"/>
      <c r="H23" s="397"/>
      <c r="I23" s="344"/>
      <c r="J23" s="397"/>
      <c r="K23" s="397"/>
      <c r="L23" s="397"/>
    </row>
    <row r="24" spans="1:12" x14ac:dyDescent="0.25">
      <c r="A24" s="241"/>
      <c r="B24" s="397"/>
      <c r="C24" s="397"/>
      <c r="D24" s="397"/>
      <c r="E24" s="397"/>
      <c r="F24" s="12"/>
      <c r="G24" s="397"/>
      <c r="H24" s="397"/>
      <c r="I24" s="344"/>
      <c r="J24" s="397"/>
      <c r="K24" s="397"/>
      <c r="L24" s="397"/>
    </row>
    <row r="25" spans="1:12" x14ac:dyDescent="0.25">
      <c r="A25" s="3"/>
      <c r="B25" s="25"/>
      <c r="C25" s="25"/>
      <c r="D25" s="234"/>
      <c r="E25" s="234"/>
      <c r="F25" s="344"/>
      <c r="G25" s="344"/>
      <c r="H25" s="344"/>
      <c r="I25" s="397"/>
      <c r="J25" s="397"/>
      <c r="K25" s="397"/>
      <c r="L25" s="397"/>
    </row>
    <row r="26" spans="1:12" x14ac:dyDescent="0.25">
      <c r="A26" s="397"/>
      <c r="B26" s="397"/>
      <c r="C26" s="13"/>
      <c r="D26" s="184"/>
      <c r="E26" s="397"/>
      <c r="F26" s="344"/>
      <c r="G26" s="344"/>
      <c r="H26" s="344"/>
      <c r="I26" s="397"/>
      <c r="J26" s="397"/>
      <c r="K26" s="397"/>
      <c r="L26" s="397"/>
    </row>
    <row r="27" spans="1:12" x14ac:dyDescent="0.25">
      <c r="A27" s="397"/>
      <c r="B27" s="397"/>
      <c r="C27" s="13"/>
      <c r="D27" s="397"/>
      <c r="E27" s="397"/>
      <c r="F27" s="234"/>
      <c r="G27" s="234"/>
      <c r="H27" s="242"/>
      <c r="I27" s="397"/>
      <c r="J27" s="397"/>
      <c r="K27" s="397"/>
      <c r="L27" s="211"/>
    </row>
    <row r="28" spans="1:12" x14ac:dyDescent="0.25">
      <c r="A28" s="397"/>
      <c r="B28" s="397"/>
      <c r="C28" s="13"/>
      <c r="D28" s="397"/>
      <c r="E28" s="397"/>
      <c r="F28" s="397"/>
      <c r="G28" s="397"/>
      <c r="H28" s="397"/>
      <c r="I28" s="397"/>
      <c r="J28" s="397"/>
      <c r="K28" s="397"/>
      <c r="L28" s="397"/>
    </row>
    <row r="29" spans="1:12" x14ac:dyDescent="0.25">
      <c r="A29" s="397"/>
      <c r="B29" s="397"/>
      <c r="C29" s="13"/>
      <c r="D29" s="397"/>
      <c r="E29" s="397"/>
      <c r="F29" s="397"/>
      <c r="G29" s="397"/>
      <c r="H29" s="397"/>
      <c r="I29" s="397"/>
      <c r="J29" s="397"/>
      <c r="K29" s="397"/>
      <c r="L29" s="397"/>
    </row>
    <row r="30" spans="1:12" x14ac:dyDescent="0.25">
      <c r="A30" s="397"/>
      <c r="B30" s="397"/>
      <c r="C30" s="13"/>
      <c r="D30" s="397"/>
      <c r="E30" s="397"/>
      <c r="F30" s="397"/>
      <c r="G30" s="397"/>
      <c r="H30" s="397"/>
      <c r="I30" s="397"/>
      <c r="J30" s="397"/>
      <c r="K30" s="397"/>
      <c r="L30" s="397"/>
    </row>
    <row r="31" spans="1:12" x14ac:dyDescent="0.25">
      <c r="A31" s="397"/>
      <c r="B31" s="397"/>
      <c r="C31" s="13"/>
      <c r="D31" s="397"/>
      <c r="E31" s="397"/>
      <c r="F31" s="397"/>
      <c r="G31" s="397"/>
      <c r="H31" s="397"/>
      <c r="I31" s="397"/>
      <c r="J31" s="397"/>
      <c r="K31" s="397"/>
      <c r="L31" s="397"/>
    </row>
    <row r="32" spans="1:12" x14ac:dyDescent="0.25">
      <c r="A32" s="397"/>
      <c r="B32" s="397"/>
      <c r="C32" s="13"/>
      <c r="D32" s="397"/>
      <c r="E32" s="397"/>
      <c r="F32" s="397"/>
      <c r="G32" s="397"/>
      <c r="H32" s="397"/>
      <c r="I32" s="397"/>
      <c r="J32" s="397"/>
      <c r="K32" s="397"/>
      <c r="L32" s="397"/>
    </row>
    <row r="33" spans="3:3" x14ac:dyDescent="0.25">
      <c r="C33" s="13"/>
    </row>
    <row r="34" spans="3:3" x14ac:dyDescent="0.25">
      <c r="C34" s="13"/>
    </row>
    <row r="35" spans="3:3" x14ac:dyDescent="0.25">
      <c r="C35" s="13"/>
    </row>
    <row r="36" spans="3:3" x14ac:dyDescent="0.25">
      <c r="C36" s="13"/>
    </row>
    <row r="37" spans="3:3" x14ac:dyDescent="0.25">
      <c r="C37" s="13"/>
    </row>
    <row r="38" spans="3:3" x14ac:dyDescent="0.25">
      <c r="C38" s="13"/>
    </row>
    <row r="39" spans="3:3" x14ac:dyDescent="0.25">
      <c r="C39" s="13"/>
    </row>
    <row r="40" spans="3:3" x14ac:dyDescent="0.25">
      <c r="C40" s="13"/>
    </row>
    <row r="41" spans="3:3" x14ac:dyDescent="0.25">
      <c r="C41" s="13"/>
    </row>
    <row r="42" spans="3:3" x14ac:dyDescent="0.25">
      <c r="C42" s="13"/>
    </row>
    <row r="43" spans="3:3" x14ac:dyDescent="0.25">
      <c r="C43" s="13"/>
    </row>
    <row r="44" spans="3:3" x14ac:dyDescent="0.25">
      <c r="C44" s="13"/>
    </row>
    <row r="45" spans="3:3" x14ac:dyDescent="0.25">
      <c r="C45" s="13"/>
    </row>
    <row r="46" spans="3:3" x14ac:dyDescent="0.25">
      <c r="C46" s="13"/>
    </row>
    <row r="47" spans="3:3" x14ac:dyDescent="0.25">
      <c r="C47" s="13"/>
    </row>
    <row r="48" spans="3:3" x14ac:dyDescent="0.25">
      <c r="C48" s="13"/>
    </row>
    <row r="49" spans="3:3" x14ac:dyDescent="0.25">
      <c r="C49" s="13"/>
    </row>
    <row r="50" spans="3:3" x14ac:dyDescent="0.25">
      <c r="C50" s="13"/>
    </row>
    <row r="51" spans="3:3" x14ac:dyDescent="0.25">
      <c r="C51" s="13"/>
    </row>
    <row r="52" spans="3:3" x14ac:dyDescent="0.25">
      <c r="C52" s="13"/>
    </row>
    <row r="53" spans="3:3" x14ac:dyDescent="0.25">
      <c r="C53" s="13"/>
    </row>
    <row r="54" spans="3:3" x14ac:dyDescent="0.25">
      <c r="C54" s="13"/>
    </row>
    <row r="55" spans="3:3" x14ac:dyDescent="0.25">
      <c r="C55" s="13"/>
    </row>
    <row r="56" spans="3:3" x14ac:dyDescent="0.25">
      <c r="C56" s="13"/>
    </row>
    <row r="57" spans="3:3" x14ac:dyDescent="0.25">
      <c r="C57" s="13"/>
    </row>
    <row r="58" spans="3:3" x14ac:dyDescent="0.25">
      <c r="C58" s="13"/>
    </row>
    <row r="59" spans="3:3" x14ac:dyDescent="0.25">
      <c r="C59" s="13"/>
    </row>
    <row r="60" spans="3:3" x14ac:dyDescent="0.25">
      <c r="C60" s="13"/>
    </row>
    <row r="61" spans="3:3" x14ac:dyDescent="0.25">
      <c r="C61" s="13"/>
    </row>
    <row r="62" spans="3:3" x14ac:dyDescent="0.25">
      <c r="C62" s="13"/>
    </row>
    <row r="63" spans="3:3" x14ac:dyDescent="0.25">
      <c r="C63" s="13"/>
    </row>
    <row r="64" spans="3:3" x14ac:dyDescent="0.25">
      <c r="C64" s="13"/>
    </row>
    <row r="65" spans="3:3" x14ac:dyDescent="0.25">
      <c r="C65" s="13"/>
    </row>
    <row r="66" spans="3:3" x14ac:dyDescent="0.25">
      <c r="C66" s="13"/>
    </row>
    <row r="67" spans="3:3" x14ac:dyDescent="0.25">
      <c r="C67" s="13"/>
    </row>
    <row r="68" spans="3:3" x14ac:dyDescent="0.25">
      <c r="C68" s="13"/>
    </row>
    <row r="69" spans="3:3" x14ac:dyDescent="0.25">
      <c r="C69" s="13"/>
    </row>
    <row r="70" spans="3:3" x14ac:dyDescent="0.25">
      <c r="C70" s="13"/>
    </row>
    <row r="71" spans="3:3" x14ac:dyDescent="0.25">
      <c r="C71" s="13"/>
    </row>
    <row r="72" spans="3:3" x14ac:dyDescent="0.25">
      <c r="C72" s="13"/>
    </row>
    <row r="73" spans="3:3" x14ac:dyDescent="0.25">
      <c r="C73" s="13"/>
    </row>
    <row r="74" spans="3:3" x14ac:dyDescent="0.25">
      <c r="C74" s="13"/>
    </row>
    <row r="75" spans="3:3" x14ac:dyDescent="0.25">
      <c r="C75" s="13"/>
    </row>
    <row r="76" spans="3:3" x14ac:dyDescent="0.25">
      <c r="C76" s="13"/>
    </row>
    <row r="77" spans="3:3" x14ac:dyDescent="0.25">
      <c r="C77" s="13"/>
    </row>
    <row r="78" spans="3:3" x14ac:dyDescent="0.25">
      <c r="C78" s="13"/>
    </row>
    <row r="79" spans="3:3" x14ac:dyDescent="0.25">
      <c r="C79" s="13"/>
    </row>
    <row r="80" spans="3:3" x14ac:dyDescent="0.25">
      <c r="C80" s="13"/>
    </row>
    <row r="81" spans="3:3" x14ac:dyDescent="0.25">
      <c r="C81" s="13"/>
    </row>
    <row r="82" spans="3:3" x14ac:dyDescent="0.25">
      <c r="C82" s="13"/>
    </row>
    <row r="83" spans="3:3" x14ac:dyDescent="0.25">
      <c r="C83" s="13"/>
    </row>
    <row r="84" spans="3:3" x14ac:dyDescent="0.25">
      <c r="C84" s="13"/>
    </row>
    <row r="85" spans="3:3" x14ac:dyDescent="0.25">
      <c r="C85" s="13"/>
    </row>
    <row r="86" spans="3:3" x14ac:dyDescent="0.25">
      <c r="C86" s="13"/>
    </row>
    <row r="87" spans="3:3" x14ac:dyDescent="0.25">
      <c r="C87" s="13"/>
    </row>
    <row r="88" spans="3:3" x14ac:dyDescent="0.25">
      <c r="C88" s="13"/>
    </row>
    <row r="89" spans="3:3" x14ac:dyDescent="0.25">
      <c r="C89" s="13"/>
    </row>
    <row r="90" spans="3:3" x14ac:dyDescent="0.25">
      <c r="C90" s="13"/>
    </row>
    <row r="91" spans="3:3" x14ac:dyDescent="0.25">
      <c r="C91" s="13"/>
    </row>
    <row r="92" spans="3:3" x14ac:dyDescent="0.25">
      <c r="C92" s="13"/>
    </row>
    <row r="93" spans="3:3" x14ac:dyDescent="0.25">
      <c r="C93" s="13"/>
    </row>
    <row r="94" spans="3:3" x14ac:dyDescent="0.25">
      <c r="C94" s="13"/>
    </row>
    <row r="95" spans="3:3" x14ac:dyDescent="0.25">
      <c r="C95" s="13"/>
    </row>
    <row r="96" spans="3:3" x14ac:dyDescent="0.25">
      <c r="C96" s="13"/>
    </row>
    <row r="97" spans="3:3" x14ac:dyDescent="0.25">
      <c r="C97" s="13"/>
    </row>
    <row r="98" spans="3:3" x14ac:dyDescent="0.25">
      <c r="C98" s="13"/>
    </row>
    <row r="99" spans="3:3" x14ac:dyDescent="0.25">
      <c r="C99" s="13"/>
    </row>
    <row r="100" spans="3:3" x14ac:dyDescent="0.25">
      <c r="C100" s="13"/>
    </row>
    <row r="101" spans="3:3" x14ac:dyDescent="0.25">
      <c r="C101" s="13"/>
    </row>
    <row r="102" spans="3:3" x14ac:dyDescent="0.25">
      <c r="C102" s="13"/>
    </row>
    <row r="103" spans="3:3" x14ac:dyDescent="0.25">
      <c r="C103" s="13"/>
    </row>
    <row r="104" spans="3:3" x14ac:dyDescent="0.25">
      <c r="C104" s="13"/>
    </row>
    <row r="105" spans="3:3" x14ac:dyDescent="0.25">
      <c r="C105" s="13"/>
    </row>
    <row r="106" spans="3:3" x14ac:dyDescent="0.25">
      <c r="C106" s="13"/>
    </row>
    <row r="107" spans="3:3" x14ac:dyDescent="0.25">
      <c r="C107" s="13"/>
    </row>
    <row r="108" spans="3:3" x14ac:dyDescent="0.25">
      <c r="C108" s="13"/>
    </row>
  </sheetData>
  <pageMargins left="0.7" right="0.7" top="0.75" bottom="0.75" header="0.3" footer="0.3"/>
  <pageSetup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8C7F4-F42F-49AD-A322-2B259BF937B1}">
  <dimension ref="A1:AA57"/>
  <sheetViews>
    <sheetView workbookViewId="0">
      <selection activeCell="E2" sqref="E2"/>
    </sheetView>
  </sheetViews>
  <sheetFormatPr defaultRowHeight="15" x14ac:dyDescent="0.25"/>
  <cols>
    <col min="1" max="1" width="49.5703125" customWidth="1"/>
    <col min="2" max="2" width="20.5703125" customWidth="1"/>
    <col min="3" max="4" width="11.42578125" customWidth="1"/>
    <col min="5" max="5" width="55.140625" customWidth="1"/>
    <col min="10" max="10" width="8.7109375" style="13"/>
    <col min="14" max="17" width="16.28515625" customWidth="1"/>
    <col min="19" max="22" width="16.28515625" customWidth="1"/>
    <col min="24" max="27" width="16.28515625" customWidth="1"/>
  </cols>
  <sheetData>
    <row r="1" spans="1:27" x14ac:dyDescent="0.25">
      <c r="A1" s="17" t="s">
        <v>351</v>
      </c>
      <c r="B1" s="397"/>
      <c r="C1" s="397"/>
      <c r="D1" s="397"/>
      <c r="E1" s="397"/>
      <c r="F1" s="397"/>
      <c r="G1" s="397"/>
      <c r="H1" s="397"/>
      <c r="I1" s="397"/>
      <c r="K1" s="397"/>
      <c r="L1" s="397"/>
      <c r="M1" s="397"/>
      <c r="N1" s="69" t="s">
        <v>352</v>
      </c>
      <c r="O1" s="397"/>
      <c r="P1" s="397"/>
      <c r="Q1" s="397"/>
      <c r="R1" s="397"/>
      <c r="S1" s="69" t="s">
        <v>353</v>
      </c>
      <c r="T1" s="397"/>
      <c r="U1" s="397"/>
      <c r="V1" s="397"/>
      <c r="W1" s="397"/>
      <c r="X1" s="69" t="s">
        <v>354</v>
      </c>
      <c r="Y1" s="397"/>
      <c r="Z1" s="397"/>
      <c r="AA1" s="397"/>
    </row>
    <row r="2" spans="1:27" s="3" customFormat="1" ht="75.75" thickBot="1" x14ac:dyDescent="0.3">
      <c r="A2" s="1" t="s">
        <v>355</v>
      </c>
      <c r="B2" s="1" t="s">
        <v>356</v>
      </c>
      <c r="C2" s="2" t="s">
        <v>357</v>
      </c>
      <c r="D2" s="2" t="s">
        <v>358</v>
      </c>
      <c r="E2" s="1" t="s">
        <v>359</v>
      </c>
      <c r="I2" s="394" t="s">
        <v>360</v>
      </c>
      <c r="J2" s="395" t="s">
        <v>361</v>
      </c>
      <c r="K2" s="394" t="s">
        <v>362</v>
      </c>
      <c r="L2" s="394" t="s">
        <v>363</v>
      </c>
      <c r="N2" s="398" t="s">
        <v>364</v>
      </c>
      <c r="O2" s="398" t="s">
        <v>365</v>
      </c>
      <c r="P2" s="398" t="s">
        <v>366</v>
      </c>
      <c r="Q2" s="398" t="s">
        <v>367</v>
      </c>
      <c r="S2" s="398" t="s">
        <v>364</v>
      </c>
      <c r="T2" s="398" t="s">
        <v>365</v>
      </c>
      <c r="U2" s="398" t="s">
        <v>366</v>
      </c>
      <c r="V2" s="398" t="s">
        <v>367</v>
      </c>
      <c r="X2" s="398" t="s">
        <v>364</v>
      </c>
      <c r="Y2" s="398" t="s">
        <v>365</v>
      </c>
      <c r="Z2" s="398" t="s">
        <v>366</v>
      </c>
      <c r="AA2" s="398" t="s">
        <v>367</v>
      </c>
    </row>
    <row r="3" spans="1:27" x14ac:dyDescent="0.25">
      <c r="A3" s="4" t="s">
        <v>368</v>
      </c>
      <c r="B3" s="5" t="s">
        <v>369</v>
      </c>
      <c r="C3" s="6">
        <v>53.16</v>
      </c>
      <c r="D3" s="7">
        <f>C3*2.1</f>
        <v>111.636</v>
      </c>
      <c r="E3" s="9" t="s">
        <v>370</v>
      </c>
      <c r="F3" s="397"/>
      <c r="G3" s="397"/>
      <c r="H3" s="397"/>
      <c r="I3" s="393" t="s">
        <v>371</v>
      </c>
      <c r="J3" s="396" t="s">
        <v>372</v>
      </c>
      <c r="K3" s="393">
        <v>67</v>
      </c>
      <c r="L3" s="397">
        <v>227</v>
      </c>
      <c r="M3" s="397"/>
      <c r="N3" s="399">
        <v>77.37</v>
      </c>
      <c r="O3" s="399">
        <v>49.89</v>
      </c>
      <c r="P3" s="399">
        <v>36.64</v>
      </c>
      <c r="Q3" s="399">
        <v>41.72</v>
      </c>
      <c r="R3" s="397"/>
      <c r="S3" s="399">
        <f>N3*$K3</f>
        <v>5183.79</v>
      </c>
      <c r="T3" s="399">
        <f>O3*$K3</f>
        <v>3342.63</v>
      </c>
      <c r="U3" s="399">
        <f>P3*$K3</f>
        <v>2454.88</v>
      </c>
      <c r="V3" s="399">
        <f>Q3*$K3</f>
        <v>2795.24</v>
      </c>
      <c r="W3" s="397"/>
      <c r="X3" s="399">
        <f>N3*$L3</f>
        <v>17562.990000000002</v>
      </c>
      <c r="Y3" s="399">
        <f t="shared" ref="Y3:Y55" si="0">O3*$L3</f>
        <v>11325.03</v>
      </c>
      <c r="Z3" s="399">
        <f t="shared" ref="Z3:Z55" si="1">P3*$L3</f>
        <v>8317.2800000000007</v>
      </c>
      <c r="AA3" s="399">
        <f t="shared" ref="AA3:AA55" si="2">Q3*$L3</f>
        <v>9470.44</v>
      </c>
    </row>
    <row r="4" spans="1:27" ht="15.75" thickBot="1" x14ac:dyDescent="0.3">
      <c r="A4" s="4" t="s">
        <v>364</v>
      </c>
      <c r="B4" s="5" t="s">
        <v>369</v>
      </c>
      <c r="C4" s="6">
        <v>84.48</v>
      </c>
      <c r="D4" s="7">
        <f>C4*2.1</f>
        <v>177.40800000000002</v>
      </c>
      <c r="E4" s="9" t="s">
        <v>370</v>
      </c>
      <c r="F4" s="397"/>
      <c r="G4" s="397"/>
      <c r="H4" s="397"/>
      <c r="I4" s="393" t="s">
        <v>373</v>
      </c>
      <c r="J4" s="396" t="s">
        <v>374</v>
      </c>
      <c r="K4" s="393">
        <v>30</v>
      </c>
      <c r="L4" s="397">
        <v>100</v>
      </c>
      <c r="M4" s="397"/>
      <c r="N4" s="399">
        <v>77.7</v>
      </c>
      <c r="O4" s="399">
        <v>55.52</v>
      </c>
      <c r="P4" s="399">
        <v>46.3</v>
      </c>
      <c r="Q4" s="399">
        <v>45.34</v>
      </c>
      <c r="R4" s="397"/>
      <c r="S4" s="399">
        <f t="shared" ref="S4:S55" si="3">N4*$K4</f>
        <v>2331</v>
      </c>
      <c r="T4" s="399">
        <f t="shared" ref="T4:T55" si="4">O4*$K4</f>
        <v>1665.6000000000001</v>
      </c>
      <c r="U4" s="399">
        <f t="shared" ref="U4:U56" si="5">P4*$K4</f>
        <v>1389</v>
      </c>
      <c r="V4" s="399">
        <f t="shared" ref="V4:V55" si="6">Q4*$K4</f>
        <v>1360.2</v>
      </c>
      <c r="W4" s="397"/>
      <c r="X4" s="399">
        <f t="shared" ref="X4:X55" si="7">N4*$L4</f>
        <v>7770</v>
      </c>
      <c r="Y4" s="399">
        <f t="shared" si="0"/>
        <v>5552</v>
      </c>
      <c r="Z4" s="399">
        <f t="shared" si="1"/>
        <v>4630</v>
      </c>
      <c r="AA4" s="399">
        <f t="shared" si="2"/>
        <v>4534</v>
      </c>
    </row>
    <row r="5" spans="1:27" x14ac:dyDescent="0.25">
      <c r="A5" s="10"/>
      <c r="B5" s="10"/>
      <c r="C5" s="10"/>
      <c r="D5" s="10"/>
      <c r="E5" s="10"/>
      <c r="F5" s="397"/>
      <c r="G5" s="397"/>
      <c r="H5" s="397"/>
      <c r="I5" s="393" t="s">
        <v>304</v>
      </c>
      <c r="J5" s="396" t="s">
        <v>375</v>
      </c>
      <c r="K5" s="393">
        <v>15</v>
      </c>
      <c r="L5" s="397">
        <v>62</v>
      </c>
      <c r="M5" s="397"/>
      <c r="N5" s="399">
        <v>94.92</v>
      </c>
      <c r="O5" s="399">
        <v>45.45</v>
      </c>
      <c r="P5" s="399">
        <v>42.9</v>
      </c>
      <c r="Q5" s="399">
        <v>45.57</v>
      </c>
      <c r="R5" s="397"/>
      <c r="S5" s="399">
        <f t="shared" si="3"/>
        <v>1423.8</v>
      </c>
      <c r="T5" s="399">
        <f t="shared" si="4"/>
        <v>681.75</v>
      </c>
      <c r="U5" s="399">
        <f t="shared" si="5"/>
        <v>643.5</v>
      </c>
      <c r="V5" s="399">
        <f t="shared" si="6"/>
        <v>683.55</v>
      </c>
      <c r="W5" s="397"/>
      <c r="X5" s="399">
        <f t="shared" si="7"/>
        <v>5885.04</v>
      </c>
      <c r="Y5" s="399">
        <f t="shared" si="0"/>
        <v>2817.9</v>
      </c>
      <c r="Z5" s="399">
        <f t="shared" si="1"/>
        <v>2659.7999999999997</v>
      </c>
      <c r="AA5" s="399">
        <f t="shared" si="2"/>
        <v>2825.34</v>
      </c>
    </row>
    <row r="6" spans="1:27" x14ac:dyDescent="0.25">
      <c r="A6" s="11" t="s">
        <v>376</v>
      </c>
      <c r="B6" s="397"/>
      <c r="C6" s="397"/>
      <c r="D6" s="397"/>
      <c r="E6" s="397"/>
      <c r="F6" s="397"/>
      <c r="G6" s="397"/>
      <c r="H6" s="397"/>
      <c r="I6" s="393" t="s">
        <v>377</v>
      </c>
      <c r="J6" s="396" t="s">
        <v>378</v>
      </c>
      <c r="K6" s="393">
        <v>75</v>
      </c>
      <c r="L6" s="397">
        <v>121</v>
      </c>
      <c r="M6" s="397"/>
      <c r="N6" s="399">
        <v>67.69</v>
      </c>
      <c r="O6" s="399">
        <v>44.08</v>
      </c>
      <c r="P6" s="399">
        <v>41.9</v>
      </c>
      <c r="Q6" s="399">
        <v>40.229999999999997</v>
      </c>
      <c r="R6" s="397"/>
      <c r="S6" s="399">
        <f t="shared" si="3"/>
        <v>5076.75</v>
      </c>
      <c r="T6" s="399">
        <f t="shared" si="4"/>
        <v>3306</v>
      </c>
      <c r="U6" s="399">
        <f t="shared" si="5"/>
        <v>3142.5</v>
      </c>
      <c r="V6" s="399">
        <f t="shared" si="6"/>
        <v>3017.2499999999995</v>
      </c>
      <c r="W6" s="397"/>
      <c r="X6" s="399">
        <f t="shared" si="7"/>
        <v>8190.49</v>
      </c>
      <c r="Y6" s="399">
        <f t="shared" si="0"/>
        <v>5333.6799999999994</v>
      </c>
      <c r="Z6" s="399">
        <f t="shared" si="1"/>
        <v>5069.8999999999996</v>
      </c>
      <c r="AA6" s="399">
        <f t="shared" si="2"/>
        <v>4867.83</v>
      </c>
    </row>
    <row r="7" spans="1:27" x14ac:dyDescent="0.25">
      <c r="A7" s="12"/>
      <c r="B7" s="397"/>
      <c r="C7" s="397"/>
      <c r="D7" s="397"/>
      <c r="E7" s="397"/>
      <c r="F7" s="397"/>
      <c r="G7" s="397"/>
      <c r="H7" s="397"/>
      <c r="I7" s="393" t="s">
        <v>379</v>
      </c>
      <c r="J7" s="396" t="s">
        <v>380</v>
      </c>
      <c r="K7" s="393">
        <v>58</v>
      </c>
      <c r="L7" s="397">
        <v>256</v>
      </c>
      <c r="M7" s="397"/>
      <c r="N7" s="399">
        <v>98.85</v>
      </c>
      <c r="O7" s="399">
        <v>61.41</v>
      </c>
      <c r="P7" s="399">
        <v>51.64</v>
      </c>
      <c r="Q7" s="399">
        <v>55.05</v>
      </c>
      <c r="R7" s="397"/>
      <c r="S7" s="399">
        <f t="shared" si="3"/>
        <v>5733.2999999999993</v>
      </c>
      <c r="T7" s="399">
        <f t="shared" si="4"/>
        <v>3561.7799999999997</v>
      </c>
      <c r="U7" s="399">
        <f t="shared" si="5"/>
        <v>2995.12</v>
      </c>
      <c r="V7" s="399">
        <f t="shared" si="6"/>
        <v>3192.8999999999996</v>
      </c>
      <c r="W7" s="397"/>
      <c r="X7" s="399">
        <f t="shared" si="7"/>
        <v>25305.599999999999</v>
      </c>
      <c r="Y7" s="399">
        <f t="shared" si="0"/>
        <v>15720.96</v>
      </c>
      <c r="Z7" s="399">
        <f t="shared" si="1"/>
        <v>13219.84</v>
      </c>
      <c r="AA7" s="399">
        <f t="shared" si="2"/>
        <v>14092.8</v>
      </c>
    </row>
    <row r="8" spans="1:27" x14ac:dyDescent="0.25">
      <c r="A8" s="12"/>
      <c r="B8" s="397"/>
      <c r="C8" s="397"/>
      <c r="D8" s="397"/>
      <c r="E8" s="397"/>
      <c r="F8" s="397"/>
      <c r="G8" s="397"/>
      <c r="H8" s="397"/>
      <c r="I8" s="393" t="s">
        <v>311</v>
      </c>
      <c r="J8" s="396" t="s">
        <v>381</v>
      </c>
      <c r="K8" s="393">
        <v>64</v>
      </c>
      <c r="L8" s="397">
        <v>150</v>
      </c>
      <c r="M8" s="397"/>
      <c r="N8" s="399">
        <v>91.47</v>
      </c>
      <c r="O8" s="399">
        <v>49.47</v>
      </c>
      <c r="P8" s="399">
        <v>44.81</v>
      </c>
      <c r="Q8" s="399">
        <v>51.11</v>
      </c>
      <c r="R8" s="397"/>
      <c r="S8" s="399">
        <f t="shared" si="3"/>
        <v>5854.08</v>
      </c>
      <c r="T8" s="399">
        <f t="shared" si="4"/>
        <v>3166.08</v>
      </c>
      <c r="U8" s="399">
        <f t="shared" si="5"/>
        <v>2867.84</v>
      </c>
      <c r="V8" s="399">
        <f t="shared" si="6"/>
        <v>3271.04</v>
      </c>
      <c r="W8" s="397"/>
      <c r="X8" s="399">
        <f t="shared" si="7"/>
        <v>13720.5</v>
      </c>
      <c r="Y8" s="399">
        <f t="shared" si="0"/>
        <v>7420.5</v>
      </c>
      <c r="Z8" s="399">
        <f t="shared" si="1"/>
        <v>6721.5</v>
      </c>
      <c r="AA8" s="399">
        <f t="shared" si="2"/>
        <v>7666.5</v>
      </c>
    </row>
    <row r="9" spans="1:27" x14ac:dyDescent="0.25">
      <c r="A9" s="397"/>
      <c r="B9" s="397"/>
      <c r="C9" s="397"/>
      <c r="D9" s="397"/>
      <c r="E9" s="397"/>
      <c r="F9" s="397"/>
      <c r="G9" s="397"/>
      <c r="H9" s="397"/>
      <c r="I9" s="393" t="s">
        <v>382</v>
      </c>
      <c r="J9" s="396" t="s">
        <v>383</v>
      </c>
      <c r="K9" s="393">
        <v>9</v>
      </c>
      <c r="L9" s="397">
        <v>32</v>
      </c>
      <c r="M9" s="397"/>
      <c r="N9" s="399">
        <v>84.32</v>
      </c>
      <c r="O9" s="399">
        <v>56.1</v>
      </c>
      <c r="P9" s="399">
        <v>46.06</v>
      </c>
      <c r="Q9" s="399">
        <v>51.6</v>
      </c>
      <c r="R9" s="397"/>
      <c r="S9" s="399">
        <f t="shared" si="3"/>
        <v>758.87999999999988</v>
      </c>
      <c r="T9" s="399">
        <f t="shared" si="4"/>
        <v>504.90000000000003</v>
      </c>
      <c r="U9" s="399">
        <f t="shared" si="5"/>
        <v>414.54</v>
      </c>
      <c r="V9" s="399">
        <f t="shared" si="6"/>
        <v>464.40000000000003</v>
      </c>
      <c r="W9" s="397"/>
      <c r="X9" s="399">
        <f t="shared" si="7"/>
        <v>2698.24</v>
      </c>
      <c r="Y9" s="399">
        <f t="shared" si="0"/>
        <v>1795.2</v>
      </c>
      <c r="Z9" s="399">
        <f t="shared" si="1"/>
        <v>1473.92</v>
      </c>
      <c r="AA9" s="399">
        <f t="shared" si="2"/>
        <v>1651.2</v>
      </c>
    </row>
    <row r="10" spans="1:27" x14ac:dyDescent="0.25">
      <c r="A10" s="156" t="s">
        <v>384</v>
      </c>
      <c r="B10" s="397"/>
      <c r="C10" s="397"/>
      <c r="D10" s="397"/>
      <c r="E10" s="397"/>
      <c r="F10" s="397"/>
      <c r="G10" s="397"/>
      <c r="H10" s="397"/>
      <c r="I10" s="393" t="s">
        <v>385</v>
      </c>
      <c r="J10" s="396">
        <v>10</v>
      </c>
      <c r="K10" s="393">
        <v>3</v>
      </c>
      <c r="L10" s="397">
        <v>10</v>
      </c>
      <c r="M10" s="397"/>
      <c r="N10" s="399">
        <v>83.85</v>
      </c>
      <c r="O10" s="399">
        <v>54.58</v>
      </c>
      <c r="P10" s="399">
        <v>31.62</v>
      </c>
      <c r="Q10" s="399">
        <v>46.74</v>
      </c>
      <c r="R10" s="397"/>
      <c r="S10" s="399">
        <f t="shared" si="3"/>
        <v>251.54999999999998</v>
      </c>
      <c r="T10" s="399">
        <f t="shared" si="4"/>
        <v>163.74</v>
      </c>
      <c r="U10" s="399">
        <f t="shared" si="5"/>
        <v>94.86</v>
      </c>
      <c r="V10" s="399">
        <f t="shared" si="6"/>
        <v>140.22</v>
      </c>
      <c r="W10" s="397"/>
      <c r="X10" s="399">
        <f t="shared" si="7"/>
        <v>838.5</v>
      </c>
      <c r="Y10" s="399">
        <f t="shared" si="0"/>
        <v>545.79999999999995</v>
      </c>
      <c r="Z10" s="399">
        <f t="shared" si="1"/>
        <v>316.2</v>
      </c>
      <c r="AA10" s="399">
        <f t="shared" si="2"/>
        <v>467.40000000000003</v>
      </c>
    </row>
    <row r="11" spans="1:27" ht="45.75" thickBot="1" x14ac:dyDescent="0.3">
      <c r="A11" s="1" t="s">
        <v>355</v>
      </c>
      <c r="B11" s="1" t="s">
        <v>356</v>
      </c>
      <c r="C11" s="2" t="s">
        <v>386</v>
      </c>
      <c r="D11" s="2" t="s">
        <v>358</v>
      </c>
      <c r="E11" s="2" t="s">
        <v>387</v>
      </c>
      <c r="F11" s="397"/>
      <c r="G11" s="397"/>
      <c r="H11" s="397"/>
      <c r="I11" s="393" t="s">
        <v>388</v>
      </c>
      <c r="J11" s="396">
        <v>11</v>
      </c>
      <c r="K11" s="393">
        <v>1</v>
      </c>
      <c r="L11" s="344">
        <v>5</v>
      </c>
      <c r="M11" s="397"/>
      <c r="N11" s="399">
        <v>85.77</v>
      </c>
      <c r="O11" s="399">
        <v>58.72</v>
      </c>
      <c r="P11" s="399">
        <v>61.23</v>
      </c>
      <c r="Q11" s="399">
        <v>57.17</v>
      </c>
      <c r="R11" s="397"/>
      <c r="S11" s="399">
        <f t="shared" si="3"/>
        <v>85.77</v>
      </c>
      <c r="T11" s="399">
        <f t="shared" si="4"/>
        <v>58.72</v>
      </c>
      <c r="U11" s="399">
        <f t="shared" si="5"/>
        <v>61.23</v>
      </c>
      <c r="V11" s="399">
        <f t="shared" si="6"/>
        <v>57.17</v>
      </c>
      <c r="W11" s="397"/>
      <c r="X11" s="399">
        <f t="shared" si="7"/>
        <v>428.84999999999997</v>
      </c>
      <c r="Y11" s="399">
        <f t="shared" si="0"/>
        <v>293.60000000000002</v>
      </c>
      <c r="Z11" s="399">
        <f t="shared" si="1"/>
        <v>306.14999999999998</v>
      </c>
      <c r="AA11" s="399">
        <f t="shared" si="2"/>
        <v>285.85000000000002</v>
      </c>
    </row>
    <row r="12" spans="1:27" x14ac:dyDescent="0.25">
      <c r="A12" s="4" t="s">
        <v>368</v>
      </c>
      <c r="B12" s="5" t="s">
        <v>369</v>
      </c>
      <c r="C12" s="404">
        <f>Y57</f>
        <v>51.701710304054053</v>
      </c>
      <c r="D12" s="7">
        <f>C12*2.1</f>
        <v>108.57359163851352</v>
      </c>
      <c r="E12" s="397" t="s">
        <v>389</v>
      </c>
      <c r="F12" s="397"/>
      <c r="G12" s="397"/>
      <c r="H12" s="397"/>
      <c r="I12" s="393" t="s">
        <v>390</v>
      </c>
      <c r="J12" s="396">
        <v>12</v>
      </c>
      <c r="K12" s="393">
        <v>67</v>
      </c>
      <c r="L12" s="397">
        <v>238</v>
      </c>
      <c r="M12" s="397"/>
      <c r="N12" s="399">
        <v>81.64</v>
      </c>
      <c r="O12" s="399">
        <v>45.6</v>
      </c>
      <c r="P12" s="399">
        <v>32.700000000000003</v>
      </c>
      <c r="Q12" s="399">
        <v>46.19</v>
      </c>
      <c r="R12" s="397"/>
      <c r="S12" s="399">
        <f t="shared" si="3"/>
        <v>5469.88</v>
      </c>
      <c r="T12" s="399">
        <f t="shared" si="4"/>
        <v>3055.2000000000003</v>
      </c>
      <c r="U12" s="399">
        <f t="shared" si="5"/>
        <v>2190.9</v>
      </c>
      <c r="V12" s="399">
        <f t="shared" si="6"/>
        <v>3094.73</v>
      </c>
      <c r="W12" s="397"/>
      <c r="X12" s="399">
        <f t="shared" si="7"/>
        <v>19430.32</v>
      </c>
      <c r="Y12" s="399">
        <f t="shared" si="0"/>
        <v>10852.800000000001</v>
      </c>
      <c r="Z12" s="399">
        <f t="shared" si="1"/>
        <v>7782.6</v>
      </c>
      <c r="AA12" s="399">
        <f t="shared" si="2"/>
        <v>10993.22</v>
      </c>
    </row>
    <row r="13" spans="1:27" ht="30" x14ac:dyDescent="0.25">
      <c r="A13" s="401" t="s">
        <v>366</v>
      </c>
      <c r="B13" s="5" t="s">
        <v>369</v>
      </c>
      <c r="C13" s="6">
        <f>Z57</f>
        <v>40.286200731981985</v>
      </c>
      <c r="D13" s="7">
        <f>C13*2.1</f>
        <v>84.601021537162168</v>
      </c>
      <c r="E13" s="397" t="s">
        <v>389</v>
      </c>
      <c r="F13" s="397"/>
      <c r="G13" s="397"/>
      <c r="H13" s="397"/>
      <c r="I13" s="393" t="s">
        <v>391</v>
      </c>
      <c r="J13" s="396">
        <v>13</v>
      </c>
      <c r="K13" s="393">
        <v>159</v>
      </c>
      <c r="L13" s="397">
        <v>213</v>
      </c>
      <c r="M13" s="397"/>
      <c r="N13" s="399">
        <v>76.62</v>
      </c>
      <c r="O13" s="399">
        <v>48.84</v>
      </c>
      <c r="P13" s="399">
        <v>47.61</v>
      </c>
      <c r="Q13" s="399">
        <v>47.03</v>
      </c>
      <c r="R13" s="397"/>
      <c r="S13" s="399">
        <f t="shared" si="3"/>
        <v>12182.58</v>
      </c>
      <c r="T13" s="399">
        <f t="shared" si="4"/>
        <v>7765.56</v>
      </c>
      <c r="U13" s="399">
        <f t="shared" si="5"/>
        <v>7569.99</v>
      </c>
      <c r="V13" s="399">
        <f t="shared" si="6"/>
        <v>7477.77</v>
      </c>
      <c r="W13" s="397"/>
      <c r="X13" s="399">
        <f t="shared" si="7"/>
        <v>16320.060000000001</v>
      </c>
      <c r="Y13" s="399">
        <f t="shared" si="0"/>
        <v>10402.92</v>
      </c>
      <c r="Z13" s="399">
        <f t="shared" si="1"/>
        <v>10140.93</v>
      </c>
      <c r="AA13" s="399">
        <f t="shared" si="2"/>
        <v>10017.39</v>
      </c>
    </row>
    <row r="14" spans="1:27" x14ac:dyDescent="0.25">
      <c r="A14" s="4" t="s">
        <v>364</v>
      </c>
      <c r="B14" s="5" t="s">
        <v>369</v>
      </c>
      <c r="C14" s="6">
        <f>X57</f>
        <v>80.047858952702697</v>
      </c>
      <c r="D14" s="7">
        <f>C14*2.1</f>
        <v>168.10050380067568</v>
      </c>
      <c r="E14" s="397" t="s">
        <v>389</v>
      </c>
      <c r="F14" s="397"/>
      <c r="G14" s="397"/>
      <c r="H14" s="397"/>
      <c r="I14" s="397" t="s">
        <v>392</v>
      </c>
      <c r="J14" s="402">
        <v>15</v>
      </c>
      <c r="K14" s="397">
        <v>5</v>
      </c>
      <c r="L14" s="397">
        <v>20</v>
      </c>
      <c r="M14" s="397"/>
      <c r="N14" s="399">
        <v>69.88</v>
      </c>
      <c r="O14" s="399">
        <v>56.03</v>
      </c>
      <c r="P14" s="399">
        <v>37.590000000000003</v>
      </c>
      <c r="Q14" s="399">
        <v>49</v>
      </c>
      <c r="R14" s="397"/>
      <c r="S14" s="399">
        <f t="shared" ref="S14:V15" si="8">N14*$K14</f>
        <v>349.4</v>
      </c>
      <c r="T14" s="399">
        <f t="shared" si="8"/>
        <v>280.14999999999998</v>
      </c>
      <c r="U14" s="399">
        <f t="shared" si="8"/>
        <v>187.95000000000002</v>
      </c>
      <c r="V14" s="399">
        <f t="shared" si="8"/>
        <v>245</v>
      </c>
      <c r="W14" s="397"/>
      <c r="X14" s="399">
        <f t="shared" si="7"/>
        <v>1397.6</v>
      </c>
      <c r="Y14" s="399">
        <f t="shared" si="0"/>
        <v>1120.5999999999999</v>
      </c>
      <c r="Z14" s="399">
        <f t="shared" si="1"/>
        <v>751.80000000000007</v>
      </c>
      <c r="AA14" s="399">
        <f t="shared" si="2"/>
        <v>980</v>
      </c>
    </row>
    <row r="15" spans="1:27" x14ac:dyDescent="0.25">
      <c r="A15" s="4" t="s">
        <v>393</v>
      </c>
      <c r="B15" s="5" t="s">
        <v>369</v>
      </c>
      <c r="C15" s="6">
        <f>AA57</f>
        <v>46.036297860360364</v>
      </c>
      <c r="D15" s="7">
        <f>C15*2.1</f>
        <v>96.676225506756765</v>
      </c>
      <c r="E15" s="397" t="s">
        <v>389</v>
      </c>
      <c r="F15" s="397"/>
      <c r="G15" s="397"/>
      <c r="H15" s="397"/>
      <c r="I15" s="397" t="s">
        <v>289</v>
      </c>
      <c r="J15" s="402">
        <v>16</v>
      </c>
      <c r="K15" s="397">
        <v>44</v>
      </c>
      <c r="L15" s="397">
        <v>37</v>
      </c>
      <c r="M15" s="397"/>
      <c r="N15" s="399">
        <v>76.91</v>
      </c>
      <c r="O15" s="399">
        <v>47.21</v>
      </c>
      <c r="P15" s="399">
        <v>34.950000000000003</v>
      </c>
      <c r="Q15" s="399">
        <v>46.83</v>
      </c>
      <c r="R15" s="397"/>
      <c r="S15" s="399">
        <f t="shared" si="8"/>
        <v>3384.04</v>
      </c>
      <c r="T15" s="399">
        <f t="shared" si="8"/>
        <v>2077.2400000000002</v>
      </c>
      <c r="U15" s="399">
        <f t="shared" si="8"/>
        <v>1537.8000000000002</v>
      </c>
      <c r="V15" s="399">
        <f t="shared" si="8"/>
        <v>2060.52</v>
      </c>
      <c r="W15" s="397"/>
      <c r="X15" s="399">
        <f t="shared" si="7"/>
        <v>2845.67</v>
      </c>
      <c r="Y15" s="399">
        <f t="shared" si="0"/>
        <v>1746.77</v>
      </c>
      <c r="Z15" s="399">
        <f t="shared" si="1"/>
        <v>1293.1500000000001</v>
      </c>
      <c r="AA15" s="399">
        <f t="shared" si="2"/>
        <v>1732.71</v>
      </c>
    </row>
    <row r="16" spans="1:27" x14ac:dyDescent="0.25">
      <c r="A16" s="13"/>
      <c r="B16" s="397"/>
      <c r="C16" s="397"/>
      <c r="D16" s="397"/>
      <c r="E16" s="397"/>
      <c r="F16" s="397"/>
      <c r="G16" s="397"/>
      <c r="H16" s="397"/>
      <c r="I16" s="393" t="s">
        <v>394</v>
      </c>
      <c r="J16" s="396">
        <v>17</v>
      </c>
      <c r="K16" s="393">
        <v>102</v>
      </c>
      <c r="L16" s="397">
        <v>299</v>
      </c>
      <c r="M16" s="397"/>
      <c r="N16" s="399">
        <v>77.66</v>
      </c>
      <c r="O16" s="399">
        <v>59.45</v>
      </c>
      <c r="P16" s="399">
        <v>46.96</v>
      </c>
      <c r="Q16" s="399">
        <v>47.68</v>
      </c>
      <c r="R16" s="397"/>
      <c r="S16" s="399">
        <f t="shared" si="3"/>
        <v>7921.32</v>
      </c>
      <c r="T16" s="399">
        <f t="shared" si="4"/>
        <v>6063.9000000000005</v>
      </c>
      <c r="U16" s="399">
        <f t="shared" si="5"/>
        <v>4789.92</v>
      </c>
      <c r="V16" s="399">
        <f t="shared" si="6"/>
        <v>4863.3599999999997</v>
      </c>
      <c r="W16" s="397"/>
      <c r="X16" s="399">
        <f t="shared" si="7"/>
        <v>23220.34</v>
      </c>
      <c r="Y16" s="399">
        <f t="shared" si="0"/>
        <v>17775.55</v>
      </c>
      <c r="Z16" s="399">
        <f t="shared" si="1"/>
        <v>14041.04</v>
      </c>
      <c r="AA16" s="399">
        <f t="shared" si="2"/>
        <v>14256.32</v>
      </c>
    </row>
    <row r="17" spans="1:27" x14ac:dyDescent="0.25">
      <c r="A17" s="397"/>
      <c r="B17" s="397"/>
      <c r="C17" s="397"/>
      <c r="D17" s="397"/>
      <c r="E17" s="397"/>
      <c r="F17" s="397"/>
      <c r="G17" s="397"/>
      <c r="H17" s="397"/>
      <c r="I17" s="393" t="s">
        <v>395</v>
      </c>
      <c r="J17" s="396">
        <v>18</v>
      </c>
      <c r="K17" s="393">
        <v>92</v>
      </c>
      <c r="L17" s="397">
        <v>282</v>
      </c>
      <c r="M17" s="397"/>
      <c r="N17" s="399">
        <v>72.84</v>
      </c>
      <c r="O17" s="399">
        <v>54.34</v>
      </c>
      <c r="P17" s="399">
        <v>40.06</v>
      </c>
      <c r="Q17" s="399">
        <v>41.73</v>
      </c>
      <c r="R17" s="397"/>
      <c r="S17" s="399">
        <f t="shared" si="3"/>
        <v>6701.2800000000007</v>
      </c>
      <c r="T17" s="399">
        <f t="shared" si="4"/>
        <v>4999.2800000000007</v>
      </c>
      <c r="U17" s="399">
        <f t="shared" si="5"/>
        <v>3685.5200000000004</v>
      </c>
      <c r="V17" s="399">
        <f t="shared" si="6"/>
        <v>3839.16</v>
      </c>
      <c r="W17" s="397"/>
      <c r="X17" s="399">
        <f t="shared" si="7"/>
        <v>20540.88</v>
      </c>
      <c r="Y17" s="399">
        <f t="shared" si="0"/>
        <v>15323.880000000001</v>
      </c>
      <c r="Z17" s="399">
        <f t="shared" si="1"/>
        <v>11296.92</v>
      </c>
      <c r="AA17" s="399">
        <f t="shared" si="2"/>
        <v>11767.859999999999</v>
      </c>
    </row>
    <row r="18" spans="1:27" x14ac:dyDescent="0.25">
      <c r="A18" s="397"/>
      <c r="B18" s="397"/>
      <c r="C18" s="397"/>
      <c r="D18" s="397"/>
      <c r="E18" s="397"/>
      <c r="F18" s="397"/>
      <c r="G18" s="397"/>
      <c r="H18" s="397"/>
      <c r="I18" s="393" t="s">
        <v>396</v>
      </c>
      <c r="J18" s="396">
        <v>19</v>
      </c>
      <c r="K18" s="393">
        <v>99</v>
      </c>
      <c r="L18" s="397">
        <v>180</v>
      </c>
      <c r="M18" s="397"/>
      <c r="N18" s="399">
        <v>70.010000000000005</v>
      </c>
      <c r="O18" s="399">
        <v>47.9</v>
      </c>
      <c r="P18" s="399">
        <v>38</v>
      </c>
      <c r="Q18" s="399">
        <v>41.91</v>
      </c>
      <c r="R18" s="397"/>
      <c r="S18" s="399">
        <f t="shared" si="3"/>
        <v>6930.9900000000007</v>
      </c>
      <c r="T18" s="399">
        <f t="shared" si="4"/>
        <v>4742.0999999999995</v>
      </c>
      <c r="U18" s="399">
        <f t="shared" si="5"/>
        <v>3762</v>
      </c>
      <c r="V18" s="399">
        <f t="shared" si="6"/>
        <v>4149.0899999999992</v>
      </c>
      <c r="W18" s="397"/>
      <c r="X18" s="399">
        <f t="shared" si="7"/>
        <v>12601.800000000001</v>
      </c>
      <c r="Y18" s="399">
        <f t="shared" si="0"/>
        <v>8622</v>
      </c>
      <c r="Z18" s="399">
        <f t="shared" si="1"/>
        <v>6840</v>
      </c>
      <c r="AA18" s="399">
        <f t="shared" si="2"/>
        <v>7543.7999999999993</v>
      </c>
    </row>
    <row r="19" spans="1:27" x14ac:dyDescent="0.25">
      <c r="A19" s="397"/>
      <c r="B19" s="397"/>
      <c r="C19" s="397"/>
      <c r="D19" s="397"/>
      <c r="E19" s="397"/>
      <c r="F19" s="397"/>
      <c r="G19" s="397"/>
      <c r="H19" s="397"/>
      <c r="I19" s="393" t="s">
        <v>397</v>
      </c>
      <c r="J19" s="396">
        <v>20</v>
      </c>
      <c r="K19" s="393">
        <v>105</v>
      </c>
      <c r="L19" s="397">
        <v>154</v>
      </c>
      <c r="M19" s="397"/>
      <c r="N19" s="399">
        <v>76.89</v>
      </c>
      <c r="O19" s="399">
        <v>48.63</v>
      </c>
      <c r="P19" s="399">
        <v>40.229999999999997</v>
      </c>
      <c r="Q19" s="399">
        <v>41.78</v>
      </c>
      <c r="R19" s="397"/>
      <c r="S19" s="399">
        <f t="shared" si="3"/>
        <v>8073.45</v>
      </c>
      <c r="T19" s="399">
        <f t="shared" si="4"/>
        <v>5106.1500000000005</v>
      </c>
      <c r="U19" s="399">
        <f t="shared" si="5"/>
        <v>4224.1499999999996</v>
      </c>
      <c r="V19" s="399">
        <f t="shared" si="6"/>
        <v>4386.9000000000005</v>
      </c>
      <c r="W19" s="397"/>
      <c r="X19" s="399">
        <f t="shared" si="7"/>
        <v>11841.06</v>
      </c>
      <c r="Y19" s="399">
        <f t="shared" si="0"/>
        <v>7489.02</v>
      </c>
      <c r="Z19" s="399">
        <f t="shared" si="1"/>
        <v>6195.4199999999992</v>
      </c>
      <c r="AA19" s="399">
        <f t="shared" si="2"/>
        <v>6434.12</v>
      </c>
    </row>
    <row r="20" spans="1:27" x14ac:dyDescent="0.25">
      <c r="A20" s="397"/>
      <c r="B20" s="397"/>
      <c r="C20" s="397"/>
      <c r="D20" s="397"/>
      <c r="E20" s="397"/>
      <c r="F20" s="397"/>
      <c r="G20" s="397"/>
      <c r="H20" s="397"/>
      <c r="I20" s="393" t="s">
        <v>398</v>
      </c>
      <c r="J20" s="396">
        <v>21</v>
      </c>
      <c r="K20" s="393">
        <v>120</v>
      </c>
      <c r="L20" s="397">
        <v>193</v>
      </c>
      <c r="M20" s="397"/>
      <c r="N20" s="399">
        <v>68.78</v>
      </c>
      <c r="O20" s="399">
        <v>52.76</v>
      </c>
      <c r="P20" s="399">
        <v>33.15</v>
      </c>
      <c r="Q20" s="399">
        <v>41.41</v>
      </c>
      <c r="R20" s="397"/>
      <c r="S20" s="399">
        <f t="shared" si="3"/>
        <v>8253.6</v>
      </c>
      <c r="T20" s="399">
        <f t="shared" si="4"/>
        <v>6331.2</v>
      </c>
      <c r="U20" s="399">
        <f t="shared" si="5"/>
        <v>3978</v>
      </c>
      <c r="V20" s="399">
        <f t="shared" si="6"/>
        <v>4969.2</v>
      </c>
      <c r="W20" s="397"/>
      <c r="X20" s="399">
        <f t="shared" si="7"/>
        <v>13274.54</v>
      </c>
      <c r="Y20" s="399">
        <f t="shared" si="0"/>
        <v>10182.68</v>
      </c>
      <c r="Z20" s="399">
        <f t="shared" si="1"/>
        <v>6397.95</v>
      </c>
      <c r="AA20" s="399">
        <f t="shared" si="2"/>
        <v>7992.1299999999992</v>
      </c>
    </row>
    <row r="21" spans="1:27" x14ac:dyDescent="0.25">
      <c r="A21" s="156" t="s">
        <v>399</v>
      </c>
      <c r="B21" s="397"/>
      <c r="C21" s="397"/>
      <c r="D21" s="397"/>
      <c r="E21" s="397"/>
      <c r="F21" s="397"/>
      <c r="G21" s="397"/>
      <c r="H21" s="397"/>
      <c r="I21" s="393" t="s">
        <v>400</v>
      </c>
      <c r="J21" s="396">
        <v>22</v>
      </c>
      <c r="K21" s="393">
        <v>64</v>
      </c>
      <c r="L21" s="397">
        <v>331</v>
      </c>
      <c r="M21" s="397"/>
      <c r="N21" s="399">
        <v>83.14</v>
      </c>
      <c r="O21" s="399">
        <v>59.54</v>
      </c>
      <c r="P21" s="399">
        <v>38.01</v>
      </c>
      <c r="Q21" s="399">
        <v>45.5</v>
      </c>
      <c r="R21" s="397"/>
      <c r="S21" s="399">
        <f t="shared" si="3"/>
        <v>5320.96</v>
      </c>
      <c r="T21" s="399">
        <f t="shared" si="4"/>
        <v>3810.56</v>
      </c>
      <c r="U21" s="399">
        <f t="shared" si="5"/>
        <v>2432.64</v>
      </c>
      <c r="V21" s="399">
        <f t="shared" si="6"/>
        <v>2912</v>
      </c>
      <c r="W21" s="397"/>
      <c r="X21" s="399">
        <f t="shared" si="7"/>
        <v>27519.34</v>
      </c>
      <c r="Y21" s="399">
        <f t="shared" si="0"/>
        <v>19707.739999999998</v>
      </c>
      <c r="Z21" s="399">
        <f t="shared" si="1"/>
        <v>12581.31</v>
      </c>
      <c r="AA21" s="399">
        <f t="shared" si="2"/>
        <v>15060.5</v>
      </c>
    </row>
    <row r="22" spans="1:27" ht="45.75" thickBot="1" x14ac:dyDescent="0.3">
      <c r="A22" s="1" t="s">
        <v>355</v>
      </c>
      <c r="B22" s="1" t="s">
        <v>356</v>
      </c>
      <c r="C22" s="2" t="s">
        <v>386</v>
      </c>
      <c r="D22" s="2" t="s">
        <v>358</v>
      </c>
      <c r="E22" s="2" t="s">
        <v>387</v>
      </c>
      <c r="F22" s="397"/>
      <c r="G22" s="397"/>
      <c r="H22" s="397"/>
      <c r="I22" s="393" t="s">
        <v>401</v>
      </c>
      <c r="J22" s="396">
        <v>23</v>
      </c>
      <c r="K22" s="393">
        <v>16</v>
      </c>
      <c r="L22" s="397">
        <v>40</v>
      </c>
      <c r="M22" s="397"/>
      <c r="N22" s="399">
        <v>72.099999999999994</v>
      </c>
      <c r="O22" s="399">
        <v>43.99</v>
      </c>
      <c r="P22" s="399">
        <v>32.35</v>
      </c>
      <c r="Q22" s="399">
        <v>39.28</v>
      </c>
      <c r="R22" s="397"/>
      <c r="S22" s="399">
        <f t="shared" si="3"/>
        <v>1153.5999999999999</v>
      </c>
      <c r="T22" s="399">
        <f t="shared" si="4"/>
        <v>703.84</v>
      </c>
      <c r="U22" s="399">
        <f t="shared" si="5"/>
        <v>517.6</v>
      </c>
      <c r="V22" s="399">
        <f t="shared" si="6"/>
        <v>628.48</v>
      </c>
      <c r="W22" s="397"/>
      <c r="X22" s="399">
        <f t="shared" si="7"/>
        <v>2884</v>
      </c>
      <c r="Y22" s="399">
        <f t="shared" si="0"/>
        <v>1759.6000000000001</v>
      </c>
      <c r="Z22" s="399">
        <f t="shared" si="1"/>
        <v>1294</v>
      </c>
      <c r="AA22" s="399">
        <f t="shared" si="2"/>
        <v>1571.2</v>
      </c>
    </row>
    <row r="23" spans="1:27" x14ac:dyDescent="0.25">
      <c r="A23" s="4" t="s">
        <v>368</v>
      </c>
      <c r="B23" s="5" t="s">
        <v>369</v>
      </c>
      <c r="C23" s="6">
        <f>T57</f>
        <v>50.368054003724382</v>
      </c>
      <c r="D23" s="7">
        <f>C23*2.1</f>
        <v>105.77291340782121</v>
      </c>
      <c r="E23" s="397" t="s">
        <v>389</v>
      </c>
      <c r="F23" s="397"/>
      <c r="G23" s="397"/>
      <c r="H23" s="397"/>
      <c r="I23" s="393" t="s">
        <v>402</v>
      </c>
      <c r="J23" s="396">
        <v>24</v>
      </c>
      <c r="K23" s="393">
        <v>24</v>
      </c>
      <c r="L23" s="397">
        <v>44</v>
      </c>
      <c r="M23" s="397"/>
      <c r="N23" s="399">
        <v>81.66</v>
      </c>
      <c r="O23" s="399">
        <v>50.79</v>
      </c>
      <c r="P23" s="399">
        <v>43.44</v>
      </c>
      <c r="Q23" s="399">
        <v>58.66</v>
      </c>
      <c r="R23" s="397"/>
      <c r="S23" s="399">
        <f t="shared" si="3"/>
        <v>1959.84</v>
      </c>
      <c r="T23" s="399">
        <f t="shared" si="4"/>
        <v>1218.96</v>
      </c>
      <c r="U23" s="399">
        <f t="shared" si="5"/>
        <v>1042.56</v>
      </c>
      <c r="V23" s="399">
        <f t="shared" si="6"/>
        <v>1407.84</v>
      </c>
      <c r="W23" s="397"/>
      <c r="X23" s="399">
        <f t="shared" si="7"/>
        <v>3593.04</v>
      </c>
      <c r="Y23" s="399">
        <f t="shared" si="0"/>
        <v>2234.7599999999998</v>
      </c>
      <c r="Z23" s="399">
        <f t="shared" si="1"/>
        <v>1911.36</v>
      </c>
      <c r="AA23" s="399">
        <f t="shared" si="2"/>
        <v>2581.04</v>
      </c>
    </row>
    <row r="24" spans="1:27" ht="30" x14ac:dyDescent="0.25">
      <c r="A24" s="401" t="s">
        <v>366</v>
      </c>
      <c r="B24" s="5" t="s">
        <v>369</v>
      </c>
      <c r="C24" s="6">
        <f>U57</f>
        <v>39.518521388716678</v>
      </c>
      <c r="D24" s="7">
        <f>C24*2.1</f>
        <v>82.988894916305028</v>
      </c>
      <c r="E24" s="397" t="s">
        <v>389</v>
      </c>
      <c r="F24" s="397"/>
      <c r="G24" s="397"/>
      <c r="H24" s="397"/>
      <c r="I24" s="393" t="s">
        <v>403</v>
      </c>
      <c r="J24" s="396">
        <v>25</v>
      </c>
      <c r="K24" s="393">
        <v>14</v>
      </c>
      <c r="L24" s="397">
        <v>53</v>
      </c>
      <c r="M24" s="397"/>
      <c r="N24" s="399">
        <v>93.29</v>
      </c>
      <c r="O24" s="399">
        <v>57.15</v>
      </c>
      <c r="P24" s="399">
        <v>47.76</v>
      </c>
      <c r="Q24" s="399">
        <v>52.89</v>
      </c>
      <c r="R24" s="397"/>
      <c r="S24" s="399">
        <f t="shared" si="3"/>
        <v>1306.0600000000002</v>
      </c>
      <c r="T24" s="399">
        <f t="shared" si="4"/>
        <v>800.1</v>
      </c>
      <c r="U24" s="399">
        <f t="shared" si="5"/>
        <v>668.64</v>
      </c>
      <c r="V24" s="399">
        <f t="shared" si="6"/>
        <v>740.46</v>
      </c>
      <c r="W24" s="397"/>
      <c r="X24" s="399">
        <f t="shared" si="7"/>
        <v>4944.37</v>
      </c>
      <c r="Y24" s="399">
        <f t="shared" si="0"/>
        <v>3028.95</v>
      </c>
      <c r="Z24" s="399">
        <f t="shared" si="1"/>
        <v>2531.2799999999997</v>
      </c>
      <c r="AA24" s="399">
        <f t="shared" si="2"/>
        <v>2803.17</v>
      </c>
    </row>
    <row r="25" spans="1:27" x14ac:dyDescent="0.25">
      <c r="A25" s="4" t="s">
        <v>364</v>
      </c>
      <c r="B25" s="5" t="s">
        <v>369</v>
      </c>
      <c r="C25" s="6">
        <f>S57</f>
        <v>78.084421346571531</v>
      </c>
      <c r="D25" s="7">
        <f>C25*2.1</f>
        <v>163.97728482780022</v>
      </c>
      <c r="E25" s="397" t="s">
        <v>389</v>
      </c>
      <c r="F25" s="397"/>
      <c r="G25" s="397"/>
      <c r="H25" s="397"/>
      <c r="I25" s="393" t="s">
        <v>404</v>
      </c>
      <c r="J25" s="396">
        <v>26</v>
      </c>
      <c r="K25" s="393">
        <v>83</v>
      </c>
      <c r="L25" s="397">
        <v>241</v>
      </c>
      <c r="M25" s="397"/>
      <c r="N25" s="399">
        <v>77.34</v>
      </c>
      <c r="O25" s="399">
        <v>49.64</v>
      </c>
      <c r="P25" s="399">
        <v>39.26</v>
      </c>
      <c r="Q25" s="399">
        <v>46.05</v>
      </c>
      <c r="R25" s="397"/>
      <c r="S25" s="399">
        <f t="shared" si="3"/>
        <v>6419.22</v>
      </c>
      <c r="T25" s="399">
        <f t="shared" si="4"/>
        <v>4120.12</v>
      </c>
      <c r="U25" s="399">
        <f t="shared" si="5"/>
        <v>3258.58</v>
      </c>
      <c r="V25" s="399">
        <f t="shared" si="6"/>
        <v>3822.1499999999996</v>
      </c>
      <c r="W25" s="397"/>
      <c r="X25" s="399">
        <f t="shared" si="7"/>
        <v>18638.940000000002</v>
      </c>
      <c r="Y25" s="399">
        <f t="shared" si="0"/>
        <v>11963.24</v>
      </c>
      <c r="Z25" s="399">
        <f t="shared" si="1"/>
        <v>9461.66</v>
      </c>
      <c r="AA25" s="399">
        <f t="shared" si="2"/>
        <v>11098.05</v>
      </c>
    </row>
    <row r="26" spans="1:27" x14ac:dyDescent="0.25">
      <c r="A26" s="4" t="s">
        <v>393</v>
      </c>
      <c r="B26" s="5" t="s">
        <v>369</v>
      </c>
      <c r="C26" s="6">
        <f>V57</f>
        <v>45.141918063314733</v>
      </c>
      <c r="D26" s="7">
        <f>C26*2.1</f>
        <v>94.798027932960949</v>
      </c>
      <c r="E26" s="397" t="s">
        <v>389</v>
      </c>
      <c r="F26" s="397"/>
      <c r="G26" s="397"/>
      <c r="H26" s="397"/>
      <c r="I26" s="393" t="s">
        <v>405</v>
      </c>
      <c r="J26" s="396">
        <v>27</v>
      </c>
      <c r="K26" s="393">
        <v>87</v>
      </c>
      <c r="L26" s="397">
        <v>190</v>
      </c>
      <c r="M26" s="397"/>
      <c r="N26" s="399">
        <v>83.52</v>
      </c>
      <c r="O26" s="399">
        <v>50.95</v>
      </c>
      <c r="P26" s="399">
        <v>42.73</v>
      </c>
      <c r="Q26" s="399">
        <v>47.4</v>
      </c>
      <c r="R26" s="397"/>
      <c r="S26" s="399">
        <f t="shared" si="3"/>
        <v>7266.24</v>
      </c>
      <c r="T26" s="399">
        <f t="shared" si="4"/>
        <v>4432.6500000000005</v>
      </c>
      <c r="U26" s="399">
        <f t="shared" si="5"/>
        <v>3717.5099999999998</v>
      </c>
      <c r="V26" s="399">
        <f t="shared" si="6"/>
        <v>4123.8</v>
      </c>
      <c r="W26" s="397"/>
      <c r="X26" s="399">
        <f t="shared" si="7"/>
        <v>15868.8</v>
      </c>
      <c r="Y26" s="399">
        <f t="shared" si="0"/>
        <v>9680.5</v>
      </c>
      <c r="Z26" s="399">
        <f t="shared" si="1"/>
        <v>8118.7</v>
      </c>
      <c r="AA26" s="399">
        <f t="shared" si="2"/>
        <v>9006</v>
      </c>
    </row>
    <row r="27" spans="1:27" x14ac:dyDescent="0.25">
      <c r="A27" s="397"/>
      <c r="B27" s="397"/>
      <c r="C27" s="397"/>
      <c r="D27" s="397"/>
      <c r="E27" s="397"/>
      <c r="F27" s="397"/>
      <c r="G27" s="397"/>
      <c r="H27" s="397"/>
      <c r="I27" s="393" t="s">
        <v>406</v>
      </c>
      <c r="J27" s="396">
        <v>28</v>
      </c>
      <c r="K27" s="393">
        <v>82</v>
      </c>
      <c r="L27" s="397">
        <v>162</v>
      </c>
      <c r="M27" s="397"/>
      <c r="N27" s="399">
        <v>65.010000000000005</v>
      </c>
      <c r="O27" s="399">
        <v>40.630000000000003</v>
      </c>
      <c r="P27" s="399">
        <v>32.159999999999997</v>
      </c>
      <c r="Q27" s="399">
        <v>37.08</v>
      </c>
      <c r="R27" s="397"/>
      <c r="S27" s="399">
        <f t="shared" si="3"/>
        <v>5330.8200000000006</v>
      </c>
      <c r="T27" s="399">
        <f t="shared" si="4"/>
        <v>3331.6600000000003</v>
      </c>
      <c r="U27" s="399">
        <f t="shared" si="5"/>
        <v>2637.12</v>
      </c>
      <c r="V27" s="399">
        <f t="shared" si="6"/>
        <v>3040.56</v>
      </c>
      <c r="W27" s="397"/>
      <c r="X27" s="399">
        <f t="shared" si="7"/>
        <v>10531.62</v>
      </c>
      <c r="Y27" s="399">
        <f t="shared" si="0"/>
        <v>6582.06</v>
      </c>
      <c r="Z27" s="399">
        <f t="shared" si="1"/>
        <v>5209.9199999999992</v>
      </c>
      <c r="AA27" s="399">
        <f t="shared" si="2"/>
        <v>6006.96</v>
      </c>
    </row>
    <row r="28" spans="1:27" x14ac:dyDescent="0.25">
      <c r="A28" s="397"/>
      <c r="B28" s="397"/>
      <c r="C28" s="397"/>
      <c r="D28" s="397"/>
      <c r="E28" s="397"/>
      <c r="F28" s="397"/>
      <c r="G28" s="397"/>
      <c r="H28" s="397"/>
      <c r="I28" s="393" t="s">
        <v>407</v>
      </c>
      <c r="J28" s="396">
        <v>29</v>
      </c>
      <c r="K28" s="393">
        <v>115</v>
      </c>
      <c r="L28" s="397">
        <v>129</v>
      </c>
      <c r="M28" s="397"/>
      <c r="N28" s="399">
        <v>74.83</v>
      </c>
      <c r="O28" s="399">
        <v>42.01</v>
      </c>
      <c r="P28" s="399">
        <v>33.89</v>
      </c>
      <c r="Q28" s="399">
        <v>43.25</v>
      </c>
      <c r="R28" s="397"/>
      <c r="S28" s="399">
        <f t="shared" si="3"/>
        <v>8605.4499999999989</v>
      </c>
      <c r="T28" s="399">
        <f t="shared" si="4"/>
        <v>4831.1499999999996</v>
      </c>
      <c r="U28" s="399">
        <f t="shared" si="5"/>
        <v>3897.35</v>
      </c>
      <c r="V28" s="399">
        <f t="shared" si="6"/>
        <v>4973.75</v>
      </c>
      <c r="W28" s="397"/>
      <c r="X28" s="399">
        <f t="shared" si="7"/>
        <v>9653.07</v>
      </c>
      <c r="Y28" s="399">
        <f t="shared" si="0"/>
        <v>5419.29</v>
      </c>
      <c r="Z28" s="399">
        <f t="shared" si="1"/>
        <v>4371.8100000000004</v>
      </c>
      <c r="AA28" s="399">
        <f t="shared" si="2"/>
        <v>5579.25</v>
      </c>
    </row>
    <row r="29" spans="1:27" x14ac:dyDescent="0.25">
      <c r="A29" s="397"/>
      <c r="B29" s="397"/>
      <c r="C29" s="397"/>
      <c r="D29" s="397"/>
      <c r="E29" s="397"/>
      <c r="F29" s="397"/>
      <c r="G29" s="397"/>
      <c r="H29" s="397"/>
      <c r="I29" s="393" t="s">
        <v>299</v>
      </c>
      <c r="J29" s="396">
        <v>30</v>
      </c>
      <c r="K29" s="393">
        <v>56</v>
      </c>
      <c r="L29" s="397">
        <v>42</v>
      </c>
      <c r="M29" s="397"/>
      <c r="N29" s="399">
        <v>67.069999999999993</v>
      </c>
      <c r="O29" s="399">
        <v>48.75</v>
      </c>
      <c r="P29" s="399">
        <v>38.770000000000003</v>
      </c>
      <c r="Q29" s="399">
        <v>38.06</v>
      </c>
      <c r="R29" s="397"/>
      <c r="S29" s="399">
        <f t="shared" si="3"/>
        <v>3755.9199999999996</v>
      </c>
      <c r="T29" s="399">
        <f t="shared" si="4"/>
        <v>2730</v>
      </c>
      <c r="U29" s="399">
        <f t="shared" si="5"/>
        <v>2171.1200000000003</v>
      </c>
      <c r="V29" s="399">
        <f t="shared" si="6"/>
        <v>2131.36</v>
      </c>
      <c r="W29" s="397"/>
      <c r="X29" s="399">
        <f t="shared" si="7"/>
        <v>2816.9399999999996</v>
      </c>
      <c r="Y29" s="399">
        <f t="shared" si="0"/>
        <v>2047.5</v>
      </c>
      <c r="Z29" s="399">
        <f t="shared" si="1"/>
        <v>1628.3400000000001</v>
      </c>
      <c r="AA29" s="399">
        <f t="shared" si="2"/>
        <v>1598.52</v>
      </c>
    </row>
    <row r="30" spans="1:27" x14ac:dyDescent="0.25">
      <c r="A30" s="397"/>
      <c r="B30" s="397"/>
      <c r="C30" s="397"/>
      <c r="D30" s="397"/>
      <c r="E30" s="397"/>
      <c r="F30" s="397"/>
      <c r="G30" s="397"/>
      <c r="H30" s="397"/>
      <c r="I30" s="393" t="s">
        <v>408</v>
      </c>
      <c r="J30" s="396">
        <v>31</v>
      </c>
      <c r="K30" s="393">
        <v>93</v>
      </c>
      <c r="L30" s="397">
        <v>74</v>
      </c>
      <c r="M30" s="397"/>
      <c r="N30" s="399">
        <v>67.89</v>
      </c>
      <c r="O30" s="399">
        <v>46.06</v>
      </c>
      <c r="P30" s="399">
        <v>32.36</v>
      </c>
      <c r="Q30" s="399">
        <v>43.41</v>
      </c>
      <c r="R30" s="397"/>
      <c r="S30" s="399">
        <f t="shared" si="3"/>
        <v>6313.77</v>
      </c>
      <c r="T30" s="399">
        <f t="shared" si="4"/>
        <v>4283.58</v>
      </c>
      <c r="U30" s="399">
        <f t="shared" si="5"/>
        <v>3009.48</v>
      </c>
      <c r="V30" s="399">
        <f t="shared" si="6"/>
        <v>4037.1299999999997</v>
      </c>
      <c r="W30" s="397"/>
      <c r="X30" s="399">
        <f t="shared" si="7"/>
        <v>5023.8599999999997</v>
      </c>
      <c r="Y30" s="399">
        <f t="shared" si="0"/>
        <v>3408.44</v>
      </c>
      <c r="Z30" s="399">
        <f t="shared" si="1"/>
        <v>2394.64</v>
      </c>
      <c r="AA30" s="399">
        <f t="shared" si="2"/>
        <v>3212.3399999999997</v>
      </c>
    </row>
    <row r="31" spans="1:27" x14ac:dyDescent="0.25">
      <c r="A31" s="397" t="s">
        <v>409</v>
      </c>
      <c r="B31" s="397"/>
      <c r="C31" s="397"/>
      <c r="D31" s="397"/>
      <c r="E31" s="397"/>
      <c r="F31" s="397"/>
      <c r="G31" s="397"/>
      <c r="H31" s="397"/>
      <c r="I31" s="393" t="s">
        <v>410</v>
      </c>
      <c r="J31" s="396">
        <v>32</v>
      </c>
      <c r="K31" s="393">
        <v>17</v>
      </c>
      <c r="L31" s="397">
        <v>36</v>
      </c>
      <c r="M31" s="397"/>
      <c r="N31" s="399">
        <v>75.95</v>
      </c>
      <c r="O31" s="399">
        <v>56.84</v>
      </c>
      <c r="P31" s="399">
        <v>42.25</v>
      </c>
      <c r="Q31" s="399">
        <v>48.93</v>
      </c>
      <c r="R31" s="397"/>
      <c r="S31" s="399">
        <f t="shared" si="3"/>
        <v>1291.1500000000001</v>
      </c>
      <c r="T31" s="399">
        <f t="shared" si="4"/>
        <v>966.28000000000009</v>
      </c>
      <c r="U31" s="399">
        <f t="shared" si="5"/>
        <v>718.25</v>
      </c>
      <c r="V31" s="399">
        <f t="shared" si="6"/>
        <v>831.81</v>
      </c>
      <c r="W31" s="397"/>
      <c r="X31" s="399">
        <f t="shared" si="7"/>
        <v>2734.2000000000003</v>
      </c>
      <c r="Y31" s="399">
        <f t="shared" si="0"/>
        <v>2046.2400000000002</v>
      </c>
      <c r="Z31" s="399">
        <f t="shared" si="1"/>
        <v>1521</v>
      </c>
      <c r="AA31" s="399">
        <f t="shared" si="2"/>
        <v>1761.48</v>
      </c>
    </row>
    <row r="32" spans="1:27" ht="45.75" thickBot="1" x14ac:dyDescent="0.3">
      <c r="A32" s="1" t="s">
        <v>355</v>
      </c>
      <c r="B32" s="1" t="s">
        <v>356</v>
      </c>
      <c r="C32" s="2" t="s">
        <v>357</v>
      </c>
      <c r="D32" s="2" t="s">
        <v>358</v>
      </c>
      <c r="E32" s="1" t="s">
        <v>359</v>
      </c>
      <c r="F32" s="397"/>
      <c r="G32" s="397"/>
      <c r="H32" s="397"/>
      <c r="I32" s="393" t="s">
        <v>411</v>
      </c>
      <c r="J32" s="396">
        <v>33</v>
      </c>
      <c r="K32" s="393">
        <v>10</v>
      </c>
      <c r="L32" s="397">
        <v>13</v>
      </c>
      <c r="M32" s="397"/>
      <c r="N32" s="399">
        <v>85.43</v>
      </c>
      <c r="O32" s="399">
        <v>44.07</v>
      </c>
      <c r="P32" s="399">
        <v>40.93</v>
      </c>
      <c r="Q32" s="399">
        <v>46.76</v>
      </c>
      <c r="R32" s="397"/>
      <c r="S32" s="399">
        <f t="shared" si="3"/>
        <v>854.30000000000007</v>
      </c>
      <c r="T32" s="399">
        <f t="shared" si="4"/>
        <v>440.7</v>
      </c>
      <c r="U32" s="399">
        <f t="shared" si="5"/>
        <v>409.3</v>
      </c>
      <c r="V32" s="399">
        <f t="shared" si="6"/>
        <v>467.59999999999997</v>
      </c>
      <c r="W32" s="397"/>
      <c r="X32" s="399">
        <f t="shared" si="7"/>
        <v>1110.5900000000001</v>
      </c>
      <c r="Y32" s="399">
        <f t="shared" si="0"/>
        <v>572.91</v>
      </c>
      <c r="Z32" s="399">
        <f t="shared" si="1"/>
        <v>532.09</v>
      </c>
      <c r="AA32" s="399">
        <f t="shared" si="2"/>
        <v>607.88</v>
      </c>
    </row>
    <row r="33" spans="1:27" x14ac:dyDescent="0.25">
      <c r="A33" s="4" t="s">
        <v>368</v>
      </c>
      <c r="B33" s="5" t="s">
        <v>412</v>
      </c>
      <c r="C33" s="6">
        <v>45.97</v>
      </c>
      <c r="D33" s="7">
        <f>C33*2.1</f>
        <v>96.537000000000006</v>
      </c>
      <c r="E33" s="8" t="s">
        <v>413</v>
      </c>
      <c r="F33" s="397"/>
      <c r="G33" s="397"/>
      <c r="H33" s="397"/>
      <c r="I33" s="393" t="s">
        <v>414</v>
      </c>
      <c r="J33" s="396">
        <v>34</v>
      </c>
      <c r="K33" s="393">
        <v>21</v>
      </c>
      <c r="L33" s="397">
        <v>72</v>
      </c>
      <c r="M33" s="397"/>
      <c r="N33" s="399">
        <v>90.36</v>
      </c>
      <c r="O33" s="399">
        <v>54.12</v>
      </c>
      <c r="P33" s="399">
        <v>41.08</v>
      </c>
      <c r="Q33" s="399">
        <v>51.42</v>
      </c>
      <c r="R33" s="397"/>
      <c r="S33" s="399">
        <f t="shared" si="3"/>
        <v>1897.56</v>
      </c>
      <c r="T33" s="399">
        <f t="shared" si="4"/>
        <v>1136.52</v>
      </c>
      <c r="U33" s="399">
        <f t="shared" si="5"/>
        <v>862.68</v>
      </c>
      <c r="V33" s="399">
        <f t="shared" si="6"/>
        <v>1079.82</v>
      </c>
      <c r="W33" s="397"/>
      <c r="X33" s="399">
        <f t="shared" si="7"/>
        <v>6505.92</v>
      </c>
      <c r="Y33" s="399">
        <f t="shared" si="0"/>
        <v>3896.64</v>
      </c>
      <c r="Z33" s="399">
        <f t="shared" si="1"/>
        <v>2957.7599999999998</v>
      </c>
      <c r="AA33" s="399">
        <f t="shared" si="2"/>
        <v>3702.2400000000002</v>
      </c>
    </row>
    <row r="34" spans="1:27" x14ac:dyDescent="0.25">
      <c r="A34" s="4" t="s">
        <v>364</v>
      </c>
      <c r="B34" s="5" t="s">
        <v>412</v>
      </c>
      <c r="C34" s="6">
        <v>70.38</v>
      </c>
      <c r="D34" s="7">
        <f>C34*2.1</f>
        <v>147.798</v>
      </c>
      <c r="E34" s="397" t="s">
        <v>413</v>
      </c>
      <c r="F34" s="397"/>
      <c r="G34" s="397"/>
      <c r="H34" s="397"/>
      <c r="I34" s="393" t="s">
        <v>415</v>
      </c>
      <c r="J34" s="396">
        <v>35</v>
      </c>
      <c r="K34" s="393">
        <v>33</v>
      </c>
      <c r="L34" s="397">
        <v>112</v>
      </c>
      <c r="M34" s="397"/>
      <c r="N34" s="399">
        <v>100.83</v>
      </c>
      <c r="O34" s="399">
        <v>57.94</v>
      </c>
      <c r="P34" s="399">
        <v>41.8</v>
      </c>
      <c r="Q34" s="399">
        <v>44.58</v>
      </c>
      <c r="R34" s="397"/>
      <c r="S34" s="399">
        <f t="shared" si="3"/>
        <v>3327.39</v>
      </c>
      <c r="T34" s="399">
        <f t="shared" si="4"/>
        <v>1912.02</v>
      </c>
      <c r="U34" s="399">
        <f t="shared" si="5"/>
        <v>1379.3999999999999</v>
      </c>
      <c r="V34" s="399">
        <f t="shared" si="6"/>
        <v>1471.1399999999999</v>
      </c>
      <c r="W34" s="397"/>
      <c r="X34" s="399">
        <f t="shared" si="7"/>
        <v>11292.96</v>
      </c>
      <c r="Y34" s="399">
        <f t="shared" si="0"/>
        <v>6489.28</v>
      </c>
      <c r="Z34" s="399">
        <f t="shared" si="1"/>
        <v>4681.5999999999995</v>
      </c>
      <c r="AA34" s="399">
        <f t="shared" si="2"/>
        <v>4992.96</v>
      </c>
    </row>
    <row r="35" spans="1:27" x14ac:dyDescent="0.25">
      <c r="A35" s="4" t="s">
        <v>393</v>
      </c>
      <c r="B35" s="5" t="s">
        <v>412</v>
      </c>
      <c r="C35" s="6">
        <v>43.38</v>
      </c>
      <c r="D35" s="7">
        <f>C35*2.1</f>
        <v>91.098000000000013</v>
      </c>
      <c r="E35" s="397" t="s">
        <v>413</v>
      </c>
      <c r="F35" s="397"/>
      <c r="G35" s="397"/>
      <c r="H35" s="397"/>
      <c r="I35" s="393" t="s">
        <v>416</v>
      </c>
      <c r="J35" s="396">
        <v>36</v>
      </c>
      <c r="K35" s="393">
        <v>62</v>
      </c>
      <c r="L35" s="397">
        <v>203</v>
      </c>
      <c r="M35" s="397"/>
      <c r="N35" s="399">
        <v>89.19</v>
      </c>
      <c r="O35" s="399">
        <v>50.73</v>
      </c>
      <c r="P35" s="399">
        <v>42.83</v>
      </c>
      <c r="Q35" s="399">
        <v>53.58</v>
      </c>
      <c r="R35" s="397"/>
      <c r="S35" s="399">
        <f t="shared" si="3"/>
        <v>5529.78</v>
      </c>
      <c r="T35" s="399">
        <f t="shared" si="4"/>
        <v>3145.2599999999998</v>
      </c>
      <c r="U35" s="399">
        <f t="shared" si="5"/>
        <v>2655.46</v>
      </c>
      <c r="V35" s="399">
        <f t="shared" si="6"/>
        <v>3321.96</v>
      </c>
      <c r="W35" s="397"/>
      <c r="X35" s="399">
        <f t="shared" si="7"/>
        <v>18105.57</v>
      </c>
      <c r="Y35" s="399">
        <f t="shared" si="0"/>
        <v>10298.189999999999</v>
      </c>
      <c r="Z35" s="399">
        <f t="shared" si="1"/>
        <v>8694.49</v>
      </c>
      <c r="AA35" s="399">
        <f t="shared" si="2"/>
        <v>10876.74</v>
      </c>
    </row>
    <row r="36" spans="1:27" x14ac:dyDescent="0.25">
      <c r="A36" s="397"/>
      <c r="B36" s="397"/>
      <c r="C36" s="397"/>
      <c r="D36" s="397"/>
      <c r="E36" s="397"/>
      <c r="F36" s="397"/>
      <c r="G36" s="397"/>
      <c r="H36" s="397"/>
      <c r="I36" s="393" t="s">
        <v>417</v>
      </c>
      <c r="J36" s="396">
        <v>37</v>
      </c>
      <c r="K36" s="393">
        <v>100</v>
      </c>
      <c r="L36" s="397">
        <v>208</v>
      </c>
      <c r="M36" s="397"/>
      <c r="N36" s="399">
        <v>80.27</v>
      </c>
      <c r="O36" s="399">
        <v>51.87</v>
      </c>
      <c r="P36" s="399">
        <v>35.89</v>
      </c>
      <c r="Q36" s="399">
        <v>47.91</v>
      </c>
      <c r="R36" s="397"/>
      <c r="S36" s="399">
        <f t="shared" si="3"/>
        <v>8027</v>
      </c>
      <c r="T36" s="399">
        <f t="shared" si="4"/>
        <v>5187</v>
      </c>
      <c r="U36" s="399">
        <f t="shared" si="5"/>
        <v>3589</v>
      </c>
      <c r="V36" s="399">
        <f t="shared" si="6"/>
        <v>4791</v>
      </c>
      <c r="W36" s="397"/>
      <c r="X36" s="399">
        <f t="shared" si="7"/>
        <v>16696.16</v>
      </c>
      <c r="Y36" s="399">
        <f t="shared" si="0"/>
        <v>10788.96</v>
      </c>
      <c r="Z36" s="399">
        <f t="shared" si="1"/>
        <v>7465.12</v>
      </c>
      <c r="AA36" s="399">
        <f t="shared" si="2"/>
        <v>9965.2799999999988</v>
      </c>
    </row>
    <row r="37" spans="1:27" x14ac:dyDescent="0.25">
      <c r="A37" s="397"/>
      <c r="B37" s="397"/>
      <c r="C37" s="397"/>
      <c r="D37" s="397"/>
      <c r="E37" s="397"/>
      <c r="F37" s="397"/>
      <c r="G37" s="397"/>
      <c r="H37" s="397"/>
      <c r="I37" s="393" t="s">
        <v>418</v>
      </c>
      <c r="J37" s="396">
        <v>38</v>
      </c>
      <c r="K37" s="393">
        <v>53</v>
      </c>
      <c r="L37" s="397">
        <v>42</v>
      </c>
      <c r="M37" s="397"/>
      <c r="N37" s="399">
        <v>70.900000000000006</v>
      </c>
      <c r="O37" s="399">
        <v>54.04</v>
      </c>
      <c r="P37" s="399">
        <v>38.11</v>
      </c>
      <c r="Q37" s="399">
        <v>40.380000000000003</v>
      </c>
      <c r="R37" s="397"/>
      <c r="S37" s="399">
        <f t="shared" si="3"/>
        <v>3757.7000000000003</v>
      </c>
      <c r="T37" s="399">
        <f t="shared" si="4"/>
        <v>2864.12</v>
      </c>
      <c r="U37" s="399">
        <f t="shared" si="5"/>
        <v>2019.83</v>
      </c>
      <c r="V37" s="399">
        <f t="shared" si="6"/>
        <v>2140.1400000000003</v>
      </c>
      <c r="W37" s="397"/>
      <c r="X37" s="399">
        <f t="shared" si="7"/>
        <v>2977.8</v>
      </c>
      <c r="Y37" s="399">
        <f t="shared" si="0"/>
        <v>2269.6799999999998</v>
      </c>
      <c r="Z37" s="399">
        <f t="shared" si="1"/>
        <v>1600.62</v>
      </c>
      <c r="AA37" s="399">
        <f t="shared" si="2"/>
        <v>1695.96</v>
      </c>
    </row>
    <row r="38" spans="1:27" x14ac:dyDescent="0.25">
      <c r="A38" s="397"/>
      <c r="B38" s="397"/>
      <c r="C38" s="397"/>
      <c r="D38" s="397"/>
      <c r="E38" s="397"/>
      <c r="F38" s="397"/>
      <c r="G38" s="397"/>
      <c r="H38" s="397"/>
      <c r="I38" s="393" t="s">
        <v>419</v>
      </c>
      <c r="J38" s="396">
        <v>39</v>
      </c>
      <c r="K38" s="393">
        <v>88</v>
      </c>
      <c r="L38" s="397">
        <v>243</v>
      </c>
      <c r="M38" s="397"/>
      <c r="N38" s="399">
        <v>78.02</v>
      </c>
      <c r="O38" s="399">
        <v>49.09</v>
      </c>
      <c r="P38" s="399">
        <v>40.32</v>
      </c>
      <c r="Q38" s="399">
        <v>46.54</v>
      </c>
      <c r="R38" s="397"/>
      <c r="S38" s="399">
        <f t="shared" si="3"/>
        <v>6865.7599999999993</v>
      </c>
      <c r="T38" s="399">
        <f t="shared" si="4"/>
        <v>4319.92</v>
      </c>
      <c r="U38" s="399">
        <f t="shared" si="5"/>
        <v>3548.16</v>
      </c>
      <c r="V38" s="399">
        <f t="shared" si="6"/>
        <v>4095.52</v>
      </c>
      <c r="W38" s="397"/>
      <c r="X38" s="399">
        <f t="shared" si="7"/>
        <v>18958.86</v>
      </c>
      <c r="Y38" s="399">
        <f t="shared" si="0"/>
        <v>11928.87</v>
      </c>
      <c r="Z38" s="399">
        <f t="shared" si="1"/>
        <v>9797.76</v>
      </c>
      <c r="AA38" s="399">
        <f t="shared" si="2"/>
        <v>11309.22</v>
      </c>
    </row>
    <row r="39" spans="1:27" x14ac:dyDescent="0.25">
      <c r="A39" s="397"/>
      <c r="B39" s="397"/>
      <c r="C39" s="397"/>
      <c r="D39" s="397"/>
      <c r="E39" s="397"/>
      <c r="F39" s="397"/>
      <c r="G39" s="397"/>
      <c r="H39" s="397"/>
      <c r="I39" s="393" t="s">
        <v>420</v>
      </c>
      <c r="J39" s="396">
        <v>40</v>
      </c>
      <c r="K39" s="393">
        <v>77</v>
      </c>
      <c r="L39" s="397">
        <v>215</v>
      </c>
      <c r="M39" s="397"/>
      <c r="N39" s="399">
        <v>80.12</v>
      </c>
      <c r="O39" s="399">
        <v>46.61</v>
      </c>
      <c r="P39" s="399">
        <v>36.72</v>
      </c>
      <c r="Q39" s="399">
        <v>44.97</v>
      </c>
      <c r="R39" s="397"/>
      <c r="S39" s="399">
        <f t="shared" si="3"/>
        <v>6169.2400000000007</v>
      </c>
      <c r="T39" s="399">
        <f t="shared" si="4"/>
        <v>3588.97</v>
      </c>
      <c r="U39" s="399">
        <f t="shared" si="5"/>
        <v>2827.44</v>
      </c>
      <c r="V39" s="399">
        <f t="shared" si="6"/>
        <v>3462.69</v>
      </c>
      <c r="W39" s="397"/>
      <c r="X39" s="399">
        <f t="shared" si="7"/>
        <v>17225.8</v>
      </c>
      <c r="Y39" s="399">
        <f t="shared" si="0"/>
        <v>10021.15</v>
      </c>
      <c r="Z39" s="399">
        <f t="shared" si="1"/>
        <v>7894.8</v>
      </c>
      <c r="AA39" s="399">
        <f t="shared" si="2"/>
        <v>9668.5499999999993</v>
      </c>
    </row>
    <row r="40" spans="1:27" x14ac:dyDescent="0.25">
      <c r="A40" s="397"/>
      <c r="B40" s="397"/>
      <c r="C40" s="397"/>
      <c r="D40" s="397"/>
      <c r="E40" s="397"/>
      <c r="F40" s="397"/>
      <c r="G40" s="397"/>
      <c r="H40" s="397"/>
      <c r="I40" s="393" t="s">
        <v>421</v>
      </c>
      <c r="J40" s="396">
        <v>41</v>
      </c>
      <c r="K40" s="393">
        <v>36</v>
      </c>
      <c r="L40" s="397">
        <v>96</v>
      </c>
      <c r="M40" s="397"/>
      <c r="N40" s="399">
        <v>83.58</v>
      </c>
      <c r="O40" s="399">
        <v>62.92</v>
      </c>
      <c r="P40" s="399">
        <v>46.15</v>
      </c>
      <c r="Q40" s="399">
        <v>49.11</v>
      </c>
      <c r="R40" s="397"/>
      <c r="S40" s="399">
        <f t="shared" si="3"/>
        <v>3008.88</v>
      </c>
      <c r="T40" s="399">
        <f t="shared" si="4"/>
        <v>2265.12</v>
      </c>
      <c r="U40" s="399">
        <f t="shared" si="5"/>
        <v>1661.3999999999999</v>
      </c>
      <c r="V40" s="399">
        <f t="shared" si="6"/>
        <v>1767.96</v>
      </c>
      <c r="W40" s="397"/>
      <c r="X40" s="399">
        <f t="shared" si="7"/>
        <v>8023.68</v>
      </c>
      <c r="Y40" s="399">
        <f t="shared" si="0"/>
        <v>6040.32</v>
      </c>
      <c r="Z40" s="399">
        <f t="shared" si="1"/>
        <v>4430.3999999999996</v>
      </c>
      <c r="AA40" s="399">
        <f t="shared" si="2"/>
        <v>4714.5599999999995</v>
      </c>
    </row>
    <row r="41" spans="1:27" x14ac:dyDescent="0.25">
      <c r="A41" s="397"/>
      <c r="B41" s="397"/>
      <c r="C41" s="397"/>
      <c r="D41" s="397"/>
      <c r="E41" s="397"/>
      <c r="F41" s="397"/>
      <c r="G41" s="397"/>
      <c r="H41" s="397"/>
      <c r="I41" s="393" t="s">
        <v>422</v>
      </c>
      <c r="J41" s="396">
        <v>42</v>
      </c>
      <c r="K41" s="393">
        <v>67</v>
      </c>
      <c r="L41" s="397">
        <v>260</v>
      </c>
      <c r="M41" s="397"/>
      <c r="N41" s="399">
        <v>75.36</v>
      </c>
      <c r="O41" s="399">
        <v>48.2</v>
      </c>
      <c r="P41" s="399">
        <v>38.35</v>
      </c>
      <c r="Q41" s="399">
        <v>45.4</v>
      </c>
      <c r="R41" s="397"/>
      <c r="S41" s="399">
        <f t="shared" si="3"/>
        <v>5049.12</v>
      </c>
      <c r="T41" s="399">
        <f t="shared" si="4"/>
        <v>3229.4</v>
      </c>
      <c r="U41" s="399">
        <f t="shared" si="5"/>
        <v>2569.4500000000003</v>
      </c>
      <c r="V41" s="399">
        <f t="shared" si="6"/>
        <v>3041.7999999999997</v>
      </c>
      <c r="W41" s="397"/>
      <c r="X41" s="399">
        <f t="shared" si="7"/>
        <v>19593.599999999999</v>
      </c>
      <c r="Y41" s="399">
        <f t="shared" si="0"/>
        <v>12532</v>
      </c>
      <c r="Z41" s="399">
        <f t="shared" si="1"/>
        <v>9971</v>
      </c>
      <c r="AA41" s="399">
        <f t="shared" si="2"/>
        <v>11804</v>
      </c>
    </row>
    <row r="42" spans="1:27" x14ac:dyDescent="0.25">
      <c r="A42" s="397"/>
      <c r="B42" s="397"/>
      <c r="C42" s="397"/>
      <c r="D42" s="397"/>
      <c r="E42" s="397"/>
      <c r="F42" s="397"/>
      <c r="G42" s="397"/>
      <c r="H42" s="397"/>
      <c r="I42" s="393" t="s">
        <v>423</v>
      </c>
      <c r="J42" s="396">
        <v>44</v>
      </c>
      <c r="K42" s="393">
        <v>5</v>
      </c>
      <c r="L42" s="397">
        <v>14</v>
      </c>
      <c r="M42" s="397"/>
      <c r="N42" s="399">
        <v>86.4</v>
      </c>
      <c r="O42" s="399">
        <v>51.95</v>
      </c>
      <c r="P42" s="399">
        <v>45.9</v>
      </c>
      <c r="Q42" s="399">
        <v>51.28</v>
      </c>
      <c r="R42" s="397"/>
      <c r="S42" s="399">
        <f t="shared" si="3"/>
        <v>432</v>
      </c>
      <c r="T42" s="399">
        <f t="shared" si="4"/>
        <v>259.75</v>
      </c>
      <c r="U42" s="399">
        <f t="shared" si="5"/>
        <v>229.5</v>
      </c>
      <c r="V42" s="399">
        <f t="shared" si="6"/>
        <v>256.39999999999998</v>
      </c>
      <c r="W42" s="397"/>
      <c r="X42" s="399">
        <f t="shared" si="7"/>
        <v>1209.6000000000001</v>
      </c>
      <c r="Y42" s="399">
        <f t="shared" si="0"/>
        <v>727.30000000000007</v>
      </c>
      <c r="Z42" s="399">
        <f t="shared" si="1"/>
        <v>642.6</v>
      </c>
      <c r="AA42" s="399">
        <f t="shared" si="2"/>
        <v>717.92000000000007</v>
      </c>
    </row>
    <row r="43" spans="1:27" x14ac:dyDescent="0.25">
      <c r="A43" s="397"/>
      <c r="B43" s="397"/>
      <c r="C43" s="397"/>
      <c r="D43" s="397"/>
      <c r="E43" s="397"/>
      <c r="F43" s="397"/>
      <c r="G43" s="397"/>
      <c r="H43" s="397"/>
      <c r="I43" s="393" t="s">
        <v>424</v>
      </c>
      <c r="J43" s="396">
        <v>45</v>
      </c>
      <c r="K43" s="393">
        <v>46</v>
      </c>
      <c r="L43" s="397">
        <v>160</v>
      </c>
      <c r="M43" s="397"/>
      <c r="N43" s="399">
        <v>79.16</v>
      </c>
      <c r="O43" s="399">
        <v>48.67</v>
      </c>
      <c r="P43" s="399">
        <v>38.67</v>
      </c>
      <c r="Q43" s="399">
        <v>45.06</v>
      </c>
      <c r="R43" s="397"/>
      <c r="S43" s="399">
        <f t="shared" si="3"/>
        <v>3641.3599999999997</v>
      </c>
      <c r="T43" s="399">
        <f t="shared" si="4"/>
        <v>2238.8200000000002</v>
      </c>
      <c r="U43" s="399">
        <f t="shared" si="5"/>
        <v>1778.8200000000002</v>
      </c>
      <c r="V43" s="399">
        <f t="shared" si="6"/>
        <v>2072.7600000000002</v>
      </c>
      <c r="W43" s="397"/>
      <c r="X43" s="399">
        <f t="shared" si="7"/>
        <v>12665.599999999999</v>
      </c>
      <c r="Y43" s="399">
        <f t="shared" si="0"/>
        <v>7787.2000000000007</v>
      </c>
      <c r="Z43" s="399">
        <f t="shared" si="1"/>
        <v>6187.2000000000007</v>
      </c>
      <c r="AA43" s="399">
        <f t="shared" si="2"/>
        <v>7209.6</v>
      </c>
    </row>
    <row r="44" spans="1:27" x14ac:dyDescent="0.25">
      <c r="A44" s="397"/>
      <c r="B44" s="397"/>
      <c r="C44" s="397"/>
      <c r="D44" s="397"/>
      <c r="E44" s="397"/>
      <c r="F44" s="397"/>
      <c r="G44" s="397"/>
      <c r="H44" s="397"/>
      <c r="I44" s="393" t="s">
        <v>425</v>
      </c>
      <c r="J44" s="396">
        <v>46</v>
      </c>
      <c r="K44" s="393">
        <v>66</v>
      </c>
      <c r="L44" s="397">
        <v>32</v>
      </c>
      <c r="M44" s="397"/>
      <c r="N44" s="399">
        <v>76.87</v>
      </c>
      <c r="O44" s="399">
        <v>43.89</v>
      </c>
      <c r="P44" s="399">
        <v>35.299999999999997</v>
      </c>
      <c r="Q44" s="399">
        <v>35.81</v>
      </c>
      <c r="R44" s="397"/>
      <c r="S44" s="399">
        <f t="shared" si="3"/>
        <v>5073.42</v>
      </c>
      <c r="T44" s="399">
        <f t="shared" si="4"/>
        <v>2896.7400000000002</v>
      </c>
      <c r="U44" s="399">
        <f t="shared" si="5"/>
        <v>2329.7999999999997</v>
      </c>
      <c r="V44" s="399">
        <f t="shared" si="6"/>
        <v>2363.46</v>
      </c>
      <c r="W44" s="397"/>
      <c r="X44" s="399">
        <f t="shared" si="7"/>
        <v>2459.84</v>
      </c>
      <c r="Y44" s="399">
        <f t="shared" si="0"/>
        <v>1404.48</v>
      </c>
      <c r="Z44" s="399">
        <f t="shared" si="1"/>
        <v>1129.5999999999999</v>
      </c>
      <c r="AA44" s="399">
        <f t="shared" si="2"/>
        <v>1145.92</v>
      </c>
    </row>
    <row r="45" spans="1:27" x14ac:dyDescent="0.25">
      <c r="A45" s="397"/>
      <c r="B45" s="397"/>
      <c r="C45" s="397"/>
      <c r="D45" s="397"/>
      <c r="E45" s="397"/>
      <c r="F45" s="397"/>
      <c r="G45" s="397"/>
      <c r="H45" s="397"/>
      <c r="I45" s="393" t="s">
        <v>426</v>
      </c>
      <c r="J45" s="396">
        <v>47</v>
      </c>
      <c r="K45" s="393">
        <v>95</v>
      </c>
      <c r="L45" s="397">
        <v>150</v>
      </c>
      <c r="M45" s="397"/>
      <c r="N45" s="399">
        <v>75.06</v>
      </c>
      <c r="O45" s="399">
        <v>46.88</v>
      </c>
      <c r="P45" s="399">
        <v>42.08</v>
      </c>
      <c r="Q45" s="399">
        <v>50.36</v>
      </c>
      <c r="R45" s="397"/>
      <c r="S45" s="399">
        <f t="shared" si="3"/>
        <v>7130.7</v>
      </c>
      <c r="T45" s="399">
        <f t="shared" si="4"/>
        <v>4453.6000000000004</v>
      </c>
      <c r="U45" s="399">
        <f t="shared" si="5"/>
        <v>3997.6</v>
      </c>
      <c r="V45" s="399">
        <f t="shared" si="6"/>
        <v>4784.2</v>
      </c>
      <c r="W45" s="397"/>
      <c r="X45" s="399">
        <f t="shared" si="7"/>
        <v>11259</v>
      </c>
      <c r="Y45" s="399">
        <f t="shared" si="0"/>
        <v>7032</v>
      </c>
      <c r="Z45" s="399">
        <f t="shared" si="1"/>
        <v>6312</v>
      </c>
      <c r="AA45" s="399">
        <f t="shared" si="2"/>
        <v>7554</v>
      </c>
    </row>
    <row r="46" spans="1:27" x14ac:dyDescent="0.25">
      <c r="A46" s="397"/>
      <c r="B46" s="397"/>
      <c r="C46" s="397"/>
      <c r="D46" s="397"/>
      <c r="E46" s="397"/>
      <c r="F46" s="397"/>
      <c r="G46" s="397"/>
      <c r="H46" s="397"/>
      <c r="I46" s="393" t="s">
        <v>427</v>
      </c>
      <c r="J46" s="396">
        <v>48</v>
      </c>
      <c r="K46" s="393">
        <v>254</v>
      </c>
      <c r="L46" s="397">
        <v>635</v>
      </c>
      <c r="M46" s="397"/>
      <c r="N46" s="399">
        <v>88.67</v>
      </c>
      <c r="O46" s="399">
        <v>57.05</v>
      </c>
      <c r="P46" s="399">
        <v>42.42</v>
      </c>
      <c r="Q46" s="399">
        <v>47.2</v>
      </c>
      <c r="R46" s="397"/>
      <c r="S46" s="399">
        <f t="shared" si="3"/>
        <v>22522.18</v>
      </c>
      <c r="T46" s="399">
        <f t="shared" si="4"/>
        <v>14490.699999999999</v>
      </c>
      <c r="U46" s="399">
        <f t="shared" si="5"/>
        <v>10774.68</v>
      </c>
      <c r="V46" s="399">
        <f t="shared" si="6"/>
        <v>11988.800000000001</v>
      </c>
      <c r="W46" s="397"/>
      <c r="X46" s="399">
        <f t="shared" si="7"/>
        <v>56305.450000000004</v>
      </c>
      <c r="Y46" s="399">
        <f t="shared" si="0"/>
        <v>36226.75</v>
      </c>
      <c r="Z46" s="399">
        <f t="shared" si="1"/>
        <v>26936.7</v>
      </c>
      <c r="AA46" s="399">
        <f t="shared" si="2"/>
        <v>29972</v>
      </c>
    </row>
    <row r="47" spans="1:27" x14ac:dyDescent="0.25">
      <c r="A47" s="397"/>
      <c r="B47" s="397"/>
      <c r="C47" s="397"/>
      <c r="D47" s="397"/>
      <c r="E47" s="397"/>
      <c r="F47" s="397"/>
      <c r="G47" s="397"/>
      <c r="H47" s="397"/>
      <c r="I47" s="393" t="s">
        <v>428</v>
      </c>
      <c r="J47" s="396">
        <v>49</v>
      </c>
      <c r="K47" s="393">
        <v>29</v>
      </c>
      <c r="L47" s="397">
        <v>47</v>
      </c>
      <c r="M47" s="397"/>
      <c r="N47" s="399">
        <v>75.459999999999994</v>
      </c>
      <c r="O47" s="399">
        <v>49.37</v>
      </c>
      <c r="P47" s="399">
        <v>40.93</v>
      </c>
      <c r="Q47" s="399">
        <v>47.83</v>
      </c>
      <c r="R47" s="397"/>
      <c r="S47" s="399">
        <f t="shared" si="3"/>
        <v>2188.3399999999997</v>
      </c>
      <c r="T47" s="399">
        <f t="shared" si="4"/>
        <v>1431.73</v>
      </c>
      <c r="U47" s="399">
        <f t="shared" si="5"/>
        <v>1186.97</v>
      </c>
      <c r="V47" s="399">
        <f t="shared" si="6"/>
        <v>1387.07</v>
      </c>
      <c r="W47" s="397"/>
      <c r="X47" s="399">
        <f t="shared" si="7"/>
        <v>3546.62</v>
      </c>
      <c r="Y47" s="399">
        <f t="shared" si="0"/>
        <v>2320.39</v>
      </c>
      <c r="Z47" s="399">
        <f t="shared" si="1"/>
        <v>1923.71</v>
      </c>
      <c r="AA47" s="399">
        <f t="shared" si="2"/>
        <v>2248.0099999999998</v>
      </c>
    </row>
    <row r="48" spans="1:27" x14ac:dyDescent="0.25">
      <c r="A48" s="397"/>
      <c r="B48" s="397"/>
      <c r="C48" s="397"/>
      <c r="D48" s="397"/>
      <c r="E48" s="397"/>
      <c r="F48" s="397"/>
      <c r="G48" s="397"/>
      <c r="H48" s="397"/>
      <c r="I48" s="393" t="s">
        <v>429</v>
      </c>
      <c r="J48" s="396">
        <v>50</v>
      </c>
      <c r="K48" s="393">
        <v>14</v>
      </c>
      <c r="L48" s="397">
        <v>6</v>
      </c>
      <c r="M48" s="397"/>
      <c r="N48" s="399">
        <v>78.239999999999995</v>
      </c>
      <c r="O48" s="399">
        <v>43.85</v>
      </c>
      <c r="P48" s="399">
        <v>34.770000000000003</v>
      </c>
      <c r="Q48" s="399">
        <v>42.28</v>
      </c>
      <c r="R48" s="397"/>
      <c r="S48" s="399">
        <f t="shared" si="3"/>
        <v>1095.3599999999999</v>
      </c>
      <c r="T48" s="399">
        <f t="shared" si="4"/>
        <v>613.9</v>
      </c>
      <c r="U48" s="399">
        <f t="shared" si="5"/>
        <v>486.78000000000003</v>
      </c>
      <c r="V48" s="399">
        <f t="shared" si="6"/>
        <v>591.92000000000007</v>
      </c>
      <c r="W48" s="397"/>
      <c r="X48" s="399">
        <f t="shared" si="7"/>
        <v>469.43999999999994</v>
      </c>
      <c r="Y48" s="399">
        <f t="shared" si="0"/>
        <v>263.10000000000002</v>
      </c>
      <c r="Z48" s="399">
        <f t="shared" si="1"/>
        <v>208.62</v>
      </c>
      <c r="AA48" s="399">
        <f t="shared" si="2"/>
        <v>253.68</v>
      </c>
    </row>
    <row r="49" spans="9:27" x14ac:dyDescent="0.25">
      <c r="I49" s="393" t="s">
        <v>430</v>
      </c>
      <c r="J49" s="396">
        <v>51</v>
      </c>
      <c r="K49" s="393">
        <v>133</v>
      </c>
      <c r="L49" s="397">
        <v>164</v>
      </c>
      <c r="M49" s="397"/>
      <c r="N49" s="399">
        <v>84.59</v>
      </c>
      <c r="O49" s="399">
        <v>55.08</v>
      </c>
      <c r="P49" s="399">
        <v>41.78</v>
      </c>
      <c r="Q49" s="399">
        <v>54.8</v>
      </c>
      <c r="R49" s="397"/>
      <c r="S49" s="399">
        <f t="shared" si="3"/>
        <v>11250.470000000001</v>
      </c>
      <c r="T49" s="399">
        <f t="shared" si="4"/>
        <v>7325.6399999999994</v>
      </c>
      <c r="U49" s="399">
        <f t="shared" si="5"/>
        <v>5556.74</v>
      </c>
      <c r="V49" s="399">
        <f t="shared" si="6"/>
        <v>7288.4</v>
      </c>
      <c r="W49" s="397"/>
      <c r="X49" s="399">
        <f t="shared" si="7"/>
        <v>13872.76</v>
      </c>
      <c r="Y49" s="399">
        <f t="shared" si="0"/>
        <v>9033.119999999999</v>
      </c>
      <c r="Z49" s="399">
        <f t="shared" si="1"/>
        <v>6851.92</v>
      </c>
      <c r="AA49" s="399">
        <f t="shared" si="2"/>
        <v>8987.1999999999989</v>
      </c>
    </row>
    <row r="50" spans="9:27" x14ac:dyDescent="0.25">
      <c r="I50" s="393" t="s">
        <v>431</v>
      </c>
      <c r="J50" s="396">
        <v>53</v>
      </c>
      <c r="K50" s="393">
        <v>39</v>
      </c>
      <c r="L50" s="397">
        <v>81</v>
      </c>
      <c r="M50" s="397"/>
      <c r="N50" s="399">
        <v>93.82</v>
      </c>
      <c r="O50" s="399">
        <v>58.05</v>
      </c>
      <c r="P50" s="399">
        <v>45.65</v>
      </c>
      <c r="Q50" s="399">
        <v>53.26</v>
      </c>
      <c r="R50" s="397"/>
      <c r="S50" s="399">
        <f t="shared" si="3"/>
        <v>3658.9799999999996</v>
      </c>
      <c r="T50" s="399">
        <f t="shared" si="4"/>
        <v>2263.9499999999998</v>
      </c>
      <c r="U50" s="399">
        <f t="shared" si="5"/>
        <v>1780.35</v>
      </c>
      <c r="V50" s="399">
        <f t="shared" si="6"/>
        <v>2077.14</v>
      </c>
      <c r="W50" s="397"/>
      <c r="X50" s="399">
        <f t="shared" si="7"/>
        <v>7599.4199999999992</v>
      </c>
      <c r="Y50" s="399">
        <f t="shared" si="0"/>
        <v>4702.05</v>
      </c>
      <c r="Z50" s="399">
        <f t="shared" si="1"/>
        <v>3697.65</v>
      </c>
      <c r="AA50" s="399">
        <f t="shared" si="2"/>
        <v>4314.0599999999995</v>
      </c>
    </row>
    <row r="51" spans="9:27" x14ac:dyDescent="0.25">
      <c r="I51" s="393" t="s">
        <v>432</v>
      </c>
      <c r="J51" s="396">
        <v>54</v>
      </c>
      <c r="K51" s="393">
        <v>55</v>
      </c>
      <c r="L51" s="397">
        <v>99</v>
      </c>
      <c r="M51" s="397"/>
      <c r="N51" s="399">
        <v>73.48</v>
      </c>
      <c r="O51" s="399">
        <v>49.31</v>
      </c>
      <c r="P51" s="399">
        <v>38.590000000000003</v>
      </c>
      <c r="Q51" s="399">
        <v>39.07</v>
      </c>
      <c r="R51" s="397"/>
      <c r="S51" s="399">
        <f t="shared" si="3"/>
        <v>4041.4</v>
      </c>
      <c r="T51" s="399">
        <f t="shared" si="4"/>
        <v>2712.05</v>
      </c>
      <c r="U51" s="399">
        <f t="shared" si="5"/>
        <v>2122.4500000000003</v>
      </c>
      <c r="V51" s="399">
        <f t="shared" si="6"/>
        <v>2148.85</v>
      </c>
      <c r="W51" s="397"/>
      <c r="X51" s="399">
        <f t="shared" si="7"/>
        <v>7274.52</v>
      </c>
      <c r="Y51" s="399">
        <f t="shared" si="0"/>
        <v>4881.6900000000005</v>
      </c>
      <c r="Z51" s="399">
        <f t="shared" si="1"/>
        <v>3820.4100000000003</v>
      </c>
      <c r="AA51" s="399">
        <f t="shared" si="2"/>
        <v>3867.93</v>
      </c>
    </row>
    <row r="52" spans="9:27" x14ac:dyDescent="0.25">
      <c r="I52" s="393" t="s">
        <v>433</v>
      </c>
      <c r="J52" s="396">
        <v>55</v>
      </c>
      <c r="K52" s="393">
        <v>72</v>
      </c>
      <c r="L52" s="397">
        <v>220</v>
      </c>
      <c r="M52" s="397"/>
      <c r="N52" s="399">
        <v>71.33</v>
      </c>
      <c r="O52" s="399">
        <v>48.05</v>
      </c>
      <c r="P52" s="399">
        <v>36.6</v>
      </c>
      <c r="Q52" s="399">
        <v>43.35</v>
      </c>
      <c r="R52" s="397"/>
      <c r="S52" s="399">
        <f t="shared" si="3"/>
        <v>5135.76</v>
      </c>
      <c r="T52" s="399">
        <f t="shared" si="4"/>
        <v>3459.6</v>
      </c>
      <c r="U52" s="399">
        <f t="shared" si="5"/>
        <v>2635.2000000000003</v>
      </c>
      <c r="V52" s="399">
        <f t="shared" si="6"/>
        <v>3121.2000000000003</v>
      </c>
      <c r="W52" s="397"/>
      <c r="X52" s="399">
        <f t="shared" si="7"/>
        <v>15692.6</v>
      </c>
      <c r="Y52" s="399">
        <f t="shared" si="0"/>
        <v>10571</v>
      </c>
      <c r="Z52" s="399">
        <f t="shared" si="1"/>
        <v>8052</v>
      </c>
      <c r="AA52" s="399">
        <f t="shared" si="2"/>
        <v>9537</v>
      </c>
    </row>
    <row r="53" spans="9:27" x14ac:dyDescent="0.25">
      <c r="I53" s="393" t="s">
        <v>434</v>
      </c>
      <c r="J53" s="396">
        <v>56</v>
      </c>
      <c r="K53" s="393">
        <v>23</v>
      </c>
      <c r="L53" s="397">
        <v>92</v>
      </c>
      <c r="M53" s="397"/>
      <c r="N53" s="399">
        <v>71.83</v>
      </c>
      <c r="O53" s="399">
        <v>50.24</v>
      </c>
      <c r="P53" s="399">
        <v>37.25</v>
      </c>
      <c r="Q53" s="399">
        <v>38.270000000000003</v>
      </c>
      <c r="R53" s="397"/>
      <c r="S53" s="399">
        <f t="shared" si="3"/>
        <v>1652.09</v>
      </c>
      <c r="T53" s="399">
        <f t="shared" si="4"/>
        <v>1155.52</v>
      </c>
      <c r="U53" s="399">
        <f t="shared" si="5"/>
        <v>856.75</v>
      </c>
      <c r="V53" s="399">
        <f t="shared" si="6"/>
        <v>880.21</v>
      </c>
      <c r="W53" s="397"/>
      <c r="X53" s="399">
        <f t="shared" si="7"/>
        <v>6608.36</v>
      </c>
      <c r="Y53" s="399">
        <f t="shared" si="0"/>
        <v>4622.08</v>
      </c>
      <c r="Z53" s="399">
        <f t="shared" si="1"/>
        <v>3427</v>
      </c>
      <c r="AA53" s="399">
        <f t="shared" si="2"/>
        <v>3520.84</v>
      </c>
    </row>
    <row r="54" spans="9:27" x14ac:dyDescent="0.25">
      <c r="I54" s="393" t="s">
        <v>435</v>
      </c>
      <c r="J54" s="396">
        <v>66</v>
      </c>
      <c r="K54" s="393">
        <v>1</v>
      </c>
      <c r="L54" s="344"/>
      <c r="M54" s="397"/>
      <c r="N54" s="399">
        <v>49.65</v>
      </c>
      <c r="O54" s="399"/>
      <c r="P54" s="399">
        <v>32.979999999999997</v>
      </c>
      <c r="Q54" s="399"/>
      <c r="R54" s="397"/>
      <c r="S54" s="399">
        <f t="shared" si="3"/>
        <v>49.65</v>
      </c>
      <c r="T54" s="399"/>
      <c r="U54" s="399">
        <f t="shared" si="5"/>
        <v>32.979999999999997</v>
      </c>
      <c r="V54" s="399"/>
      <c r="W54" s="397"/>
      <c r="X54" s="399"/>
      <c r="Y54" s="399"/>
      <c r="Z54" s="399"/>
      <c r="AA54" s="399"/>
    </row>
    <row r="55" spans="9:27" x14ac:dyDescent="0.25">
      <c r="I55" s="393" t="s">
        <v>436</v>
      </c>
      <c r="J55" s="396">
        <v>72</v>
      </c>
      <c r="K55" s="393">
        <v>78</v>
      </c>
      <c r="L55" s="344">
        <v>19</v>
      </c>
      <c r="M55" s="397"/>
      <c r="N55" s="399">
        <v>59.22</v>
      </c>
      <c r="O55" s="399">
        <v>35.82</v>
      </c>
      <c r="P55" s="399">
        <v>26.3</v>
      </c>
      <c r="Q55" s="399">
        <v>27.31</v>
      </c>
      <c r="R55" s="397"/>
      <c r="S55" s="399">
        <f t="shared" si="3"/>
        <v>4619.16</v>
      </c>
      <c r="T55" s="399">
        <f t="shared" si="4"/>
        <v>2793.96</v>
      </c>
      <c r="U55" s="399">
        <f t="shared" si="5"/>
        <v>2051.4</v>
      </c>
      <c r="V55" s="399">
        <f t="shared" si="6"/>
        <v>2130.1799999999998</v>
      </c>
      <c r="W55" s="397"/>
      <c r="X55" s="399">
        <f t="shared" si="7"/>
        <v>1125.18</v>
      </c>
      <c r="Y55" s="399">
        <f t="shared" si="0"/>
        <v>680.58</v>
      </c>
      <c r="Z55" s="399">
        <f t="shared" si="1"/>
        <v>499.7</v>
      </c>
      <c r="AA55" s="399">
        <f t="shared" si="2"/>
        <v>518.89</v>
      </c>
    </row>
    <row r="56" spans="9:27" x14ac:dyDescent="0.25">
      <c r="I56" s="393" t="s">
        <v>437</v>
      </c>
      <c r="J56" s="396">
        <v>78</v>
      </c>
      <c r="K56" s="393">
        <v>3</v>
      </c>
      <c r="L56" s="397"/>
      <c r="M56" s="397"/>
      <c r="N56" s="399"/>
      <c r="O56" s="399"/>
      <c r="P56" s="399">
        <v>28.02</v>
      </c>
      <c r="Q56" s="399"/>
      <c r="R56" s="397"/>
      <c r="S56" s="399"/>
      <c r="T56" s="399"/>
      <c r="U56" s="399">
        <f t="shared" si="5"/>
        <v>84.06</v>
      </c>
      <c r="V56" s="399"/>
      <c r="W56" s="397"/>
      <c r="X56" s="399"/>
      <c r="Y56" s="399"/>
      <c r="Z56" s="399"/>
      <c r="AA56" s="399"/>
    </row>
    <row r="57" spans="9:27" x14ac:dyDescent="0.25">
      <c r="I57" s="393"/>
      <c r="J57" s="396"/>
      <c r="K57" s="403">
        <f>SUM(K3:K56)</f>
        <v>3226</v>
      </c>
      <c r="L57" s="403">
        <f>SUM(L3:L56)</f>
        <v>7104</v>
      </c>
      <c r="M57" s="397"/>
      <c r="N57" s="397"/>
      <c r="O57" s="397"/>
      <c r="P57" s="397"/>
      <c r="Q57" s="397"/>
      <c r="R57" s="397"/>
      <c r="S57" s="400">
        <f>SUM(S3:S56)/SUMIF(N3:N56,"&gt;0",$K$3:$K$56)</f>
        <v>78.084421346571531</v>
      </c>
      <c r="T57" s="400">
        <f>SUM(T3:T56)/SUMIF(O3:O56,"&gt;0",$K$3:$K$56)</f>
        <v>50.368054003724382</v>
      </c>
      <c r="U57" s="400">
        <f>SUM(U3:U56)/SUMIF(P3:P56,"&gt;0",$K$3:$K$56)</f>
        <v>39.518521388716678</v>
      </c>
      <c r="V57" s="400">
        <f>SUM(V3:V56)/SUMIF(Q3:Q56,"&gt;0",$K$3:$K$56)</f>
        <v>45.141918063314733</v>
      </c>
      <c r="W57" s="397"/>
      <c r="X57" s="400">
        <f>SUM(X3:X56)/SUMIF(N3:N56,"&gt;0",$L$3:$L$56)</f>
        <v>80.047858952702697</v>
      </c>
      <c r="Y57" s="400">
        <f>SUM(Y3:Y56)/SUMIF(O3:O56,"&gt;0",$L$3:$L$56)</f>
        <v>51.701710304054053</v>
      </c>
      <c r="Z57" s="400">
        <f>SUM(Z3:Z56)/SUMIF(P3:P56,"&gt;0",$L$3:$L$56)</f>
        <v>40.286200731981985</v>
      </c>
      <c r="AA57" s="400">
        <f>SUM(AA3:AA56)/SUMIF(Q3:Q56,"&gt;0",$L$3:$L$56)</f>
        <v>46.036297860360364</v>
      </c>
    </row>
  </sheetData>
  <sortState xmlns:xlrd2="http://schemas.microsoft.com/office/spreadsheetml/2017/richdata2" ref="I3:K57">
    <sortCondition ref="J3:J57"/>
  </sortState>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31B42-BCB6-4D77-B409-7FEA5D2CE702}">
  <dimension ref="A1:S23"/>
  <sheetViews>
    <sheetView zoomScale="90" zoomScaleNormal="90" workbookViewId="0">
      <selection activeCell="D1" sqref="D1:E1"/>
    </sheetView>
  </sheetViews>
  <sheetFormatPr defaultRowHeight="15" x14ac:dyDescent="0.25"/>
  <cols>
    <col min="1" max="1" width="54.7109375" customWidth="1"/>
    <col min="2" max="2" width="11.7109375" customWidth="1"/>
    <col min="3" max="4" width="11" customWidth="1"/>
    <col min="5" max="5" width="12" customWidth="1"/>
    <col min="6" max="6" width="12.42578125" bestFit="1" customWidth="1"/>
    <col min="7" max="7" width="13" bestFit="1" customWidth="1"/>
    <col min="8" max="12" width="13" customWidth="1"/>
    <col min="13" max="13" width="10" customWidth="1"/>
    <col min="14" max="14" width="9.42578125" bestFit="1" customWidth="1"/>
    <col min="15" max="15" width="10.5703125" customWidth="1"/>
    <col min="16" max="16" width="13" bestFit="1" customWidth="1"/>
    <col min="17" max="18" width="14" bestFit="1" customWidth="1"/>
  </cols>
  <sheetData>
    <row r="1" spans="1:19" x14ac:dyDescent="0.25">
      <c r="A1" s="132"/>
      <c r="B1" s="397"/>
      <c r="C1" s="397"/>
      <c r="D1" s="22">
        <f>'Labor Information'!$D$4</f>
        <v>177.40800000000002</v>
      </c>
      <c r="E1" s="22">
        <f>'Labor Information'!$D$3</f>
        <v>111.636</v>
      </c>
      <c r="F1" s="397"/>
      <c r="G1" s="397"/>
      <c r="H1" s="397"/>
      <c r="I1" s="397"/>
      <c r="J1" s="397"/>
      <c r="K1" s="397"/>
      <c r="L1" s="397"/>
      <c r="M1" s="397"/>
      <c r="N1" s="397"/>
      <c r="O1" s="397"/>
      <c r="P1" s="397"/>
      <c r="Q1" s="397"/>
      <c r="R1" s="397"/>
      <c r="S1" s="397"/>
    </row>
    <row r="2" spans="1:19" x14ac:dyDescent="0.25">
      <c r="A2" s="132"/>
      <c r="B2" s="397"/>
      <c r="C2" s="22"/>
      <c r="D2" s="22"/>
      <c r="E2" s="397"/>
      <c r="F2" s="397"/>
      <c r="G2" s="397"/>
      <c r="H2" s="397"/>
      <c r="I2" s="397"/>
      <c r="J2" s="397"/>
      <c r="K2" s="397"/>
      <c r="L2" s="397"/>
      <c r="M2" s="397"/>
      <c r="N2" s="397"/>
      <c r="O2" s="397"/>
      <c r="P2" s="397"/>
      <c r="Q2" s="397"/>
      <c r="R2" s="397"/>
      <c r="S2" s="397"/>
    </row>
    <row r="3" spans="1:19" x14ac:dyDescent="0.25">
      <c r="A3" s="397"/>
      <c r="B3" s="397"/>
      <c r="C3" s="22"/>
      <c r="D3" s="397"/>
      <c r="E3" s="397"/>
      <c r="F3" s="397"/>
      <c r="G3" s="397"/>
      <c r="H3" s="397"/>
      <c r="I3" s="397"/>
      <c r="J3" s="397"/>
      <c r="K3" s="397"/>
      <c r="L3" s="397"/>
      <c r="M3" s="397"/>
      <c r="N3" s="397"/>
      <c r="O3" s="397"/>
      <c r="P3" s="397"/>
      <c r="Q3" s="397"/>
      <c r="R3" s="397"/>
      <c r="S3" s="397"/>
    </row>
    <row r="4" spans="1:19" ht="19.5" thickBot="1" x14ac:dyDescent="0.35">
      <c r="A4" s="246" t="s">
        <v>438</v>
      </c>
      <c r="B4" s="397"/>
      <c r="C4" s="397"/>
      <c r="D4" s="397"/>
      <c r="E4" s="397"/>
      <c r="F4" s="397"/>
      <c r="G4" s="397"/>
      <c r="H4" s="352"/>
      <c r="I4" s="352"/>
      <c r="J4" s="352"/>
      <c r="K4" s="352"/>
      <c r="L4" s="344"/>
      <c r="M4" s="344"/>
      <c r="N4" s="344"/>
      <c r="O4" s="344"/>
      <c r="P4" s="344"/>
      <c r="Q4" s="344"/>
      <c r="R4" s="344"/>
      <c r="S4" s="397"/>
    </row>
    <row r="5" spans="1:19" ht="15" customHeight="1" thickBot="1" x14ac:dyDescent="0.3">
      <c r="A5" s="206"/>
      <c r="B5" s="206"/>
      <c r="C5" s="206"/>
      <c r="D5" s="207"/>
      <c r="E5" s="208" t="s">
        <v>439</v>
      </c>
      <c r="F5" s="207"/>
      <c r="G5" s="206"/>
      <c r="H5" s="344"/>
      <c r="I5" s="344"/>
      <c r="J5" s="344"/>
      <c r="K5" s="344"/>
      <c r="L5" s="344"/>
      <c r="M5" s="344"/>
      <c r="N5" s="344"/>
      <c r="O5" s="344"/>
      <c r="P5" s="344"/>
      <c r="Q5" s="344"/>
      <c r="R5" s="344"/>
      <c r="S5" s="397"/>
    </row>
    <row r="6" spans="1:19" ht="75.75" thickBot="1" x14ac:dyDescent="0.3">
      <c r="A6" s="209" t="s">
        <v>83</v>
      </c>
      <c r="B6" s="210" t="s">
        <v>440</v>
      </c>
      <c r="C6" s="210" t="s">
        <v>441</v>
      </c>
      <c r="D6" s="210" t="str">
        <f>"Manager Hrs/yr @ "&amp;TEXT(D1,"$000.00")&amp;"/Hr"</f>
        <v>Manager Hrs/yr @ $177.41/Hr</v>
      </c>
      <c r="E6" s="210" t="str">
        <f>"Engineer Hrs/yr @ "&amp;TEXT(E1,"$000.00")&amp;"/Hr"</f>
        <v>Engineer Hrs/yr @ $111.64/Hr</v>
      </c>
      <c r="F6" s="210" t="s">
        <v>442</v>
      </c>
      <c r="G6" s="210" t="s">
        <v>443</v>
      </c>
      <c r="H6" s="353"/>
      <c r="I6" s="353"/>
      <c r="J6" s="353"/>
      <c r="K6" s="353"/>
      <c r="L6" s="353"/>
      <c r="M6" s="354"/>
      <c r="N6" s="354"/>
      <c r="O6" s="354"/>
      <c r="P6" s="354"/>
      <c r="Q6" s="344"/>
      <c r="R6" s="344"/>
      <c r="S6" s="397"/>
    </row>
    <row r="7" spans="1:19" ht="15.75" thickBot="1" x14ac:dyDescent="0.3">
      <c r="A7" s="39" t="s">
        <v>33</v>
      </c>
      <c r="B7" s="40"/>
      <c r="C7" s="40"/>
      <c r="D7" s="41"/>
      <c r="E7" s="41"/>
      <c r="F7" s="41"/>
      <c r="G7" s="212"/>
      <c r="H7" s="344"/>
      <c r="I7" s="344"/>
      <c r="J7" s="344"/>
      <c r="K7" s="344"/>
      <c r="L7" s="344"/>
      <c r="M7" s="344"/>
      <c r="N7" s="344"/>
      <c r="O7" s="344"/>
      <c r="P7" s="344"/>
      <c r="Q7" s="344"/>
      <c r="R7" s="344"/>
      <c r="S7" s="397"/>
    </row>
    <row r="8" spans="1:19" ht="29.1" customHeight="1" thickBot="1" x14ac:dyDescent="0.3">
      <c r="A8" s="213" t="s">
        <v>444</v>
      </c>
      <c r="B8" s="214">
        <f>'Facility counts worksheet'!C11</f>
        <v>12379.2096759302</v>
      </c>
      <c r="C8" s="215">
        <f>'Facility counts worksheet'!E11</f>
        <v>5799.7365586433998</v>
      </c>
      <c r="D8" s="216">
        <v>1</v>
      </c>
      <c r="E8" s="102">
        <v>24</v>
      </c>
      <c r="F8" s="216">
        <f>SUM(D8:E8)</f>
        <v>25</v>
      </c>
      <c r="G8" s="217">
        <f>D8*$D$1+E8*$E$1</f>
        <v>2856.672</v>
      </c>
      <c r="H8" s="355"/>
      <c r="I8" s="355"/>
      <c r="J8" s="355"/>
      <c r="K8" s="355"/>
      <c r="L8" s="355"/>
      <c r="M8" s="356"/>
      <c r="N8" s="357"/>
      <c r="O8" s="354"/>
      <c r="P8" s="354"/>
      <c r="Q8" s="358"/>
      <c r="R8" s="357"/>
      <c r="S8" s="211"/>
    </row>
    <row r="9" spans="1:19" ht="29.1" customHeight="1" thickBot="1" x14ac:dyDescent="0.3">
      <c r="A9" s="213" t="s">
        <v>445</v>
      </c>
      <c r="B9" s="214">
        <f>'Facility counts worksheet'!B11</f>
        <v>2510</v>
      </c>
      <c r="C9" s="219"/>
      <c r="D9" s="216">
        <v>1</v>
      </c>
      <c r="E9" s="102">
        <v>24</v>
      </c>
      <c r="F9" s="216">
        <f>SUM(D9:E9)</f>
        <v>25</v>
      </c>
      <c r="G9" s="217">
        <f>D9*$D$1+E9*$E$1</f>
        <v>2856.672</v>
      </c>
      <c r="H9" s="355"/>
      <c r="I9" s="355"/>
      <c r="J9" s="355"/>
      <c r="K9" s="355"/>
      <c r="L9" s="355"/>
      <c r="M9" s="356"/>
      <c r="N9" s="357"/>
      <c r="O9" s="357"/>
      <c r="P9" s="354"/>
      <c r="Q9" s="358"/>
      <c r="R9" s="354"/>
      <c r="S9" s="211"/>
    </row>
    <row r="10" spans="1:19" ht="15.75" thickBot="1" x14ac:dyDescent="0.3">
      <c r="A10" s="39" t="s">
        <v>446</v>
      </c>
      <c r="B10" s="40"/>
      <c r="C10" s="40"/>
      <c r="D10" s="41"/>
      <c r="E10" s="41"/>
      <c r="F10" s="41"/>
      <c r="G10" s="212"/>
      <c r="H10" s="344"/>
      <c r="I10" s="344"/>
      <c r="J10" s="344"/>
      <c r="K10" s="344"/>
      <c r="L10" s="344"/>
      <c r="M10" s="344"/>
      <c r="N10" s="357"/>
      <c r="O10" s="354"/>
      <c r="P10" s="344"/>
      <c r="Q10" s="344"/>
      <c r="R10" s="344"/>
      <c r="S10" s="211"/>
    </row>
    <row r="11" spans="1:19" ht="30.75" thickBot="1" x14ac:dyDescent="0.3">
      <c r="A11" s="221" t="s">
        <v>447</v>
      </c>
      <c r="B11" s="222">
        <f>B8</f>
        <v>12379.2096759302</v>
      </c>
      <c r="C11" s="222">
        <f>C8</f>
        <v>5799.7365586433998</v>
      </c>
      <c r="D11" s="223">
        <f>ROUNDUP(($C8*D8)/$C11,1)</f>
        <v>1</v>
      </c>
      <c r="E11" s="223">
        <f>ROUNDUP(($C8*E8)/$C11,1)</f>
        <v>24</v>
      </c>
      <c r="F11" s="223">
        <f>SUM(D11:E11)</f>
        <v>25</v>
      </c>
      <c r="G11" s="224">
        <f>ROUNDUP(($C8*G8)/$C11,1)</f>
        <v>2856.7</v>
      </c>
      <c r="H11" s="359"/>
      <c r="I11" s="359"/>
      <c r="J11" s="359"/>
      <c r="K11" s="359"/>
      <c r="L11" s="359"/>
      <c r="M11" s="360"/>
      <c r="N11" s="357"/>
      <c r="O11" s="354"/>
      <c r="P11" s="354"/>
      <c r="Q11" s="358"/>
      <c r="R11" s="357"/>
      <c r="S11" s="211"/>
    </row>
    <row r="12" spans="1:19" ht="38.1" customHeight="1" thickBot="1" x14ac:dyDescent="0.3">
      <c r="A12" s="39" t="s">
        <v>35</v>
      </c>
      <c r="B12" s="40"/>
      <c r="C12" s="40"/>
      <c r="D12" s="41"/>
      <c r="E12" s="41"/>
      <c r="F12" s="41"/>
      <c r="G12" s="212"/>
      <c r="H12" s="344"/>
      <c r="I12" s="344"/>
      <c r="J12" s="344"/>
      <c r="K12" s="344"/>
      <c r="L12" s="344"/>
      <c r="M12" s="344"/>
      <c r="N12" s="357"/>
      <c r="O12" s="354"/>
      <c r="P12" s="354"/>
      <c r="Q12" s="358"/>
      <c r="R12" s="357"/>
      <c r="S12" s="211"/>
    </row>
    <row r="13" spans="1:19" ht="15.75" thickBot="1" x14ac:dyDescent="0.3">
      <c r="A13" s="225" t="s">
        <v>36</v>
      </c>
      <c r="B13" s="226">
        <v>7</v>
      </c>
      <c r="C13" s="214"/>
      <c r="D13" s="216">
        <v>2</v>
      </c>
      <c r="E13" s="216">
        <v>10</v>
      </c>
      <c r="F13" s="102">
        <f>SUM(D13:E13)</f>
        <v>12</v>
      </c>
      <c r="G13" s="217">
        <f>D13*$D$1+E13*$E$1</f>
        <v>1471.1759999999999</v>
      </c>
      <c r="H13" s="361"/>
      <c r="I13" s="361"/>
      <c r="J13" s="361"/>
      <c r="K13" s="361"/>
      <c r="L13" s="361"/>
      <c r="M13" s="344"/>
      <c r="N13" s="354"/>
      <c r="O13" s="354"/>
      <c r="P13" s="354"/>
      <c r="Q13" s="362"/>
      <c r="R13" s="357"/>
      <c r="S13" s="211"/>
    </row>
    <row r="14" spans="1:19" x14ac:dyDescent="0.25">
      <c r="A14" s="397"/>
      <c r="B14" s="397"/>
      <c r="C14" s="397"/>
      <c r="D14" s="397"/>
      <c r="E14" s="397"/>
      <c r="F14" s="227"/>
      <c r="G14" s="493"/>
      <c r="H14" s="363"/>
      <c r="I14" s="363"/>
      <c r="J14" s="344"/>
      <c r="K14" s="344"/>
      <c r="L14" s="344"/>
      <c r="M14" s="363"/>
      <c r="N14" s="344"/>
      <c r="O14" s="344"/>
      <c r="P14" s="344"/>
      <c r="Q14" s="344"/>
      <c r="R14" s="344"/>
      <c r="S14" s="397"/>
    </row>
    <row r="15" spans="1:19" x14ac:dyDescent="0.25">
      <c r="A15" s="397"/>
      <c r="B15" s="397"/>
      <c r="C15" s="493"/>
      <c r="D15" s="493"/>
      <c r="E15" s="363"/>
      <c r="F15" s="344"/>
      <c r="G15" s="363"/>
      <c r="H15" s="363"/>
      <c r="I15" s="363"/>
      <c r="J15" s="364"/>
      <c r="K15" s="364"/>
      <c r="L15" s="364"/>
      <c r="M15" s="356"/>
      <c r="N15" s="344"/>
      <c r="O15" s="344"/>
      <c r="P15" s="344"/>
      <c r="Q15" s="344"/>
      <c r="R15" s="344"/>
      <c r="S15" s="397"/>
    </row>
    <row r="16" spans="1:19" x14ac:dyDescent="0.25">
      <c r="A16" s="397"/>
      <c r="B16" s="397"/>
      <c r="C16" s="397"/>
      <c r="D16" s="397"/>
      <c r="E16" s="344"/>
      <c r="F16" s="363"/>
      <c r="G16" s="485"/>
      <c r="H16" s="363"/>
      <c r="I16" s="363"/>
      <c r="J16" s="344"/>
      <c r="K16" s="344"/>
      <c r="L16" s="344"/>
      <c r="M16" s="344"/>
      <c r="N16" s="357"/>
      <c r="O16" s="344"/>
      <c r="P16" s="354"/>
      <c r="Q16" s="358"/>
      <c r="R16" s="357"/>
      <c r="S16" s="211"/>
    </row>
    <row r="17" spans="1:13" x14ac:dyDescent="0.25">
      <c r="A17" s="25"/>
      <c r="B17" s="25"/>
      <c r="C17" s="397"/>
      <c r="D17" s="397"/>
      <c r="E17" s="344"/>
      <c r="F17" s="485"/>
      <c r="G17" s="485"/>
      <c r="H17" s="363"/>
      <c r="I17" s="493"/>
      <c r="J17" s="493"/>
      <c r="K17" s="493"/>
      <c r="L17" s="493"/>
      <c r="M17" s="492"/>
    </row>
    <row r="18" spans="1:13" x14ac:dyDescent="0.25">
      <c r="A18" s="229"/>
      <c r="B18" s="229"/>
      <c r="C18" s="230"/>
      <c r="D18" s="230"/>
      <c r="E18" s="484"/>
      <c r="F18" s="485"/>
      <c r="G18" s="485"/>
      <c r="H18" s="363"/>
      <c r="I18" s="493"/>
      <c r="J18" s="493"/>
      <c r="K18" s="493"/>
      <c r="L18" s="493"/>
      <c r="M18" s="515"/>
    </row>
    <row r="19" spans="1:13" x14ac:dyDescent="0.25">
      <c r="A19" s="55"/>
      <c r="B19" s="55"/>
      <c r="C19" s="397"/>
      <c r="D19" s="228"/>
      <c r="E19" s="363"/>
      <c r="F19" s="485"/>
      <c r="G19" s="485"/>
      <c r="H19" s="363"/>
      <c r="I19" s="493"/>
      <c r="J19" s="493"/>
      <c r="K19" s="493"/>
      <c r="L19" s="493"/>
      <c r="M19" s="515"/>
    </row>
    <row r="20" spans="1:13" x14ac:dyDescent="0.25">
      <c r="A20" s="55"/>
      <c r="B20" s="55"/>
      <c r="C20" s="397"/>
      <c r="D20" s="228"/>
      <c r="E20" s="485"/>
      <c r="F20" s="485"/>
      <c r="G20" s="344"/>
      <c r="H20" s="344"/>
      <c r="I20" s="397"/>
      <c r="J20" s="493"/>
      <c r="K20" s="493"/>
      <c r="L20" s="493"/>
      <c r="M20" s="515"/>
    </row>
    <row r="21" spans="1:13" x14ac:dyDescent="0.25">
      <c r="A21" s="55"/>
      <c r="B21" s="55"/>
      <c r="C21" s="397"/>
      <c r="D21" s="228"/>
      <c r="E21" s="485"/>
      <c r="F21" s="344"/>
      <c r="G21" s="344"/>
      <c r="H21" s="344"/>
      <c r="I21" s="397"/>
      <c r="J21" s="493"/>
      <c r="K21" s="493"/>
      <c r="L21" s="493"/>
      <c r="M21" s="515"/>
    </row>
    <row r="22" spans="1:13" x14ac:dyDescent="0.25">
      <c r="A22" s="55"/>
      <c r="B22" s="55"/>
      <c r="C22" s="397"/>
      <c r="D22" s="228"/>
      <c r="E22" s="516"/>
      <c r="F22" s="397"/>
      <c r="G22" s="397"/>
      <c r="H22" s="397"/>
      <c r="I22" s="397"/>
      <c r="J22" s="397"/>
      <c r="K22" s="397"/>
      <c r="L22" s="397"/>
      <c r="M22" s="397"/>
    </row>
    <row r="23" spans="1:13" x14ac:dyDescent="0.25">
      <c r="A23" s="55"/>
      <c r="B23" s="55"/>
      <c r="C23" s="397"/>
      <c r="D23" s="228"/>
      <c r="E23" s="516"/>
      <c r="F23" s="397"/>
      <c r="G23" s="397"/>
      <c r="H23" s="397"/>
      <c r="I23" s="397"/>
      <c r="J23" s="397"/>
      <c r="K23" s="397"/>
      <c r="L23" s="397"/>
      <c r="M23" s="397"/>
    </row>
  </sheetData>
  <mergeCells count="3">
    <mergeCell ref="M20:M21"/>
    <mergeCell ref="E22:E23"/>
    <mergeCell ref="M18:M19"/>
  </mergeCells>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BF83E-6E41-47AC-A3E8-4450BE982E3F}">
  <dimension ref="A1:C11"/>
  <sheetViews>
    <sheetView workbookViewId="0"/>
  </sheetViews>
  <sheetFormatPr defaultRowHeight="15" x14ac:dyDescent="0.25"/>
  <cols>
    <col min="1" max="1" width="78.28515625" bestFit="1" customWidth="1"/>
    <col min="2" max="2" width="61.5703125" customWidth="1"/>
    <col min="3" max="3" width="11.140625" bestFit="1" customWidth="1"/>
  </cols>
  <sheetData>
    <row r="1" spans="1:3" x14ac:dyDescent="0.25">
      <c r="A1" s="17" t="s">
        <v>448</v>
      </c>
      <c r="B1" s="17" t="s">
        <v>449</v>
      </c>
      <c r="C1" s="17" t="s">
        <v>450</v>
      </c>
    </row>
    <row r="2" spans="1:3" x14ac:dyDescent="0.25">
      <c r="A2" s="365" t="s">
        <v>451</v>
      </c>
      <c r="B2" s="339" t="s">
        <v>452</v>
      </c>
      <c r="C2" s="397">
        <f>NoSLTsReporting</f>
        <v>68</v>
      </c>
    </row>
    <row r="3" spans="1:3" x14ac:dyDescent="0.25">
      <c r="A3" s="366" t="s">
        <v>453</v>
      </c>
      <c r="B3" s="339" t="s">
        <v>454</v>
      </c>
      <c r="C3" s="184">
        <f>'Facility counts worksheet'!C11</f>
        <v>12379.2096759302</v>
      </c>
    </row>
    <row r="4" spans="1:3" x14ac:dyDescent="0.25">
      <c r="A4" s="365" t="s">
        <v>455</v>
      </c>
      <c r="B4" s="339" t="s">
        <v>456</v>
      </c>
      <c r="C4" s="184">
        <f>'ICR Final Summary Tables'!B43</f>
        <v>53481.866666666669</v>
      </c>
    </row>
    <row r="5" spans="1:3" x14ac:dyDescent="0.25">
      <c r="A5" s="339" t="s">
        <v>457</v>
      </c>
      <c r="B5" s="339" t="s">
        <v>458</v>
      </c>
      <c r="C5" s="184">
        <f>'ICR Final Summary Tables'!K14</f>
        <v>7865.0666666666666</v>
      </c>
    </row>
    <row r="6" spans="1:3" x14ac:dyDescent="0.25">
      <c r="A6" s="366" t="s">
        <v>459</v>
      </c>
      <c r="B6" s="339" t="s">
        <v>460</v>
      </c>
      <c r="C6" s="184">
        <f>'ICR Final Summary Tables'!C43</f>
        <v>145077.41396608501</v>
      </c>
    </row>
    <row r="7" spans="1:3" x14ac:dyDescent="0.25">
      <c r="A7" s="367" t="s">
        <v>461</v>
      </c>
      <c r="B7" s="339" t="s">
        <v>462</v>
      </c>
      <c r="C7" s="244">
        <f>'ICR Final Summary Tables'!L36+C8</f>
        <v>712431.9520153153</v>
      </c>
    </row>
    <row r="8" spans="1:3" x14ac:dyDescent="0.25">
      <c r="A8" s="368" t="s">
        <v>463</v>
      </c>
      <c r="B8" s="339" t="s">
        <v>464</v>
      </c>
      <c r="C8" s="244">
        <f>'ICR Final Summary Tables'!L14</f>
        <v>712431.9520153153</v>
      </c>
    </row>
    <row r="9" spans="1:3" x14ac:dyDescent="0.25">
      <c r="A9" s="339" t="s">
        <v>465</v>
      </c>
      <c r="B9" s="339" t="s">
        <v>466</v>
      </c>
      <c r="C9" s="244">
        <f>'ICR Final Summary Tables'!B47</f>
        <v>15130399.463019934</v>
      </c>
    </row>
    <row r="10" spans="1:3" x14ac:dyDescent="0.25">
      <c r="A10" s="339" t="s">
        <v>467</v>
      </c>
      <c r="B10" s="339" t="s">
        <v>468</v>
      </c>
      <c r="C10" s="244">
        <f>'ICR Final Summary Tables'!C50</f>
        <v>16578243.266452959</v>
      </c>
    </row>
    <row r="11" spans="1:3" ht="45" x14ac:dyDescent="0.25">
      <c r="A11" s="369" t="s">
        <v>469</v>
      </c>
      <c r="B11" s="368" t="s">
        <v>470</v>
      </c>
      <c r="C11" s="392">
        <f>'ICR Final Summary Tables'!K11 - 'ICR Final Summary Tables'!O9</f>
        <v>-3085.1999999999971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EE13D7B3E0764EBAF0ED43D1844FE5" ma:contentTypeVersion="10" ma:contentTypeDescription="Create a new document." ma:contentTypeScope="" ma:versionID="f77029c4386683fa9cf347a775808d0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e8a4d002-b39b-4ac7-9cb8-7302f8e71712" xmlns:ns6="3c81a07b-2486-47a3-a2a5-b2c404b6cf2a" targetNamespace="http://schemas.microsoft.com/office/2006/metadata/properties" ma:root="true" ma:fieldsID="8f1ae2793d0f04f56b9f44c9af6213bd" ns1:_="" ns2:_="" ns3:_="" ns4:_="" ns5:_="" ns6:_="">
    <xsd:import namespace="http://schemas.microsoft.com/sharepoint/v3"/>
    <xsd:import namespace="4ffa91fb-a0ff-4ac5-b2db-65c790d184a4"/>
    <xsd:import namespace="http://schemas.microsoft.com/sharepoint.v3"/>
    <xsd:import namespace="http://schemas.microsoft.com/sharepoint/v3/fields"/>
    <xsd:import namespace="e8a4d002-b39b-4ac7-9cb8-7302f8e71712"/>
    <xsd:import namespace="3c81a07b-2486-47a3-a2a5-b2c404b6cf2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ObjectDetectorVersions" minOccurs="0"/>
                <xsd:element ref="ns5:MediaServiceSearchProperties" minOccurs="0"/>
                <xsd:element ref="ns5:MediaServiceDateTaken" minOccurs="0"/>
                <xsd:element ref="ns5:MediaServiceGenerationTime" minOccurs="0"/>
                <xsd:element ref="ns5:MediaServiceEventHashCode" minOccurs="0"/>
                <xsd:element ref="ns5: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9faa09-9b6f-4a34-8c39-76975034ff94}" ma:internalName="TaxCatchAllLabel" ma:readOnly="true" ma:showField="CatchAllDataLabel" ma:web="3c81a07b-2486-47a3-a2a5-b2c404b6cf2a">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9faa09-9b6f-4a34-8c39-76975034ff94}" ma:internalName="TaxCatchAll" ma:showField="CatchAllData" ma:web="3c81a07b-2486-47a3-a2a5-b2c404b6cf2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8a4d002-b39b-4ac7-9cb8-7302f8e71712"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ObjectDetectorVersions" ma:index="32" nillable="true" ma:displayName="MediaServiceObjectDetectorVersions"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element name="MediaServiceDateTaken" ma:index="34" nillable="true" ma:displayName="MediaServiceDateTaken" ma:hidden="true" ma:indexed="true" ma:internalName="MediaServiceDateTaken" ma:readOnly="true">
      <xsd:simpleType>
        <xsd:restriction base="dms:Text"/>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c81a07b-2486-47a3-a2a5-b2c404b6cf2a"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Coverage xmlns="http://schemas.microsoft.com/sharepoint/v3/fields" xsi:nil="true"/>
    <Record xmlns="4ffa91fb-a0ff-4ac5-b2db-65c790d184a4">Shared</Record>
    <EPA_x0020_Office xmlns="4ffa91fb-a0ff-4ac5-b2db-65c790d184a4" xsi:nil="true"/>
    <Document_x0020_Creation_x0020_Date xmlns="4ffa91fb-a0ff-4ac5-b2db-65c790d184a4">2025-02-07T13:42:37+00:00</Document_x0020_Creation_x0020_Date>
    <EPA_x0020_Related_x0020_Documents xmlns="4ffa91fb-a0ff-4ac5-b2db-65c790d184a4" xsi:nil="true"/>
    <_Source xmlns="http://schemas.microsoft.com/sharepoint/v3/fields" xsi:nil="true"/>
    <CategoryDescription xmlns="http://schemas.microsoft.com/sharepoint.v3" xsi:nil="true"/>
    <EPA_x0020_Contributor xmlns="4ffa91fb-a0ff-4ac5-b2db-65c790d184a4">
      <UserInfo>
        <DisplayName/>
        <AccountId xsi:nil="true"/>
        <AccountType/>
      </UserInfo>
    </EPA_x0020_Contributor>
    <TaxKeywordTaxHTField xmlns="4ffa91fb-a0ff-4ac5-b2db-65c790d184a4">
      <Terms xmlns="http://schemas.microsoft.com/office/infopath/2007/PartnerControls"/>
    </TaxKeywordTaxHTField>
    <Rights xmlns="4ffa91fb-a0ff-4ac5-b2db-65c790d184a4" xsi:nil="true"/>
    <External_x0020_Contributor xmlns="4ffa91fb-a0ff-4ac5-b2db-65c790d184a4" xsi:nil="true"/>
    <Identifier xmlns="4ffa91fb-a0ff-4ac5-b2db-65c790d184a4" xsi:nil="true"/>
    <Creator xmlns="4ffa91fb-a0ff-4ac5-b2db-65c790d184a4">
      <UserInfo>
        <DisplayName/>
        <AccountId xsi:nil="true"/>
        <AccountType/>
      </UserInfo>
    </Creator>
    <Language xmlns="http://schemas.microsoft.com/sharepoint/v3">English</Language>
    <j747ac98061d40f0aa7bd47e1db5675d xmlns="4ffa91fb-a0ff-4ac5-b2db-65c790d184a4">
      <Terms xmlns="http://schemas.microsoft.com/office/infopath/2007/PartnerControls"/>
    </j747ac98061d40f0aa7bd47e1db5675d>
    <TaxCatchAll xmlns="4ffa91fb-a0ff-4ac5-b2db-65c790d184a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367AB3B-E98A-4A28-B41F-6A014B4A59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e8a4d002-b39b-4ac7-9cb8-7302f8e71712"/>
    <ds:schemaRef ds:uri="3c81a07b-2486-47a3-a2a5-b2c404b6cf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3BAD41D-836C-4745-A514-33C2AAD3D272}">
  <ds:schemaRefs>
    <ds:schemaRef ds:uri="http://schemas.microsoft.com/office/2006/metadata/properties"/>
    <ds:schemaRef ds:uri="http://schemas.microsoft.com/office/infopath/2007/PartnerControls"/>
    <ds:schemaRef ds:uri="http://schemas.microsoft.com/sharepoint/v3/fields"/>
    <ds:schemaRef ds:uri="4ffa91fb-a0ff-4ac5-b2db-65c790d184a4"/>
    <ds:schemaRef ds:uri="http://schemas.microsoft.com/sharepoint.v3"/>
    <ds:schemaRef ds:uri="http://schemas.microsoft.com/sharepoint/v3"/>
  </ds:schemaRefs>
</ds:datastoreItem>
</file>

<file path=customXml/itemProps3.xml><?xml version="1.0" encoding="utf-8"?>
<ds:datastoreItem xmlns:ds="http://schemas.openxmlformats.org/officeDocument/2006/customXml" ds:itemID="{2AD469E3-A561-45E8-B2F4-C3C13601C537}">
  <ds:schemaRefs>
    <ds:schemaRef ds:uri="http://schemas.microsoft.com/sharepoint/v3/contenttype/forms"/>
  </ds:schemaRefs>
</ds:datastoreItem>
</file>

<file path=customXml/itemProps4.xml><?xml version="1.0" encoding="utf-8"?>
<ds:datastoreItem xmlns:ds="http://schemas.openxmlformats.org/officeDocument/2006/customXml" ds:itemID="{40D9EFD5-4770-4213-A6DB-15711AB0FE6D}">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ICR Final Summary Tables</vt:lpstr>
      <vt:lpstr>SLT NEI burden details</vt:lpstr>
      <vt:lpstr>Facility counts worksheet</vt:lpstr>
      <vt:lpstr>Labor Information</vt:lpstr>
      <vt:lpstr>Facility burden summary tables</vt:lpstr>
      <vt:lpstr>FR notice #s</vt:lpstr>
      <vt:lpstr>'SLT NEI burden details'!_Ref107398093</vt:lpstr>
      <vt:lpstr>'Facility burden summary tables'!_Ref107498455</vt:lpstr>
      <vt:lpstr>'Facility burden summary tables'!NoSLTSelectDirectFacilityHAP</vt:lpstr>
      <vt:lpstr>'Facility counts worksheet'!NoSLTSelectDirectFacilityHAP</vt:lpstr>
      <vt:lpstr>'ICR Final Summary Tables'!NoSLTSelectDirectFacilityHAP</vt:lpstr>
      <vt:lpstr>NoSLTSelectDirectFacilityHAP</vt:lpstr>
      <vt:lpstr>'Facility burden summary tables'!NoSLTsReporting</vt:lpstr>
      <vt:lpstr>'Facility counts worksheet'!NoSLTsReporting</vt:lpstr>
      <vt:lpstr>'ICR Final Summary Tables'!NoSLTsReporting</vt:lpstr>
      <vt:lpstr>NoSLTsReporting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2025-06-03T12:54:47Z</dcterms:created>
  <dcterms:modified xsi:type="dcterms:W3CDTF">2025-10-22T22:04:44Z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Document_x0020_Type">
    <vt:lpwstr/>
  </property>
  <property fmtid="{D5CDD505-2E9C-101B-9397-08002B2CF9AE}" pid="4" name="ContentTypeId">
    <vt:lpwstr>0x010100CEEE13D7B3E0764EBAF0ED43D1844FE5</vt:lpwstr>
  </property>
  <property fmtid="{D5CDD505-2E9C-101B-9397-08002B2CF9AE}" pid="5" name="e3f09c3df709400db2417a7161762d62">
    <vt:lpwstr/>
  </property>
  <property fmtid="{D5CDD505-2E9C-101B-9397-08002B2CF9AE}" pid="6" name="EPA Subject">
    <vt:lpwstr/>
  </property>
  <property fmtid="{D5CDD505-2E9C-101B-9397-08002B2CF9AE}" pid="7" name="EPA_x0020_Subject">
    <vt:lpwstr/>
  </property>
  <property fmtid="{D5CDD505-2E9C-101B-9397-08002B2CF9AE}" pid="8" name="Document Type">
    <vt:lpwstr/>
  </property>
</Properties>
</file>