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O:\TAD\TAD10\Paperwork Reduction Act - Information Collections (TAD-10)\(OMB 2132-0561) FIXED GUIDEWAY -CAPITAL INVESTMENT GRANTS NEW STARTS 5309\2025 Renewal\"/>
    </mc:Choice>
  </mc:AlternateContent>
  <xr:revisionPtr revIDLastSave="0" documentId="8_{CD4D47B4-5583-413D-BC67-512520B39EBD}" xr6:coauthVersionLast="47" xr6:coauthVersionMax="47" xr10:uidLastSave="{00000000-0000-0000-0000-000000000000}"/>
  <workbookProtection workbookAlgorithmName="SHA-512" workbookHashValue="TmxLog9hGVBYKcml2r+zw0eQbIrGUIx5ZQ0pwDTIs/EfHEtXWGSRyNadiHjTVl0329yuJIHWdgzGXZesDIvMLQ==" workbookSaltValue="PKHH809eL+PCef01rGPzZg==" workbookSpinCount="100000" lockStructure="1"/>
  <bookViews>
    <workbookView xWindow="-120" yWindow="-120" windowWidth="29040" windowHeight="15720" tabRatio="812" activeTab="6" xr2:uid="{00000000-000D-0000-FFFF-FFFF00000000}"/>
  </bookViews>
  <sheets>
    <sheet name="Project Description" sheetId="1" r:id="rId1"/>
    <sheet name="Travel Forecasts" sheetId="18" r:id="rId2"/>
    <sheet name="Mobility Cost Eff &amp; Cong Relief" sheetId="2" r:id="rId3"/>
    <sheet name="Land Use" sheetId="19" r:id="rId4"/>
    <sheet name="Environmental Benefits" sheetId="11" r:id="rId5"/>
    <sheet name="Finance" sheetId="6" r:id="rId6"/>
    <sheet name="Rating Estimation" sheetId="16" r:id="rId7"/>
    <sheet name="Lookups" sheetId="15" state="hidden" r:id="rId8"/>
  </sheets>
  <definedNames>
    <definedName name="doesntMeetThresholds" localSheetId="3">#REF!</definedName>
    <definedName name="doesntMeetThresholds">Lookups!$L$22</definedName>
    <definedName name="_xlnm.Print_Area" localSheetId="4">'Environmental Benefits'!$A$1:$Q$168</definedName>
    <definedName name="_xlnm.Print_Area" localSheetId="5">Finance!$A$1:$F$163</definedName>
    <definedName name="_xlnm.Print_Area" localSheetId="3">'Land Use'!$A$1:$F$290</definedName>
    <definedName name="_xlnm.Print_Area" localSheetId="7">Lookups!$A$1:$C$32</definedName>
    <definedName name="_xlnm.Print_Area" localSheetId="2">'Mobility Cost Eff &amp; Cong Relief'!$A$1:$E$27</definedName>
    <definedName name="_xlnm.Print_Area" localSheetId="0">'Project Description'!$A$1:$D$193</definedName>
    <definedName name="_xlnm.Print_Area" localSheetId="6">'Rating Estimation'!$A$1:$K$19</definedName>
    <definedName name="_xlnm.Print_Area" localSheetId="1">'Travel Forecasts'!$A$1:$N$42</definedName>
    <definedName name="warrantedMedium" localSheetId="3">#REF!</definedName>
    <definedName name="warrantedMedium">Lookups!$L$21</definedName>
    <definedName name="Z_AB5399CE_BEB7_40AA_A66C_46449E135DF8_.wvu.PrintArea" localSheetId="5" hidden="1">Finance!$A$1:$F$163</definedName>
    <definedName name="Z_AB5399CE_BEB7_40AA_A66C_46449E135DF8_.wvu.PrintArea" localSheetId="3" hidden="1">'Land Use'!$B$1:$F$290</definedName>
    <definedName name="Z_AB5399CE_BEB7_40AA_A66C_46449E135DF8_.wvu.PrintArea" localSheetId="2" hidden="1">'Mobility Cost Eff &amp; Cong Relief'!$A$1:$E$21</definedName>
    <definedName name="Z_AB5399CE_BEB7_40AA_A66C_46449E135DF8_.wvu.PrintArea" localSheetId="0" hidden="1">'Project Description'!$A$1:$D$193</definedName>
  </definedNames>
  <calcPr calcId="191028"/>
  <customWorkbookViews>
    <customWorkbookView name="benjamin.owen - Personal View" guid="{AB5399CE-BEB7-40AA-A66C-46449E135DF8}" mergeInterval="0" personalView="1" maximized="1" windowWidth="1280" windowHeight="809" tabRatio="74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6" l="1"/>
  <c r="C2" i="2" s="1"/>
  <c r="F2" i="11" l="1"/>
  <c r="C2" i="19"/>
  <c r="D2" i="18"/>
  <c r="D11" i="16" l="1"/>
  <c r="C11" i="16"/>
  <c r="D43" i="19" l="1"/>
  <c r="G50" i="19" s="1"/>
  <c r="D37" i="19"/>
  <c r="G49" i="19" s="1"/>
  <c r="D28" i="19"/>
  <c r="D16" i="19"/>
  <c r="G47" i="19" s="1"/>
  <c r="D10" i="19"/>
  <c r="G46" i="19" s="1"/>
  <c r="D6" i="19"/>
  <c r="D18" i="19"/>
  <c r="B50" i="19"/>
  <c r="B49" i="19"/>
  <c r="B48" i="19"/>
  <c r="B47" i="19"/>
  <c r="B46" i="19"/>
  <c r="D40" i="19"/>
  <c r="D42" i="19" s="1"/>
  <c r="D35" i="19"/>
  <c r="D36" i="19" s="1"/>
  <c r="D34" i="19"/>
  <c r="D26" i="19"/>
  <c r="D29" i="19" s="1"/>
  <c r="D25" i="19"/>
  <c r="D24" i="19"/>
  <c r="D21" i="19"/>
  <c r="D20" i="19"/>
  <c r="D22" i="19" s="1"/>
  <c r="D13" i="19"/>
  <c r="D15" i="19" s="1"/>
  <c r="D8" i="19"/>
  <c r="D9" i="19" s="1"/>
  <c r="D7" i="19"/>
  <c r="D30" i="19" l="1"/>
  <c r="G48" i="19" s="1"/>
  <c r="D244" i="19"/>
  <c r="D50" i="19"/>
  <c r="D46" i="19"/>
  <c r="D49" i="19"/>
  <c r="D47" i="19"/>
  <c r="D27" i="19"/>
  <c r="D12" i="19"/>
  <c r="D32" i="19"/>
  <c r="D55" i="19"/>
  <c r="D151" i="19"/>
  <c r="D78" i="19"/>
  <c r="D39" i="19"/>
  <c r="G45" i="19" l="1"/>
  <c r="D45" i="19" s="1"/>
  <c r="D48" i="19"/>
  <c r="D16" i="2" l="1"/>
  <c r="D25" i="2" l="1"/>
  <c r="C25" i="2"/>
  <c r="D17" i="2"/>
  <c r="C17" i="2"/>
  <c r="D9" i="2"/>
  <c r="C9" i="2"/>
  <c r="C8" i="2"/>
  <c r="O132" i="11"/>
  <c r="O131" i="11"/>
  <c r="O126" i="11"/>
  <c r="O125" i="11"/>
  <c r="O124" i="11"/>
  <c r="J132" i="11"/>
  <c r="J131" i="11"/>
  <c r="J126" i="11"/>
  <c r="J125" i="11"/>
  <c r="J124" i="11"/>
  <c r="E132" i="11"/>
  <c r="E131" i="11"/>
  <c r="E126" i="11"/>
  <c r="E125" i="11"/>
  <c r="O110" i="11"/>
  <c r="O111" i="11"/>
  <c r="O112" i="11"/>
  <c r="O113" i="11"/>
  <c r="O114" i="11"/>
  <c r="O115" i="11"/>
  <c r="O116" i="11"/>
  <c r="O117" i="11"/>
  <c r="O109" i="11"/>
  <c r="O108" i="11"/>
  <c r="J110" i="11"/>
  <c r="J111" i="11"/>
  <c r="J112" i="11"/>
  <c r="J113" i="11"/>
  <c r="J114" i="11"/>
  <c r="J115" i="11"/>
  <c r="J116" i="11"/>
  <c r="J117" i="11"/>
  <c r="J109" i="11"/>
  <c r="J108" i="11"/>
  <c r="E117" i="11"/>
  <c r="E116" i="11"/>
  <c r="E115" i="11"/>
  <c r="E114" i="11"/>
  <c r="E113" i="11"/>
  <c r="E112" i="11"/>
  <c r="E111" i="11"/>
  <c r="E110" i="11"/>
  <c r="E109" i="11"/>
  <c r="O93" i="11"/>
  <c r="O94" i="11"/>
  <c r="O95" i="11"/>
  <c r="O96" i="11"/>
  <c r="O97" i="11"/>
  <c r="O98" i="11"/>
  <c r="O99" i="11"/>
  <c r="O100" i="11"/>
  <c r="O92" i="11"/>
  <c r="O91" i="11"/>
  <c r="J93" i="11"/>
  <c r="J94" i="11"/>
  <c r="J95" i="11"/>
  <c r="J96" i="11"/>
  <c r="J97" i="11"/>
  <c r="J98" i="11"/>
  <c r="J99" i="11"/>
  <c r="J100" i="11"/>
  <c r="J92" i="11"/>
  <c r="J91" i="11"/>
  <c r="P100" i="11"/>
  <c r="P99" i="11"/>
  <c r="P98" i="11"/>
  <c r="P97" i="11"/>
  <c r="P96" i="11"/>
  <c r="P95" i="11"/>
  <c r="P94" i="11"/>
  <c r="P93" i="11"/>
  <c r="P92" i="11"/>
  <c r="P91" i="11"/>
  <c r="K100" i="11"/>
  <c r="K99" i="11"/>
  <c r="K98" i="11"/>
  <c r="K97" i="11"/>
  <c r="K96" i="11"/>
  <c r="K95" i="11"/>
  <c r="K94" i="11"/>
  <c r="K93" i="11"/>
  <c r="K92" i="11"/>
  <c r="K91" i="11"/>
  <c r="F100" i="11"/>
  <c r="E100" i="11"/>
  <c r="F99" i="11"/>
  <c r="E99" i="11"/>
  <c r="F98" i="11"/>
  <c r="E98" i="11"/>
  <c r="F97" i="11"/>
  <c r="E97" i="11"/>
  <c r="F96" i="11"/>
  <c r="E96" i="11"/>
  <c r="F95" i="11"/>
  <c r="E95" i="11"/>
  <c r="F94" i="11"/>
  <c r="E94" i="11"/>
  <c r="F93" i="11"/>
  <c r="E93" i="11"/>
  <c r="F92" i="11"/>
  <c r="E92" i="11"/>
  <c r="F91" i="11"/>
  <c r="O77" i="11"/>
  <c r="O78" i="11"/>
  <c r="O79" i="11"/>
  <c r="O80" i="11"/>
  <c r="O81" i="11"/>
  <c r="O82" i="11"/>
  <c r="O83" i="11"/>
  <c r="O84" i="11"/>
  <c r="O76" i="11"/>
  <c r="O75" i="11"/>
  <c r="P84" i="11"/>
  <c r="P83" i="11"/>
  <c r="P82" i="11"/>
  <c r="P81" i="11"/>
  <c r="P80" i="11"/>
  <c r="P79" i="11"/>
  <c r="P78" i="11"/>
  <c r="P77" i="11"/>
  <c r="P76" i="11"/>
  <c r="P75" i="11"/>
  <c r="J77" i="11"/>
  <c r="J78" i="11"/>
  <c r="J79" i="11"/>
  <c r="J80" i="11"/>
  <c r="J81" i="11"/>
  <c r="J82" i="11"/>
  <c r="J83" i="11"/>
  <c r="J84" i="11"/>
  <c r="J76" i="11"/>
  <c r="J75" i="11"/>
  <c r="K84" i="11"/>
  <c r="K83" i="11"/>
  <c r="K82" i="11"/>
  <c r="K81" i="11"/>
  <c r="K80" i="11"/>
  <c r="K79" i="11"/>
  <c r="K78" i="11"/>
  <c r="K77" i="11"/>
  <c r="K76" i="11"/>
  <c r="K75" i="11"/>
  <c r="F84" i="11"/>
  <c r="E84" i="11"/>
  <c r="F83" i="11"/>
  <c r="E83" i="11"/>
  <c r="F82" i="11"/>
  <c r="E82" i="11"/>
  <c r="F81" i="11"/>
  <c r="E81" i="11"/>
  <c r="F80" i="11"/>
  <c r="E80" i="11"/>
  <c r="F79" i="11"/>
  <c r="E79" i="11"/>
  <c r="F78" i="11"/>
  <c r="E78" i="11"/>
  <c r="F77" i="11"/>
  <c r="E77" i="11"/>
  <c r="F76" i="11"/>
  <c r="E76" i="11"/>
  <c r="F75" i="11"/>
  <c r="O59" i="11"/>
  <c r="O60" i="11"/>
  <c r="O61" i="11"/>
  <c r="O62" i="11"/>
  <c r="O63" i="11"/>
  <c r="O64" i="11"/>
  <c r="O65" i="11"/>
  <c r="O66" i="11"/>
  <c r="O58" i="11"/>
  <c r="O57" i="11"/>
  <c r="J59" i="11"/>
  <c r="J60" i="11"/>
  <c r="J61" i="11"/>
  <c r="J62" i="11"/>
  <c r="J63" i="11"/>
  <c r="J64" i="11"/>
  <c r="J65" i="11"/>
  <c r="J66" i="11"/>
  <c r="J58" i="11"/>
  <c r="J57" i="11"/>
  <c r="O43" i="11"/>
  <c r="O44" i="11"/>
  <c r="O45" i="11"/>
  <c r="O46" i="11"/>
  <c r="O47" i="11"/>
  <c r="O48" i="11"/>
  <c r="O49" i="11"/>
  <c r="O50" i="11"/>
  <c r="O42" i="11"/>
  <c r="O41" i="11"/>
  <c r="J43" i="11"/>
  <c r="J44" i="11"/>
  <c r="J45" i="11"/>
  <c r="J46" i="11"/>
  <c r="J47" i="11"/>
  <c r="J48" i="11"/>
  <c r="J49" i="11"/>
  <c r="J50" i="11"/>
  <c r="J42" i="11"/>
  <c r="J41" i="11"/>
  <c r="P66" i="11"/>
  <c r="P65" i="11"/>
  <c r="P64" i="11"/>
  <c r="P63" i="11"/>
  <c r="P62" i="11"/>
  <c r="P61" i="11"/>
  <c r="P60" i="11"/>
  <c r="P59" i="11"/>
  <c r="P58" i="11"/>
  <c r="P57" i="11"/>
  <c r="K66" i="11"/>
  <c r="K65" i="11"/>
  <c r="K64" i="11"/>
  <c r="K63" i="11"/>
  <c r="K62" i="11"/>
  <c r="K61" i="11"/>
  <c r="K60" i="11"/>
  <c r="K59" i="11"/>
  <c r="K58" i="11"/>
  <c r="K57" i="11"/>
  <c r="F66" i="11"/>
  <c r="E66" i="11"/>
  <c r="F65" i="11"/>
  <c r="E65" i="11"/>
  <c r="F64" i="11"/>
  <c r="E64" i="11"/>
  <c r="F63" i="11"/>
  <c r="E63" i="11"/>
  <c r="F62" i="11"/>
  <c r="E62" i="11"/>
  <c r="F61" i="11"/>
  <c r="E61" i="11"/>
  <c r="F60" i="11"/>
  <c r="E60" i="11"/>
  <c r="F59" i="11"/>
  <c r="E59" i="11"/>
  <c r="F58" i="11"/>
  <c r="E58" i="11"/>
  <c r="F57" i="11"/>
  <c r="P50" i="11"/>
  <c r="P49" i="11"/>
  <c r="P48" i="11"/>
  <c r="P47" i="11"/>
  <c r="P46" i="11"/>
  <c r="P45" i="11"/>
  <c r="P44" i="11"/>
  <c r="P43" i="11"/>
  <c r="P42" i="11"/>
  <c r="P41" i="11"/>
  <c r="K50" i="11"/>
  <c r="K49" i="11"/>
  <c r="K48" i="11"/>
  <c r="K47" i="11"/>
  <c r="K46" i="11"/>
  <c r="K45" i="11"/>
  <c r="K44" i="11"/>
  <c r="K43" i="11"/>
  <c r="K42" i="11"/>
  <c r="K41" i="11"/>
  <c r="F50" i="11"/>
  <c r="E50" i="11"/>
  <c r="F49" i="11"/>
  <c r="E49" i="11"/>
  <c r="F48" i="11"/>
  <c r="E48" i="11"/>
  <c r="F47" i="11"/>
  <c r="E47" i="11"/>
  <c r="F46" i="11"/>
  <c r="E46" i="11"/>
  <c r="F45" i="11"/>
  <c r="E45" i="11"/>
  <c r="F44" i="11"/>
  <c r="E44" i="11"/>
  <c r="F43" i="11"/>
  <c r="E43" i="11"/>
  <c r="F42" i="11"/>
  <c r="E42" i="11"/>
  <c r="F41" i="11"/>
  <c r="M158" i="11" l="1"/>
  <c r="M159" i="11"/>
  <c r="M160" i="11"/>
  <c r="M161" i="11"/>
  <c r="M162" i="11"/>
  <c r="M163" i="11"/>
  <c r="M164" i="11"/>
  <c r="M165" i="11"/>
  <c r="M157" i="11"/>
  <c r="M156" i="11"/>
  <c r="H158" i="11"/>
  <c r="H159" i="11"/>
  <c r="H160" i="11"/>
  <c r="H161" i="11"/>
  <c r="H162" i="11"/>
  <c r="H163" i="11"/>
  <c r="H164" i="11"/>
  <c r="H165" i="11"/>
  <c r="H157" i="11"/>
  <c r="H156" i="11"/>
  <c r="C158" i="11"/>
  <c r="C159" i="11"/>
  <c r="C160" i="11"/>
  <c r="C161" i="11"/>
  <c r="C162" i="11"/>
  <c r="C163" i="11"/>
  <c r="C164" i="11"/>
  <c r="C165" i="11"/>
  <c r="C157" i="11"/>
  <c r="C156" i="11"/>
  <c r="M143" i="11"/>
  <c r="M144" i="11"/>
  <c r="M145" i="11"/>
  <c r="M146" i="11"/>
  <c r="M147" i="11"/>
  <c r="M148" i="11"/>
  <c r="M149" i="11"/>
  <c r="M150" i="11"/>
  <c r="M142" i="11"/>
  <c r="M141" i="11"/>
  <c r="H143" i="11"/>
  <c r="H144" i="11"/>
  <c r="H145" i="11"/>
  <c r="H146" i="11"/>
  <c r="H147" i="11"/>
  <c r="H148" i="11"/>
  <c r="H149" i="11"/>
  <c r="H150" i="11"/>
  <c r="H142" i="11"/>
  <c r="H141" i="11"/>
  <c r="C143" i="11"/>
  <c r="C144" i="11"/>
  <c r="C145" i="11"/>
  <c r="C146" i="11"/>
  <c r="C147" i="11"/>
  <c r="C148" i="11"/>
  <c r="C149" i="11"/>
  <c r="C150" i="11"/>
  <c r="C142" i="11"/>
  <c r="C141" i="11"/>
  <c r="M132" i="11"/>
  <c r="M131" i="11"/>
  <c r="M126" i="11"/>
  <c r="M125" i="11"/>
  <c r="M124" i="11"/>
  <c r="H132" i="11"/>
  <c r="H131" i="11"/>
  <c r="H126" i="11"/>
  <c r="H125" i="11"/>
  <c r="H124" i="11"/>
  <c r="C132" i="11"/>
  <c r="C131" i="11"/>
  <c r="C126" i="11"/>
  <c r="C125" i="11"/>
  <c r="C124" i="11"/>
  <c r="E124" i="11" s="1"/>
  <c r="M110" i="11"/>
  <c r="M111" i="11"/>
  <c r="M112" i="11"/>
  <c r="M113" i="11"/>
  <c r="M114" i="11"/>
  <c r="M115" i="11"/>
  <c r="M116" i="11"/>
  <c r="M117" i="11"/>
  <c r="M109" i="11"/>
  <c r="M108" i="11"/>
  <c r="H110" i="11"/>
  <c r="H111" i="11"/>
  <c r="H112" i="11"/>
  <c r="H113" i="11"/>
  <c r="H114" i="11"/>
  <c r="H115" i="11"/>
  <c r="H116" i="11"/>
  <c r="H117" i="11"/>
  <c r="H109" i="11"/>
  <c r="H108" i="11"/>
  <c r="C110" i="11"/>
  <c r="C111" i="11"/>
  <c r="C112" i="11"/>
  <c r="C113" i="11"/>
  <c r="C114" i="11"/>
  <c r="C115" i="11"/>
  <c r="C116" i="11"/>
  <c r="C117" i="11"/>
  <c r="C109" i="11"/>
  <c r="C108" i="11"/>
  <c r="E108" i="11" s="1"/>
  <c r="M93" i="11"/>
  <c r="M94" i="11"/>
  <c r="M95" i="11"/>
  <c r="M96" i="11"/>
  <c r="M97" i="11"/>
  <c r="M98" i="11"/>
  <c r="M99" i="11"/>
  <c r="M100" i="11"/>
  <c r="M92" i="11"/>
  <c r="M91" i="11"/>
  <c r="H93" i="11"/>
  <c r="H94" i="11"/>
  <c r="H95" i="11"/>
  <c r="H96" i="11"/>
  <c r="H97" i="11"/>
  <c r="H98" i="11"/>
  <c r="H99" i="11"/>
  <c r="H100" i="11"/>
  <c r="H92" i="11"/>
  <c r="H91" i="11"/>
  <c r="C93" i="11"/>
  <c r="C94" i="11"/>
  <c r="C95" i="11"/>
  <c r="C96" i="11"/>
  <c r="C97" i="11"/>
  <c r="C98" i="11"/>
  <c r="C99" i="11"/>
  <c r="C100" i="11"/>
  <c r="C92" i="11"/>
  <c r="C91" i="11"/>
  <c r="E91" i="11" s="1"/>
  <c r="M77" i="11"/>
  <c r="M78" i="11"/>
  <c r="M79" i="11"/>
  <c r="M80" i="11"/>
  <c r="M81" i="11"/>
  <c r="M82" i="11"/>
  <c r="M83" i="11"/>
  <c r="M84" i="11"/>
  <c r="M76" i="11"/>
  <c r="M75" i="11"/>
  <c r="H77" i="11"/>
  <c r="H78" i="11"/>
  <c r="H79" i="11"/>
  <c r="H80" i="11"/>
  <c r="H81" i="11"/>
  <c r="H82" i="11"/>
  <c r="H83" i="11"/>
  <c r="H84" i="11"/>
  <c r="H76" i="11"/>
  <c r="H75" i="11"/>
  <c r="C77" i="11"/>
  <c r="C78" i="11"/>
  <c r="C79" i="11"/>
  <c r="C80" i="11"/>
  <c r="C81" i="11"/>
  <c r="C82" i="11"/>
  <c r="C83" i="11"/>
  <c r="C84" i="11"/>
  <c r="C76" i="11"/>
  <c r="C75" i="11"/>
  <c r="E75" i="11" s="1"/>
  <c r="M59" i="11"/>
  <c r="M60" i="11"/>
  <c r="M61" i="11"/>
  <c r="M62" i="11"/>
  <c r="M63" i="11"/>
  <c r="M64" i="11"/>
  <c r="M65" i="11"/>
  <c r="M66" i="11"/>
  <c r="M58" i="11"/>
  <c r="M57" i="11"/>
  <c r="H59" i="11"/>
  <c r="H60" i="11"/>
  <c r="H61" i="11"/>
  <c r="H62" i="11"/>
  <c r="H63" i="11"/>
  <c r="H64" i="11"/>
  <c r="H65" i="11"/>
  <c r="H66" i="11"/>
  <c r="H58" i="11"/>
  <c r="H57" i="11"/>
  <c r="C59" i="11"/>
  <c r="C60" i="11"/>
  <c r="C61" i="11"/>
  <c r="C62" i="11"/>
  <c r="C63" i="11"/>
  <c r="C64" i="11"/>
  <c r="C65" i="11"/>
  <c r="C66" i="11"/>
  <c r="C58" i="11"/>
  <c r="C57" i="11"/>
  <c r="E57" i="11" s="1"/>
  <c r="M43" i="11"/>
  <c r="M44" i="11"/>
  <c r="M45" i="11"/>
  <c r="M46" i="11"/>
  <c r="M47" i="11"/>
  <c r="M48" i="11"/>
  <c r="M49" i="11"/>
  <c r="M50" i="11"/>
  <c r="M42" i="11"/>
  <c r="M41" i="11"/>
  <c r="H43" i="11"/>
  <c r="H44" i="11"/>
  <c r="H45" i="11"/>
  <c r="H46" i="11"/>
  <c r="H47" i="11"/>
  <c r="H48" i="11"/>
  <c r="H49" i="11"/>
  <c r="H50" i="11"/>
  <c r="H42" i="11"/>
  <c r="H41" i="11"/>
  <c r="C43" i="11"/>
  <c r="C44" i="11"/>
  <c r="C45" i="11"/>
  <c r="C46" i="11"/>
  <c r="C47" i="11"/>
  <c r="C48" i="11"/>
  <c r="C49" i="11"/>
  <c r="C50" i="11"/>
  <c r="C42" i="11"/>
  <c r="C41" i="11"/>
  <c r="E41" i="11" s="1"/>
  <c r="H28" i="11" l="1"/>
  <c r="G10" i="18" l="1"/>
  <c r="G9" i="18"/>
  <c r="E93" i="1"/>
  <c r="A93" i="1"/>
  <c r="M40" i="18" l="1"/>
  <c r="M39" i="18"/>
  <c r="M38" i="18"/>
  <c r="M37" i="18"/>
  <c r="M36" i="18"/>
  <c r="M35" i="18"/>
  <c r="M34" i="18"/>
  <c r="M33" i="18"/>
  <c r="M32" i="18"/>
  <c r="H31" i="18"/>
  <c r="I31" i="18" s="1"/>
  <c r="E24" i="18"/>
  <c r="D24" i="18"/>
  <c r="G20" i="18"/>
  <c r="G19" i="18"/>
  <c r="G18" i="18"/>
  <c r="G17" i="18"/>
  <c r="G16" i="18"/>
  <c r="G15" i="18"/>
  <c r="G14" i="18"/>
  <c r="G13" i="18"/>
  <c r="I11" i="18"/>
  <c r="F11" i="18"/>
  <c r="G12" i="18" s="1"/>
  <c r="I9" i="18"/>
  <c r="H9" i="18"/>
  <c r="E8" i="18"/>
  <c r="D8" i="18"/>
  <c r="M29" i="18" s="1"/>
  <c r="A4" i="18"/>
  <c r="D95" i="1"/>
  <c r="N29" i="18" l="1"/>
  <c r="D8" i="2"/>
  <c r="J28" i="11"/>
  <c r="N40" i="18"/>
  <c r="J31" i="18"/>
  <c r="G22" i="18"/>
  <c r="H16" i="18"/>
  <c r="H20" i="18"/>
  <c r="H12" i="18"/>
  <c r="N37" i="18"/>
  <c r="H13" i="18"/>
  <c r="F29" i="18"/>
  <c r="K31" i="18"/>
  <c r="L31" i="18"/>
  <c r="N34" i="18"/>
  <c r="G8" i="18"/>
  <c r="G11" i="18"/>
  <c r="H14" i="18"/>
  <c r="H18" i="18"/>
  <c r="K29" i="18"/>
  <c r="D29" i="18"/>
  <c r="N33" i="18"/>
  <c r="H10" i="18"/>
  <c r="H17" i="18"/>
  <c r="I29" i="18"/>
  <c r="N38" i="18"/>
  <c r="H8" i="18"/>
  <c r="H11" i="18"/>
  <c r="N35" i="18"/>
  <c r="N39" i="18"/>
  <c r="H15" i="18"/>
  <c r="H19" i="18"/>
  <c r="N32" i="18"/>
  <c r="N36" i="18"/>
  <c r="F32" i="6"/>
  <c r="M31" i="18" l="1"/>
  <c r="G21" i="18"/>
  <c r="G23" i="18" s="1"/>
  <c r="N31" i="18"/>
  <c r="H22" i="18"/>
  <c r="H21" i="18"/>
  <c r="A122" i="6"/>
  <c r="A121" i="6"/>
  <c r="A120" i="6"/>
  <c r="A119" i="6"/>
  <c r="A118" i="6"/>
  <c r="A115" i="6"/>
  <c r="A114" i="6"/>
  <c r="A113" i="6"/>
  <c r="A112" i="6"/>
  <c r="A111" i="6"/>
  <c r="A110" i="6"/>
  <c r="A109" i="6"/>
  <c r="A108" i="6"/>
  <c r="A107" i="6"/>
  <c r="A106" i="6"/>
  <c r="A105" i="6"/>
  <c r="A104" i="6"/>
  <c r="A101" i="6"/>
  <c r="A100" i="6"/>
  <c r="A99" i="6"/>
  <c r="A98" i="6"/>
  <c r="A97" i="6"/>
  <c r="A96" i="6"/>
  <c r="A93" i="6"/>
  <c r="A92" i="6"/>
  <c r="A91" i="6"/>
  <c r="A90" i="6"/>
  <c r="A84" i="6"/>
  <c r="A83" i="6"/>
  <c r="A82" i="6"/>
  <c r="A81" i="6"/>
  <c r="A73" i="6"/>
  <c r="A74" i="6"/>
  <c r="A75" i="6"/>
  <c r="A76" i="6"/>
  <c r="A77" i="6"/>
  <c r="A67" i="6"/>
  <c r="A68" i="6"/>
  <c r="A69" i="6"/>
  <c r="A70" i="6"/>
  <c r="A71" i="6"/>
  <c r="A72" i="6"/>
  <c r="A60" i="6"/>
  <c r="A61" i="6"/>
  <c r="A62" i="6"/>
  <c r="A63" i="6"/>
  <c r="F43" i="6"/>
  <c r="F42" i="6"/>
  <c r="F41" i="6"/>
  <c r="F40" i="6"/>
  <c r="F36" i="6"/>
  <c r="F35" i="6"/>
  <c r="F34" i="6"/>
  <c r="F33" i="6"/>
  <c r="F31" i="6"/>
  <c r="F30" i="6"/>
  <c r="F29" i="6"/>
  <c r="F28" i="6"/>
  <c r="F27" i="6"/>
  <c r="F26" i="6"/>
  <c r="F19" i="6"/>
  <c r="F20" i="6"/>
  <c r="H23" i="18" l="1"/>
  <c r="J13" i="16"/>
  <c r="G2" i="16" l="1"/>
  <c r="H24" i="15" l="1"/>
  <c r="J11" i="16"/>
  <c r="J10" i="16"/>
  <c r="J9" i="16"/>
  <c r="D12" i="16"/>
  <c r="I12" i="16" l="1"/>
  <c r="A4" i="11" l="1"/>
  <c r="A4" i="2"/>
  <c r="H23" i="11" l="1"/>
  <c r="H25" i="11" s="1"/>
  <c r="A108" i="1"/>
  <c r="A107" i="1"/>
  <c r="C95" i="1"/>
  <c r="E48" i="1" l="1"/>
  <c r="I5" i="15" l="1"/>
  <c r="H15" i="15" s="1"/>
  <c r="D24" i="2" l="1"/>
  <c r="D15" i="2"/>
  <c r="H18" i="11" l="1"/>
  <c r="H20" i="11" s="1"/>
  <c r="H22" i="11" s="1"/>
  <c r="G100" i="11" l="1"/>
  <c r="G99" i="11"/>
  <c r="G98" i="11"/>
  <c r="G84" i="11"/>
  <c r="G83" i="11"/>
  <c r="G82" i="11"/>
  <c r="G66" i="11"/>
  <c r="G65" i="11"/>
  <c r="G64" i="11"/>
  <c r="A9" i="11"/>
  <c r="A10" i="11" s="1"/>
  <c r="A11" i="11" s="1"/>
  <c r="A29" i="11" s="1"/>
  <c r="A30" i="11" s="1"/>
  <c r="A31" i="11" s="1"/>
  <c r="A32" i="11" s="1"/>
  <c r="A41" i="11" s="1"/>
  <c r="A42" i="11" s="1"/>
  <c r="A43" i="11" s="1"/>
  <c r="A44" i="11" s="1"/>
  <c r="A45" i="11" s="1"/>
  <c r="A46" i="11" s="1"/>
  <c r="A47" i="11" s="1"/>
  <c r="A48" i="11" s="1"/>
  <c r="A49" i="11" s="1"/>
  <c r="A50" i="11" s="1"/>
  <c r="A51" i="11" s="1"/>
  <c r="A57" i="11" l="1"/>
  <c r="A58" i="11" s="1"/>
  <c r="A59" i="11" s="1"/>
  <c r="A60" i="11" s="1"/>
  <c r="A61" i="11" s="1"/>
  <c r="A62" i="11" s="1"/>
  <c r="A63" i="11" s="1"/>
  <c r="A64" i="11" s="1"/>
  <c r="A65" i="11" s="1"/>
  <c r="A66" i="11" s="1"/>
  <c r="A67" i="11" s="1"/>
  <c r="A75" i="11" s="1"/>
  <c r="A76" i="11" s="1"/>
  <c r="A77" i="11" s="1"/>
  <c r="A78" i="11" s="1"/>
  <c r="A79" i="11" s="1"/>
  <c r="A80" i="11" s="1"/>
  <c r="A81" i="11" s="1"/>
  <c r="A82" i="11" s="1"/>
  <c r="A83" i="11" s="1"/>
  <c r="A84" i="11" s="1"/>
  <c r="A85" i="11" s="1"/>
  <c r="A91" i="11" s="1"/>
  <c r="A92" i="11" s="1"/>
  <c r="A93" i="11" s="1"/>
  <c r="A94" i="11" s="1"/>
  <c r="A95" i="11" s="1"/>
  <c r="A96" i="11" s="1"/>
  <c r="A97" i="11" s="1"/>
  <c r="A98" i="11" s="1"/>
  <c r="A99" i="11" s="1"/>
  <c r="A100" i="11" s="1"/>
  <c r="A101" i="11" s="1"/>
  <c r="A108" i="11" s="1"/>
  <c r="A109" i="11" s="1"/>
  <c r="A110" i="11" s="1"/>
  <c r="A111" i="11" s="1"/>
  <c r="A112" i="11" s="1"/>
  <c r="A113" i="11" s="1"/>
  <c r="A114" i="11" s="1"/>
  <c r="A115" i="11" s="1"/>
  <c r="A116" i="11" s="1"/>
  <c r="A117" i="11" s="1"/>
  <c r="A118" i="11" s="1"/>
  <c r="A124" i="11" s="1"/>
  <c r="A125" i="11" s="1"/>
  <c r="A126" i="11" s="1"/>
  <c r="A127" i="11" s="1"/>
  <c r="A128" i="11" s="1"/>
  <c r="A129" i="11" s="1"/>
  <c r="A130" i="11" s="1"/>
  <c r="A131" i="11" s="1"/>
  <c r="A132" i="11" s="1"/>
  <c r="A133" i="11" s="1"/>
  <c r="A134" i="11" s="1"/>
  <c r="A141" i="11" s="1"/>
  <c r="A142" i="11" s="1"/>
  <c r="A143" i="11" s="1"/>
  <c r="A144" i="11" s="1"/>
  <c r="A145" i="11" s="1"/>
  <c r="A146" i="11" s="1"/>
  <c r="A147" i="11" s="1"/>
  <c r="A148" i="11" s="1"/>
  <c r="A149" i="11" s="1"/>
  <c r="A150" i="11" s="1"/>
  <c r="A151" i="11" s="1"/>
  <c r="A156" i="11" s="1"/>
  <c r="A157" i="11" s="1"/>
  <c r="A158" i="11" s="1"/>
  <c r="A159" i="11" s="1"/>
  <c r="A160" i="11" s="1"/>
  <c r="A161" i="11" s="1"/>
  <c r="A162" i="11" s="1"/>
  <c r="A163" i="11" s="1"/>
  <c r="A164" i="11" s="1"/>
  <c r="A165" i="11" s="1"/>
  <c r="A166" i="11" s="1"/>
  <c r="G50" i="11" l="1"/>
  <c r="G49" i="11"/>
  <c r="G48" i="11"/>
  <c r="C15" i="2" l="1"/>
  <c r="C24" i="2"/>
  <c r="G41" i="11" l="1"/>
  <c r="G42" i="11"/>
  <c r="E142" i="11"/>
  <c r="G142" i="11" s="1"/>
  <c r="G125" i="11"/>
  <c r="E157" i="11"/>
  <c r="G157" i="11" s="1"/>
  <c r="G92" i="11"/>
  <c r="G109" i="11"/>
  <c r="G76" i="11"/>
  <c r="G58" i="11"/>
  <c r="E164" i="11"/>
  <c r="G164" i="11" s="1"/>
  <c r="E149" i="11"/>
  <c r="G149" i="11" s="1"/>
  <c r="G132" i="11"/>
  <c r="G116" i="11"/>
  <c r="G47" i="11"/>
  <c r="E162" i="11"/>
  <c r="G162" i="11" s="1"/>
  <c r="E147" i="11"/>
  <c r="G147" i="11" s="1"/>
  <c r="G114" i="11"/>
  <c r="G81" i="11"/>
  <c r="G97" i="11"/>
  <c r="G63" i="11"/>
  <c r="E160" i="11"/>
  <c r="G160" i="11" s="1"/>
  <c r="E145" i="11"/>
  <c r="G145" i="11" s="1"/>
  <c r="G112" i="11"/>
  <c r="G79" i="11"/>
  <c r="G95" i="11"/>
  <c r="G61" i="11"/>
  <c r="G45" i="11"/>
  <c r="E150" i="11"/>
  <c r="G150" i="11" s="1"/>
  <c r="E165" i="11"/>
  <c r="G165" i="11" s="1"/>
  <c r="G117" i="11"/>
  <c r="E158" i="11"/>
  <c r="G158" i="11" s="1"/>
  <c r="E143" i="11"/>
  <c r="G143" i="11" s="1"/>
  <c r="G126" i="11"/>
  <c r="G110" i="11"/>
  <c r="G77" i="11"/>
  <c r="G93" i="11"/>
  <c r="G59" i="11"/>
  <c r="G43" i="11"/>
  <c r="E148" i="11"/>
  <c r="G148" i="11" s="1"/>
  <c r="G131" i="11"/>
  <c r="E163" i="11"/>
  <c r="G163" i="11" s="1"/>
  <c r="G115" i="11"/>
  <c r="E146" i="11"/>
  <c r="G146" i="11" s="1"/>
  <c r="E161" i="11"/>
  <c r="G161" i="11" s="1"/>
  <c r="G96" i="11"/>
  <c r="G113" i="11"/>
  <c r="G80" i="11"/>
  <c r="G46" i="11"/>
  <c r="G62" i="11"/>
  <c r="E144" i="11"/>
  <c r="G144" i="11" s="1"/>
  <c r="E159" i="11"/>
  <c r="G159" i="11" s="1"/>
  <c r="G94" i="11"/>
  <c r="G111" i="11"/>
  <c r="G78" i="11"/>
  <c r="G44" i="11"/>
  <c r="G60" i="11"/>
  <c r="C51" i="11" l="1"/>
  <c r="C101" i="11"/>
  <c r="E141" i="11"/>
  <c r="C151" i="11"/>
  <c r="C134" i="11"/>
  <c r="C67" i="11"/>
  <c r="G57" i="11"/>
  <c r="C85" i="11"/>
  <c r="G75" i="11"/>
  <c r="C118" i="11"/>
  <c r="C166" i="11"/>
  <c r="E156" i="11"/>
  <c r="E51" i="11"/>
  <c r="G51" i="11"/>
  <c r="E101" i="11" l="1"/>
  <c r="G91" i="11"/>
  <c r="G101" i="11" s="1"/>
  <c r="G108" i="11"/>
  <c r="G118" i="11" s="1"/>
  <c r="E118" i="11"/>
  <c r="G124" i="11"/>
  <c r="G134" i="11" s="1"/>
  <c r="E134" i="11"/>
  <c r="G156" i="11"/>
  <c r="G166" i="11" s="1"/>
  <c r="E166" i="11"/>
  <c r="G85" i="11"/>
  <c r="E85" i="11"/>
  <c r="G67" i="11"/>
  <c r="E67" i="11"/>
  <c r="G141" i="11"/>
  <c r="G151" i="11" s="1"/>
  <c r="E151" i="11"/>
  <c r="B117" i="1"/>
  <c r="B116" i="1"/>
  <c r="B115" i="1"/>
  <c r="B114" i="1"/>
  <c r="H29" i="11" l="1"/>
  <c r="H30" i="11" l="1"/>
  <c r="H31" i="11" s="1"/>
  <c r="D45" i="6" l="1"/>
  <c r="D46" i="6" s="1"/>
  <c r="F45" i="6"/>
  <c r="F39" i="6"/>
  <c r="F25" i="6"/>
  <c r="F22" i="6"/>
  <c r="F21" i="6"/>
  <c r="F18" i="6"/>
  <c r="F17" i="6"/>
  <c r="F14" i="6"/>
  <c r="F13" i="6"/>
  <c r="F12" i="6"/>
  <c r="F11" i="6"/>
  <c r="E5" i="6"/>
  <c r="G12" i="16" s="1"/>
  <c r="C98" i="1"/>
  <c r="K15" i="15" s="1"/>
  <c r="K20" i="15" s="1"/>
  <c r="C97" i="1"/>
  <c r="B151" i="6"/>
  <c r="A80" i="6"/>
  <c r="A66" i="6"/>
  <c r="A59" i="6"/>
  <c r="A58" i="6"/>
  <c r="A55" i="6"/>
  <c r="A54" i="6"/>
  <c r="A53" i="6"/>
  <c r="A52" i="6"/>
  <c r="J12" i="16" l="1"/>
  <c r="C26" i="2"/>
  <c r="C27" i="2" s="1"/>
  <c r="C9" i="16" s="1"/>
  <c r="D9" i="16" s="1"/>
  <c r="I13" i="16" l="1"/>
  <c r="C18" i="2" l="1"/>
  <c r="L94" i="11"/>
  <c r="J159" i="11"/>
  <c r="L159" i="11" s="1"/>
  <c r="L78" i="11"/>
  <c r="L60" i="11"/>
  <c r="J144" i="11"/>
  <c r="L144" i="11" s="1"/>
  <c r="L44" i="11"/>
  <c r="L111" i="11"/>
  <c r="J145" i="11"/>
  <c r="L145" i="11" s="1"/>
  <c r="L79" i="11"/>
  <c r="L112" i="11"/>
  <c r="L45" i="11"/>
  <c r="J160" i="11"/>
  <c r="L160" i="11" s="1"/>
  <c r="L61" i="11"/>
  <c r="L95" i="11"/>
  <c r="L58" i="11"/>
  <c r="J157" i="11"/>
  <c r="L157" i="11" s="1"/>
  <c r="L125" i="11"/>
  <c r="L92" i="11"/>
  <c r="J142" i="11"/>
  <c r="L142" i="11" s="1"/>
  <c r="L109" i="11"/>
  <c r="L76" i="11"/>
  <c r="L42" i="11"/>
  <c r="J30" i="11"/>
  <c r="O158" i="11"/>
  <c r="Q158" i="11" s="1"/>
  <c r="Q117" i="11"/>
  <c r="O161" i="11"/>
  <c r="Q161" i="11" s="1"/>
  <c r="Q98" i="11"/>
  <c r="O149" i="11"/>
  <c r="Q149" i="11" s="1"/>
  <c r="O162" i="11"/>
  <c r="Q162" i="11" s="1"/>
  <c r="Q44" i="11"/>
  <c r="O144" i="11"/>
  <c r="Q144" i="11" s="1"/>
  <c r="Q60" i="11"/>
  <c r="O159" i="11"/>
  <c r="Q159" i="11" s="1"/>
  <c r="Q94" i="11"/>
  <c r="Q111" i="11"/>
  <c r="Q78" i="11"/>
  <c r="Q92" i="11"/>
  <c r="Q76" i="11"/>
  <c r="Q125" i="11"/>
  <c r="Q42" i="11"/>
  <c r="Q109" i="11"/>
  <c r="O157" i="11"/>
  <c r="Q157" i="11" s="1"/>
  <c r="O142" i="11"/>
  <c r="Q142" i="11" s="1"/>
  <c r="Q58" i="11"/>
  <c r="Q112" i="11"/>
  <c r="O145" i="11"/>
  <c r="Q145" i="11" s="1"/>
  <c r="O160" i="11"/>
  <c r="Q160" i="11" s="1"/>
  <c r="Q79" i="11"/>
  <c r="Q45" i="11"/>
  <c r="Q61" i="11"/>
  <c r="Q95" i="11"/>
  <c r="Q59" i="11" l="1"/>
  <c r="Q77" i="11"/>
  <c r="Q110" i="11"/>
  <c r="Q126" i="11"/>
  <c r="Q93" i="11"/>
  <c r="Q84" i="11"/>
  <c r="Q100" i="11"/>
  <c r="Q50" i="11"/>
  <c r="Q46" i="11"/>
  <c r="Q43" i="11"/>
  <c r="Q48" i="11"/>
  <c r="O165" i="11"/>
  <c r="Q165" i="11" s="1"/>
  <c r="Q132" i="11"/>
  <c r="Q64" i="11"/>
  <c r="O148" i="11"/>
  <c r="Q148" i="11" s="1"/>
  <c r="Q82" i="11"/>
  <c r="Q81" i="11"/>
  <c r="Q97" i="11"/>
  <c r="O147" i="11"/>
  <c r="Q147" i="11" s="1"/>
  <c r="Q99" i="11"/>
  <c r="Q114" i="11"/>
  <c r="Q47" i="11"/>
  <c r="Q63" i="11"/>
  <c r="L114" i="11"/>
  <c r="L47" i="11"/>
  <c r="J162" i="11"/>
  <c r="L162" i="11" s="1"/>
  <c r="L97" i="11"/>
  <c r="L63" i="11"/>
  <c r="L81" i="11"/>
  <c r="J147" i="11"/>
  <c r="L147" i="11" s="1"/>
  <c r="Q116" i="11"/>
  <c r="L132" i="11"/>
  <c r="L65" i="11"/>
  <c r="J164" i="11"/>
  <c r="L164" i="11" s="1"/>
  <c r="L49" i="11"/>
  <c r="L83" i="11"/>
  <c r="L116" i="11"/>
  <c r="L99" i="11"/>
  <c r="J149" i="11"/>
  <c r="L149" i="11" s="1"/>
  <c r="O163" i="11"/>
  <c r="Q163" i="11" s="1"/>
  <c r="J163" i="11"/>
  <c r="L163" i="11" s="1"/>
  <c r="J148" i="11"/>
  <c r="L148" i="11" s="1"/>
  <c r="L48" i="11"/>
  <c r="L98" i="11"/>
  <c r="L131" i="11"/>
  <c r="L64" i="11"/>
  <c r="L115" i="11"/>
  <c r="L82" i="11"/>
  <c r="Q80" i="11"/>
  <c r="J161" i="11"/>
  <c r="L161" i="11" s="1"/>
  <c r="L113" i="11"/>
  <c r="L80" i="11"/>
  <c r="J146" i="11"/>
  <c r="L146" i="11" s="1"/>
  <c r="L62" i="11"/>
  <c r="L46" i="11"/>
  <c r="L96" i="11"/>
  <c r="O150" i="11"/>
  <c r="Q150" i="11" s="1"/>
  <c r="L100" i="11"/>
  <c r="L50" i="11"/>
  <c r="L117" i="11"/>
  <c r="L66" i="11"/>
  <c r="L84" i="11"/>
  <c r="J165" i="11"/>
  <c r="L165" i="11" s="1"/>
  <c r="J150" i="11"/>
  <c r="L150" i="11" s="1"/>
  <c r="O143" i="11"/>
  <c r="Q143" i="11" s="1"/>
  <c r="L126" i="11"/>
  <c r="J158" i="11"/>
  <c r="L158" i="11" s="1"/>
  <c r="L43" i="11"/>
  <c r="L77" i="11"/>
  <c r="L59" i="11"/>
  <c r="L110" i="11"/>
  <c r="L93" i="11"/>
  <c r="J143" i="11"/>
  <c r="L143" i="11" s="1"/>
  <c r="C10" i="2"/>
  <c r="C11" i="2" s="1"/>
  <c r="C7" i="16" s="1"/>
  <c r="D7" i="16" s="1"/>
  <c r="Q83" i="11"/>
  <c r="Q62" i="11"/>
  <c r="Q66" i="11"/>
  <c r="Q113" i="11"/>
  <c r="Q96" i="11"/>
  <c r="O146" i="11"/>
  <c r="Q146" i="11" s="1"/>
  <c r="O164" i="11"/>
  <c r="Q164" i="11" s="1"/>
  <c r="Q131" i="11"/>
  <c r="Q65" i="11"/>
  <c r="Q115" i="11"/>
  <c r="Q49" i="11"/>
  <c r="D18" i="2" l="1"/>
  <c r="C19" i="2" s="1"/>
  <c r="C20" i="2" s="1"/>
  <c r="C8" i="16" s="1"/>
  <c r="D8" i="16" s="1"/>
  <c r="M85" i="11" l="1"/>
  <c r="M134" i="11"/>
  <c r="M51" i="11" l="1"/>
  <c r="O85" i="11"/>
  <c r="O134" i="11"/>
  <c r="O51" i="11"/>
  <c r="Q41" i="11"/>
  <c r="Q51" i="11" s="1"/>
  <c r="H51" i="11"/>
  <c r="H101" i="11"/>
  <c r="H67" i="11"/>
  <c r="H134" i="11"/>
  <c r="H118" i="11"/>
  <c r="H166" i="11"/>
  <c r="J156" i="11"/>
  <c r="H151" i="11"/>
  <c r="J141" i="11"/>
  <c r="H85" i="11"/>
  <c r="M118" i="11"/>
  <c r="M166" i="11"/>
  <c r="O156" i="11"/>
  <c r="M151" i="11"/>
  <c r="O141" i="11"/>
  <c r="M67" i="11"/>
  <c r="M101" i="11"/>
  <c r="Q124" i="11" l="1"/>
  <c r="Q134" i="11" s="1"/>
  <c r="Q75" i="11"/>
  <c r="Q85" i="11" s="1"/>
  <c r="O101" i="11"/>
  <c r="Q91" i="11"/>
  <c r="Q101" i="11" s="1"/>
  <c r="O67" i="11"/>
  <c r="Q57" i="11"/>
  <c r="Q67" i="11" s="1"/>
  <c r="O118" i="11"/>
  <c r="Q108" i="11"/>
  <c r="Q118" i="11" s="1"/>
  <c r="O166" i="11"/>
  <c r="Q156" i="11"/>
  <c r="Q166" i="11" s="1"/>
  <c r="O151" i="11"/>
  <c r="Q141" i="11"/>
  <c r="Q151" i="11" s="1"/>
  <c r="J85" i="11"/>
  <c r="L75" i="11"/>
  <c r="L85" i="11" s="1"/>
  <c r="J134" i="11"/>
  <c r="L124" i="11"/>
  <c r="L134" i="11" s="1"/>
  <c r="J151" i="11"/>
  <c r="L141" i="11"/>
  <c r="L151" i="11" s="1"/>
  <c r="J67" i="11"/>
  <c r="L57" i="11"/>
  <c r="L67" i="11" s="1"/>
  <c r="J166" i="11"/>
  <c r="L156" i="11"/>
  <c r="L166" i="11" s="1"/>
  <c r="J101" i="11"/>
  <c r="L91" i="11"/>
  <c r="L101" i="11" s="1"/>
  <c r="J118" i="11"/>
  <c r="L108" i="11"/>
  <c r="L118" i="11" s="1"/>
  <c r="J51" i="11"/>
  <c r="L41" i="11"/>
  <c r="L51" i="11" s="1"/>
  <c r="J29" i="11" l="1"/>
  <c r="J31" i="11" s="1"/>
  <c r="H32" i="11" s="1"/>
  <c r="H33" i="11" s="1"/>
  <c r="C10" i="16" s="1"/>
  <c r="D10" i="16" l="1"/>
  <c r="D13" i="16" s="1"/>
  <c r="D15" i="16" s="1"/>
  <c r="G15" i="16" s="1"/>
  <c r="C13"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daye</author>
    <author>benjamin.owen</author>
    <author>Eddy, Susan (FTA)</author>
  </authors>
  <commentList>
    <comment ref="B2" authorId="0" shapeId="0" xr:uid="{00000000-0006-0000-0000-000001000000}">
      <text>
        <r>
          <rPr>
            <sz val="10"/>
            <color indexed="81"/>
            <rFont val="Arial"/>
            <family val="2"/>
          </rPr>
          <t xml:space="preserve">Enter your official name for the project as you would like it reflected in the Annual Report on Funding Recommendations </t>
        </r>
      </text>
    </comment>
    <comment ref="C50" authorId="1" shapeId="0" xr:uid="{00000000-0006-0000-0000-000002000000}">
      <text>
        <r>
          <rPr>
            <sz val="10"/>
            <color indexed="81"/>
            <rFont val="Arial"/>
            <family val="2"/>
          </rPr>
          <t>Count paired inbound/outbound boarding platforms as one station (do not report the total number of boarding platforms)</t>
        </r>
      </text>
    </comment>
    <comment ref="B51" authorId="2" shapeId="0" xr:uid="{266BD0DA-8CC4-41CE-96B3-73B661222EAB}">
      <text>
        <r>
          <rPr>
            <sz val="10"/>
            <color indexed="81"/>
            <rFont val="Arial"/>
            <family val="2"/>
          </rPr>
          <t>Include park and ride spaces that are part of this project. Do not include existing park and ride spaces.</t>
        </r>
      </text>
    </comment>
    <comment ref="C54" authorId="0" shapeId="0" xr:uid="{00000000-0006-0000-0000-000003000000}">
      <text>
        <r>
          <rPr>
            <sz val="10"/>
            <color indexed="81"/>
            <rFont val="Arial"/>
            <family val="2"/>
          </rPr>
          <t>Insert additional rows if necessary</t>
        </r>
      </text>
    </comment>
    <comment ref="C74" authorId="0" shapeId="0" xr:uid="{00000000-0006-0000-0000-000004000000}">
      <text>
        <r>
          <rPr>
            <sz val="10"/>
            <color indexed="81"/>
            <rFont val="Arial"/>
            <family val="2"/>
          </rPr>
          <t>Insert additional rows if necessary</t>
        </r>
      </text>
    </comment>
    <comment ref="A95" authorId="1" shapeId="0" xr:uid="{00000000-0006-0000-0000-000005000000}">
      <text>
        <r>
          <rPr>
            <sz val="10"/>
            <color indexed="81"/>
            <rFont val="Arial"/>
            <family val="2"/>
          </rPr>
          <t>The "current year" is the most recent year for which data on demographics and the existing transit system are available.</t>
        </r>
      </text>
    </comment>
    <comment ref="C97" authorId="0" shapeId="0" xr:uid="{00000000-0006-0000-0000-000006000000}">
      <text>
        <r>
          <rPr>
            <sz val="10"/>
            <color indexed="81"/>
            <rFont val="Arial"/>
            <family val="2"/>
          </rPr>
          <t>Value linked from Finance Template</t>
        </r>
      </text>
    </comment>
    <comment ref="C98" authorId="0" shapeId="0" xr:uid="{00000000-0006-0000-0000-000007000000}">
      <text>
        <r>
          <rPr>
            <sz val="10"/>
            <color indexed="81"/>
            <rFont val="Arial"/>
            <family val="2"/>
          </rPr>
          <t>Value linked from Finance Template</t>
        </r>
      </text>
    </comment>
    <comment ref="B104" authorId="2" shapeId="0" xr:uid="{3E98744D-3051-48A9-9805-C7FAB58FD23E}">
      <text>
        <r>
          <rPr>
            <sz val="10"/>
            <color indexed="81"/>
            <rFont val="Arial"/>
            <family val="2"/>
          </rPr>
          <t>Example: 6:00 am to 9:00 pm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benjamin.owen</author>
    <author>daye</author>
  </authors>
  <commentList>
    <comment ref="B76" authorId="0" shapeId="0" xr:uid="{D6B1C947-0E20-4866-9A00-072E539237BF}">
      <text>
        <r>
          <rPr>
            <sz val="10"/>
            <color indexed="81"/>
            <rFont val="Arial"/>
            <family val="2"/>
          </rPr>
          <t>Add additional counties as necessary.  Please update formulas in Lines 10 and 11 if additional counties are added.</t>
        </r>
      </text>
    </comment>
    <comment ref="B285" authorId="1" shapeId="0" xr:uid="{3C24AAB3-0CD4-44BF-8A10-30242DB7F9BA}">
      <text>
        <r>
          <rPr>
            <sz val="10"/>
            <color indexed="81"/>
            <rFont val="Arial"/>
            <family val="2"/>
          </rPr>
          <t>Add additional station areas as necessary.  Please update formulas on Lines, 1, 2, 4, 7, 8, 17, 18, and 20 if additional station areas are added.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elizabeth.day</author>
  </authors>
  <commentList>
    <comment ref="H25" authorId="0" shapeId="0" xr:uid="{00000000-0006-0000-0400-000001000000}">
      <text>
        <r>
          <rPr>
            <sz val="9"/>
            <color indexed="81"/>
            <rFont val="Tahoma"/>
            <family val="2"/>
          </rPr>
          <t xml:space="preserve">Becomes input to tables below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daye</author>
    <author>Benjamin.Owen</author>
  </authors>
  <commentList>
    <comment ref="B4" authorId="0" shapeId="0" xr:uid="{00000000-0006-0000-0500-000001000000}">
      <text>
        <r>
          <rPr>
            <sz val="10"/>
            <color indexed="81"/>
            <rFont val="Arial"/>
            <family val="2"/>
          </rPr>
          <t>Please enter entire numbers in the cells in this worksheet.  Do not abbreviate or round.  For example, enter $1,000,105 rather than $1.0 or $1,000,000.  Otherwise calculations will not work correctly.</t>
        </r>
      </text>
    </comment>
    <comment ref="B141" authorId="1" shapeId="0" xr:uid="{00000000-0006-0000-0500-000002000000}">
      <text>
        <r>
          <rPr>
            <sz val="9"/>
            <color indexed="81"/>
            <rFont val="Tahoma"/>
            <family val="2"/>
          </rPr>
          <t>For both the project and the transit system, provide the costs for the first full year of service (even if this period extends into the next fiscal or calendar year).</t>
        </r>
      </text>
    </comment>
  </commentList>
</comments>
</file>

<file path=xl/sharedStrings.xml><?xml version="1.0" encoding="utf-8"?>
<sst xmlns="http://schemas.openxmlformats.org/spreadsheetml/2006/main" count="1513" uniqueCount="516">
  <si>
    <t>PROJECT NAME:</t>
  </si>
  <si>
    <t>Participating Agencies</t>
  </si>
  <si>
    <t>Lead Agency</t>
  </si>
  <si>
    <t>Name</t>
  </si>
  <si>
    <t>Contact Person</t>
  </si>
  <si>
    <t>Address</t>
  </si>
  <si>
    <t>Telephone Number</t>
  </si>
  <si>
    <t>Fax Number</t>
  </si>
  <si>
    <t>Email</t>
  </si>
  <si>
    <t>Metropolitan Planning Organization</t>
  </si>
  <si>
    <t>Transit Agency</t>
  </si>
  <si>
    <t>State Department of Transportation</t>
  </si>
  <si>
    <t>Other Relevant Agencies</t>
  </si>
  <si>
    <t>SMALL STARTS PROJECT DESCRIPTION TEMPLATE (Page 2)</t>
  </si>
  <si>
    <t>Project Definition</t>
  </si>
  <si>
    <t>Length (miles)</t>
  </si>
  <si>
    <t>Mode/Technology</t>
  </si>
  <si>
    <t>Number of Stations</t>
  </si>
  <si>
    <t>List each station separately, including the number of park and ride spaces at each and whether structured or surface parking</t>
  </si>
  <si>
    <t>List each station with major transfer facilities to other modes</t>
  </si>
  <si>
    <t>Number of vehicles/rolling stock</t>
  </si>
  <si>
    <t>Type of Alignment by Segment (Number of Miles)</t>
  </si>
  <si>
    <t>Above grade</t>
  </si>
  <si>
    <t>Below grade</t>
  </si>
  <si>
    <t>At grade</t>
  </si>
  <si>
    <t>Exclusive</t>
  </si>
  <si>
    <t>Mixed Traffic</t>
  </si>
  <si>
    <t>Status of Existing Right of Way</t>
  </si>
  <si>
    <t>Ownership – who owns the right of way?</t>
  </si>
  <si>
    <t>Current Use: active freight or passenger service?</t>
  </si>
  <si>
    <t>SMALL STARTS PROJECT DESCRIPTION TEMPLATE (Page 3)</t>
  </si>
  <si>
    <t>Seeking Use of Project Justification Warrants?</t>
  </si>
  <si>
    <t>(Select…)</t>
  </si>
  <si>
    <t>Project Planning Dates</t>
  </si>
  <si>
    <t>Current Year</t>
  </si>
  <si>
    <t>Opening Year</t>
  </si>
  <si>
    <t>Capital Cost Estimate</t>
  </si>
  <si>
    <t>Year of Expenditure</t>
  </si>
  <si>
    <t>Levels of Service</t>
  </si>
  <si>
    <t>Headways</t>
  </si>
  <si>
    <t>Horizon Year</t>
  </si>
  <si>
    <t>Weekday Peak</t>
  </si>
  <si>
    <t>Weekday Off-peak</t>
  </si>
  <si>
    <t>Weekday Evening</t>
  </si>
  <si>
    <t>Weekend</t>
  </si>
  <si>
    <t>Hours of Service</t>
  </si>
  <si>
    <t>Weekday</t>
  </si>
  <si>
    <t>(Select...)</t>
  </si>
  <si>
    <t>Estimated Number of U.S. Jobs Related to Design, Construction, Operation and Maintenance of the Project</t>
  </si>
  <si>
    <t>Project Planning and Development Schedule</t>
  </si>
  <si>
    <t>Project Schedule</t>
  </si>
  <si>
    <t>Insert anticipated or actual date</t>
  </si>
  <si>
    <t>Anticipated NEPA Class of Action</t>
  </si>
  <si>
    <t>Entry into Project Development</t>
  </si>
  <si>
    <t>LPA selected</t>
  </si>
  <si>
    <t>LPA included in the financially constrained long range plan</t>
  </si>
  <si>
    <t>Anticipated SSGA/Construction Grant Award</t>
  </si>
  <si>
    <t>Construction Duration (enter start and end dates)</t>
  </si>
  <si>
    <t>Initiation of Revenue Service</t>
  </si>
  <si>
    <t>Project Management</t>
  </si>
  <si>
    <t>Project Manager</t>
  </si>
  <si>
    <t>Phone</t>
  </si>
  <si>
    <t>Fax</t>
  </si>
  <si>
    <t>Agency CEO</t>
  </si>
  <si>
    <t>Key Agency Staff:                  Overall Small Starts Criteria</t>
  </si>
  <si>
    <t>[1] Please provide a narrative summarizing fare policy assumptions used for all regional transit services.  Include this summary as an attachment.</t>
  </si>
  <si>
    <t>SMALL STARTS PROJECT DESCRIPTION TEMPLATE (Page 4)</t>
  </si>
  <si>
    <t>Key Agency Staff: 
Ridership Forecasts</t>
  </si>
  <si>
    <t xml:space="preserve">Key Agency Staff: </t>
  </si>
  <si>
    <t>Cost Estimates</t>
  </si>
  <si>
    <t>Key Agency Staff:</t>
  </si>
  <si>
    <t>Environmental</t>
  </si>
  <si>
    <t>Documentation</t>
  </si>
  <si>
    <t>Land Use Assessment</t>
  </si>
  <si>
    <t>Financial Assessment</t>
  </si>
  <si>
    <t>Project Maps</t>
  </si>
  <si>
    <t>Contractors</t>
  </si>
  <si>
    <t>Current Prime Contractor</t>
  </si>
  <si>
    <t>Prime Contractor: Project Manager</t>
  </si>
  <si>
    <t>Contractor Responsible for Travel Forecasts</t>
  </si>
  <si>
    <t>Contractor Responsible for Capital Cost Estimates</t>
  </si>
  <si>
    <t>SMALL STARTS TRAVEL FORECASTS TEMPLATE</t>
  </si>
  <si>
    <t>Trips on the Project</t>
  </si>
  <si>
    <t>Line</t>
  </si>
  <si>
    <t>Transit market</t>
  </si>
  <si>
    <t>Trips made by:</t>
  </si>
  <si>
    <t>Daily linked trips</t>
  </si>
  <si>
    <t>Annuali-zation factor</t>
  </si>
  <si>
    <r>
      <t xml:space="preserve">Annual linked trips
</t>
    </r>
    <r>
      <rPr>
        <sz val="10"/>
        <color theme="1"/>
        <rFont val="Arial"/>
        <family val="2"/>
      </rPr>
      <t>(daily trips * annualization factor)</t>
    </r>
  </si>
  <si>
    <t>Brief description of the process used to develop travel forecasts (e.g., local model, FTA simplified national model, incremental data-driven method, direct demand model)</t>
  </si>
  <si>
    <t>1a</t>
  </si>
  <si>
    <t>Modeled trips: home-based work (HBW)</t>
  </si>
  <si>
    <t>Non-transit dependents</t>
  </si>
  <si>
    <t>1b</t>
  </si>
  <si>
    <t>Transit dependents</t>
  </si>
  <si>
    <t>2a</t>
  </si>
  <si>
    <t>Modeled trips: all other trip purposes</t>
  </si>
  <si>
    <t>2b</t>
  </si>
  <si>
    <t>3a</t>
  </si>
  <si>
    <t>Special market 1 (specify)</t>
  </si>
  <si>
    <t>3b</t>
  </si>
  <si>
    <t>4a</t>
  </si>
  <si>
    <t>Special market 2 (specify)</t>
  </si>
  <si>
    <t>4b</t>
  </si>
  <si>
    <t>5a</t>
  </si>
  <si>
    <t>Special market 3 (specify)</t>
  </si>
  <si>
    <t>5b</t>
  </si>
  <si>
    <t>6a</t>
  </si>
  <si>
    <t>Special market 4 (specify)</t>
  </si>
  <si>
    <t>6b</t>
  </si>
  <si>
    <t>7a</t>
  </si>
  <si>
    <t>Subtotal (lines 1 through 6)</t>
  </si>
  <si>
    <t>---</t>
  </si>
  <si>
    <t>7b</t>
  </si>
  <si>
    <t>8a</t>
  </si>
  <si>
    <t>Total annual linked trips with special markets (lines 7a through 7b)</t>
  </si>
  <si>
    <t>8b</t>
  </si>
  <si>
    <t>Total daily linked trips without special markets (lines 1a through 2b)</t>
  </si>
  <si>
    <t>New transit trips</t>
  </si>
  <si>
    <t>Vehicle-Miles of Travel (VMT)</t>
  </si>
  <si>
    <t>Mode / Technology</t>
  </si>
  <si>
    <t>Daily VMT</t>
  </si>
  <si>
    <r>
      <t xml:space="preserve">Annual VMT
</t>
    </r>
    <r>
      <rPr>
        <sz val="10"/>
        <color theme="1"/>
        <rFont val="Arial"/>
        <family val="2"/>
      </rPr>
      <t>(for automobile, calculation is daily VMT * annualization factor;
for transit, source is service plans for each mode/technology)</t>
    </r>
  </si>
  <si>
    <r>
      <t xml:space="preserve">VMT change
</t>
    </r>
    <r>
      <rPr>
        <sz val="10"/>
        <color theme="1"/>
        <rFont val="Arial"/>
        <family val="2"/>
      </rPr>
      <t>(Build minus No-build VMT)</t>
    </r>
  </si>
  <si>
    <t>No-build</t>
  </si>
  <si>
    <t>Build</t>
  </si>
  <si>
    <t>Automobile</t>
  </si>
  <si>
    <t>Diesel bus</t>
  </si>
  <si>
    <t>Hybrid bus</t>
  </si>
  <si>
    <t>CNG bus</t>
  </si>
  <si>
    <t>Electric bus</t>
  </si>
  <si>
    <t>Heavy rail [1]</t>
  </si>
  <si>
    <t>Light rail / streetcar [1]</t>
  </si>
  <si>
    <t>Commuter rail (new diesel locomotive or DMU) [1]</t>
  </si>
  <si>
    <t>Commuter rail (used diesel locomotive) [1]</t>
  </si>
  <si>
    <t>Commuter rail (electric or EMU) [1]</t>
  </si>
  <si>
    <t>[1] For rail transit modes, report VMT in terms of total rail passenger car mileage, not train mileage.  (As an illustration of the difference, the rail passenger car mileage for a commuter rail or heavy rail train with six passenger cars would be six times the train mileage.)</t>
  </si>
  <si>
    <t>SMALL STARTS MOBILITY, COST-EFFECTIVENESS, AND CONGESTION RELIEF TEMPLATE</t>
  </si>
  <si>
    <t>Mobility Improvements</t>
  </si>
  <si>
    <t>Item</t>
  </si>
  <si>
    <t>Values</t>
  </si>
  <si>
    <t>Source/Calculation</t>
  </si>
  <si>
    <t>Value used in rating</t>
  </si>
  <si>
    <t>If a 10- or 20-year horizon is used: 50 percent * Line 1 current year value + 50 percent * Line 1 horizon year value
If no horizon year is used: Line 1 current year value</t>
  </si>
  <si>
    <t>Cost Effectiveness</t>
  </si>
  <si>
    <t>Source: SCC Build Annualized worksheet</t>
  </si>
  <si>
    <t>Annual linked trips on the project</t>
  </si>
  <si>
    <t>Annualized Federal share of the project per annual linked trip on the project</t>
  </si>
  <si>
    <t>Line 6 / Line 5</t>
  </si>
  <si>
    <t>If a 10- or 20-year horizon is used: 50 percent * Line 7 current year value + 50 percent * Line 7 horizon year value
If no horizon year is used: Line 7 current year value</t>
  </si>
  <si>
    <t>Congestion Relief</t>
  </si>
  <si>
    <t>New Weekday Linked Transit Trips</t>
  </si>
  <si>
    <t>Housing Units - All Types</t>
  </si>
  <si>
    <t>Housing Units - Legally Binding Affordability Restricted</t>
  </si>
  <si>
    <t>Population</t>
  </si>
  <si>
    <t>Employment at New Project Stations</t>
  </si>
  <si>
    <t>Land Area (square miles)</t>
  </si>
  <si>
    <t>Proportion in All Station Areas</t>
  </si>
  <si>
    <t>Proportion in All Counties in which Project Stations are Located</t>
  </si>
  <si>
    <t>County Name:</t>
  </si>
  <si>
    <t>County 2</t>
  </si>
  <si>
    <t>County 3</t>
  </si>
  <si>
    <t>County 4</t>
  </si>
  <si>
    <t>County 5</t>
  </si>
  <si>
    <t>Station Name:</t>
  </si>
  <si>
    <t>Employment</t>
  </si>
  <si>
    <t xml:space="preserve">Land Area (square miles) </t>
  </si>
  <si>
    <t>Station Area 2</t>
  </si>
  <si>
    <t>Station Area 3</t>
  </si>
  <si>
    <t>Station Area 4</t>
  </si>
  <si>
    <t>Station Area 5</t>
  </si>
  <si>
    <t>Station Area 6</t>
  </si>
  <si>
    <t>Station Area 7</t>
  </si>
  <si>
    <t>Station Area 8</t>
  </si>
  <si>
    <t>Station Area 9</t>
  </si>
  <si>
    <t>Station Area 10</t>
  </si>
  <si>
    <t>Station Area 11</t>
  </si>
  <si>
    <t>Station Area 12</t>
  </si>
  <si>
    <t>Station Area 13</t>
  </si>
  <si>
    <t>Station Area 14</t>
  </si>
  <si>
    <t>Station Area 15</t>
  </si>
  <si>
    <t>Station Area 16</t>
  </si>
  <si>
    <t>Station Area 17</t>
  </si>
  <si>
    <t>Station Area 18</t>
  </si>
  <si>
    <t>Station Area 19</t>
  </si>
  <si>
    <t>Station Area 20</t>
  </si>
  <si>
    <t>[4] Countywide housing unit totals are available from the U.S. Census Bureau's American Community Survey website (http://www.census.gov/acs/).</t>
  </si>
  <si>
    <t>SMALL STARTS ENVIRONMENTAL BENEFITS TEMPLATE</t>
  </si>
  <si>
    <t>Attainment Status</t>
  </si>
  <si>
    <t>Regional air quality attainment status, carbon monoxide (CO)</t>
  </si>
  <si>
    <t>Source: EPA Green Book</t>
  </si>
  <si>
    <r>
      <t>Regional air quality attainment status, nitrogen dioxide (NO</t>
    </r>
    <r>
      <rPr>
        <b/>
        <vertAlign val="subscript"/>
        <sz val="11"/>
        <rFont val="Arial"/>
        <family val="2"/>
        <scheme val="minor"/>
      </rPr>
      <t>2</t>
    </r>
    <r>
      <rPr>
        <b/>
        <sz val="11"/>
        <rFont val="Arial"/>
        <family val="2"/>
        <scheme val="minor"/>
      </rPr>
      <t>)</t>
    </r>
  </si>
  <si>
    <r>
      <t>Regional air quality attainment status, ozone (O</t>
    </r>
    <r>
      <rPr>
        <b/>
        <vertAlign val="subscript"/>
        <sz val="11"/>
        <rFont val="Arial"/>
        <family val="2"/>
        <scheme val="minor"/>
      </rPr>
      <t>3</t>
    </r>
    <r>
      <rPr>
        <b/>
        <sz val="11"/>
        <rFont val="Arial"/>
        <family val="2"/>
        <scheme val="minor"/>
      </rPr>
      <t>) (2008 8-hour standard)</t>
    </r>
  </si>
  <si>
    <r>
      <t>Regional air quality attainment status, particulate matter (PM</t>
    </r>
    <r>
      <rPr>
        <b/>
        <vertAlign val="subscript"/>
        <sz val="11"/>
        <rFont val="Arial"/>
        <family val="2"/>
        <scheme val="minor"/>
      </rPr>
      <t>2.5</t>
    </r>
    <r>
      <rPr>
        <b/>
        <sz val="11"/>
        <rFont val="Arial"/>
        <family val="2"/>
        <scheme val="minor"/>
      </rPr>
      <t>) (2006 standard)</t>
    </r>
  </si>
  <si>
    <t>ADDITIONAL ENVIRONMENTAL BENEFITS INPUTS REQUIRED FOR WARRANTED SMALL STARTS PROJECTS ONLY</t>
  </si>
  <si>
    <t>A</t>
  </si>
  <si>
    <t>Existing Annual Transit Ridership in the Corridor Today</t>
  </si>
  <si>
    <t>Input by project sponsor</t>
  </si>
  <si>
    <t>B</t>
  </si>
  <si>
    <t>Percentage Change in Corridor Annual Transit Vehicle Hours That Would Result from Implementation of the Proposed Project</t>
  </si>
  <si>
    <t>C</t>
  </si>
  <si>
    <t>Elasticity Factor</t>
  </si>
  <si>
    <t>TCRP Report 95, Traveler Response to Transportation System Changes: Transit Scheduling and Frequency (2004)</t>
  </si>
  <si>
    <t>D</t>
  </si>
  <si>
    <t>Estimated Increase in Annual Project Ridership</t>
  </si>
  <si>
    <t>Line A * Line B * Line C</t>
  </si>
  <si>
    <t>E</t>
  </si>
  <si>
    <t>Average share of transit users that previously drove</t>
  </si>
  <si>
    <t>Factor based on data from past projects in the CIG program</t>
  </si>
  <si>
    <t>F</t>
  </si>
  <si>
    <t>Estimated new transit ridership coming from autos</t>
  </si>
  <si>
    <t>Line D * Line E</t>
  </si>
  <si>
    <t>G</t>
  </si>
  <si>
    <t>Average auto occupany factor</t>
  </si>
  <si>
    <t xml:space="preserve">Nation-wide average for work trips from the 2009 National Household Travel Survey </t>
  </si>
  <si>
    <t>H</t>
  </si>
  <si>
    <t>Estimated decrease (increase) in auto trips</t>
  </si>
  <si>
    <t>Line F / Line G</t>
  </si>
  <si>
    <t>I</t>
  </si>
  <si>
    <t>Project Length</t>
  </si>
  <si>
    <t>From Project Description Template</t>
  </si>
  <si>
    <t>J</t>
  </si>
  <si>
    <t>Average trip length factor</t>
  </si>
  <si>
    <t>K</t>
  </si>
  <si>
    <t>Estimated decrease (increase) in Annual Auto Vehicle Miles Travelled</t>
  </si>
  <si>
    <t>Line H * Line I * Line J</t>
  </si>
  <si>
    <t>Summary Results</t>
  </si>
  <si>
    <t>Value of environmental benefits</t>
  </si>
  <si>
    <t>Sum of lines 19, 30, 41, 52, 63, 74, 85 and 96 for current and applicable (if any) horizon year</t>
  </si>
  <si>
    <t>Annualized Federal share of project</t>
  </si>
  <si>
    <t>Mobility and Cost Effectiveness Template, Line 3</t>
  </si>
  <si>
    <t>Ratio of environmental benefits to annualized Federal share of project</t>
  </si>
  <si>
    <t>Line 5 / Line 6</t>
  </si>
  <si>
    <t>If a 10- or 20-year horizon is being used: 50 percent * Line 7 current year value + 50 percent * Line 7 horizon year value
If no horizon year is being used: Line 7 current year value</t>
  </si>
  <si>
    <t>SMALL STARTS ENVIRONMENTAL BENEFITS TEMPLATE (page 2)</t>
  </si>
  <si>
    <t>VALUE OF BENEFITS BY FACTOR</t>
  </si>
  <si>
    <t>Air Quality: Carbon Monoxide (CO)</t>
  </si>
  <si>
    <t>Mode</t>
  </si>
  <si>
    <t>Horizon - 10 Years</t>
  </si>
  <si>
    <t>Horizon - 20 Years</t>
  </si>
  <si>
    <t>VMT Decrease
(Increase)</t>
  </si>
  <si>
    <t>Conversion Factor: Emissions (kg) / VMT</t>
  </si>
  <si>
    <t>Emissions Decrease (Increase)
(kg)</t>
  </si>
  <si>
    <t>Monetization Factor ($ / kg)</t>
  </si>
  <si>
    <t>Value of Improvement [1]</t>
  </si>
  <si>
    <t>Diesel Bus</t>
  </si>
  <si>
    <t>Hybrid Bus</t>
  </si>
  <si>
    <t>CNG Bus</t>
  </si>
  <si>
    <t>Electric Bus</t>
  </si>
  <si>
    <t>Heavy Rail</t>
  </si>
  <si>
    <t>Light Rail / Streetcar</t>
  </si>
  <si>
    <t>Commuter Rail - New diesel locomotive or DMU</t>
  </si>
  <si>
    <t>Commuter Rail - Used diesel locomotive</t>
  </si>
  <si>
    <t>Commuter Rail - Electric or EMU</t>
  </si>
  <si>
    <t>TOTAL CHANGE</t>
  </si>
  <si>
    <r>
      <t>Air Quality: Mono-Nitrogen Oxides (NO</t>
    </r>
    <r>
      <rPr>
        <b/>
        <vertAlign val="subscript"/>
        <sz val="12"/>
        <rFont val="Arial"/>
        <family val="2"/>
      </rPr>
      <t>x</t>
    </r>
    <r>
      <rPr>
        <b/>
        <sz val="12"/>
        <rFont val="Arial"/>
        <family val="2"/>
      </rPr>
      <t>)</t>
    </r>
  </si>
  <si>
    <t>SMALL STARTS ENVIRONMENTAL BENEFITS TEMPLATE (page 3)</t>
  </si>
  <si>
    <t>Air Quality: Volatile Organic Compounds (VOCs)</t>
  </si>
  <si>
    <r>
      <t>Air Quality: Particulate Matter (PM</t>
    </r>
    <r>
      <rPr>
        <b/>
        <vertAlign val="subscript"/>
        <sz val="12"/>
        <rFont val="Arial"/>
        <family val="2"/>
      </rPr>
      <t>2.5</t>
    </r>
    <r>
      <rPr>
        <b/>
        <sz val="12"/>
        <rFont val="Arial"/>
        <family val="2"/>
      </rPr>
      <t>)</t>
    </r>
  </si>
  <si>
    <t>SMALL STARTS ENVIRONMENTAL BENEFITS TEMPLATE (page 4)</t>
  </si>
  <si>
    <r>
      <t>Greenhouse Gases (Carbon Dioxide Equivalent [CO</t>
    </r>
    <r>
      <rPr>
        <b/>
        <vertAlign val="subscript"/>
        <sz val="12"/>
        <rFont val="Arial"/>
        <family val="2"/>
      </rPr>
      <t>2</t>
    </r>
    <r>
      <rPr>
        <b/>
        <sz val="12"/>
        <rFont val="Arial"/>
        <family val="2"/>
      </rPr>
      <t>e])</t>
    </r>
  </si>
  <si>
    <t>Conversion Factor: Emissions (ton) / VMT</t>
  </si>
  <si>
    <t>Emissions Decrease (Increase)
(tons)</t>
  </si>
  <si>
    <t>Monetization Factor
($ / ton)</t>
  </si>
  <si>
    <t>Energy Use (British Thermal Units [Btu])</t>
  </si>
  <si>
    <t>Conversion Factor: Energy Use (million Btu) / VMT</t>
  </si>
  <si>
    <t>Energy Use Decrease (Increase)
(million Btu)</t>
  </si>
  <si>
    <t>Monetization Factor
($ / million Btu)</t>
  </si>
  <si>
    <t>SMALL STARTS ENVIRONMENTAL BENEFITS TEMPLATE (page 5)</t>
  </si>
  <si>
    <t>Safety: Fatalities</t>
  </si>
  <si>
    <t>Conversion Factor: Fatalities / VMT</t>
  </si>
  <si>
    <t>Fatality Decrease (Increase)</t>
  </si>
  <si>
    <t>Monetization Factor
($ / fatality)</t>
  </si>
  <si>
    <t>Safety: Injuries</t>
  </si>
  <si>
    <t>Conversion Factor: Injuries / VMT</t>
  </si>
  <si>
    <t>Injury Decrease (Increase)</t>
  </si>
  <si>
    <t>Monetization Factor
($ / injury)</t>
  </si>
  <si>
    <t>[1] Value will be positive for decreases and negative for increases.</t>
  </si>
  <si>
    <t>SMALL STARTS FINANCE TEMPLATE</t>
  </si>
  <si>
    <r>
      <t xml:space="preserve">Total Capital Cost of Project in YOE dollars
(including finance charges, costs of Project Development and construction): </t>
    </r>
    <r>
      <rPr>
        <sz val="10"/>
        <rFont val="Arial"/>
        <family val="2"/>
      </rPr>
      <t>(from SCC Main Worksheet)</t>
    </r>
  </si>
  <si>
    <t>CIG Funding Anticipated (YOE $):</t>
  </si>
  <si>
    <t>FTA CIG Share of Project Cost:</t>
  </si>
  <si>
    <t>Estimated Cost of Project Development (YOE $):</t>
  </si>
  <si>
    <r>
      <t xml:space="preserve">Total Finance Charges Included in Capital Cost (include finance charges that are expected prior to either the revenue operations date or the fulfillment of the CIG funding commitment, whichever is later in time): </t>
    </r>
    <r>
      <rPr>
        <sz val="10"/>
        <rFont val="Arial"/>
        <family val="2"/>
      </rPr>
      <t>(from SCC Main Worksheet)</t>
    </r>
  </si>
  <si>
    <t>Other Federal Capital Funding Sources</t>
  </si>
  <si>
    <t>Type of Funds</t>
  </si>
  <si>
    <t>Dollar Amount
(YOE)</t>
  </si>
  <si>
    <t>% of Total Capital Cost</t>
  </si>
  <si>
    <t xml:space="preserve">(Non-CIG Funds such as FTA Section 5307, Surface Transportation Program (STP), Congestion Mitigation and Air Quality (CMAQ), etc.) </t>
  </si>
  <si>
    <t>1. (Example: CMAQ)</t>
  </si>
  <si>
    <t>2.</t>
  </si>
  <si>
    <t>3.</t>
  </si>
  <si>
    <t>4.</t>
  </si>
  <si>
    <t xml:space="preserve">State Capital Funding Sources </t>
  </si>
  <si>
    <t>(Funds provided by state agencies or legislatures such as bonds, dedicated sales tax, annual legislative appropriation, transportation trust funds, etc.)</t>
  </si>
  <si>
    <t>1. (Example: State Transportation Fund)</t>
  </si>
  <si>
    <t>5.</t>
  </si>
  <si>
    <t>6</t>
  </si>
  <si>
    <t>Local Capital Funding Sources</t>
  </si>
  <si>
    <t>(Municipal, City, County, Township, or Regional funding such as bonds, sales tax, legislative appropriation, transportation trust funds, etc.)</t>
  </si>
  <si>
    <t>1.</t>
  </si>
  <si>
    <t>6.</t>
  </si>
  <si>
    <t>7.</t>
  </si>
  <si>
    <t>8.</t>
  </si>
  <si>
    <t>9.</t>
  </si>
  <si>
    <t>10.</t>
  </si>
  <si>
    <t>11.</t>
  </si>
  <si>
    <t>12.</t>
  </si>
  <si>
    <t xml:space="preserve">Private Sector/In-kind match/Other </t>
  </si>
  <si>
    <t>(Donations of right-of-way, construction of stations or parking, or funding for the project from a non-governmental entity, business, or business assoc.)</t>
  </si>
  <si>
    <t>TOTAL NON-CIG FUNDING (YOE dollars)</t>
  </si>
  <si>
    <r>
      <t xml:space="preserve">QA/QC CHECK: TOTAL CAPITAL COSTS LESS CIG FUNDING LESS NON-CIG FUNDING </t>
    </r>
    <r>
      <rPr>
        <b/>
        <sz val="8"/>
        <rFont val="Arial"/>
        <family val="2"/>
      </rPr>
      <t>(SHOULD EQUAL $0)</t>
    </r>
  </si>
  <si>
    <t>SMALL STARTS FINANCE TEMPLATE (Section 2)</t>
  </si>
  <si>
    <t>Small Starts Project Financial Commitment</t>
  </si>
  <si>
    <t xml:space="preserve">Other Federal Sources </t>
  </si>
  <si>
    <t>Are the funds obligated in an existing grant?</t>
  </si>
  <si>
    <t>Are the funds programmed in the current TIP/STIP?</t>
  </si>
  <si>
    <t>If funds are beyond the current TIP/STIP period, are they programmed to the project via MPO Board resolution or other official action?</t>
  </si>
  <si>
    <t>For discretionary or competitive grant funds, has the selection been announced or funds allocated?</t>
  </si>
  <si>
    <t>(Linked from Section 1)</t>
  </si>
  <si>
    <t xml:space="preserve">State Sources </t>
  </si>
  <si>
    <t>Are the funds authorized by existing state law?</t>
  </si>
  <si>
    <t>Do the funds require annual/biennial appropriation by state legislature?</t>
  </si>
  <si>
    <t>Do the funds require approval via competitive or discretionary state grant process?</t>
  </si>
  <si>
    <t>Are the funds allocated by formula?</t>
  </si>
  <si>
    <t>(Select….)</t>
  </si>
  <si>
    <t>Local Sources</t>
  </si>
  <si>
    <t>Are the funds authorized by existing state/local law?</t>
  </si>
  <si>
    <t>Are the funds approved for the project in a Board-approved Capital Improvement Program, budget, or resolution?</t>
  </si>
  <si>
    <t>Are the funds committed to the project by a signed, final and completed third-party agreement?</t>
  </si>
  <si>
    <t>Are the funds contingent on a voter referendum?</t>
  </si>
  <si>
    <t>Private Sector/In-kind Match/Other</t>
  </si>
  <si>
    <t>Are the funds committed to the project by a signed, final, and completed third-party agreement?</t>
  </si>
  <si>
    <t>If in-kind contribution, has the value been approved by FTA per requirements of FTA Circular 5010?</t>
  </si>
  <si>
    <t>SMALL STARTS FINANCE TEMPLATE (Section 3)</t>
  </si>
  <si>
    <t>Name of entity with ultimate programming authority for source of funds</t>
  </si>
  <si>
    <t>Describe all remaining actions needed to make the funds available to the project</t>
  </si>
  <si>
    <t>Identify and Describe Supporting Documentation Submitted to Verify Commitment Status of Funding Source</t>
  </si>
  <si>
    <t>(Linked from section 1)</t>
  </si>
  <si>
    <t>(Example: Relevant pages from TIP/STIP)</t>
  </si>
  <si>
    <t>(Example: Relevant pages of authorizing legislation with applicable sections identified, official allocation notice from State agency)</t>
  </si>
  <si>
    <t>(Example: Relevant pages from Board-approved CIP; official Board resolution; final, complete third-party agreement with relevant sections/clauses identified)</t>
  </si>
  <si>
    <t xml:space="preserve">Name of entity with ultimate programming authority for source of funds </t>
  </si>
  <si>
    <t xml:space="preserve">Identify and Describe Supporting Documentation Submitted to Verify Commitment Status of Funding Source </t>
  </si>
  <si>
    <t>(Example: Final, complete third-party agreement with relevant sections/clauses identified)</t>
  </si>
  <si>
    <t>Reference Notes:  The following categories and definitions are applied to funding sources:</t>
  </si>
  <si>
    <r>
      <t>Committed:</t>
    </r>
    <r>
      <rPr>
        <sz val="10"/>
        <rFont val="Arial"/>
        <family val="2"/>
      </rPr>
      <t xml:space="preserve"> Committed sources are programmed capital funds that </t>
    </r>
    <r>
      <rPr>
        <b/>
        <u/>
        <sz val="10"/>
        <rFont val="Arial"/>
        <family val="2"/>
      </rPr>
      <t>have all the necessary approvals</t>
    </r>
    <r>
      <rPr>
        <sz val="10"/>
        <rFont val="Arial"/>
        <family val="2"/>
      </rPr>
      <t xml:space="preserve"> to be used to fund the proposed project </t>
    </r>
    <r>
      <rPr>
        <b/>
        <u/>
        <sz val="10"/>
        <rFont val="Arial"/>
        <family val="2"/>
      </rPr>
      <t>without any additional action</t>
    </r>
    <r>
      <rPr>
        <sz val="10"/>
        <rFont val="Arial"/>
        <family val="2"/>
      </rPr>
      <t>.  These funds have all legislative and/or voter approvals needed, and been formally programmed in the MPO’s TIP and/or any related local, regional, or state documents such as an approved annual budget or multi-year CIP.  Examples include dedicated or approved tax revenues, state capital grants that have been approved by all required legislative bodies, cash reserves that have been dedicated to the proposed project, and debt capacity that requires no further approvals and has been dedicated to the proposed project.</t>
    </r>
  </si>
  <si>
    <r>
      <t>Budgeted:</t>
    </r>
    <r>
      <rPr>
        <sz val="10"/>
        <rFont val="Arial"/>
        <family val="2"/>
      </rPr>
      <t xml:space="preserve"> This category is for funds that have been budgeted and/or programmed for use on the proposed project but are not yet fully committed, i.e., the funds have not yet received statutory approval.  Examples include debt financing in an agency-adopted CIP that has yet to receive final legislative approval, or state capital grants that have been included in the state budget, but are still awaiting final legislative appropriations.  These funds are almost certain to be committed in the near future.  Funds will be classified as budgeted where available funding cannot be committed until the construction grant agreement is executed, or due to local practices outside of the project sponsor’s control (e.g., the project development schedule extends beyond the TIP or CIP period).</t>
    </r>
  </si>
  <si>
    <r>
      <t>Planned:</t>
    </r>
    <r>
      <rPr>
        <sz val="10"/>
        <rFont val="Arial"/>
        <family val="2"/>
      </rPr>
      <t xml:space="preserve"> This category is for funds that are identified and have a reasonable chance of being committed, but are neither committed nor budgeted.  Examples include proposed sources that require a scheduled referendum, reasonable requests for state/local capital grants that are not yet approved, and proposed debt financing that has not yet been fully approved.</t>
    </r>
  </si>
  <si>
    <r>
      <rPr>
        <b/>
        <sz val="10"/>
        <rFont val="Arial"/>
        <family val="2"/>
      </rPr>
      <t>Uncertain:</t>
    </r>
    <r>
      <rPr>
        <sz val="10"/>
        <rFont val="Arial"/>
        <family val="2"/>
      </rPr>
      <t xml:space="preserve"> This category is applied when it is unclear from the agency’s submission whether or not a funding source is committed, budgeted, or unavailable.  Instances where the plan to secure committed funds is deemed to be unreasonable may be classified as uncertain.  This category applies to funding sources that the project sponsor may describe as committed or budgeted but for which no supporting documentation is provided to FTA.  Also, funding proposals that have repeatedly failed (more than once), such as failed local referendums or repeated denial of state grants, will be classified as uncertain.</t>
    </r>
  </si>
  <si>
    <r>
      <t xml:space="preserve">Unspecified: </t>
    </r>
    <r>
      <rPr>
        <sz val="10"/>
        <rFont val="Arial"/>
        <family val="2"/>
      </rPr>
      <t xml:space="preserve"> This category is applied when the proposed non-CIG funding sources are not sufficient or have not been clearly identified.</t>
    </r>
  </si>
  <si>
    <t>SMALL STARTS FINANCE TEMPLATE (Section 4)</t>
  </si>
  <si>
    <t>Innovative Financing Methods</t>
  </si>
  <si>
    <t>(Unconventional funding/financing arrangements such as USDOT credit instruments (RRIF/TIFIA loans, PABs), State Infrastructure Banks, Public/Private partnerships, Toll Credits, Joint Development revenues, etc.)</t>
  </si>
  <si>
    <t xml:space="preserve">Innovative Funding Source </t>
  </si>
  <si>
    <t>Anticipated Funding Amount ($)</t>
  </si>
  <si>
    <t>Name of entity with final approving authority</t>
  </si>
  <si>
    <t>Describe all actions needed to make the funds available to the project</t>
  </si>
  <si>
    <t>Identify and Describe Supporting Documentation Submitted</t>
  </si>
  <si>
    <t>Summary Information from the Operating Finance Plan</t>
  </si>
  <si>
    <t>Small Starts Project Annual Operating Cost in the Opening Year (YOE$):</t>
  </si>
  <si>
    <t>Total Transit System (including Small Starts Project) Annual Operating Cost in the Opening Year (YOE$)</t>
  </si>
  <si>
    <r>
      <t xml:space="preserve">Proposed Sources of Operating Funds </t>
    </r>
    <r>
      <rPr>
        <sz val="10"/>
        <rFont val="Arial"/>
        <family val="2"/>
      </rPr>
      <t>(Proposed sources of operating funds that are anticipated to support operating expenses of the transit system including the Small Starts project in the opening year.)</t>
    </r>
  </si>
  <si>
    <t>Dollar Amount ($)</t>
  </si>
  <si>
    <t>Type of Funding Source</t>
  </si>
  <si>
    <t>Committed, Budgeted or Planned</t>
  </si>
  <si>
    <t>Specify Whether New or Existing Funding Source</t>
  </si>
  <si>
    <t>Farebox Revenues</t>
  </si>
  <si>
    <t>(Example: State Revenue Source A)</t>
  </si>
  <si>
    <t>(Example: State Revenue Source B)</t>
  </si>
  <si>
    <t>(Example: State Revenue Source C)</t>
  </si>
  <si>
    <t>(Example: Local Revenue Source A)</t>
  </si>
  <si>
    <t>(Example: Local Revenue Source B)</t>
  </si>
  <si>
    <t>(Example: Local Revenue Source C)</t>
  </si>
  <si>
    <t>(Example: Private/Value Capture Funding Source)</t>
  </si>
  <si>
    <t>Total</t>
  </si>
  <si>
    <t>Transit System Operating Characteristics</t>
  </si>
  <si>
    <t xml:space="preserve">Current Systemwide Characteristics </t>
  </si>
  <si>
    <t xml:space="preserve"> Number/Value</t>
  </si>
  <si>
    <r>
      <t xml:space="preserve">Future Transit System with Small Starts Project </t>
    </r>
    <r>
      <rPr>
        <sz val="10"/>
        <rFont val="Arial"/>
        <family val="2"/>
      </rPr>
      <t>(Systemwide characteristics at completion of the Small Starts Project)</t>
    </r>
  </si>
  <si>
    <t>Number/Value</t>
  </si>
  <si>
    <t>(Can be the same data as reported to the FTA for the National Transit Database)</t>
  </si>
  <si>
    <t>Farebox Recovery Percent</t>
  </si>
  <si>
    <t>Number of Buses</t>
  </si>
  <si>
    <t xml:space="preserve">Number of Rail Vehicles </t>
  </si>
  <si>
    <t>Number of Rail Vehicles</t>
  </si>
  <si>
    <t>Average Fare</t>
  </si>
  <si>
    <t>Average Age of Buses</t>
  </si>
  <si>
    <t>Average Age of Rail Vehicles</t>
  </si>
  <si>
    <t>Revenue Miles of Service Provided</t>
  </si>
  <si>
    <t xml:space="preserve">Revenue Miles of Service </t>
  </si>
  <si>
    <t>Revenue Hours of Service Provided</t>
  </si>
  <si>
    <t xml:space="preserve">Revenue Hours of Service </t>
  </si>
  <si>
    <t>Rating Lookup Tables</t>
  </si>
  <si>
    <t>Description</t>
  </si>
  <si>
    <t>Low-end of Range</t>
  </si>
  <si>
    <t>Score</t>
  </si>
  <si>
    <t>Warrant Validation</t>
  </si>
  <si>
    <t>Cost Effectiveness (Cost per Trip) - New Starts: Numeric Rating</t>
  </si>
  <si>
    <t>N/A</t>
  </si>
  <si>
    <t>HIGH</t>
  </si>
  <si>
    <t>Requesting warrant?</t>
  </si>
  <si>
    <t>MEDIUM-HIGH</t>
  </si>
  <si>
    <t>MEDIUM</t>
  </si>
  <si>
    <t>Ridership bands</t>
  </si>
  <si>
    <t>Cost bands</t>
  </si>
  <si>
    <t>MEDIUM-LOW</t>
  </si>
  <si>
    <t>LOW</t>
  </si>
  <si>
    <t>Cost Effectiveness (Cost per Trip) - Small Starts: Numeric Rating</t>
  </si>
  <si>
    <t>This project:</t>
  </si>
  <si>
    <t>Standard Five-point Scale</t>
  </si>
  <si>
    <t>NOT RATED</t>
  </si>
  <si>
    <t>Otherwise, number of cost band cannot exceed number of ridership band</t>
  </si>
  <si>
    <t>Does project qualify for warrants?</t>
  </si>
  <si>
    <t>If project is warranted, rating appears as</t>
  </si>
  <si>
    <t>MEDIUM (Warranted)</t>
  </si>
  <si>
    <t>If project does not meet thresholds, rating appears as</t>
  </si>
  <si>
    <t>Project does not meet thresholds for warrants</t>
  </si>
  <si>
    <t>Mobility: Weighted Estimated Annual Trips</t>
  </si>
  <si>
    <t>List of possible ratings for rating estimation tab</t>
  </si>
  <si>
    <t>-</t>
  </si>
  <si>
    <t>Environmental Benefits</t>
  </si>
  <si>
    <t>List of streamlined assessment options for rating estimation tab</t>
  </si>
  <si>
    <t>YES</t>
  </si>
  <si>
    <t>NO</t>
  </si>
  <si>
    <t>SMALL STARTS RATING ESTIMATION</t>
  </si>
  <si>
    <t>Use this tool to calculate your Small Starts project's potential overall rating.  Enter a value from the drop down menu in each of the yellow cells based on the ratings you anticipate. *</t>
  </si>
  <si>
    <t>Project Justification</t>
  </si>
  <si>
    <t>Local Financial Commitment</t>
  </si>
  <si>
    <t>Criterion</t>
  </si>
  <si>
    <t>Weight</t>
  </si>
  <si>
    <t>Estimated Rating</t>
  </si>
  <si>
    <t>numeric</t>
  </si>
  <si>
    <t>Mobility, Cost-Effectiveness, and Congestion Relief Template</t>
  </si>
  <si>
    <t>Current Financial Condition</t>
  </si>
  <si>
    <t>Environmental Benefits Template</t>
  </si>
  <si>
    <t>Commitment of Capital and Operating Funds</t>
  </si>
  <si>
    <t>Land Use</t>
  </si>
  <si>
    <t>Reasonableness of Financial Plan</t>
  </si>
  <si>
    <t>Economic Development</t>
  </si>
  <si>
    <t>Finance Template</t>
  </si>
  <si>
    <t>Summary Rating</t>
  </si>
  <si>
    <t>Ratings are assigned to each criterion on a five-point scale, with Low = 1, Medium-Low = 2, Medium = 3, Medium-High = 4, and High = 5.  Individual criterion ratings are then weighted 16.66% each to develop the summary Project Justification rating.</t>
  </si>
  <si>
    <t>Ratings are assigned to each subfactor on a five-point scale, with Low = 1, Medium-Low = 2, Medium = 3, Medium-High = 4, and High = 5.  Individual subfactor ratings are then weighted as shown to develop the summary Local Financial Commitment rating.  If the summary rating is at least Medium and the Small Starts share is less than 50%, the summary rating is increased one level.  If the project qualifies for the simplified financial evaluation, the rating is High if the Small Starts share is 50% or less; otherwise it is Medium.</t>
  </si>
  <si>
    <r>
      <t xml:space="preserve">Estimated Overall Project Rating:
</t>
    </r>
    <r>
      <rPr>
        <b/>
        <sz val="11"/>
        <rFont val="Arial"/>
        <family val="2"/>
      </rPr>
      <t>(The Project Justification and Local Financial Commitment summary ratings are each weighted equally at 50%.  However, both must be at least Medium to obtain a Medium or better overall rating.)</t>
    </r>
  </si>
  <si>
    <t>Link to CIG Program Guidance on the FTA Website</t>
  </si>
  <si>
    <t>SMALL STARTS PROJECT DESCRIPTION TEMPLATE</t>
  </si>
  <si>
    <t>2025 constant dollars</t>
  </si>
  <si>
    <t>Annualized Federal share of project capital cost (constant 2025 dollars)</t>
  </si>
  <si>
    <r>
      <t xml:space="preserve">Total Capital Cost of Project in Constant 2025 Dollars
</t>
    </r>
    <r>
      <rPr>
        <sz val="10"/>
        <rFont val="Arial"/>
        <family val="2"/>
      </rPr>
      <t>(from the SCC Main Worksheet)</t>
    </r>
  </si>
  <si>
    <t>Annual linked trips on the project with five times weight for trips by transit-dependent persons</t>
  </si>
  <si>
    <t>Travel Forecasts Template, Line 9</t>
  </si>
  <si>
    <t>Travel Forecasts Template, Line 8a</t>
  </si>
  <si>
    <t>Travel Forecasts Template, Line 7a + 5 * Line 7b</t>
  </si>
  <si>
    <t>Do you anticipate that your project will qualify for the simplified financial assessment? (See the Local Financial Commitment section of the Small Starts portion of the CIG Policy Guidance for the qualifying criteria.)</t>
  </si>
  <si>
    <t>* FTA is providing this tool solely to help project sponsors understand how their projects may rate.  Any anticipated ratings entered into this spreadsheet will not inform the ratings that FTA assigns, and any ratings computed in the templates are subject to verification by FTA.  FTA has sole responsibility for assigning project ratings according to the evaluation and rating framework described in the Capital Investment Grants Policy Guidance.</t>
  </si>
  <si>
    <t>Enter your estimations of these ratings.  See the Local Financial Commitment section in the Small Starts chapter of the CIG Policy Guidance for information on how FTA rates these factors.</t>
  </si>
  <si>
    <t>Average Existing Population Density (persons per square mile) Across All Station Areas</t>
  </si>
  <si>
    <t>Sum of Current Year Population in all Station Areas</t>
  </si>
  <si>
    <t>Sum of Land Area in all Station Areas</t>
  </si>
  <si>
    <t>Value Used in Criterion Rating</t>
  </si>
  <si>
    <t>Line 1 / Line 2</t>
  </si>
  <si>
    <t>Total Existing Employment Served by the Project</t>
  </si>
  <si>
    <t>Sum of Current Year Employment in all Station Areas</t>
  </si>
  <si>
    <r>
      <t>Employment at Existing Stations Along the Line</t>
    </r>
    <r>
      <rPr>
        <sz val="10"/>
        <color rgb="FFFF0000"/>
        <rFont val="Arial"/>
        <family val="2"/>
      </rPr>
      <t xml:space="preserve"> [see footnote 1]</t>
    </r>
  </si>
  <si>
    <t>Line 4 + Line 5</t>
  </si>
  <si>
    <t>Legally Binding Affordability Restricted (LBAR) Housing Unit Ratio</t>
  </si>
  <si>
    <t>Total LBAR Housing Units in All Station Areas</t>
  </si>
  <si>
    <t>Sum of Current Year Housing Units - All Types in all Station Areas</t>
  </si>
  <si>
    <t>Sum of Current Year Housing Units - LBAR in all Station Areas</t>
  </si>
  <si>
    <t>Line 8 / Line 7</t>
  </si>
  <si>
    <t>Total LBAR Housing Units in All Counties in which Project Stations are Located</t>
  </si>
  <si>
    <t>Sum of Current Year Housing Units - All Types in all Counties</t>
  </si>
  <si>
    <t>Sum of Current Year Housing Units - LBAR in all Counties</t>
  </si>
  <si>
    <t>Line 11 / Line 10</t>
  </si>
  <si>
    <t>Line 9 / Line 12</t>
  </si>
  <si>
    <t>Initial Measure Rating</t>
  </si>
  <si>
    <t>Corresponding rating for value in Line 13</t>
  </si>
  <si>
    <t>LBAR Housing Unit Boost to Initial Measure Rating</t>
  </si>
  <si>
    <t>If Line 12 is greater than 5.0 percent, then increase Line 14 one rating level for use in criterion rating.</t>
  </si>
  <si>
    <t>Community Risk</t>
  </si>
  <si>
    <r>
      <t xml:space="preserve">Year of Community Resilience Estimates (CRE) Dataset </t>
    </r>
    <r>
      <rPr>
        <sz val="10"/>
        <color rgb="FFFF0000"/>
        <rFont val="Arial"/>
        <family val="2"/>
      </rPr>
      <t>[see footnote 2]</t>
    </r>
  </si>
  <si>
    <t>High-Risk CRE Population</t>
  </si>
  <si>
    <t>Sum of Current Year High-Risk CRE Population in all Station Areas</t>
  </si>
  <si>
    <t>CRE Population</t>
  </si>
  <si>
    <t>Line 17 / Line 18</t>
  </si>
  <si>
    <t>Essential Services</t>
  </si>
  <si>
    <t>Number of essential services (one-mile radius)</t>
  </si>
  <si>
    <t>Sum of Current Year Number of Essential Services in all Station Areas</t>
  </si>
  <si>
    <r>
      <t xml:space="preserve">Number of stations </t>
    </r>
    <r>
      <rPr>
        <sz val="10"/>
        <color rgb="FFFF0000"/>
        <rFont val="Arial"/>
        <family val="2"/>
      </rPr>
      <t>[see footnote 3]</t>
    </r>
  </si>
  <si>
    <t>Line 20 / Line 21</t>
  </si>
  <si>
    <t>Land Use Criterion Rating</t>
  </si>
  <si>
    <t>Average of the five land use measure ratings.</t>
  </si>
  <si>
    <t>NEW STARTS LAND USE TEMPLATE (QUANTITATIVE DATA) page 2</t>
  </si>
  <si>
    <t>Housing Units for Each County in which Project Stations are Located</t>
  </si>
  <si>
    <r>
      <t xml:space="preserve">County 1  </t>
    </r>
    <r>
      <rPr>
        <b/>
        <sz val="10"/>
        <color rgb="FFFF0000"/>
        <rFont val="Arial"/>
        <family val="2"/>
      </rPr>
      <t>[see footnote 4]</t>
    </r>
  </si>
  <si>
    <t>Population, Employment, Housing Units, Community Risk, and Essential Services for Each Station Area that is Part of the Proposed Project</t>
  </si>
  <si>
    <r>
      <t xml:space="preserve">Station Area 1 </t>
    </r>
    <r>
      <rPr>
        <b/>
        <sz val="10"/>
        <color rgb="FFFF0000"/>
        <rFont val="Arial"/>
        <family val="2"/>
      </rPr>
      <t>[see footnote 5]</t>
    </r>
  </si>
  <si>
    <t xml:space="preserve">Essential Services </t>
  </si>
  <si>
    <t>NEW STARTS LAND USE TEMPLATE (QUANTITATIVE DATA) page 3</t>
  </si>
  <si>
    <t>NEW STARTS LAND USE TEMPLATE (QUANTITATIVE DATA) page 4</t>
  </si>
  <si>
    <t>[1] This information should be entered only for projects that are extensions to existing lines. Provide the total employment served within a half-mile radius of the existing stations along the entire line on which a no-transfer ride from the proposed project’s stations can be reached. Do not include employment within a half-mile radius of the new stations.</t>
  </si>
  <si>
    <t>[2] High-Risk CRE Population and CRE Population can be calculated using the latest CRE dataset available at the U.S. Census Bureau's CRE website (https://www.census.gov/programs-surveys/community-resilience-estimates/data/datasets.html). Input the year of the CRE dataset used for these calculations.</t>
  </si>
  <si>
    <t>[3] Input the total number of station areas evaluated for land use rating, i.e., break up any station area groupings.</t>
  </si>
  <si>
    <t>[5] Reporting of data by individual station area is required. See Appendices D-F of the Reporting Instructions for a sample methodology for estimating station area population, employment, housing units, community risk, and essential services.</t>
  </si>
  <si>
    <t>SMALL STARTS LAND USE TEMPLATE</t>
  </si>
  <si>
    <t>SMALL STARTS LAND USE MEASURES AND CRITERION RATING RESULTS</t>
  </si>
  <si>
    <t>Land Use - Average Population Density</t>
  </si>
  <si>
    <t>Land Use - Total Employment Served by a One-Seat Ride</t>
  </si>
  <si>
    <t>Land Use - Proportion of Legally Binding Affordability Restricted Housing in Station Areas to Counties</t>
  </si>
  <si>
    <t>Land Use - Community Risk</t>
  </si>
  <si>
    <t>Land Use - Average Essential Services</t>
  </si>
  <si>
    <t>Score with Boost</t>
  </si>
  <si>
    <t>Land Use Template</t>
  </si>
  <si>
    <t>Enter your estimations of these ratings.  See FTA's Guidelines for Economic Development Effects for New Starts and Small Starts Projects on how FTA determines the ratings for these criteria.</t>
  </si>
  <si>
    <t>Can't be warranted if ridership or cost is in band 0 (ridership &lt; 2100, cost &gt; 400m)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</si>
</sst>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0.0"/>
    <numFmt numFmtId="165" formatCode="_(&quot;$&quot;* #,##0_);_(&quot;$&quot;* \(#,##0\);_(&quot;$&quot;* &quot;-&quot;??_);_(@_)"/>
    <numFmt numFmtId="166" formatCode="#,##0.0"/>
    <numFmt numFmtId="167" formatCode="&quot;$&quot;#,##0"/>
    <numFmt numFmtId="168" formatCode="0.0%"/>
    <numFmt numFmtId="169" formatCode="&quot;$&quot;#,##0.00"/>
    <numFmt numFmtId="170" formatCode="#,##0.00000_);[Red]\(#,##0.00000\)"/>
    <numFmt numFmtId="171" formatCode="#,##0.00000_);\(#,##0.00000\)"/>
    <numFmt numFmtId="172" formatCode="0.000000"/>
    <numFmt numFmtId="173" formatCode="0.00000"/>
    <numFmt numFmtId="174" formatCode="0.000000000"/>
    <numFmt numFmtId="175" formatCode="[$-409]mmm\-yy;@"/>
    <numFmt numFmtId="176" formatCode="0.000"/>
  </numFmts>
  <fonts count="59" x14ac:knownFonts="1">
    <font>
      <sz val="11"/>
      <color theme="1"/>
      <name val="Arial"/>
      <family val="2"/>
      <scheme val="minor"/>
    </font>
    <font>
      <sz val="11"/>
      <color theme="1"/>
      <name val="Arial"/>
      <family val="2"/>
      <scheme val="minor"/>
    </font>
    <font>
      <sz val="11"/>
      <color theme="1"/>
      <name val="Arial"/>
      <family val="2"/>
      <scheme val="minor"/>
    </font>
    <font>
      <sz val="8"/>
      <name val="Arial"/>
      <family val="2"/>
    </font>
    <font>
      <sz val="8"/>
      <name val="Arial"/>
      <family val="2"/>
    </font>
    <font>
      <b/>
      <sz val="12"/>
      <name val="Arial"/>
      <family val="2"/>
    </font>
    <font>
      <sz val="12"/>
      <name val="Arial"/>
      <family val="2"/>
    </font>
    <font>
      <b/>
      <sz val="14"/>
      <name val="Arial"/>
      <family val="2"/>
    </font>
    <font>
      <b/>
      <sz val="18"/>
      <name val="Arial"/>
      <family val="2"/>
    </font>
    <font>
      <sz val="10"/>
      <name val="Arial"/>
      <family val="2"/>
    </font>
    <font>
      <b/>
      <sz val="10"/>
      <name val="Arial"/>
      <family val="2"/>
    </font>
    <font>
      <sz val="10"/>
      <name val="Arial"/>
      <family val="2"/>
    </font>
    <font>
      <b/>
      <i/>
      <sz val="10"/>
      <name val="Arial"/>
      <family val="2"/>
    </font>
    <font>
      <b/>
      <u/>
      <sz val="10"/>
      <name val="Arial"/>
      <family val="2"/>
    </font>
    <font>
      <sz val="10"/>
      <color indexed="81"/>
      <name val="Arial"/>
      <family val="2"/>
    </font>
    <font>
      <b/>
      <sz val="15"/>
      <color theme="3"/>
      <name val="Arial"/>
      <family val="2"/>
      <scheme val="minor"/>
    </font>
    <font>
      <b/>
      <sz val="13"/>
      <color theme="3"/>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b/>
      <sz val="11"/>
      <color theme="1"/>
      <name val="Arial"/>
      <family val="2"/>
      <scheme val="minor"/>
    </font>
    <font>
      <sz val="11"/>
      <color theme="0"/>
      <name val="Arial"/>
      <family val="2"/>
      <scheme val="minor"/>
    </font>
    <font>
      <sz val="10"/>
      <color theme="1"/>
      <name val="Arial"/>
      <family val="2"/>
    </font>
    <font>
      <u/>
      <sz val="8"/>
      <color theme="10"/>
      <name val="Arial"/>
      <family val="2"/>
    </font>
    <font>
      <b/>
      <sz val="10"/>
      <name val="Arial"/>
      <family val="2"/>
      <scheme val="minor"/>
    </font>
    <font>
      <sz val="10"/>
      <name val="Arial"/>
      <family val="2"/>
      <scheme val="minor"/>
    </font>
    <font>
      <b/>
      <sz val="10"/>
      <color theme="1"/>
      <name val="Arial"/>
      <family val="2"/>
    </font>
    <font>
      <b/>
      <sz val="12"/>
      <color theme="1"/>
      <name val="Arial"/>
      <family val="2"/>
    </font>
    <font>
      <b/>
      <sz val="12"/>
      <name val="Arial"/>
      <family val="2"/>
      <scheme val="minor"/>
    </font>
    <font>
      <b/>
      <vertAlign val="subscript"/>
      <sz val="12"/>
      <name val="Arial"/>
      <family val="2"/>
    </font>
    <font>
      <b/>
      <sz val="11"/>
      <name val="Arial"/>
      <family val="2"/>
      <scheme val="minor"/>
    </font>
    <font>
      <sz val="11"/>
      <name val="Arial"/>
      <family val="2"/>
      <scheme val="minor"/>
    </font>
    <font>
      <b/>
      <u/>
      <sz val="11"/>
      <color theme="10"/>
      <name val="Arial"/>
      <family val="2"/>
      <scheme val="minor"/>
    </font>
    <font>
      <b/>
      <vertAlign val="subscript"/>
      <sz val="11"/>
      <name val="Arial"/>
      <family val="2"/>
      <scheme val="minor"/>
    </font>
    <font>
      <b/>
      <sz val="12"/>
      <color theme="0"/>
      <name val="Arial"/>
      <family val="2"/>
    </font>
    <font>
      <sz val="9"/>
      <color indexed="81"/>
      <name val="Tahoma"/>
      <family val="2"/>
    </font>
    <font>
      <b/>
      <sz val="8"/>
      <color rgb="FFFF0000"/>
      <name val="Arial"/>
      <family val="2"/>
    </font>
    <font>
      <b/>
      <sz val="11.5"/>
      <color theme="1"/>
      <name val="Arial"/>
      <family val="2"/>
    </font>
    <font>
      <b/>
      <sz val="11"/>
      <name val="Arial"/>
      <family val="2"/>
    </font>
    <font>
      <b/>
      <sz val="16"/>
      <name val="Arial"/>
      <family val="2"/>
    </font>
    <font>
      <b/>
      <u/>
      <sz val="12"/>
      <color theme="10"/>
      <name val="Arial"/>
      <family val="2"/>
    </font>
    <font>
      <sz val="14"/>
      <name val="Arial"/>
      <family val="2"/>
    </font>
    <font>
      <b/>
      <sz val="12"/>
      <color rgb="FFFF0000"/>
      <name val="Arial"/>
      <family val="2"/>
    </font>
    <font>
      <b/>
      <sz val="8"/>
      <name val="Arial"/>
      <family val="2"/>
    </font>
    <font>
      <u/>
      <sz val="8"/>
      <color theme="11"/>
      <name val="Arial"/>
      <family val="2"/>
    </font>
    <font>
      <sz val="10"/>
      <color rgb="FFFF0000"/>
      <name val="Arial"/>
      <family val="2"/>
    </font>
    <font>
      <i/>
      <sz val="10"/>
      <name val="Arial"/>
      <family val="2"/>
    </font>
    <font>
      <b/>
      <sz val="10"/>
      <color rgb="FFFF0000"/>
      <name val="Arial"/>
      <family val="2"/>
    </font>
    <font>
      <sz val="11"/>
      <color rgb="FF9C5700"/>
      <name val="Arial"/>
      <family val="2"/>
      <scheme val="minor"/>
    </font>
    <font>
      <sz val="18"/>
      <color theme="3"/>
      <name val="Arial"/>
      <family val="2"/>
      <scheme val="major"/>
    </font>
    <font>
      <sz val="11"/>
      <color theme="1"/>
      <name val="Arial"/>
      <family val="2"/>
    </font>
    <font>
      <sz val="11"/>
      <name val="Arial"/>
      <family val="2"/>
    </font>
  </fonts>
  <fills count="43">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47"/>
        <bgColor indexed="64"/>
      </patternFill>
    </fill>
    <fill>
      <patternFill patternType="solid">
        <fgColor rgb="FFDDDDDD"/>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
      <patternFill patternType="solid">
        <fgColor theme="0"/>
        <bgColor indexed="64"/>
      </patternFill>
    </fill>
    <fill>
      <patternFill patternType="solid">
        <fgColor rgb="FFEAEAEA"/>
        <bgColor indexed="64"/>
      </patternFill>
    </fill>
    <fill>
      <patternFill patternType="solid">
        <fgColor rgb="FFFFFF66"/>
        <bgColor indexed="64"/>
      </patternFill>
    </fill>
    <fill>
      <patternFill patternType="solid">
        <fgColor rgb="FFE3E3E3"/>
        <bgColor indexed="64"/>
      </patternFill>
    </fill>
    <fill>
      <patternFill patternType="solid">
        <fgColor rgb="FFFFFF00"/>
        <bgColor indexed="64"/>
      </patternFill>
    </fill>
  </fills>
  <borders count="156">
    <border>
      <left/>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thin">
        <color indexed="64"/>
      </top>
      <bottom style="double">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right/>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medium">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style="thin">
        <color indexed="64"/>
      </top>
      <bottom/>
      <diagonal/>
    </border>
    <border>
      <left style="thin">
        <color auto="1"/>
      </left>
      <right/>
      <top style="medium">
        <color indexed="64"/>
      </top>
      <bottom style="medium">
        <color indexed="64"/>
      </bottom>
      <diagonal/>
    </border>
    <border>
      <left style="medium">
        <color indexed="64"/>
      </left>
      <right style="thin">
        <color auto="1"/>
      </right>
      <top style="thin">
        <color auto="1"/>
      </top>
      <bottom/>
      <diagonal/>
    </border>
    <border>
      <left style="thin">
        <color auto="1"/>
      </left>
      <right style="medium">
        <color indexed="64"/>
      </right>
      <top/>
      <bottom style="medium">
        <color indexed="64"/>
      </bottom>
      <diagonal/>
    </border>
    <border>
      <left style="medium">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thin">
        <color auto="1"/>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thin">
        <color indexed="64"/>
      </bottom>
      <diagonal/>
    </border>
    <border>
      <left style="medium">
        <color indexed="64"/>
      </left>
      <right style="medium">
        <color indexed="64"/>
      </right>
      <top style="thin">
        <color indexed="64"/>
      </top>
      <bottom style="dashed">
        <color indexed="64"/>
      </bottom>
      <diagonal/>
    </border>
    <border>
      <left style="medium">
        <color indexed="64"/>
      </left>
      <right style="medium">
        <color indexed="64"/>
      </right>
      <top style="dashed">
        <color indexed="64"/>
      </top>
      <bottom style="medium">
        <color indexed="64"/>
      </bottom>
      <diagonal/>
    </border>
    <border>
      <left/>
      <right style="medium">
        <color indexed="64"/>
      </right>
      <top style="dashed">
        <color indexed="64"/>
      </top>
      <bottom style="medium">
        <color indexed="64"/>
      </bottom>
      <diagonal/>
    </border>
    <border>
      <left/>
      <right/>
      <top style="dashed">
        <color indexed="64"/>
      </top>
      <bottom style="medium">
        <color indexed="64"/>
      </bottom>
      <diagonal/>
    </border>
    <border>
      <left style="medium">
        <color indexed="64"/>
      </left>
      <right/>
      <top style="dashed">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dotted">
        <color indexed="64"/>
      </right>
      <top style="thin">
        <color indexed="64"/>
      </top>
      <bottom style="thin">
        <color indexed="64"/>
      </bottom>
      <diagonal/>
    </border>
    <border>
      <left style="medium">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diagonal/>
    </border>
    <border>
      <left/>
      <right/>
      <top/>
      <bottom style="double">
        <color indexed="64"/>
      </bottom>
      <diagonal/>
    </border>
    <border>
      <left/>
      <right/>
      <top style="hair">
        <color indexed="64"/>
      </top>
      <bottom style="hair">
        <color indexed="64"/>
      </bottom>
      <diagonal/>
    </border>
    <border>
      <left/>
      <right/>
      <top style="medium">
        <color indexed="64"/>
      </top>
      <bottom style="hair">
        <color indexed="64"/>
      </bottom>
      <diagonal/>
    </border>
    <border>
      <left style="thin">
        <color indexed="64"/>
      </left>
      <right style="thin">
        <color indexed="64"/>
      </right>
      <top style="thin">
        <color indexed="64"/>
      </top>
      <bottom/>
      <diagonal/>
    </border>
    <border>
      <left/>
      <right/>
      <top style="hair">
        <color indexed="64"/>
      </top>
      <bottom style="medium">
        <color indexed="64"/>
      </bottom>
      <diagonal/>
    </border>
    <border>
      <left/>
      <right style="thin">
        <color indexed="64"/>
      </right>
      <top style="medium">
        <color indexed="64"/>
      </top>
      <bottom style="medium">
        <color indexed="64"/>
      </bottom>
      <diagonal/>
    </border>
    <border>
      <left/>
      <right style="thin">
        <color auto="1"/>
      </right>
      <top style="thin">
        <color auto="1"/>
      </top>
      <bottom/>
      <diagonal/>
    </border>
    <border>
      <left/>
      <right/>
      <top style="thin">
        <color indexed="64"/>
      </top>
      <bottom/>
      <diagonal/>
    </border>
    <border>
      <left style="medium">
        <color indexed="64"/>
      </left>
      <right style="medium">
        <color indexed="64"/>
      </right>
      <top style="double">
        <color indexed="64"/>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style="hair">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s>
  <cellStyleXfs count="47">
    <xf numFmtId="0" fontId="0" fillId="0" borderId="0"/>
    <xf numFmtId="43" fontId="1" fillId="0" borderId="0" applyFont="0" applyFill="0" applyBorder="0" applyAlignment="0" applyProtection="0"/>
    <xf numFmtId="44" fontId="1" fillId="0" borderId="0" applyFont="0" applyFill="0" applyBorder="0" applyAlignment="0" applyProtection="0"/>
    <xf numFmtId="9" fontId="2" fillId="0" borderId="0" applyFont="0" applyFill="0" applyBorder="0" applyAlignment="0" applyProtection="0"/>
    <xf numFmtId="0" fontId="56" fillId="0" borderId="0" applyNumberFormat="0" applyFill="0" applyBorder="0" applyAlignment="0" applyProtection="0"/>
    <xf numFmtId="0" fontId="15" fillId="0" borderId="65" applyNumberFormat="0" applyFill="0" applyAlignment="0" applyProtection="0"/>
    <xf numFmtId="0" fontId="16" fillId="0" borderId="66" applyNumberFormat="0" applyFill="0" applyAlignment="0" applyProtection="0"/>
    <xf numFmtId="0" fontId="17" fillId="0" borderId="67" applyNumberFormat="0" applyFill="0" applyAlignment="0" applyProtection="0"/>
    <xf numFmtId="0" fontId="17" fillId="0" borderId="0" applyNumberFormat="0" applyFill="0" applyBorder="0" applyAlignment="0" applyProtection="0"/>
    <xf numFmtId="0" fontId="18" fillId="7" borderId="0" applyNumberFormat="0" applyBorder="0" applyAlignment="0" applyProtection="0"/>
    <xf numFmtId="0" fontId="19" fillId="8" borderId="0" applyNumberFormat="0" applyBorder="0" applyAlignment="0" applyProtection="0"/>
    <xf numFmtId="0" fontId="55" fillId="9" borderId="0" applyNumberFormat="0" applyBorder="0" applyAlignment="0" applyProtection="0"/>
    <xf numFmtId="0" fontId="20" fillId="10" borderId="68" applyNumberFormat="0" applyAlignment="0" applyProtection="0"/>
    <xf numFmtId="0" fontId="21" fillId="11" borderId="69" applyNumberFormat="0" applyAlignment="0" applyProtection="0"/>
    <xf numFmtId="0" fontId="22" fillId="11" borderId="68" applyNumberFormat="0" applyAlignment="0" applyProtection="0"/>
    <xf numFmtId="0" fontId="23" fillId="0" borderId="70" applyNumberFormat="0" applyFill="0" applyAlignment="0" applyProtection="0"/>
    <xf numFmtId="0" fontId="24" fillId="12" borderId="71"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72" applyNumberFormat="0" applyFill="0" applyAlignment="0" applyProtection="0"/>
    <xf numFmtId="0" fontId="2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8"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30" fillId="0" borderId="0" applyNumberFormat="0" applyFill="0" applyBorder="0" applyAlignment="0" applyProtection="0"/>
    <xf numFmtId="15" fontId="9" fillId="0" borderId="0" applyFont="0" applyFill="0" applyBorder="0" applyAlignment="0" applyProtection="0">
      <alignment horizontal="right"/>
    </xf>
    <xf numFmtId="0" fontId="51" fillId="0" borderId="0" applyNumberFormat="0" applyFill="0" applyBorder="0" applyAlignment="0" applyProtection="0"/>
  </cellStyleXfs>
  <cellXfs count="1209">
    <xf numFmtId="0" fontId="0" fillId="0" borderId="0" xfId="0"/>
    <xf numFmtId="0" fontId="0" fillId="2" borderId="0" xfId="0" applyFill="1"/>
    <xf numFmtId="0" fontId="0" fillId="2" borderId="0" xfId="0" applyFill="1" applyAlignment="1">
      <alignment horizontal="center"/>
    </xf>
    <xf numFmtId="0" fontId="6" fillId="0" borderId="0" xfId="0" applyFont="1"/>
    <xf numFmtId="0" fontId="6" fillId="3" borderId="0" xfId="0" applyFont="1" applyFill="1"/>
    <xf numFmtId="0" fontId="6" fillId="3" borderId="0" xfId="0" applyFont="1" applyFill="1" applyAlignment="1">
      <alignment horizontal="center"/>
    </xf>
    <xf numFmtId="0" fontId="6" fillId="0" borderId="0" xfId="0" applyFont="1" applyFill="1"/>
    <xf numFmtId="0" fontId="4" fillId="0" borderId="0" xfId="0" applyFont="1"/>
    <xf numFmtId="0" fontId="11" fillId="0" borderId="0" xfId="0" applyFont="1"/>
    <xf numFmtId="0" fontId="4" fillId="0" borderId="0" xfId="0" applyFont="1" applyFill="1"/>
    <xf numFmtId="0" fontId="6" fillId="2" borderId="0" xfId="0" applyFont="1" applyFill="1"/>
    <xf numFmtId="0" fontId="11" fillId="3" borderId="0" xfId="0" applyFont="1" applyFill="1"/>
    <xf numFmtId="0" fontId="11" fillId="0" borderId="0" xfId="0" applyFont="1" applyFill="1" applyBorder="1"/>
    <xf numFmtId="167" fontId="9" fillId="3" borderId="18" xfId="2" applyNumberFormat="1" applyFont="1" applyFill="1" applyBorder="1" applyAlignment="1" applyProtection="1">
      <alignment horizontal="center" vertical="center" wrapText="1"/>
      <protection locked="0"/>
    </xf>
    <xf numFmtId="0" fontId="9" fillId="0" borderId="0" xfId="0" applyFont="1" applyFill="1" applyBorder="1"/>
    <xf numFmtId="0" fontId="29" fillId="0" borderId="0" xfId="0" applyFont="1"/>
    <xf numFmtId="0" fontId="29" fillId="0" borderId="0" xfId="0" applyFont="1" applyAlignment="1">
      <alignment horizontal="left" wrapText="1"/>
    </xf>
    <xf numFmtId="0" fontId="29" fillId="0" borderId="0" xfId="0" applyFont="1" applyBorder="1"/>
    <xf numFmtId="0" fontId="29" fillId="0" borderId="0" xfId="0" applyFont="1" applyBorder="1" applyAlignment="1">
      <alignment horizontal="left" wrapText="1"/>
    </xf>
    <xf numFmtId="0" fontId="29" fillId="0" borderId="0" xfId="0" applyFont="1" applyBorder="1" applyAlignment="1">
      <alignment vertical="center"/>
    </xf>
    <xf numFmtId="0" fontId="29" fillId="0" borderId="0" xfId="0" applyFont="1" applyAlignment="1">
      <alignment vertical="center" wrapText="1"/>
    </xf>
    <xf numFmtId="0" fontId="5" fillId="5" borderId="11" xfId="0" applyFont="1" applyFill="1" applyBorder="1" applyAlignment="1" applyProtection="1">
      <alignment vertical="top" wrapText="1"/>
    </xf>
    <xf numFmtId="0" fontId="10" fillId="5" borderId="7" xfId="0" applyFont="1" applyFill="1" applyBorder="1" applyAlignment="1" applyProtection="1">
      <alignment vertical="top" wrapText="1"/>
    </xf>
    <xf numFmtId="0" fontId="10" fillId="5" borderId="8" xfId="0" applyFont="1" applyFill="1" applyBorder="1" applyAlignment="1" applyProtection="1">
      <alignment vertical="top" wrapText="1"/>
    </xf>
    <xf numFmtId="0" fontId="10" fillId="5" borderId="9" xfId="0" applyFont="1" applyFill="1" applyBorder="1" applyAlignment="1" applyProtection="1">
      <alignment vertical="top" wrapText="1"/>
    </xf>
    <xf numFmtId="0" fontId="10" fillId="5" borderId="10" xfId="0" applyFont="1" applyFill="1" applyBorder="1" applyAlignment="1" applyProtection="1">
      <alignment vertical="top" wrapText="1"/>
    </xf>
    <xf numFmtId="0" fontId="6" fillId="0" borderId="0" xfId="0" applyFont="1" applyFill="1" applyProtection="1"/>
    <xf numFmtId="0" fontId="10" fillId="5" borderId="17" xfId="0" applyFont="1" applyFill="1" applyBorder="1" applyAlignment="1" applyProtection="1">
      <alignment vertical="top" wrapText="1"/>
    </xf>
    <xf numFmtId="0" fontId="10" fillId="5" borderId="14" xfId="0" applyFont="1" applyFill="1" applyBorder="1" applyAlignment="1" applyProtection="1">
      <alignment vertical="top" wrapText="1"/>
    </xf>
    <xf numFmtId="0" fontId="10" fillId="5" borderId="18" xfId="0" applyFont="1" applyFill="1" applyBorder="1" applyAlignment="1" applyProtection="1">
      <alignment vertical="top" wrapText="1"/>
    </xf>
    <xf numFmtId="0" fontId="12" fillId="5" borderId="18" xfId="0" applyFont="1" applyFill="1" applyBorder="1" applyAlignment="1" applyProtection="1">
      <alignment horizontal="right" vertical="top" wrapText="1"/>
    </xf>
    <xf numFmtId="0" fontId="12" fillId="5" borderId="14" xfId="0" applyFont="1" applyFill="1" applyBorder="1" applyAlignment="1" applyProtection="1">
      <alignment horizontal="right" vertical="top" wrapText="1"/>
    </xf>
    <xf numFmtId="0" fontId="10" fillId="5" borderId="19" xfId="0" applyFont="1" applyFill="1" applyBorder="1" applyAlignment="1" applyProtection="1">
      <alignment horizontal="right" vertical="top" wrapText="1"/>
    </xf>
    <xf numFmtId="0" fontId="10" fillId="5" borderId="8" xfId="0" applyFont="1" applyFill="1" applyBorder="1" applyAlignment="1" applyProtection="1">
      <alignment horizontal="right" vertical="top" wrapText="1"/>
    </xf>
    <xf numFmtId="0" fontId="10" fillId="5" borderId="9" xfId="0" applyFont="1" applyFill="1" applyBorder="1" applyAlignment="1" applyProtection="1">
      <alignment horizontal="right" vertical="top" wrapText="1"/>
    </xf>
    <xf numFmtId="0" fontId="10" fillId="5" borderId="10" xfId="0" applyFont="1" applyFill="1" applyBorder="1" applyAlignment="1" applyProtection="1">
      <alignment horizontal="right" vertical="top" wrapText="1"/>
    </xf>
    <xf numFmtId="0" fontId="10" fillId="5" borderId="14" xfId="0" applyFont="1" applyFill="1" applyBorder="1" applyAlignment="1" applyProtection="1">
      <alignment horizontal="right" vertical="top" wrapText="1"/>
    </xf>
    <xf numFmtId="0" fontId="10" fillId="5" borderId="3" xfId="0" applyFont="1" applyFill="1" applyBorder="1" applyAlignment="1" applyProtection="1">
      <alignment vertical="top" wrapText="1"/>
    </xf>
    <xf numFmtId="0" fontId="10" fillId="5" borderId="4" xfId="0" applyFont="1" applyFill="1" applyBorder="1" applyAlignment="1" applyProtection="1">
      <alignment horizontal="right" vertical="top" wrapText="1"/>
    </xf>
    <xf numFmtId="0" fontId="29" fillId="0" borderId="0" xfId="0" applyFont="1" applyProtection="1"/>
    <xf numFmtId="0" fontId="29" fillId="0" borderId="0" xfId="0" applyFont="1" applyAlignment="1" applyProtection="1">
      <alignment horizontal="left" wrapText="1"/>
    </xf>
    <xf numFmtId="0" fontId="29" fillId="6" borderId="1" xfId="0" applyFont="1" applyFill="1" applyBorder="1" applyAlignment="1" applyProtection="1">
      <alignment horizontal="center" wrapText="1"/>
    </xf>
    <xf numFmtId="0" fontId="29" fillId="6" borderId="25" xfId="0" applyFont="1" applyFill="1" applyBorder="1" applyAlignment="1" applyProtection="1">
      <alignment horizontal="center" wrapText="1"/>
    </xf>
    <xf numFmtId="0" fontId="33" fillId="6" borderId="98" xfId="0" applyFont="1" applyFill="1" applyBorder="1" applyAlignment="1" applyProtection="1">
      <alignment horizontal="center"/>
    </xf>
    <xf numFmtId="3" fontId="29" fillId="6" borderId="96" xfId="0" applyNumberFormat="1" applyFont="1" applyFill="1" applyBorder="1" applyAlignment="1" applyProtection="1">
      <alignment horizontal="center" vertical="center"/>
    </xf>
    <xf numFmtId="3" fontId="29" fillId="6" borderId="97" xfId="0" applyNumberFormat="1" applyFont="1" applyFill="1" applyBorder="1" applyAlignment="1" applyProtection="1">
      <alignment horizontal="center" vertical="center"/>
    </xf>
    <xf numFmtId="0" fontId="33" fillId="6" borderId="99" xfId="0" applyFont="1" applyFill="1" applyBorder="1" applyAlignment="1" applyProtection="1">
      <alignment horizontal="center"/>
    </xf>
    <xf numFmtId="3" fontId="29" fillId="6" borderId="92" xfId="0" applyNumberFormat="1" applyFont="1" applyFill="1" applyBorder="1" applyAlignment="1" applyProtection="1">
      <alignment horizontal="center" vertical="center"/>
    </xf>
    <xf numFmtId="3" fontId="29" fillId="6" borderId="93" xfId="0" applyNumberFormat="1" applyFont="1" applyFill="1" applyBorder="1" applyAlignment="1" applyProtection="1">
      <alignment horizontal="center" vertical="center"/>
    </xf>
    <xf numFmtId="0" fontId="33" fillId="6" borderId="100" xfId="0" applyFont="1" applyFill="1" applyBorder="1" applyAlignment="1" applyProtection="1">
      <alignment horizontal="center"/>
    </xf>
    <xf numFmtId="3" fontId="29" fillId="6" borderId="90" xfId="0" applyNumberFormat="1" applyFont="1" applyFill="1" applyBorder="1" applyAlignment="1" applyProtection="1">
      <alignment horizontal="center" vertical="center"/>
    </xf>
    <xf numFmtId="3" fontId="29" fillId="6" borderId="91" xfId="0" applyNumberFormat="1" applyFont="1" applyFill="1" applyBorder="1" applyAlignment="1" applyProtection="1">
      <alignment horizontal="center" vertical="center"/>
    </xf>
    <xf numFmtId="0" fontId="33" fillId="6" borderId="101" xfId="0" applyFont="1" applyFill="1" applyBorder="1" applyAlignment="1" applyProtection="1">
      <alignment horizontal="center"/>
    </xf>
    <xf numFmtId="3" fontId="29" fillId="6" borderId="94" xfId="0" applyNumberFormat="1" applyFont="1" applyFill="1" applyBorder="1" applyAlignment="1" applyProtection="1">
      <alignment horizontal="center" vertical="center"/>
    </xf>
    <xf numFmtId="3" fontId="29" fillId="6" borderId="95" xfId="0" applyNumberFormat="1" applyFont="1" applyFill="1" applyBorder="1" applyAlignment="1" applyProtection="1">
      <alignment horizontal="center" vertical="center"/>
    </xf>
    <xf numFmtId="0" fontId="29" fillId="6" borderId="85" xfId="0" applyFont="1" applyFill="1" applyBorder="1" applyAlignment="1" applyProtection="1">
      <alignment horizontal="center" wrapText="1"/>
    </xf>
    <xf numFmtId="0" fontId="29" fillId="6" borderId="84" xfId="0" applyFont="1" applyFill="1" applyBorder="1" applyAlignment="1" applyProtection="1">
      <alignment horizontal="center" wrapText="1"/>
    </xf>
    <xf numFmtId="0" fontId="33" fillId="6" borderId="17" xfId="0" applyFont="1" applyFill="1" applyBorder="1" applyAlignment="1" applyProtection="1">
      <alignment horizontal="center" vertical="center"/>
    </xf>
    <xf numFmtId="3" fontId="9" fillId="6" borderId="51" xfId="0" applyNumberFormat="1" applyFont="1" applyFill="1" applyBorder="1" applyAlignment="1" applyProtection="1">
      <alignment horizontal="center" vertical="center"/>
    </xf>
    <xf numFmtId="3" fontId="9" fillId="6" borderId="63" xfId="0" applyNumberFormat="1" applyFont="1" applyFill="1" applyBorder="1" applyAlignment="1" applyProtection="1">
      <alignment horizontal="center" vertical="center"/>
    </xf>
    <xf numFmtId="3" fontId="29" fillId="6" borderId="51" xfId="0" applyNumberFormat="1" applyFont="1" applyFill="1" applyBorder="1" applyAlignment="1" applyProtection="1">
      <alignment horizontal="center" vertical="center"/>
    </xf>
    <xf numFmtId="3" fontId="29" fillId="6" borderId="63" xfId="0" applyNumberFormat="1" applyFont="1" applyFill="1" applyBorder="1" applyAlignment="1" applyProtection="1">
      <alignment horizontal="center" vertical="center"/>
    </xf>
    <xf numFmtId="0" fontId="33" fillId="6" borderId="19" xfId="0" applyFont="1" applyFill="1" applyBorder="1" applyAlignment="1" applyProtection="1">
      <alignment horizontal="center" vertical="center"/>
    </xf>
    <xf numFmtId="3" fontId="29" fillId="6" borderId="35" xfId="0" applyNumberFormat="1" applyFont="1" applyFill="1" applyBorder="1" applyAlignment="1" applyProtection="1">
      <alignment horizontal="center" vertical="center"/>
    </xf>
    <xf numFmtId="3" fontId="29" fillId="6" borderId="20" xfId="0" applyNumberFormat="1" applyFont="1" applyFill="1" applyBorder="1" applyAlignment="1" applyProtection="1">
      <alignment horizontal="center" vertical="center"/>
    </xf>
    <xf numFmtId="0" fontId="33" fillId="6" borderId="8" xfId="0" applyFont="1" applyFill="1" applyBorder="1" applyAlignment="1" applyProtection="1">
      <alignment horizontal="center" vertical="center"/>
    </xf>
    <xf numFmtId="3" fontId="29" fillId="6" borderId="2" xfId="0" applyNumberFormat="1" applyFont="1" applyFill="1" applyBorder="1" applyAlignment="1" applyProtection="1">
      <alignment horizontal="center" vertical="center"/>
    </xf>
    <xf numFmtId="3" fontId="29" fillId="6" borderId="23" xfId="0" applyNumberFormat="1" applyFont="1" applyFill="1" applyBorder="1" applyAlignment="1" applyProtection="1">
      <alignment horizontal="center" vertical="center"/>
    </xf>
    <xf numFmtId="0" fontId="33" fillId="6" borderId="9" xfId="0" applyFont="1" applyFill="1" applyBorder="1" applyAlignment="1" applyProtection="1">
      <alignment horizontal="center" vertical="center"/>
    </xf>
    <xf numFmtId="3" fontId="29" fillId="6" borderId="1" xfId="0" applyNumberFormat="1" applyFont="1" applyFill="1" applyBorder="1" applyAlignment="1" applyProtection="1">
      <alignment horizontal="center" vertical="center"/>
    </xf>
    <xf numFmtId="3" fontId="29" fillId="6" borderId="25" xfId="0" applyNumberFormat="1" applyFont="1" applyFill="1" applyBorder="1" applyAlignment="1" applyProtection="1">
      <alignment horizontal="center" vertical="center"/>
    </xf>
    <xf numFmtId="3" fontId="9" fillId="0" borderId="35" xfId="0" applyNumberFormat="1" applyFont="1" applyFill="1" applyBorder="1" applyAlignment="1" applyProtection="1">
      <alignment horizontal="center" vertical="center"/>
      <protection locked="0"/>
    </xf>
    <xf numFmtId="3" fontId="9" fillId="0" borderId="20" xfId="0" applyNumberFormat="1" applyFont="1" applyFill="1" applyBorder="1" applyAlignment="1" applyProtection="1">
      <alignment horizontal="center" vertical="center"/>
      <protection locked="0"/>
    </xf>
    <xf numFmtId="3" fontId="9" fillId="0" borderId="2" xfId="0" applyNumberFormat="1" applyFont="1" applyFill="1" applyBorder="1" applyAlignment="1" applyProtection="1">
      <alignment horizontal="center" vertical="center"/>
      <protection locked="0"/>
    </xf>
    <xf numFmtId="3" fontId="9" fillId="0" borderId="23" xfId="0" applyNumberFormat="1" applyFont="1" applyFill="1" applyBorder="1" applyAlignment="1" applyProtection="1">
      <alignment horizontal="center" vertical="center"/>
      <protection locked="0"/>
    </xf>
    <xf numFmtId="3" fontId="9" fillId="0" borderId="1" xfId="0" applyNumberFormat="1" applyFont="1" applyFill="1" applyBorder="1" applyAlignment="1" applyProtection="1">
      <alignment horizontal="center" vertical="center"/>
      <protection locked="0"/>
    </xf>
    <xf numFmtId="3" fontId="9" fillId="0" borderId="25" xfId="0" applyNumberFormat="1" applyFont="1" applyFill="1" applyBorder="1" applyAlignment="1" applyProtection="1">
      <alignment horizontal="center" vertical="center"/>
      <protection locked="0"/>
    </xf>
    <xf numFmtId="0" fontId="10" fillId="0" borderId="0" xfId="0" applyFont="1" applyFill="1" applyBorder="1" applyAlignment="1" applyProtection="1">
      <alignment horizontal="left"/>
    </xf>
    <xf numFmtId="0" fontId="10" fillId="5" borderId="79" xfId="0" applyFont="1" applyFill="1" applyBorder="1" applyAlignment="1" applyProtection="1">
      <alignment horizontal="center"/>
    </xf>
    <xf numFmtId="0" fontId="10" fillId="5" borderId="80" xfId="0" applyFont="1" applyFill="1" applyBorder="1" applyAlignment="1" applyProtection="1">
      <alignment horizontal="center"/>
    </xf>
    <xf numFmtId="0" fontId="10" fillId="5" borderId="10" xfId="0" applyFont="1" applyFill="1" applyBorder="1" applyAlignment="1" applyProtection="1">
      <alignment horizontal="left" wrapText="1"/>
    </xf>
    <xf numFmtId="0" fontId="10" fillId="5" borderId="10" xfId="0" applyFont="1" applyFill="1" applyBorder="1" applyAlignment="1" applyProtection="1">
      <alignment horizontal="left" vertical="center"/>
    </xf>
    <xf numFmtId="0" fontId="10" fillId="5" borderId="9" xfId="0" applyFont="1" applyFill="1" applyBorder="1" applyAlignment="1" applyProtection="1">
      <alignment horizontal="center" vertical="center"/>
    </xf>
    <xf numFmtId="0" fontId="10" fillId="6" borderId="9" xfId="0" applyFont="1" applyFill="1" applyBorder="1" applyAlignment="1" applyProtection="1">
      <alignment horizontal="left" vertical="center" wrapText="1"/>
    </xf>
    <xf numFmtId="0" fontId="0" fillId="0" borderId="0" xfId="0" applyBorder="1" applyProtection="1"/>
    <xf numFmtId="0" fontId="10" fillId="5" borderId="19" xfId="0" applyFont="1" applyFill="1" applyBorder="1" applyAlignment="1" applyProtection="1">
      <alignment horizontal="center" vertical="center"/>
    </xf>
    <xf numFmtId="0" fontId="10" fillId="5" borderId="19" xfId="0" applyFont="1" applyFill="1" applyBorder="1" applyAlignment="1" applyProtection="1">
      <alignment horizontal="left" vertical="center"/>
    </xf>
    <xf numFmtId="0" fontId="10" fillId="5" borderId="13" xfId="0" applyFont="1" applyFill="1" applyBorder="1" applyAlignment="1" applyProtection="1">
      <alignment horizontal="center" vertical="center"/>
    </xf>
    <xf numFmtId="0" fontId="10" fillId="5" borderId="8" xfId="0" applyFont="1" applyFill="1" applyBorder="1" applyAlignment="1" applyProtection="1">
      <alignment horizontal="center" vertical="center"/>
    </xf>
    <xf numFmtId="0" fontId="10" fillId="5" borderId="8" xfId="0" applyFont="1" applyFill="1" applyBorder="1" applyAlignment="1" applyProtection="1">
      <alignment horizontal="left" vertical="center" wrapText="1"/>
    </xf>
    <xf numFmtId="0" fontId="10" fillId="5" borderId="8" xfId="0" applyFont="1" applyFill="1" applyBorder="1" applyAlignment="1" applyProtection="1">
      <alignment horizontal="left" vertical="center"/>
    </xf>
    <xf numFmtId="0" fontId="10" fillId="5" borderId="9" xfId="0" applyFont="1" applyFill="1" applyBorder="1" applyAlignment="1" applyProtection="1">
      <alignment horizontal="left" vertical="center" wrapText="1"/>
    </xf>
    <xf numFmtId="0" fontId="10" fillId="5" borderId="50" xfId="0" applyFont="1" applyFill="1" applyBorder="1" applyAlignment="1" applyProtection="1">
      <alignment vertical="top" wrapText="1"/>
    </xf>
    <xf numFmtId="0" fontId="10" fillId="5" borderId="17" xfId="0" applyFont="1" applyFill="1" applyBorder="1" applyAlignment="1" applyProtection="1">
      <alignment horizontal="center" vertical="top" wrapText="1"/>
    </xf>
    <xf numFmtId="0" fontId="6" fillId="0" borderId="0" xfId="0" applyFont="1" applyProtection="1"/>
    <xf numFmtId="0" fontId="5" fillId="4" borderId="17" xfId="0" applyFont="1" applyFill="1" applyBorder="1" applyAlignment="1" applyProtection="1"/>
    <xf numFmtId="0" fontId="10" fillId="4" borderId="11" xfId="0" applyFont="1" applyFill="1" applyBorder="1" applyAlignment="1" applyProtection="1">
      <alignment vertical="top" wrapText="1"/>
    </xf>
    <xf numFmtId="0" fontId="10" fillId="4" borderId="13" xfId="0" applyFont="1" applyFill="1" applyBorder="1" applyAlignment="1" applyProtection="1">
      <alignment vertical="top" wrapText="1"/>
    </xf>
    <xf numFmtId="0" fontId="10" fillId="4" borderId="12" xfId="0" applyFont="1" applyFill="1" applyBorder="1" applyAlignment="1" applyProtection="1">
      <alignment vertical="top" wrapText="1"/>
    </xf>
    <xf numFmtId="0" fontId="10" fillId="4" borderId="27" xfId="0" applyFont="1" applyFill="1" applyBorder="1" applyAlignment="1" applyProtection="1">
      <alignment vertical="top" wrapText="1"/>
    </xf>
    <xf numFmtId="0" fontId="10" fillId="4" borderId="12" xfId="0" quotePrefix="1" applyFont="1" applyFill="1" applyBorder="1" applyAlignment="1" applyProtection="1">
      <alignment horizontal="left" vertical="top" wrapText="1"/>
    </xf>
    <xf numFmtId="0" fontId="10" fillId="4" borderId="17" xfId="0" quotePrefix="1" applyFont="1" applyFill="1" applyBorder="1" applyAlignment="1" applyProtection="1">
      <alignment horizontal="left" vertical="top" wrapText="1"/>
    </xf>
    <xf numFmtId="0" fontId="10" fillId="4" borderId="33" xfId="0" applyFont="1" applyFill="1" applyBorder="1" applyAlignment="1" applyProtection="1">
      <alignment vertical="top" wrapText="1"/>
    </xf>
    <xf numFmtId="0" fontId="10" fillId="4" borderId="2" xfId="0" applyFont="1" applyFill="1" applyBorder="1" applyAlignment="1" applyProtection="1">
      <alignment vertical="top" wrapText="1"/>
    </xf>
    <xf numFmtId="0" fontId="10" fillId="4" borderId="2" xfId="0" quotePrefix="1" applyFont="1" applyFill="1" applyBorder="1" applyAlignment="1" applyProtection="1">
      <alignment horizontal="left" vertical="top" wrapText="1"/>
    </xf>
    <xf numFmtId="0" fontId="10" fillId="4" borderId="1" xfId="0" applyFont="1" applyFill="1" applyBorder="1" applyAlignment="1" applyProtection="1">
      <alignment vertical="top" wrapText="1"/>
    </xf>
    <xf numFmtId="0" fontId="37" fillId="6" borderId="13" xfId="0" applyFont="1" applyFill="1" applyBorder="1" applyAlignment="1" applyProtection="1">
      <alignment horizontal="left"/>
    </xf>
    <xf numFmtId="0" fontId="37" fillId="6" borderId="8" xfId="0" applyFont="1" applyFill="1" applyBorder="1" applyAlignment="1" applyProtection="1">
      <alignment horizontal="center" vertical="center"/>
    </xf>
    <xf numFmtId="0" fontId="37" fillId="6" borderId="7" xfId="0" applyFont="1" applyFill="1" applyBorder="1" applyAlignment="1" applyProtection="1">
      <alignment horizontal="left"/>
    </xf>
    <xf numFmtId="0" fontId="37" fillId="6" borderId="46" xfId="0" applyFont="1" applyFill="1" applyBorder="1" applyAlignment="1" applyProtection="1">
      <alignment horizontal="left"/>
    </xf>
    <xf numFmtId="0" fontId="37" fillId="6" borderId="16" xfId="0" applyFont="1" applyFill="1" applyBorder="1" applyAlignment="1" applyProtection="1">
      <alignment horizontal="left"/>
    </xf>
    <xf numFmtId="0" fontId="37" fillId="6" borderId="11" xfId="0" applyFont="1" applyFill="1" applyBorder="1" applyAlignment="1" applyProtection="1">
      <alignment horizontal="center" vertical="center"/>
    </xf>
    <xf numFmtId="0" fontId="0" fillId="0" borderId="0" xfId="0" applyProtection="1"/>
    <xf numFmtId="0" fontId="31" fillId="6" borderId="115" xfId="0" applyFont="1" applyFill="1" applyBorder="1" applyAlignment="1" applyProtection="1">
      <alignment horizontal="center" wrapText="1"/>
    </xf>
    <xf numFmtId="0" fontId="31" fillId="6" borderId="107" xfId="0" applyFont="1" applyFill="1" applyBorder="1" applyAlignment="1" applyProtection="1">
      <alignment horizontal="center" wrapText="1"/>
    </xf>
    <xf numFmtId="164" fontId="31" fillId="6" borderId="119" xfId="0" applyNumberFormat="1" applyFont="1" applyFill="1" applyBorder="1" applyAlignment="1" applyProtection="1">
      <alignment horizontal="center" wrapText="1"/>
    </xf>
    <xf numFmtId="164" fontId="31" fillId="6" borderId="23" xfId="0" applyNumberFormat="1" applyFont="1" applyFill="1" applyBorder="1" applyAlignment="1" applyProtection="1">
      <alignment horizontal="center" wrapText="1"/>
    </xf>
    <xf numFmtId="0" fontId="31" fillId="6" borderId="110" xfId="0" applyFont="1" applyFill="1" applyBorder="1" applyAlignment="1" applyProtection="1">
      <alignment horizontal="center" wrapText="1"/>
    </xf>
    <xf numFmtId="0" fontId="31" fillId="6" borderId="108" xfId="0" applyFont="1" applyFill="1" applyBorder="1" applyAlignment="1" applyProtection="1">
      <alignment horizontal="center" vertical="center"/>
    </xf>
    <xf numFmtId="0" fontId="31" fillId="6" borderId="113" xfId="0" applyFont="1" applyFill="1" applyBorder="1" applyAlignment="1" applyProtection="1">
      <alignment horizontal="left" vertical="center" wrapText="1"/>
    </xf>
    <xf numFmtId="37" fontId="32" fillId="6" borderId="116" xfId="0" applyNumberFormat="1" applyFont="1" applyFill="1" applyBorder="1" applyAlignment="1" applyProtection="1">
      <alignment horizontal="center" vertical="center"/>
    </xf>
    <xf numFmtId="39" fontId="32" fillId="6" borderId="105" xfId="0" applyNumberFormat="1" applyFont="1" applyFill="1" applyBorder="1" applyAlignment="1" applyProtection="1">
      <alignment horizontal="center" vertical="center"/>
    </xf>
    <xf numFmtId="7" fontId="31" fillId="6" borderId="113" xfId="0" applyNumberFormat="1" applyFont="1" applyFill="1" applyBorder="1" applyAlignment="1" applyProtection="1">
      <alignment horizontal="center" vertical="center"/>
    </xf>
    <xf numFmtId="37" fontId="32" fillId="6" borderId="111" xfId="0" applyNumberFormat="1" applyFont="1" applyFill="1" applyBorder="1" applyAlignment="1" applyProtection="1">
      <alignment horizontal="center" vertical="center"/>
    </xf>
    <xf numFmtId="0" fontId="31" fillId="6" borderId="109" xfId="0" applyFont="1" applyFill="1" applyBorder="1" applyAlignment="1" applyProtection="1">
      <alignment horizontal="center" vertical="center"/>
    </xf>
    <xf numFmtId="0" fontId="31" fillId="6" borderId="114" xfId="0" applyFont="1" applyFill="1" applyBorder="1" applyAlignment="1" applyProtection="1">
      <alignment horizontal="left" vertical="center" wrapText="1"/>
    </xf>
    <xf numFmtId="37" fontId="32" fillId="6" borderId="117" xfId="0" applyNumberFormat="1" applyFont="1" applyFill="1" applyBorder="1" applyAlignment="1" applyProtection="1">
      <alignment horizontal="center" vertical="center"/>
    </xf>
    <xf numFmtId="39" fontId="32" fillId="6" borderId="83" xfId="0" applyNumberFormat="1" applyFont="1" applyFill="1" applyBorder="1" applyAlignment="1" applyProtection="1">
      <alignment horizontal="center" vertical="center"/>
    </xf>
    <xf numFmtId="7" fontId="31" fillId="6" borderId="114" xfId="0" applyNumberFormat="1" applyFont="1" applyFill="1" applyBorder="1" applyAlignment="1" applyProtection="1">
      <alignment horizontal="center" vertical="center"/>
    </xf>
    <xf numFmtId="37" fontId="32" fillId="6" borderId="112" xfId="0" applyNumberFormat="1" applyFont="1" applyFill="1" applyBorder="1" applyAlignment="1" applyProtection="1">
      <alignment horizontal="center" vertical="center"/>
    </xf>
    <xf numFmtId="7" fontId="31" fillId="6" borderId="114" xfId="0" applyNumberFormat="1" applyFont="1" applyFill="1" applyBorder="1" applyAlignment="1" applyProtection="1">
      <alignment horizontal="center" vertical="center" wrapText="1"/>
    </xf>
    <xf numFmtId="0" fontId="31" fillId="6" borderId="123" xfId="0" applyFont="1" applyFill="1" applyBorder="1" applyAlignment="1" applyProtection="1">
      <alignment horizontal="center" vertical="center"/>
    </xf>
    <xf numFmtId="0" fontId="31" fillId="6" borderId="124" xfId="0" applyFont="1" applyFill="1" applyBorder="1" applyAlignment="1" applyProtection="1">
      <alignment horizontal="left" vertical="center" wrapText="1"/>
    </xf>
    <xf numFmtId="37" fontId="32" fillId="6" borderId="118" xfId="0" applyNumberFormat="1" applyFont="1" applyFill="1" applyBorder="1" applyAlignment="1" applyProtection="1">
      <alignment horizontal="center" vertical="center"/>
    </xf>
    <xf numFmtId="39" fontId="32" fillId="6" borderId="106" xfId="0" applyNumberFormat="1" applyFont="1" applyFill="1" applyBorder="1" applyAlignment="1" applyProtection="1">
      <alignment horizontal="center" vertical="center"/>
    </xf>
    <xf numFmtId="7" fontId="31" fillId="6" borderId="124" xfId="0" applyNumberFormat="1" applyFont="1" applyFill="1" applyBorder="1" applyAlignment="1" applyProtection="1">
      <alignment horizontal="center" vertical="center"/>
    </xf>
    <xf numFmtId="7" fontId="31" fillId="6" borderId="124" xfId="0" applyNumberFormat="1" applyFont="1" applyFill="1" applyBorder="1" applyAlignment="1" applyProtection="1">
      <alignment horizontal="center" vertical="center" wrapText="1"/>
    </xf>
    <xf numFmtId="0" fontId="35" fillId="6" borderId="1" xfId="0" applyFont="1" applyFill="1" applyBorder="1" applyAlignment="1" applyProtection="1">
      <alignment horizontal="center" vertical="center"/>
    </xf>
    <xf numFmtId="0" fontId="35" fillId="6" borderId="25" xfId="0" applyFont="1" applyFill="1" applyBorder="1" applyAlignment="1" applyProtection="1">
      <alignment horizontal="left" vertical="center" wrapText="1"/>
    </xf>
    <xf numFmtId="37" fontId="31" fillId="6" borderId="125" xfId="0" applyNumberFormat="1" applyFont="1" applyFill="1" applyBorder="1" applyAlignment="1" applyProtection="1">
      <alignment horizontal="center" vertical="center"/>
    </xf>
    <xf numFmtId="38" fontId="31" fillId="6" borderId="126" xfId="0" quotePrefix="1" applyNumberFormat="1" applyFont="1" applyFill="1" applyBorder="1" applyAlignment="1" applyProtection="1">
      <alignment horizontal="center" vertical="center"/>
    </xf>
    <xf numFmtId="39" fontId="31" fillId="6" borderId="126" xfId="0" applyNumberFormat="1" applyFont="1" applyFill="1" applyBorder="1" applyAlignment="1" applyProtection="1">
      <alignment horizontal="center" vertical="center"/>
    </xf>
    <xf numFmtId="38" fontId="31" fillId="6" borderId="128" xfId="0" quotePrefix="1" applyNumberFormat="1" applyFont="1" applyFill="1" applyBorder="1" applyAlignment="1" applyProtection="1">
      <alignment horizontal="center" vertical="center"/>
    </xf>
    <xf numFmtId="7" fontId="35" fillId="6" borderId="25" xfId="0" applyNumberFormat="1" applyFont="1" applyFill="1" applyBorder="1" applyAlignment="1" applyProtection="1">
      <alignment horizontal="center" vertical="center"/>
    </xf>
    <xf numFmtId="37" fontId="31" fillId="6" borderId="127" xfId="0" applyNumberFormat="1" applyFont="1" applyFill="1" applyBorder="1" applyAlignment="1" applyProtection="1">
      <alignment horizontal="center" vertical="center"/>
    </xf>
    <xf numFmtId="37" fontId="31" fillId="6" borderId="126" xfId="0" quotePrefix="1" applyNumberFormat="1" applyFont="1" applyFill="1" applyBorder="1" applyAlignment="1" applyProtection="1">
      <alignment horizontal="center" vertical="center"/>
    </xf>
    <xf numFmtId="37" fontId="31" fillId="6" borderId="128" xfId="0" quotePrefix="1" applyNumberFormat="1"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175" fontId="9" fillId="0" borderId="16" xfId="0" applyNumberFormat="1" applyFont="1" applyBorder="1" applyAlignment="1" applyProtection="1">
      <alignment horizontal="center" vertical="top" wrapText="1"/>
      <protection locked="0"/>
    </xf>
    <xf numFmtId="175" fontId="9" fillId="0" borderId="14" xfId="0" applyNumberFormat="1" applyFont="1" applyBorder="1" applyAlignment="1" applyProtection="1">
      <alignment horizontal="center" vertical="top" wrapText="1"/>
      <protection locked="0"/>
    </xf>
    <xf numFmtId="0" fontId="10" fillId="5" borderId="10" xfId="0" applyFont="1" applyFill="1" applyBorder="1" applyAlignment="1" applyProtection="1">
      <alignment horizontal="center" vertical="center"/>
    </xf>
    <xf numFmtId="0" fontId="29" fillId="0" borderId="0" xfId="0" applyFont="1" applyFill="1"/>
    <xf numFmtId="3" fontId="29" fillId="37" borderId="33" xfId="0" quotePrefix="1" applyNumberFormat="1" applyFont="1" applyFill="1" applyBorder="1" applyAlignment="1" applyProtection="1">
      <alignment horizontal="center" vertical="center"/>
    </xf>
    <xf numFmtId="3" fontId="29" fillId="37" borderId="60" xfId="0" quotePrefix="1" applyNumberFormat="1" applyFont="1" applyFill="1" applyBorder="1" applyAlignment="1" applyProtection="1">
      <alignment horizontal="center" vertical="center"/>
    </xf>
    <xf numFmtId="3" fontId="29" fillId="37" borderId="34" xfId="0" quotePrefix="1" applyNumberFormat="1" applyFont="1" applyFill="1" applyBorder="1" applyAlignment="1" applyProtection="1">
      <alignment horizontal="center" vertical="center"/>
    </xf>
    <xf numFmtId="3" fontId="29" fillId="37" borderId="89" xfId="0" quotePrefix="1" applyNumberFormat="1" applyFont="1" applyFill="1" applyBorder="1" applyAlignment="1" applyProtection="1">
      <alignment horizontal="center" vertical="center"/>
    </xf>
    <xf numFmtId="3" fontId="9" fillId="37" borderId="35" xfId="0" quotePrefix="1" applyNumberFormat="1" applyFont="1" applyFill="1" applyBorder="1" applyAlignment="1" applyProtection="1">
      <alignment horizontal="center" vertical="center"/>
    </xf>
    <xf numFmtId="3" fontId="9" fillId="37" borderId="20" xfId="0" quotePrefix="1" applyNumberFormat="1" applyFont="1" applyFill="1" applyBorder="1" applyAlignment="1" applyProtection="1">
      <alignment horizontal="center" vertical="center"/>
    </xf>
    <xf numFmtId="3" fontId="9" fillId="37" borderId="2" xfId="0" quotePrefix="1" applyNumberFormat="1" applyFont="1" applyFill="1" applyBorder="1" applyAlignment="1" applyProtection="1">
      <alignment horizontal="center" vertical="center"/>
    </xf>
    <xf numFmtId="3" fontId="9" fillId="37" borderId="23" xfId="0" quotePrefix="1" applyNumberFormat="1" applyFont="1" applyFill="1" applyBorder="1" applyAlignment="1" applyProtection="1">
      <alignment horizontal="center" vertical="center"/>
    </xf>
    <xf numFmtId="3" fontId="9" fillId="37" borderId="1" xfId="0" quotePrefix="1" applyNumberFormat="1" applyFont="1" applyFill="1" applyBorder="1" applyAlignment="1" applyProtection="1">
      <alignment horizontal="center" vertical="center"/>
    </xf>
    <xf numFmtId="3" fontId="9" fillId="37" borderId="25" xfId="0" quotePrefix="1" applyNumberFormat="1" applyFont="1" applyFill="1" applyBorder="1" applyAlignment="1" applyProtection="1">
      <alignment horizontal="center" vertical="center"/>
    </xf>
    <xf numFmtId="0" fontId="10" fillId="5" borderId="130" xfId="0" applyFont="1" applyFill="1" applyBorder="1" applyAlignment="1" applyProtection="1">
      <alignment horizontal="center" vertical="center"/>
    </xf>
    <xf numFmtId="0" fontId="10" fillId="5" borderId="131" xfId="0" applyFont="1" applyFill="1" applyBorder="1" applyAlignment="1" applyProtection="1">
      <alignment horizontal="center" vertical="center"/>
    </xf>
    <xf numFmtId="37" fontId="32" fillId="37" borderId="132" xfId="0" quotePrefix="1" applyNumberFormat="1" applyFont="1" applyFill="1" applyBorder="1" applyAlignment="1" applyProtection="1">
      <alignment horizontal="center" vertical="center"/>
    </xf>
    <xf numFmtId="7" fontId="31" fillId="37" borderId="133" xfId="0" applyNumberFormat="1" applyFont="1" applyFill="1" applyBorder="1" applyAlignment="1" applyProtection="1">
      <alignment horizontal="center" vertical="center"/>
    </xf>
    <xf numFmtId="37" fontId="32" fillId="37" borderId="133" xfId="0" quotePrefix="1" applyNumberFormat="1" applyFont="1" applyFill="1" applyBorder="1" applyAlignment="1" applyProtection="1">
      <alignment horizontal="center" vertical="center"/>
    </xf>
    <xf numFmtId="7" fontId="31" fillId="37" borderId="134" xfId="0" applyNumberFormat="1" applyFont="1" applyFill="1" applyBorder="1" applyAlignment="1" applyProtection="1">
      <alignment horizontal="center" vertical="center"/>
    </xf>
    <xf numFmtId="37" fontId="32" fillId="37" borderId="27" xfId="0" applyNumberFormat="1" applyFont="1" applyFill="1" applyBorder="1" applyAlignment="1" applyProtection="1">
      <alignment horizontal="center" vertical="center"/>
    </xf>
    <xf numFmtId="7" fontId="31" fillId="37" borderId="0" xfId="0" applyNumberFormat="1" applyFont="1" applyFill="1" applyBorder="1" applyAlignment="1" applyProtection="1">
      <alignment horizontal="center" vertical="center"/>
    </xf>
    <xf numFmtId="37" fontId="32" fillId="37" borderId="0" xfId="0" applyNumberFormat="1" applyFont="1" applyFill="1" applyBorder="1" applyAlignment="1" applyProtection="1">
      <alignment horizontal="center" vertical="center"/>
    </xf>
    <xf numFmtId="7" fontId="31" fillId="37" borderId="18" xfId="0" applyNumberFormat="1" applyFont="1" applyFill="1" applyBorder="1" applyAlignment="1" applyProtection="1">
      <alignment horizontal="center" vertical="center"/>
    </xf>
    <xf numFmtId="37" fontId="32" fillId="37" borderId="135" xfId="0" applyNumberFormat="1" applyFont="1" applyFill="1" applyBorder="1" applyAlignment="1" applyProtection="1">
      <alignment horizontal="center" vertical="center"/>
    </xf>
    <xf numFmtId="7" fontId="31" fillId="37" borderId="55" xfId="0" applyNumberFormat="1" applyFont="1" applyFill="1" applyBorder="1" applyAlignment="1" applyProtection="1">
      <alignment horizontal="center" vertical="center"/>
    </xf>
    <xf numFmtId="37" fontId="32" fillId="37" borderId="55" xfId="0" applyNumberFormat="1" applyFont="1" applyFill="1" applyBorder="1" applyAlignment="1" applyProtection="1">
      <alignment horizontal="center" vertical="center"/>
    </xf>
    <xf numFmtId="7" fontId="31" fillId="37" borderId="136" xfId="0" applyNumberFormat="1" applyFont="1" applyFill="1" applyBorder="1" applyAlignment="1" applyProtection="1">
      <alignment horizontal="center" vertical="center"/>
    </xf>
    <xf numFmtId="37" fontId="32" fillId="37" borderId="137" xfId="0" applyNumberFormat="1" applyFont="1" applyFill="1" applyBorder="1" applyAlignment="1" applyProtection="1">
      <alignment horizontal="center" vertical="center"/>
    </xf>
    <xf numFmtId="172" fontId="32" fillId="37" borderId="138" xfId="0" applyNumberFormat="1" applyFont="1" applyFill="1" applyBorder="1" applyAlignment="1" applyProtection="1">
      <alignment horizontal="center" vertical="center"/>
    </xf>
    <xf numFmtId="39" fontId="32" fillId="37" borderId="138" xfId="0" applyNumberFormat="1" applyFont="1" applyFill="1" applyBorder="1" applyAlignment="1" applyProtection="1">
      <alignment horizontal="center" vertical="center"/>
    </xf>
    <xf numFmtId="8" fontId="32" fillId="37" borderId="138" xfId="0" applyNumberFormat="1" applyFont="1" applyFill="1" applyBorder="1" applyAlignment="1" applyProtection="1">
      <alignment horizontal="center" vertical="center"/>
    </xf>
    <xf numFmtId="7" fontId="31" fillId="37" borderId="138" xfId="0" applyNumberFormat="1" applyFont="1" applyFill="1" applyBorder="1" applyAlignment="1" applyProtection="1">
      <alignment horizontal="center" vertical="center"/>
    </xf>
    <xf numFmtId="37" fontId="32" fillId="37" borderId="138" xfId="0" applyNumberFormat="1" applyFont="1" applyFill="1" applyBorder="1" applyAlignment="1" applyProtection="1">
      <alignment horizontal="center" vertical="center"/>
    </xf>
    <xf numFmtId="7" fontId="31" fillId="37" borderId="139" xfId="0" applyNumberFormat="1" applyFont="1" applyFill="1" applyBorder="1" applyAlignment="1" applyProtection="1">
      <alignment horizontal="center" vertical="center"/>
    </xf>
    <xf numFmtId="0" fontId="10" fillId="0" borderId="48" xfId="0" applyFont="1" applyFill="1" applyBorder="1" applyAlignment="1" applyProtection="1">
      <alignment horizontal="center"/>
    </xf>
    <xf numFmtId="0" fontId="10" fillId="0" borderId="29" xfId="0" applyFont="1" applyFill="1" applyBorder="1" applyAlignment="1" applyProtection="1">
      <alignment horizontal="center"/>
    </xf>
    <xf numFmtId="0" fontId="10" fillId="5" borderId="17" xfId="0" applyFont="1" applyFill="1" applyBorder="1" applyAlignment="1" applyProtection="1">
      <alignment horizontal="center" wrapText="1"/>
    </xf>
    <xf numFmtId="0" fontId="10" fillId="5" borderId="14" xfId="0" applyFont="1" applyFill="1" applyBorder="1" applyAlignment="1" applyProtection="1">
      <alignment horizontal="center" wrapText="1"/>
    </xf>
    <xf numFmtId="0" fontId="6" fillId="0" borderId="0" xfId="0" applyFont="1" applyFill="1" applyBorder="1" applyAlignment="1" applyProtection="1">
      <alignment horizontal="left"/>
    </xf>
    <xf numFmtId="164" fontId="6" fillId="0" borderId="0" xfId="0" applyNumberFormat="1" applyFont="1" applyAlignment="1" applyProtection="1">
      <alignment horizontal="center"/>
    </xf>
    <xf numFmtId="0" fontId="32" fillId="0" borderId="0" xfId="0" applyFont="1" applyProtection="1"/>
    <xf numFmtId="0" fontId="32" fillId="0" borderId="0" xfId="0" applyFont="1" applyFill="1" applyBorder="1" applyAlignment="1" applyProtection="1">
      <alignment horizontal="left"/>
    </xf>
    <xf numFmtId="164" fontId="32" fillId="0" borderId="0" xfId="0" applyNumberFormat="1" applyFont="1" applyAlignment="1" applyProtection="1">
      <alignment horizontal="center"/>
    </xf>
    <xf numFmtId="0" fontId="5" fillId="0" borderId="0" xfId="0" applyFont="1" applyFill="1" applyBorder="1" applyAlignment="1" applyProtection="1"/>
    <xf numFmtId="0" fontId="6" fillId="0" borderId="0" xfId="0" applyFont="1" applyFill="1" applyBorder="1" applyAlignment="1" applyProtection="1">
      <alignment horizontal="left" vertical="center"/>
    </xf>
    <xf numFmtId="0" fontId="0" fillId="0" borderId="0" xfId="0" applyFill="1"/>
    <xf numFmtId="0" fontId="6" fillId="0" borderId="0" xfId="0" applyFont="1" applyProtection="1">
      <protection locked="0"/>
    </xf>
    <xf numFmtId="3" fontId="33" fillId="37" borderId="94" xfId="0" quotePrefix="1" applyNumberFormat="1" applyFont="1" applyFill="1" applyBorder="1" applyAlignment="1" applyProtection="1">
      <alignment horizontal="center" vertical="center"/>
    </xf>
    <xf numFmtId="3" fontId="33" fillId="37" borderId="95" xfId="0" quotePrefix="1" applyNumberFormat="1" applyFont="1" applyFill="1" applyBorder="1" applyAlignment="1" applyProtection="1">
      <alignment horizontal="center" vertical="center"/>
    </xf>
    <xf numFmtId="0" fontId="33" fillId="37" borderId="11" xfId="0" quotePrefix="1" applyFont="1" applyFill="1" applyBorder="1" applyAlignment="1" applyProtection="1">
      <alignment horizontal="center" vertical="center"/>
    </xf>
    <xf numFmtId="3" fontId="33" fillId="37" borderId="94" xfId="0" applyNumberFormat="1" applyFont="1" applyFill="1" applyBorder="1" applyAlignment="1" applyProtection="1">
      <alignment horizontal="center" vertical="center"/>
    </xf>
    <xf numFmtId="3" fontId="33" fillId="37" borderId="95" xfId="0" applyNumberFormat="1" applyFont="1" applyFill="1" applyBorder="1" applyAlignment="1" applyProtection="1">
      <alignment horizontal="center" vertical="center"/>
    </xf>
    <xf numFmtId="0" fontId="29" fillId="38" borderId="0" xfId="0" applyFont="1" applyFill="1"/>
    <xf numFmtId="3" fontId="33" fillId="6" borderId="94" xfId="0" applyNumberFormat="1" applyFont="1" applyFill="1" applyBorder="1" applyAlignment="1" applyProtection="1">
      <alignment horizontal="center" vertical="center"/>
    </xf>
    <xf numFmtId="3" fontId="33" fillId="6" borderId="95" xfId="0" applyNumberFormat="1" applyFont="1" applyFill="1" applyBorder="1" applyAlignment="1" applyProtection="1">
      <alignment horizontal="center" vertical="center"/>
    </xf>
    <xf numFmtId="0" fontId="33" fillId="5" borderId="101" xfId="0" applyFont="1" applyFill="1" applyBorder="1" applyAlignment="1" applyProtection="1">
      <alignment horizontal="center" vertical="center"/>
    </xf>
    <xf numFmtId="0" fontId="10" fillId="5" borderId="19" xfId="0" applyFont="1" applyFill="1" applyBorder="1" applyAlignment="1" applyProtection="1">
      <alignment horizontal="left" vertical="center" wrapText="1"/>
    </xf>
    <xf numFmtId="0" fontId="10" fillId="39" borderId="11" xfId="0" applyFont="1" applyFill="1" applyBorder="1" applyAlignment="1" applyProtection="1">
      <alignment vertical="top" wrapText="1"/>
    </xf>
    <xf numFmtId="0" fontId="37" fillId="0" borderId="0" xfId="0" applyFont="1" applyFill="1" applyBorder="1" applyAlignment="1" applyProtection="1">
      <alignment horizontal="center" vertical="center"/>
    </xf>
    <xf numFmtId="0" fontId="37" fillId="0" borderId="0" xfId="0" applyFont="1" applyFill="1" applyBorder="1" applyAlignment="1" applyProtection="1">
      <alignment horizontal="left" vertical="center" wrapText="1"/>
    </xf>
    <xf numFmtId="168" fontId="38" fillId="0" borderId="0" xfId="0" applyNumberFormat="1" applyFont="1" applyFill="1" applyBorder="1" applyAlignment="1" applyProtection="1">
      <alignment horizontal="center" vertical="center"/>
    </xf>
    <xf numFmtId="0" fontId="37" fillId="6" borderId="48" xfId="0" applyFont="1" applyFill="1" applyBorder="1" applyAlignment="1" applyProtection="1">
      <alignment horizontal="left" vertical="center" wrapText="1"/>
    </xf>
    <xf numFmtId="0" fontId="37" fillId="6" borderId="45" xfId="0" applyFont="1" applyFill="1" applyBorder="1" applyAlignment="1" applyProtection="1">
      <alignment horizontal="left" vertical="center" wrapText="1"/>
    </xf>
    <xf numFmtId="0" fontId="35" fillId="0" borderId="0" xfId="0" applyFont="1" applyFill="1" applyBorder="1" applyAlignment="1" applyProtection="1">
      <alignment horizontal="center" vertical="center"/>
    </xf>
    <xf numFmtId="0" fontId="35" fillId="0" borderId="0" xfId="0" applyFont="1" applyFill="1" applyBorder="1" applyAlignment="1" applyProtection="1">
      <alignment horizontal="left" vertical="center" wrapText="1"/>
    </xf>
    <xf numFmtId="37" fontId="31" fillId="0" borderId="0" xfId="0" applyNumberFormat="1" applyFont="1" applyFill="1" applyBorder="1" applyAlignment="1" applyProtection="1">
      <alignment horizontal="center" vertical="center"/>
    </xf>
    <xf numFmtId="38" fontId="31" fillId="0" borderId="0" xfId="0" quotePrefix="1" applyNumberFormat="1" applyFont="1" applyFill="1" applyBorder="1" applyAlignment="1" applyProtection="1">
      <alignment horizontal="center" vertical="center"/>
    </xf>
    <xf numFmtId="39" fontId="31" fillId="0" borderId="0" xfId="0" applyNumberFormat="1" applyFont="1" applyFill="1" applyBorder="1" applyAlignment="1" applyProtection="1">
      <alignment horizontal="center" vertical="center"/>
    </xf>
    <xf numFmtId="7" fontId="35" fillId="0" borderId="0" xfId="0" applyNumberFormat="1" applyFont="1" applyFill="1" applyBorder="1" applyAlignment="1" applyProtection="1">
      <alignment horizontal="center" vertical="center"/>
    </xf>
    <xf numFmtId="37" fontId="31" fillId="0" borderId="0" xfId="0" quotePrefix="1" applyNumberFormat="1" applyFont="1" applyFill="1" applyBorder="1" applyAlignment="1" applyProtection="1">
      <alignment horizontal="center" vertical="center"/>
    </xf>
    <xf numFmtId="0" fontId="10" fillId="0" borderId="0" xfId="0" applyFont="1" applyFill="1" applyBorder="1" applyAlignment="1" applyProtection="1">
      <alignment horizontal="center" vertical="center"/>
    </xf>
    <xf numFmtId="0" fontId="0" fillId="0" borderId="0" xfId="0" applyFill="1" applyBorder="1" applyAlignment="1">
      <alignment horizontal="center"/>
    </xf>
    <xf numFmtId="0" fontId="29" fillId="0" borderId="0" xfId="0" applyFont="1" applyFill="1" applyBorder="1" applyAlignment="1" applyProtection="1">
      <alignment vertical="center" wrapText="1"/>
    </xf>
    <xf numFmtId="0" fontId="0" fillId="2" borderId="0" xfId="0" applyFill="1" applyBorder="1"/>
    <xf numFmtId="0" fontId="0" fillId="0" borderId="0" xfId="0" applyFill="1" applyBorder="1"/>
    <xf numFmtId="0" fontId="5" fillId="0" borderId="48" xfId="0" applyFont="1" applyFill="1" applyBorder="1" applyAlignment="1" applyProtection="1">
      <alignment horizontal="center"/>
    </xf>
    <xf numFmtId="0" fontId="33" fillId="0" borderId="29" xfId="0" applyFont="1" applyBorder="1" applyAlignment="1" applyProtection="1">
      <alignment horizontal="left" vertical="center" wrapText="1"/>
    </xf>
    <xf numFmtId="0" fontId="10" fillId="5" borderId="11" xfId="0" applyFont="1" applyFill="1" applyBorder="1" applyAlignment="1" applyProtection="1">
      <alignment horizontal="center" vertical="center"/>
    </xf>
    <xf numFmtId="0" fontId="10" fillId="5" borderId="11" xfId="0" applyFont="1" applyFill="1" applyBorder="1" applyAlignment="1" applyProtection="1">
      <alignment horizontal="left" vertical="center" wrapText="1"/>
    </xf>
    <xf numFmtId="0" fontId="33" fillId="5" borderId="19" xfId="0" applyFont="1" applyFill="1" applyBorder="1" applyAlignment="1" applyProtection="1">
      <alignment vertical="center" wrapText="1"/>
    </xf>
    <xf numFmtId="0" fontId="37" fillId="6" borderId="9" xfId="0" applyFont="1" applyFill="1" applyBorder="1" applyAlignment="1" applyProtection="1">
      <alignment horizontal="center" vertical="center"/>
    </xf>
    <xf numFmtId="0" fontId="37" fillId="0" borderId="48" xfId="0" applyFont="1" applyFill="1" applyBorder="1" applyAlignment="1" applyProtection="1">
      <alignment horizontal="center" vertical="center"/>
    </xf>
    <xf numFmtId="0" fontId="37" fillId="0" borderId="48" xfId="0" applyFont="1" applyFill="1" applyBorder="1" applyAlignment="1" applyProtection="1">
      <alignment horizontal="left" vertical="center" wrapText="1"/>
    </xf>
    <xf numFmtId="0" fontId="43" fillId="0" borderId="0" xfId="0" applyFont="1"/>
    <xf numFmtId="0" fontId="10" fillId="0" borderId="0" xfId="0" applyFont="1"/>
    <xf numFmtId="0" fontId="33" fillId="5" borderId="3" xfId="0" applyFont="1" applyFill="1" applyBorder="1" applyAlignment="1" applyProtection="1">
      <alignment horizontal="center" vertical="center"/>
    </xf>
    <xf numFmtId="3" fontId="9" fillId="5" borderId="81" xfId="0" applyNumberFormat="1" applyFont="1" applyFill="1" applyBorder="1" applyAlignment="1" applyProtection="1">
      <alignment horizontal="center"/>
    </xf>
    <xf numFmtId="3" fontId="9" fillId="5" borderId="82" xfId="0" applyNumberFormat="1" applyFont="1" applyFill="1" applyBorder="1" applyAlignment="1" applyProtection="1">
      <alignment horizontal="center"/>
    </xf>
    <xf numFmtId="0" fontId="10" fillId="5" borderId="23" xfId="0" applyFont="1" applyFill="1" applyBorder="1" applyAlignment="1">
      <alignment vertical="center"/>
    </xf>
    <xf numFmtId="0" fontId="10" fillId="5" borderId="38" xfId="0" applyFont="1" applyFill="1" applyBorder="1" applyAlignment="1">
      <alignment horizontal="center" vertical="center"/>
    </xf>
    <xf numFmtId="0" fontId="10" fillId="5" borderId="38" xfId="0" applyFont="1" applyFill="1" applyBorder="1" applyAlignment="1">
      <alignment vertical="center"/>
    </xf>
    <xf numFmtId="0" fontId="10" fillId="5" borderId="35" xfId="0" applyFont="1" applyFill="1" applyBorder="1" applyAlignment="1">
      <alignment horizontal="left" vertical="center" indent="1"/>
    </xf>
    <xf numFmtId="0" fontId="10" fillId="5" borderId="2" xfId="0" applyFont="1" applyFill="1" applyBorder="1" applyAlignment="1">
      <alignment horizontal="left" vertical="center" indent="1"/>
    </xf>
    <xf numFmtId="0" fontId="6" fillId="0" borderId="0" xfId="0" applyFont="1" applyAlignment="1">
      <alignment vertical="center"/>
    </xf>
    <xf numFmtId="0" fontId="10" fillId="5" borderId="40" xfId="0" applyFont="1" applyFill="1" applyBorder="1" applyAlignment="1">
      <alignment vertical="center"/>
    </xf>
    <xf numFmtId="0" fontId="10" fillId="5" borderId="144" xfId="0" applyFont="1" applyFill="1" applyBorder="1" applyAlignment="1">
      <alignment horizontal="center" vertical="center"/>
    </xf>
    <xf numFmtId="0" fontId="10" fillId="5" borderId="144" xfId="0" applyFont="1" applyFill="1" applyBorder="1" applyAlignment="1">
      <alignment horizontal="right" vertical="center"/>
    </xf>
    <xf numFmtId="0" fontId="10" fillId="5" borderId="147" xfId="0" quotePrefix="1" applyFont="1" applyFill="1" applyBorder="1" applyAlignment="1">
      <alignment horizontal="center" vertical="center"/>
    </xf>
    <xf numFmtId="9" fontId="10" fillId="5" borderId="147" xfId="0" quotePrefix="1" applyNumberFormat="1" applyFont="1" applyFill="1" applyBorder="1" applyAlignment="1">
      <alignment horizontal="center" vertical="center"/>
    </xf>
    <xf numFmtId="0" fontId="6" fillId="5" borderId="4" xfId="0" applyFont="1" applyFill="1" applyBorder="1"/>
    <xf numFmtId="0" fontId="7" fillId="5" borderId="17" xfId="0" applyFont="1" applyFill="1" applyBorder="1" applyAlignment="1">
      <alignment horizontal="center" vertical="center" wrapText="1"/>
    </xf>
    <xf numFmtId="0" fontId="10" fillId="0" borderId="0" xfId="0" quotePrefix="1" applyFont="1" applyAlignment="1">
      <alignment horizontal="left" wrapText="1"/>
    </xf>
    <xf numFmtId="0" fontId="45" fillId="5" borderId="51" xfId="0" applyFont="1" applyFill="1" applyBorder="1" applyAlignment="1">
      <alignment vertical="center"/>
    </xf>
    <xf numFmtId="0" fontId="45" fillId="5" borderId="62" xfId="0" applyFont="1" applyFill="1" applyBorder="1" applyAlignment="1">
      <alignment vertical="center"/>
    </xf>
    <xf numFmtId="0" fontId="45" fillId="5" borderId="63" xfId="0" applyFont="1" applyFill="1" applyBorder="1" applyAlignment="1">
      <alignment vertical="center"/>
    </xf>
    <xf numFmtId="0" fontId="45" fillId="5" borderId="51" xfId="0" applyFont="1" applyFill="1" applyBorder="1" applyAlignment="1">
      <alignment horizontal="left" vertical="center"/>
    </xf>
    <xf numFmtId="0" fontId="45" fillId="5" borderId="146" xfId="0" applyFont="1" applyFill="1" applyBorder="1" applyAlignment="1">
      <alignment horizontal="center" vertical="center"/>
    </xf>
    <xf numFmtId="0" fontId="45" fillId="5" borderId="62" xfId="0" applyFont="1" applyFill="1" applyBorder="1" applyAlignment="1">
      <alignment horizontal="center" vertical="center"/>
    </xf>
    <xf numFmtId="0" fontId="45" fillId="5" borderId="63" xfId="0" applyFont="1" applyFill="1" applyBorder="1" applyAlignment="1">
      <alignment vertical="center" wrapText="1"/>
    </xf>
    <xf numFmtId="0" fontId="10" fillId="40" borderId="38" xfId="0" applyFont="1" applyFill="1" applyBorder="1" applyAlignment="1" applyProtection="1">
      <alignment horizontal="center" vertical="center"/>
      <protection locked="0"/>
    </xf>
    <xf numFmtId="0" fontId="10" fillId="40" borderId="36" xfId="0" applyFont="1" applyFill="1" applyBorder="1" applyAlignment="1" applyProtection="1">
      <alignment horizontal="center" vertical="center"/>
      <protection locked="0"/>
    </xf>
    <xf numFmtId="0" fontId="5" fillId="0" borderId="0" xfId="0" applyFont="1" applyProtection="1">
      <protection locked="0"/>
    </xf>
    <xf numFmtId="0" fontId="7" fillId="5" borderId="3" xfId="0" applyFont="1" applyFill="1" applyBorder="1" applyAlignment="1">
      <alignment horizontal="center" vertical="center" wrapText="1"/>
    </xf>
    <xf numFmtId="0" fontId="45" fillId="5" borderId="62" xfId="0" applyFont="1" applyFill="1" applyBorder="1" applyAlignment="1">
      <alignment horizontal="center" vertical="center" wrapText="1"/>
    </xf>
    <xf numFmtId="0" fontId="48" fillId="0" borderId="0" xfId="0" applyFont="1"/>
    <xf numFmtId="0" fontId="10" fillId="5" borderId="88" xfId="0" applyFont="1" applyFill="1" applyBorder="1" applyAlignment="1">
      <alignment horizontal="left" vertical="center" wrapText="1"/>
    </xf>
    <xf numFmtId="0" fontId="9" fillId="4" borderId="11" xfId="0" applyFont="1" applyFill="1" applyBorder="1" applyAlignment="1" applyProtection="1">
      <alignment vertical="top" wrapText="1"/>
    </xf>
    <xf numFmtId="0" fontId="9" fillId="3" borderId="0" xfId="0" applyFont="1" applyFill="1" applyProtection="1"/>
    <xf numFmtId="0" fontId="10" fillId="3" borderId="0" xfId="0" quotePrefix="1" applyFont="1" applyFill="1" applyAlignment="1" applyProtection="1">
      <alignment horizontal="left" vertical="top"/>
    </xf>
    <xf numFmtId="0" fontId="3" fillId="0" borderId="0" xfId="0" applyFont="1"/>
    <xf numFmtId="0" fontId="9" fillId="4" borderId="19" xfId="0" applyFont="1" applyFill="1" applyBorder="1" applyAlignment="1" applyProtection="1">
      <alignment vertical="top" wrapText="1"/>
    </xf>
    <xf numFmtId="0" fontId="9" fillId="4" borderId="8" xfId="0" applyFont="1" applyFill="1" applyBorder="1" applyAlignment="1" applyProtection="1">
      <alignment vertical="top" wrapText="1"/>
    </xf>
    <xf numFmtId="0" fontId="9" fillId="3" borderId="8" xfId="0" applyFont="1" applyFill="1" applyBorder="1" applyAlignment="1" applyProtection="1">
      <alignment vertical="top" wrapText="1"/>
      <protection locked="0"/>
    </xf>
    <xf numFmtId="0" fontId="9" fillId="4" borderId="9" xfId="0" applyFont="1" applyFill="1" applyBorder="1" applyAlignment="1" applyProtection="1">
      <alignment vertical="top" wrapText="1"/>
    </xf>
    <xf numFmtId="49" fontId="9" fillId="4" borderId="19" xfId="0" applyNumberFormat="1" applyFont="1" applyFill="1" applyBorder="1" applyAlignment="1" applyProtection="1">
      <alignment vertical="top" wrapText="1"/>
    </xf>
    <xf numFmtId="0" fontId="9" fillId="3" borderId="0" xfId="0" applyFont="1" applyFill="1" applyBorder="1" applyAlignment="1" applyProtection="1">
      <alignment vertical="top" wrapText="1"/>
      <protection locked="0"/>
    </xf>
    <xf numFmtId="0" fontId="9" fillId="3" borderId="0" xfId="0" applyFont="1" applyFill="1" applyBorder="1" applyAlignment="1" applyProtection="1">
      <alignment horizontal="center" vertical="top" wrapText="1"/>
      <protection locked="0"/>
    </xf>
    <xf numFmtId="0" fontId="10" fillId="4" borderId="17" xfId="0" applyFont="1" applyFill="1" applyBorder="1" applyAlignment="1" applyProtection="1">
      <alignment horizontal="center" vertical="top" wrapText="1"/>
    </xf>
    <xf numFmtId="0" fontId="9" fillId="3" borderId="19" xfId="0" applyFont="1" applyFill="1" applyBorder="1" applyAlignment="1" applyProtection="1">
      <alignment horizontal="left" vertical="top" wrapText="1"/>
      <protection locked="0"/>
    </xf>
    <xf numFmtId="0" fontId="9" fillId="3" borderId="8" xfId="0" applyFont="1" applyFill="1" applyBorder="1" applyAlignment="1" applyProtection="1">
      <alignment horizontal="left" vertical="top" wrapText="1"/>
      <protection locked="0"/>
    </xf>
    <xf numFmtId="0" fontId="9" fillId="3" borderId="9" xfId="0" applyFont="1" applyFill="1" applyBorder="1" applyAlignment="1" applyProtection="1">
      <alignment horizontal="left" vertical="top" wrapText="1"/>
      <protection locked="0"/>
    </xf>
    <xf numFmtId="0" fontId="9" fillId="3" borderId="32" xfId="0" applyFont="1" applyFill="1" applyBorder="1" applyAlignment="1" applyProtection="1">
      <alignment vertical="top" wrapText="1"/>
      <protection locked="0"/>
    </xf>
    <xf numFmtId="0" fontId="10" fillId="4" borderId="54" xfId="0" applyFont="1" applyFill="1" applyBorder="1" applyAlignment="1" applyProtection="1">
      <alignment vertical="top" wrapText="1"/>
    </xf>
    <xf numFmtId="0" fontId="10" fillId="0" borderId="41" xfId="0" applyFont="1" applyFill="1" applyBorder="1" applyAlignment="1" applyProtection="1">
      <alignment vertical="top" wrapText="1"/>
      <protection locked="0"/>
    </xf>
    <xf numFmtId="0" fontId="10" fillId="5" borderId="13" xfId="0" applyFont="1" applyFill="1" applyBorder="1" applyAlignment="1" applyProtection="1">
      <alignment horizontal="right" vertical="top" wrapText="1"/>
    </xf>
    <xf numFmtId="0" fontId="10" fillId="5" borderId="12" xfId="0" quotePrefix="1" applyFont="1" applyFill="1" applyBorder="1" applyAlignment="1" applyProtection="1">
      <alignment horizontal="right" vertical="top" wrapText="1"/>
    </xf>
    <xf numFmtId="0" fontId="10" fillId="5" borderId="3" xfId="0" applyFont="1" applyFill="1" applyBorder="1" applyAlignment="1" applyProtection="1">
      <alignment horizontal="center" vertical="top" wrapText="1"/>
    </xf>
    <xf numFmtId="0" fontId="10" fillId="5" borderId="4" xfId="0" applyFont="1" applyFill="1" applyBorder="1" applyAlignment="1" applyProtection="1">
      <alignment horizontal="center" vertical="top" wrapText="1"/>
    </xf>
    <xf numFmtId="0" fontId="10" fillId="5" borderId="5" xfId="0" applyFont="1" applyFill="1" applyBorder="1" applyAlignment="1" applyProtection="1">
      <alignment horizontal="center" vertical="top" wrapText="1"/>
    </xf>
    <xf numFmtId="0" fontId="10" fillId="5" borderId="13" xfId="0" quotePrefix="1" applyFont="1" applyFill="1" applyBorder="1" applyAlignment="1" applyProtection="1">
      <alignment horizontal="right" vertical="top" wrapText="1"/>
    </xf>
    <xf numFmtId="0" fontId="10" fillId="5" borderId="12" xfId="0" applyFont="1" applyFill="1" applyBorder="1" applyAlignment="1" applyProtection="1">
      <alignment horizontal="center"/>
    </xf>
    <xf numFmtId="0" fontId="10" fillId="0" borderId="0" xfId="0" applyFont="1" applyFill="1" applyBorder="1" applyAlignment="1" applyProtection="1">
      <alignment horizontal="center"/>
    </xf>
    <xf numFmtId="0" fontId="10" fillId="5" borderId="45" xfId="0" applyFont="1" applyFill="1" applyBorder="1" applyAlignment="1" applyProtection="1">
      <alignment horizontal="center" vertical="top" wrapText="1"/>
    </xf>
    <xf numFmtId="0" fontId="10" fillId="5" borderId="14" xfId="0" applyFont="1" applyFill="1" applyBorder="1" applyAlignment="1" applyProtection="1">
      <alignment horizontal="center" vertical="top" wrapText="1"/>
    </xf>
    <xf numFmtId="0" fontId="10" fillId="5" borderId="6" xfId="0" applyFont="1" applyFill="1" applyBorder="1" applyAlignment="1" applyProtection="1">
      <alignment vertical="top" wrapText="1"/>
    </xf>
    <xf numFmtId="0" fontId="5" fillId="0" borderId="0" xfId="0" applyFont="1" applyFill="1" applyBorder="1" applyAlignment="1" applyProtection="1">
      <alignment horizontal="center"/>
    </xf>
    <xf numFmtId="0" fontId="9" fillId="3" borderId="16" xfId="0" applyFont="1" applyFill="1" applyBorder="1" applyAlignment="1" applyProtection="1">
      <alignment horizontal="left" vertical="top" wrapText="1"/>
      <protection locked="0"/>
    </xf>
    <xf numFmtId="0" fontId="9" fillId="3" borderId="15" xfId="0" applyFont="1" applyFill="1" applyBorder="1" applyAlignment="1" applyProtection="1">
      <alignment horizontal="left" vertical="top" wrapText="1"/>
      <protection locked="0"/>
    </xf>
    <xf numFmtId="0" fontId="9" fillId="3" borderId="24" xfId="0" applyFont="1" applyFill="1" applyBorder="1" applyAlignment="1" applyProtection="1">
      <alignment horizontal="left" vertical="top" wrapText="1"/>
      <protection locked="0"/>
    </xf>
    <xf numFmtId="0" fontId="10" fillId="4" borderId="5" xfId="0" applyFont="1" applyFill="1" applyBorder="1" applyAlignment="1" applyProtection="1">
      <alignment horizontal="center" vertical="top" wrapText="1"/>
    </xf>
    <xf numFmtId="0" fontId="9" fillId="0" borderId="0" xfId="0" applyFont="1"/>
    <xf numFmtId="0" fontId="3" fillId="0" borderId="0" xfId="0" applyFont="1" applyFill="1" applyProtection="1"/>
    <xf numFmtId="0" fontId="3" fillId="0" borderId="0" xfId="0" applyFont="1" applyFill="1"/>
    <xf numFmtId="0" fontId="9" fillId="0" borderId="17" xfId="0" applyFont="1" applyFill="1" applyBorder="1" applyAlignment="1" applyProtection="1">
      <alignment horizontal="center" vertical="top" wrapText="1"/>
      <protection locked="0"/>
    </xf>
    <xf numFmtId="0" fontId="9" fillId="0" borderId="14" xfId="0" applyFont="1" applyFill="1" applyBorder="1" applyAlignment="1" applyProtection="1">
      <alignment horizontal="center" vertical="top" wrapText="1"/>
      <protection locked="0"/>
    </xf>
    <xf numFmtId="1" fontId="9" fillId="0" borderId="17" xfId="0" applyNumberFormat="1" applyFont="1" applyBorder="1" applyAlignment="1" applyProtection="1">
      <alignment horizontal="center"/>
      <protection locked="0"/>
    </xf>
    <xf numFmtId="0" fontId="9" fillId="0" borderId="19" xfId="0" applyFont="1" applyBorder="1" applyAlignment="1" applyProtection="1">
      <alignment horizontal="center" vertical="top" wrapText="1"/>
      <protection locked="0"/>
    </xf>
    <xf numFmtId="0" fontId="9" fillId="0" borderId="15" xfId="0" applyFont="1" applyBorder="1" applyAlignment="1" applyProtection="1">
      <alignment horizontal="center" vertical="top" wrapText="1"/>
      <protection locked="0"/>
    </xf>
    <xf numFmtId="0" fontId="9" fillId="0" borderId="8" xfId="0" applyFont="1" applyBorder="1" applyAlignment="1" applyProtection="1">
      <alignment horizontal="center" vertical="top" wrapText="1"/>
      <protection locked="0"/>
    </xf>
    <xf numFmtId="0" fontId="9" fillId="0" borderId="16" xfId="0" applyFont="1" applyBorder="1" applyAlignment="1" applyProtection="1">
      <alignment horizontal="center" vertical="top" wrapText="1"/>
      <protection locked="0"/>
    </xf>
    <xf numFmtId="0" fontId="9" fillId="0" borderId="11" xfId="0" applyFont="1" applyBorder="1" applyAlignment="1" applyProtection="1">
      <alignment horizontal="center" vertical="top" wrapText="1"/>
      <protection locked="0"/>
    </xf>
    <xf numFmtId="0" fontId="9" fillId="0" borderId="14" xfId="0" applyFont="1" applyBorder="1" applyAlignment="1" applyProtection="1">
      <alignment horizontal="center" vertical="top" wrapText="1"/>
      <protection locked="0"/>
    </xf>
    <xf numFmtId="0" fontId="9" fillId="0" borderId="21" xfId="0" applyFont="1" applyBorder="1" applyAlignment="1" applyProtection="1">
      <alignment horizontal="center" vertical="top" wrapText="1"/>
      <protection locked="0"/>
    </xf>
    <xf numFmtId="0" fontId="9" fillId="0" borderId="0" xfId="0" applyFont="1" applyFill="1" applyAlignment="1" applyProtection="1">
      <alignment wrapText="1"/>
    </xf>
    <xf numFmtId="0" fontId="9" fillId="5" borderId="13" xfId="0" applyFont="1" applyFill="1" applyBorder="1" applyAlignment="1" applyProtection="1">
      <alignment vertical="top" wrapText="1"/>
    </xf>
    <xf numFmtId="0" fontId="9" fillId="5" borderId="11" xfId="0" applyFont="1" applyFill="1" applyBorder="1" applyAlignment="1" applyProtection="1">
      <alignment vertical="top" wrapText="1"/>
    </xf>
    <xf numFmtId="0" fontId="9" fillId="0" borderId="0" xfId="0" applyFont="1" applyFill="1"/>
    <xf numFmtId="0" fontId="9" fillId="0" borderId="0" xfId="0" applyFont="1" applyFill="1" applyBorder="1" applyAlignment="1" applyProtection="1">
      <alignment horizontal="left"/>
    </xf>
    <xf numFmtId="3" fontId="9" fillId="5" borderId="77" xfId="0" applyNumberFormat="1" applyFont="1" applyFill="1" applyBorder="1" applyAlignment="1" applyProtection="1">
      <alignment horizontal="center" vertical="center"/>
    </xf>
    <xf numFmtId="3" fontId="9" fillId="5" borderId="78" xfId="0" applyNumberFormat="1" applyFont="1" applyFill="1" applyBorder="1" applyAlignment="1" applyProtection="1">
      <alignment horizontal="center" vertical="center"/>
    </xf>
    <xf numFmtId="0" fontId="9" fillId="0" borderId="48" xfId="0" applyFont="1" applyFill="1" applyBorder="1" applyAlignment="1" applyProtection="1">
      <alignment horizontal="center"/>
    </xf>
    <xf numFmtId="0" fontId="9" fillId="0" borderId="0" xfId="0" applyFont="1" applyFill="1" applyBorder="1" applyAlignment="1" applyProtection="1">
      <alignment horizontal="center"/>
    </xf>
    <xf numFmtId="0" fontId="9" fillId="0" borderId="0" xfId="0" applyFont="1" applyFill="1" applyBorder="1" applyAlignment="1" applyProtection="1">
      <alignment horizontal="left" vertical="center" wrapText="1"/>
    </xf>
    <xf numFmtId="167" fontId="9" fillId="0" borderId="81" xfId="0" applyNumberFormat="1" applyFont="1" applyFill="1" applyBorder="1" applyAlignment="1" applyProtection="1">
      <alignment horizontal="center" vertical="center"/>
      <protection locked="0"/>
    </xf>
    <xf numFmtId="167" fontId="9" fillId="5" borderId="82" xfId="0" applyNumberFormat="1" applyFont="1" applyFill="1" applyBorder="1" applyAlignment="1" applyProtection="1">
      <alignment horizontal="center" vertical="center"/>
    </xf>
    <xf numFmtId="3" fontId="9" fillId="5" borderId="73" xfId="0" applyNumberFormat="1" applyFont="1" applyFill="1" applyBorder="1" applyAlignment="1" applyProtection="1">
      <alignment horizontal="center" vertical="center"/>
    </xf>
    <xf numFmtId="3" fontId="9" fillId="5" borderId="74" xfId="0" applyNumberFormat="1" applyFont="1" applyFill="1" applyBorder="1" applyAlignment="1" applyProtection="1">
      <alignment horizontal="center" vertical="center"/>
    </xf>
    <xf numFmtId="169" fontId="9" fillId="5" borderId="73" xfId="0" applyNumberFormat="1" applyFont="1" applyFill="1" applyBorder="1" applyAlignment="1" applyProtection="1">
      <alignment horizontal="center" vertical="center"/>
    </xf>
    <xf numFmtId="169" fontId="9" fillId="5" borderId="74" xfId="0" applyNumberFormat="1" applyFont="1" applyFill="1" applyBorder="1" applyAlignment="1" applyProtection="1">
      <alignment horizontal="center" vertical="center"/>
    </xf>
    <xf numFmtId="0" fontId="9" fillId="0" borderId="48" xfId="0" applyFont="1" applyFill="1" applyBorder="1" applyAlignment="1" applyProtection="1">
      <alignment horizontal="left"/>
    </xf>
    <xf numFmtId="168" fontId="9" fillId="4" borderId="21" xfId="3" applyNumberFormat="1" applyFont="1" applyFill="1" applyBorder="1" applyAlignment="1" applyProtection="1">
      <alignment horizontal="center" vertical="top" wrapText="1"/>
    </xf>
    <xf numFmtId="164" fontId="9" fillId="0" borderId="0" xfId="0" applyNumberFormat="1" applyFont="1" applyAlignment="1" applyProtection="1">
      <alignment horizontal="center"/>
    </xf>
    <xf numFmtId="0" fontId="9" fillId="0" borderId="0" xfId="0" applyFont="1" applyProtection="1"/>
    <xf numFmtId="167" fontId="9" fillId="3" borderId="45" xfId="2" applyNumberFormat="1" applyFont="1" applyFill="1" applyBorder="1" applyAlignment="1" applyProtection="1">
      <alignment horizontal="center" vertical="center" wrapText="1"/>
      <protection locked="0"/>
    </xf>
    <xf numFmtId="167" fontId="9" fillId="3" borderId="5" xfId="2" applyNumberFormat="1" applyFont="1" applyFill="1" applyBorder="1" applyAlignment="1" applyProtection="1">
      <alignment horizontal="center" vertical="center" wrapText="1"/>
      <protection locked="0"/>
    </xf>
    <xf numFmtId="0" fontId="9" fillId="3" borderId="19" xfId="0" applyFont="1" applyFill="1" applyBorder="1" applyAlignment="1" applyProtection="1">
      <alignment vertical="top" wrapText="1"/>
      <protection locked="0"/>
    </xf>
    <xf numFmtId="168" fontId="9" fillId="4" borderId="15" xfId="3" applyNumberFormat="1" applyFont="1" applyFill="1" applyBorder="1" applyAlignment="1" applyProtection="1">
      <alignment horizontal="center" vertical="top" wrapText="1"/>
    </xf>
    <xf numFmtId="168" fontId="9" fillId="4" borderId="16" xfId="3" applyNumberFormat="1" applyFont="1" applyFill="1" applyBorder="1" applyAlignment="1" applyProtection="1">
      <alignment horizontal="center" vertical="top" wrapText="1"/>
    </xf>
    <xf numFmtId="0" fontId="9" fillId="3" borderId="13" xfId="0" applyFont="1" applyFill="1" applyBorder="1" applyAlignment="1" applyProtection="1">
      <alignment vertical="top" wrapText="1"/>
      <protection locked="0"/>
    </xf>
    <xf numFmtId="168" fontId="9" fillId="4" borderId="14" xfId="3" applyNumberFormat="1" applyFont="1" applyFill="1" applyBorder="1" applyAlignment="1" applyProtection="1">
      <alignment horizontal="center" vertical="top" wrapText="1"/>
    </xf>
    <xf numFmtId="0" fontId="9" fillId="3" borderId="9" xfId="0" applyFont="1" applyFill="1" applyBorder="1" applyAlignment="1" applyProtection="1">
      <alignment vertical="top" wrapText="1"/>
      <protection locked="0"/>
    </xf>
    <xf numFmtId="0" fontId="9" fillId="3" borderId="10" xfId="0" applyFont="1" applyFill="1" applyBorder="1" applyAlignment="1" applyProtection="1">
      <alignment vertical="top" wrapText="1"/>
      <protection locked="0"/>
    </xf>
    <xf numFmtId="0" fontId="9" fillId="3" borderId="15" xfId="0" applyFont="1" applyFill="1" applyBorder="1" applyAlignment="1" applyProtection="1">
      <alignment vertical="top" wrapText="1"/>
      <protection locked="0"/>
    </xf>
    <xf numFmtId="0" fontId="9" fillId="3" borderId="21" xfId="0" applyFont="1" applyFill="1" applyBorder="1" applyAlignment="1" applyProtection="1">
      <alignment vertical="top" wrapText="1"/>
      <protection locked="0"/>
    </xf>
    <xf numFmtId="0" fontId="9" fillId="3" borderId="16" xfId="0" applyFont="1" applyFill="1" applyBorder="1" applyAlignment="1" applyProtection="1">
      <alignment vertical="top" wrapText="1"/>
      <protection locked="0"/>
    </xf>
    <xf numFmtId="0" fontId="9" fillId="3" borderId="24" xfId="0" applyFont="1" applyFill="1" applyBorder="1" applyAlignment="1" applyProtection="1">
      <alignment vertical="top" wrapText="1"/>
      <protection locked="0"/>
    </xf>
    <xf numFmtId="168" fontId="9" fillId="4" borderId="24" xfId="3" applyNumberFormat="1" applyFont="1" applyFill="1" applyBorder="1" applyAlignment="1" applyProtection="1">
      <alignment horizontal="center" vertical="top" wrapText="1"/>
    </xf>
    <xf numFmtId="168" fontId="9" fillId="4" borderId="5" xfId="3" quotePrefix="1" applyNumberFormat="1" applyFont="1" applyFill="1" applyBorder="1" applyAlignment="1" applyProtection="1">
      <alignment horizontal="center" vertical="top" wrapText="1"/>
    </xf>
    <xf numFmtId="0" fontId="9" fillId="3" borderId="15" xfId="0" applyFont="1" applyFill="1" applyBorder="1" applyAlignment="1" applyProtection="1">
      <alignment horizontal="center" vertical="top" wrapText="1"/>
      <protection locked="0"/>
    </xf>
    <xf numFmtId="0" fontId="9" fillId="3" borderId="47" xfId="0" applyFont="1" applyFill="1" applyBorder="1" applyAlignment="1" applyProtection="1">
      <alignment horizontal="center" vertical="top" wrapText="1"/>
      <protection locked="0"/>
    </xf>
    <xf numFmtId="0" fontId="9" fillId="3" borderId="16" xfId="0" applyFont="1" applyFill="1" applyBorder="1" applyAlignment="1" applyProtection="1">
      <alignment horizontal="center" vertical="top" wrapText="1"/>
      <protection locked="0"/>
    </xf>
    <xf numFmtId="0" fontId="9" fillId="3" borderId="46" xfId="0" applyFont="1" applyFill="1" applyBorder="1" applyAlignment="1" applyProtection="1">
      <alignment horizontal="center" vertical="top" wrapText="1"/>
      <protection locked="0"/>
    </xf>
    <xf numFmtId="0" fontId="9" fillId="3" borderId="24" xfId="0" applyFont="1" applyFill="1" applyBorder="1" applyAlignment="1" applyProtection="1">
      <alignment horizontal="center" vertical="top" wrapText="1"/>
      <protection locked="0"/>
    </xf>
    <xf numFmtId="0" fontId="9" fillId="3" borderId="31" xfId="0" applyFont="1" applyFill="1" applyBorder="1" applyAlignment="1" applyProtection="1">
      <alignment horizontal="center" vertical="top" wrapText="1"/>
      <protection locked="0"/>
    </xf>
    <xf numFmtId="0" fontId="9" fillId="3" borderId="21" xfId="0" applyFont="1" applyFill="1" applyBorder="1" applyAlignment="1" applyProtection="1">
      <alignment horizontal="center" vertical="top" wrapText="1"/>
      <protection locked="0"/>
    </xf>
    <xf numFmtId="0" fontId="9" fillId="3" borderId="58" xfId="0" applyFont="1" applyFill="1" applyBorder="1" applyAlignment="1" applyProtection="1">
      <alignment horizontal="center" vertical="top" wrapText="1"/>
      <protection locked="0"/>
    </xf>
    <xf numFmtId="0" fontId="9" fillId="4" borderId="23" xfId="0" applyFont="1" applyFill="1" applyBorder="1" applyAlignment="1" applyProtection="1">
      <alignment horizontal="center" vertical="top" wrapText="1"/>
    </xf>
    <xf numFmtId="0" fontId="9" fillId="4" borderId="10" xfId="0" applyFont="1" applyFill="1" applyBorder="1" applyAlignment="1" applyProtection="1">
      <alignment vertical="top" wrapText="1"/>
    </xf>
    <xf numFmtId="0" fontId="9" fillId="3" borderId="9" xfId="0" applyFont="1" applyFill="1" applyBorder="1" applyAlignment="1" applyProtection="1">
      <alignment horizontal="center" vertical="top" wrapText="1"/>
      <protection locked="0"/>
    </xf>
    <xf numFmtId="0" fontId="9" fillId="3" borderId="30" xfId="0" applyFont="1" applyFill="1" applyBorder="1" applyAlignment="1" applyProtection="1">
      <alignment horizontal="center" vertical="top" wrapText="1"/>
      <protection locked="0"/>
    </xf>
    <xf numFmtId="0" fontId="9" fillId="4" borderId="25" xfId="0" applyFont="1" applyFill="1" applyBorder="1" applyAlignment="1" applyProtection="1">
      <alignment horizontal="center" vertical="top" wrapText="1"/>
    </xf>
    <xf numFmtId="0" fontId="9" fillId="2" borderId="6" xfId="0" applyFont="1" applyFill="1" applyBorder="1" applyAlignment="1" applyProtection="1">
      <alignment vertical="top" wrapText="1"/>
      <protection locked="0"/>
    </xf>
    <xf numFmtId="167" fontId="9" fillId="3" borderId="19" xfId="0" applyNumberFormat="1" applyFont="1" applyFill="1" applyBorder="1" applyAlignment="1" applyProtection="1">
      <alignment horizontal="center" vertical="top" wrapText="1"/>
      <protection locked="0"/>
    </xf>
    <xf numFmtId="0" fontId="9" fillId="3" borderId="7" xfId="0" applyFont="1" applyFill="1" applyBorder="1" applyAlignment="1" applyProtection="1">
      <alignment vertical="top" wrapText="1"/>
      <protection locked="0"/>
    </xf>
    <xf numFmtId="167" fontId="9" fillId="3" borderId="8" xfId="0" applyNumberFormat="1" applyFont="1" applyFill="1" applyBorder="1" applyAlignment="1" applyProtection="1">
      <alignment horizontal="center" vertical="top" wrapText="1"/>
      <protection locked="0"/>
    </xf>
    <xf numFmtId="0" fontId="9" fillId="3" borderId="30" xfId="0" applyFont="1" applyFill="1" applyBorder="1" applyAlignment="1" applyProtection="1">
      <alignment vertical="top" wrapText="1"/>
      <protection locked="0"/>
    </xf>
    <xf numFmtId="167" fontId="9" fillId="3" borderId="9" xfId="0" applyNumberFormat="1" applyFont="1" applyFill="1" applyBorder="1" applyAlignment="1" applyProtection="1">
      <alignment horizontal="center" vertical="top" wrapText="1"/>
      <protection locked="0"/>
    </xf>
    <xf numFmtId="5" fontId="9" fillId="0" borderId="12" xfId="2" applyNumberFormat="1" applyFont="1" applyFill="1" applyBorder="1" applyAlignment="1" applyProtection="1">
      <alignment horizontal="center" vertical="center" wrapText="1"/>
      <protection locked="0"/>
    </xf>
    <xf numFmtId="167" fontId="9" fillId="3" borderId="15" xfId="2" applyNumberFormat="1" applyFont="1" applyFill="1" applyBorder="1" applyAlignment="1" applyProtection="1">
      <alignment horizontal="center" vertical="top" wrapText="1"/>
      <protection locked="0"/>
    </xf>
    <xf numFmtId="0" fontId="9" fillId="41" borderId="15" xfId="0" quotePrefix="1" applyFont="1" applyFill="1" applyBorder="1" applyAlignment="1" applyProtection="1">
      <alignment horizontal="center" vertical="top" wrapText="1"/>
      <protection locked="0"/>
    </xf>
    <xf numFmtId="167" fontId="9" fillId="3" borderId="16" xfId="2" applyNumberFormat="1" applyFont="1" applyFill="1" applyBorder="1" applyAlignment="1" applyProtection="1">
      <alignment horizontal="center" vertical="top" wrapText="1"/>
      <protection locked="0"/>
    </xf>
    <xf numFmtId="167" fontId="9" fillId="3" borderId="49" xfId="2" applyNumberFormat="1" applyFont="1" applyFill="1" applyBorder="1" applyAlignment="1" applyProtection="1">
      <alignment horizontal="center" vertical="top" wrapText="1"/>
      <protection locked="0"/>
    </xf>
    <xf numFmtId="0" fontId="9" fillId="3" borderId="49" xfId="0" applyFont="1" applyFill="1" applyBorder="1" applyAlignment="1" applyProtection="1">
      <alignment horizontal="center" vertical="top" wrapText="1"/>
      <protection locked="0"/>
    </xf>
    <xf numFmtId="167" fontId="9" fillId="4" borderId="14" xfId="2" applyNumberFormat="1" applyFont="1" applyFill="1" applyBorder="1" applyAlignment="1" applyProtection="1">
      <alignment horizontal="center" vertical="top" wrapText="1"/>
    </xf>
    <xf numFmtId="0" fontId="9" fillId="4" borderId="14" xfId="0" applyFont="1" applyFill="1" applyBorder="1" applyAlignment="1" applyProtection="1">
      <alignment vertical="top" wrapText="1"/>
    </xf>
    <xf numFmtId="0" fontId="9" fillId="4" borderId="34" xfId="0" applyFont="1" applyFill="1" applyBorder="1" applyAlignment="1" applyProtection="1">
      <alignment vertical="top" wrapText="1"/>
    </xf>
    <xf numFmtId="169" fontId="9" fillId="3" borderId="16" xfId="0" applyNumberFormat="1" applyFont="1" applyFill="1" applyBorder="1" applyAlignment="1" applyProtection="1">
      <alignment horizontal="center" vertical="top" wrapText="1"/>
      <protection locked="0"/>
    </xf>
    <xf numFmtId="3" fontId="9" fillId="3" borderId="16" xfId="0" applyNumberFormat="1" applyFont="1" applyFill="1" applyBorder="1" applyAlignment="1" applyProtection="1">
      <alignment horizontal="center" vertical="top" wrapText="1"/>
      <protection locked="0"/>
    </xf>
    <xf numFmtId="3" fontId="9" fillId="3" borderId="24" xfId="0" applyNumberFormat="1" applyFont="1" applyFill="1" applyBorder="1" applyAlignment="1" applyProtection="1">
      <alignment horizontal="center" vertical="top" wrapText="1"/>
      <protection locked="0"/>
    </xf>
    <xf numFmtId="0" fontId="33" fillId="37" borderId="29" xfId="0" applyFont="1" applyFill="1" applyBorder="1" applyAlignment="1" applyProtection="1">
      <alignment horizontal="center" vertical="center" wrapText="1"/>
    </xf>
    <xf numFmtId="0" fontId="33" fillId="37" borderId="14" xfId="0" applyFont="1" applyFill="1" applyBorder="1" applyAlignment="1" applyProtection="1">
      <alignment horizontal="center" vertical="center" wrapText="1"/>
    </xf>
    <xf numFmtId="0" fontId="10" fillId="0" borderId="0" xfId="0" applyFont="1" applyFill="1" applyBorder="1" applyAlignment="1" applyProtection="1">
      <alignment horizontal="center"/>
    </xf>
    <xf numFmtId="0" fontId="37" fillId="6" borderId="50" xfId="0" applyFont="1" applyFill="1" applyBorder="1" applyAlignment="1" applyProtection="1">
      <alignment horizontal="left"/>
    </xf>
    <xf numFmtId="0" fontId="37" fillId="6" borderId="48" xfId="0" applyFont="1" applyFill="1" applyBorder="1" applyAlignment="1" applyProtection="1">
      <alignment horizontal="left"/>
    </xf>
    <xf numFmtId="0" fontId="37" fillId="6" borderId="45" xfId="0" applyFont="1" applyFill="1" applyBorder="1" applyAlignment="1" applyProtection="1">
      <alignment horizontal="left"/>
    </xf>
    <xf numFmtId="0" fontId="37" fillId="6" borderId="7" xfId="0" applyFont="1" applyFill="1" applyBorder="1" applyAlignment="1" applyProtection="1">
      <alignment horizontal="left" vertical="center"/>
    </xf>
    <xf numFmtId="0" fontId="37" fillId="6" borderId="46" xfId="0" applyFont="1" applyFill="1" applyBorder="1" applyAlignment="1" applyProtection="1">
      <alignment horizontal="left" vertical="center"/>
    </xf>
    <xf numFmtId="0" fontId="37" fillId="6" borderId="16" xfId="0" applyFont="1" applyFill="1" applyBorder="1" applyAlignment="1" applyProtection="1">
      <alignment horizontal="left" vertical="center"/>
    </xf>
    <xf numFmtId="0" fontId="9" fillId="0" borderId="0" xfId="0" applyFont="1"/>
    <xf numFmtId="0" fontId="9" fillId="0" borderId="0" xfId="0" applyFont="1" applyAlignment="1">
      <alignment vertical="center" wrapText="1"/>
    </xf>
    <xf numFmtId="0" fontId="9" fillId="38" borderId="0" xfId="0" applyFont="1" applyFill="1"/>
    <xf numFmtId="0" fontId="9" fillId="0" borderId="0" xfId="0" applyFont="1" applyBorder="1" applyAlignment="1">
      <alignment vertical="center"/>
    </xf>
    <xf numFmtId="0" fontId="9" fillId="0" borderId="0" xfId="0" applyFont="1" applyBorder="1"/>
    <xf numFmtId="0" fontId="9" fillId="0" borderId="0" xfId="0" applyFont="1" applyAlignment="1">
      <alignment vertical="center"/>
    </xf>
    <xf numFmtId="0" fontId="33" fillId="37" borderId="29" xfId="0" quotePrefix="1" applyFont="1" applyFill="1" applyBorder="1" applyAlignment="1" applyProtection="1">
      <alignment horizontal="center" vertical="center"/>
    </xf>
    <xf numFmtId="3" fontId="33" fillId="37" borderId="29" xfId="0" applyNumberFormat="1" applyFont="1" applyFill="1" applyBorder="1" applyAlignment="1" applyProtection="1">
      <alignment horizontal="center" vertical="center"/>
    </xf>
    <xf numFmtId="0" fontId="33" fillId="37" borderId="29" xfId="0" quotePrefix="1" applyFont="1" applyFill="1" applyBorder="1" applyAlignment="1" applyProtection="1">
      <alignment horizontal="center" vertical="center" wrapText="1"/>
    </xf>
    <xf numFmtId="0" fontId="29" fillId="0" borderId="0" xfId="0" applyFont="1" applyAlignment="1">
      <alignment vertical="center"/>
    </xf>
    <xf numFmtId="0" fontId="7" fillId="0" borderId="0" xfId="0" applyFont="1" applyAlignment="1" applyProtection="1">
      <alignment vertical="center"/>
    </xf>
    <xf numFmtId="0" fontId="0" fillId="0" borderId="0" xfId="0" applyAlignment="1" applyProtection="1">
      <alignment vertical="center"/>
    </xf>
    <xf numFmtId="0" fontId="9" fillId="0" borderId="0" xfId="0" applyFont="1" applyAlignment="1">
      <alignment horizontal="left" vertical="center"/>
    </xf>
    <xf numFmtId="3" fontId="9" fillId="6" borderId="4" xfId="0" applyNumberFormat="1" applyFont="1" applyFill="1" applyBorder="1" applyAlignment="1" applyProtection="1">
      <alignment horizontal="center" vertical="center"/>
    </xf>
    <xf numFmtId="3" fontId="29" fillId="0" borderId="92" xfId="0" applyNumberFormat="1" applyFont="1" applyFill="1" applyBorder="1" applyAlignment="1" applyProtection="1">
      <alignment horizontal="center" vertical="center"/>
      <protection locked="0"/>
    </xf>
    <xf numFmtId="3" fontId="29" fillId="0" borderId="93" xfId="0" applyNumberFormat="1" applyFont="1" applyFill="1" applyBorder="1" applyAlignment="1" applyProtection="1">
      <alignment horizontal="center" vertical="center"/>
      <protection locked="0"/>
    </xf>
    <xf numFmtId="3" fontId="29" fillId="0" borderId="90" xfId="0" applyNumberFormat="1" applyFont="1" applyFill="1" applyBorder="1" applyAlignment="1" applyProtection="1">
      <alignment horizontal="center" vertical="center"/>
      <protection locked="0"/>
    </xf>
    <xf numFmtId="3" fontId="29" fillId="0" borderId="91" xfId="0" applyNumberFormat="1" applyFont="1" applyFill="1" applyBorder="1" applyAlignment="1" applyProtection="1">
      <alignment horizontal="center" vertical="center"/>
      <protection locked="0"/>
    </xf>
    <xf numFmtId="3" fontId="33" fillId="6" borderId="51" xfId="0" applyNumberFormat="1" applyFont="1" applyFill="1" applyBorder="1" applyAlignment="1" applyProtection="1">
      <alignment horizontal="center" vertical="center"/>
    </xf>
    <xf numFmtId="3" fontId="33" fillId="6" borderId="63" xfId="0" applyNumberFormat="1" applyFont="1" applyFill="1" applyBorder="1" applyAlignment="1" applyProtection="1">
      <alignment horizontal="center" vertical="center"/>
    </xf>
    <xf numFmtId="0" fontId="7" fillId="0" borderId="0" xfId="0" applyFont="1" applyFill="1" applyBorder="1" applyAlignment="1" applyProtection="1">
      <alignment vertical="top" wrapText="1"/>
    </xf>
    <xf numFmtId="0" fontId="9" fillId="0" borderId="0" xfId="0" applyFont="1" applyFill="1" applyBorder="1" applyProtection="1"/>
    <xf numFmtId="0" fontId="9" fillId="0" borderId="0" xfId="0" applyFont="1" applyFill="1" applyBorder="1" applyAlignment="1" applyProtection="1">
      <alignment vertical="center"/>
    </xf>
    <xf numFmtId="0" fontId="10" fillId="0" borderId="0" xfId="0" applyFont="1" applyAlignment="1" applyProtection="1">
      <alignment horizontal="left"/>
    </xf>
    <xf numFmtId="0" fontId="38" fillId="0" borderId="48" xfId="0" applyFont="1" applyFill="1" applyBorder="1" applyAlignment="1" applyProtection="1">
      <alignment horizontal="center" vertical="center"/>
    </xf>
    <xf numFmtId="0" fontId="39" fillId="0" borderId="48" xfId="0" applyFont="1" applyFill="1" applyBorder="1" applyAlignment="1" applyProtection="1">
      <alignment horizontal="left" vertical="center"/>
    </xf>
    <xf numFmtId="0" fontId="0" fillId="0" borderId="0" xfId="0" applyFill="1" applyProtection="1"/>
    <xf numFmtId="0" fontId="37" fillId="6" borderId="12" xfId="0" applyFont="1" applyFill="1" applyBorder="1" applyAlignment="1" applyProtection="1">
      <alignment horizontal="center"/>
    </xf>
    <xf numFmtId="0" fontId="37" fillId="6" borderId="12" xfId="0" applyFont="1" applyFill="1" applyBorder="1" applyProtection="1"/>
    <xf numFmtId="0" fontId="38" fillId="0" borderId="0" xfId="0" applyFont="1" applyFill="1" applyBorder="1" applyAlignment="1" applyProtection="1">
      <alignment horizontal="center" vertical="center"/>
    </xf>
    <xf numFmtId="0" fontId="39" fillId="0" borderId="0" xfId="0" applyFont="1" applyFill="1" applyBorder="1" applyAlignment="1" applyProtection="1">
      <alignment horizontal="left" vertical="center"/>
    </xf>
    <xf numFmtId="0" fontId="0" fillId="0" borderId="0" xfId="0" applyFill="1" applyBorder="1" applyProtection="1"/>
    <xf numFmtId="0" fontId="11" fillId="0" borderId="0" xfId="0" applyFont="1" applyProtection="1"/>
    <xf numFmtId="0" fontId="9" fillId="3" borderId="140" xfId="0" applyFont="1" applyFill="1" applyBorder="1" applyAlignment="1" applyProtection="1">
      <alignment horizontal="center" vertical="top" wrapText="1"/>
      <protection locked="0"/>
    </xf>
    <xf numFmtId="0" fontId="9" fillId="4" borderId="149" xfId="0" applyFont="1" applyFill="1" applyBorder="1" applyAlignment="1" applyProtection="1">
      <alignment vertical="top" wrapText="1"/>
    </xf>
    <xf numFmtId="3" fontId="9" fillId="37" borderId="58" xfId="0" quotePrefix="1" applyNumberFormat="1" applyFont="1" applyFill="1" applyBorder="1" applyAlignment="1" applyProtection="1">
      <alignment horizontal="center" vertical="center"/>
    </xf>
    <xf numFmtId="3" fontId="9" fillId="37" borderId="46" xfId="0" quotePrefix="1" applyNumberFormat="1" applyFont="1" applyFill="1" applyBorder="1" applyAlignment="1" applyProtection="1">
      <alignment horizontal="center" vertical="center"/>
    </xf>
    <xf numFmtId="3" fontId="9" fillId="37" borderId="31" xfId="0" quotePrefix="1" applyNumberFormat="1" applyFont="1" applyFill="1" applyBorder="1" applyAlignment="1" applyProtection="1">
      <alignment horizontal="center" vertical="center"/>
    </xf>
    <xf numFmtId="3" fontId="29" fillId="0" borderId="96" xfId="0" applyNumberFormat="1" applyFont="1" applyBorder="1" applyAlignment="1" applyProtection="1">
      <alignment horizontal="center" vertical="center"/>
      <protection locked="0"/>
    </xf>
    <xf numFmtId="3" fontId="29" fillId="0" borderId="97" xfId="0" applyNumberFormat="1" applyFont="1" applyBorder="1" applyAlignment="1" applyProtection="1">
      <alignment horizontal="center" vertical="center"/>
      <protection locked="0"/>
    </xf>
    <xf numFmtId="3" fontId="29" fillId="0" borderId="92" xfId="0" applyNumberFormat="1" applyFont="1" applyBorder="1" applyAlignment="1" applyProtection="1">
      <alignment horizontal="center" vertical="center"/>
      <protection locked="0"/>
    </xf>
    <xf numFmtId="3" fontId="29" fillId="0" borderId="93" xfId="0" applyNumberFormat="1" applyFont="1" applyBorder="1" applyAlignment="1" applyProtection="1">
      <alignment horizontal="center" vertical="center"/>
      <protection locked="0"/>
    </xf>
    <xf numFmtId="3" fontId="29" fillId="0" borderId="90" xfId="0" applyNumberFormat="1" applyFont="1" applyBorder="1" applyAlignment="1" applyProtection="1">
      <alignment horizontal="center" vertical="center"/>
      <protection locked="0"/>
    </xf>
    <xf numFmtId="3" fontId="29" fillId="0" borderId="91" xfId="0" applyNumberFormat="1" applyFont="1" applyBorder="1" applyAlignment="1" applyProtection="1">
      <alignment horizontal="center" vertical="center"/>
      <protection locked="0"/>
    </xf>
    <xf numFmtId="3" fontId="29" fillId="0" borderId="51" xfId="0" applyNumberFormat="1" applyFont="1" applyBorder="1" applyAlignment="1" applyProtection="1">
      <alignment horizontal="center" vertical="center"/>
      <protection locked="0"/>
    </xf>
    <xf numFmtId="3" fontId="29" fillId="0" borderId="63" xfId="0" applyNumberFormat="1" applyFont="1" applyBorder="1" applyAlignment="1" applyProtection="1">
      <alignment horizontal="center" vertical="center"/>
      <protection locked="0"/>
    </xf>
    <xf numFmtId="3" fontId="9" fillId="0" borderId="51" xfId="0" applyNumberFormat="1" applyFont="1" applyBorder="1" applyAlignment="1" applyProtection="1">
      <alignment horizontal="center" vertical="center"/>
      <protection locked="0"/>
    </xf>
    <xf numFmtId="3" fontId="9" fillId="0" borderId="63" xfId="0" applyNumberFormat="1" applyFont="1" applyBorder="1" applyAlignment="1" applyProtection="1">
      <alignment horizontal="center" vertical="center"/>
      <protection locked="0"/>
    </xf>
    <xf numFmtId="0" fontId="29" fillId="6" borderId="97" xfId="0" applyFont="1" applyFill="1" applyBorder="1" applyAlignment="1" applyProtection="1">
      <alignment vertical="center"/>
    </xf>
    <xf numFmtId="0" fontId="29" fillId="6" borderId="93" xfId="0" applyFont="1" applyFill="1" applyBorder="1" applyAlignment="1" applyProtection="1">
      <alignment vertical="center"/>
    </xf>
    <xf numFmtId="0" fontId="29" fillId="6" borderId="91" xfId="0" applyFont="1" applyFill="1" applyBorder="1" applyAlignment="1" applyProtection="1">
      <alignment vertical="center"/>
    </xf>
    <xf numFmtId="0" fontId="29" fillId="6" borderId="95" xfId="0" applyFont="1" applyFill="1" applyBorder="1" applyAlignment="1" applyProtection="1">
      <alignment vertical="center"/>
    </xf>
    <xf numFmtId="0" fontId="9" fillId="5" borderId="19" xfId="0" applyFont="1" applyFill="1" applyBorder="1" applyAlignment="1" applyProtection="1">
      <alignment vertical="top" wrapText="1"/>
    </xf>
    <xf numFmtId="170" fontId="32" fillId="6" borderId="105" xfId="0" applyNumberFormat="1" applyFont="1" applyFill="1" applyBorder="1" applyAlignment="1">
      <alignment horizontal="center" vertical="center"/>
    </xf>
    <xf numFmtId="39" fontId="32" fillId="6" borderId="105" xfId="0" applyNumberFormat="1" applyFont="1" applyFill="1" applyBorder="1" applyAlignment="1">
      <alignment horizontal="center" vertical="center"/>
    </xf>
    <xf numFmtId="8" fontId="32" fillId="6" borderId="120" xfId="0" applyNumberFormat="1" applyFont="1" applyFill="1" applyBorder="1" applyAlignment="1">
      <alignment horizontal="center" vertical="center"/>
    </xf>
    <xf numFmtId="170" fontId="32" fillId="6" borderId="150" xfId="0" applyNumberFormat="1" applyFont="1" applyFill="1" applyBorder="1" applyAlignment="1">
      <alignment horizontal="center" vertical="center"/>
    </xf>
    <xf numFmtId="39" fontId="32" fillId="6" borderId="83" xfId="0" applyNumberFormat="1" applyFont="1" applyFill="1" applyBorder="1" applyAlignment="1">
      <alignment horizontal="center" vertical="center"/>
    </xf>
    <xf numFmtId="8" fontId="32" fillId="6" borderId="121" xfId="0" applyNumberFormat="1" applyFont="1" applyFill="1" applyBorder="1" applyAlignment="1">
      <alignment horizontal="center" vertical="center"/>
    </xf>
    <xf numFmtId="39" fontId="32" fillId="6" borderId="106" xfId="0" applyNumberFormat="1" applyFont="1" applyFill="1" applyBorder="1" applyAlignment="1">
      <alignment horizontal="center" vertical="center"/>
    </xf>
    <xf numFmtId="8" fontId="32" fillId="6" borderId="122" xfId="0" applyNumberFormat="1" applyFont="1" applyFill="1" applyBorder="1" applyAlignment="1">
      <alignment horizontal="center" vertical="center"/>
    </xf>
    <xf numFmtId="171" fontId="32" fillId="6" borderId="105" xfId="0" applyNumberFormat="1" applyFont="1" applyFill="1" applyBorder="1" applyAlignment="1">
      <alignment horizontal="center" vertical="center"/>
    </xf>
    <xf numFmtId="171" fontId="32" fillId="6" borderId="83" xfId="0" applyNumberFormat="1" applyFont="1" applyFill="1" applyBorder="1" applyAlignment="1">
      <alignment horizontal="center" vertical="center"/>
    </xf>
    <xf numFmtId="7" fontId="32" fillId="6" borderId="120" xfId="0" applyNumberFormat="1" applyFont="1" applyFill="1" applyBorder="1" applyAlignment="1">
      <alignment horizontal="center" vertical="center"/>
    </xf>
    <xf numFmtId="7" fontId="32" fillId="6" borderId="121" xfId="0" applyNumberFormat="1" applyFont="1" applyFill="1" applyBorder="1" applyAlignment="1">
      <alignment horizontal="center" vertical="center"/>
    </xf>
    <xf numFmtId="7" fontId="32" fillId="6" borderId="122" xfId="0" applyNumberFormat="1" applyFont="1" applyFill="1" applyBorder="1" applyAlignment="1">
      <alignment horizontal="center" vertical="center"/>
    </xf>
    <xf numFmtId="173" fontId="32" fillId="6" borderId="151" xfId="0" applyNumberFormat="1" applyFont="1" applyFill="1" applyBorder="1" applyAlignment="1">
      <alignment horizontal="center" vertical="center"/>
    </xf>
    <xf numFmtId="173" fontId="32" fillId="6" borderId="83" xfId="0" applyNumberFormat="1" applyFont="1" applyFill="1" applyBorder="1" applyAlignment="1">
      <alignment horizontal="center" vertical="center"/>
    </xf>
    <xf numFmtId="173" fontId="32" fillId="6" borderId="152" xfId="0" applyNumberFormat="1" applyFont="1" applyFill="1" applyBorder="1" applyAlignment="1">
      <alignment horizontal="center" vertical="center"/>
    </xf>
    <xf numFmtId="173" fontId="32" fillId="6" borderId="106" xfId="0" applyNumberFormat="1" applyFont="1" applyFill="1" applyBorder="1" applyAlignment="1">
      <alignment horizontal="center" vertical="center"/>
    </xf>
    <xf numFmtId="173" fontId="32" fillId="6" borderId="153" xfId="0" applyNumberFormat="1" applyFont="1" applyFill="1" applyBorder="1" applyAlignment="1">
      <alignment horizontal="center" vertical="center"/>
    </xf>
    <xf numFmtId="173" fontId="32" fillId="6" borderId="105" xfId="0" applyNumberFormat="1" applyFont="1" applyFill="1" applyBorder="1" applyAlignment="1">
      <alignment horizontal="center" vertical="center"/>
    </xf>
    <xf numFmtId="172" fontId="32" fillId="6" borderId="83" xfId="0" applyNumberFormat="1" applyFont="1" applyFill="1" applyBorder="1" applyAlignment="1">
      <alignment horizontal="center" vertical="center"/>
    </xf>
    <xf numFmtId="172" fontId="32" fillId="6" borderId="105" xfId="0" applyNumberFormat="1" applyFont="1" applyFill="1" applyBorder="1" applyAlignment="1">
      <alignment horizontal="center" vertical="center"/>
    </xf>
    <xf numFmtId="172" fontId="32" fillId="6" borderId="151" xfId="0" applyNumberFormat="1" applyFont="1" applyFill="1" applyBorder="1" applyAlignment="1">
      <alignment horizontal="center" vertical="center"/>
    </xf>
    <xf numFmtId="172" fontId="32" fillId="6" borderId="106" xfId="0" applyNumberFormat="1" applyFont="1" applyFill="1" applyBorder="1" applyAlignment="1">
      <alignment horizontal="center" vertical="center"/>
    </xf>
    <xf numFmtId="172" fontId="32" fillId="6" borderId="121" xfId="0" applyNumberFormat="1" applyFont="1" applyFill="1" applyBorder="1" applyAlignment="1">
      <alignment horizontal="center" vertical="center"/>
    </xf>
    <xf numFmtId="39" fontId="32" fillId="37" borderId="133" xfId="0" applyNumberFormat="1" applyFont="1" applyFill="1" applyBorder="1" applyAlignment="1">
      <alignment horizontal="center" vertical="center"/>
    </xf>
    <xf numFmtId="8" fontId="32" fillId="37" borderId="133" xfId="0" applyNumberFormat="1" applyFont="1" applyFill="1" applyBorder="1" applyAlignment="1">
      <alignment horizontal="center" vertical="center"/>
    </xf>
    <xf numFmtId="39" fontId="32" fillId="37" borderId="0" xfId="0" applyNumberFormat="1" applyFont="1" applyFill="1" applyAlignment="1">
      <alignment horizontal="center" vertical="center"/>
    </xf>
    <xf numFmtId="8" fontId="32" fillId="37" borderId="0" xfId="0" applyNumberFormat="1" applyFont="1" applyFill="1" applyAlignment="1">
      <alignment horizontal="center" vertical="center"/>
    </xf>
    <xf numFmtId="39" fontId="32" fillId="37" borderId="55" xfId="0" applyNumberFormat="1" applyFont="1" applyFill="1" applyBorder="1" applyAlignment="1">
      <alignment horizontal="center" vertical="center"/>
    </xf>
    <xf numFmtId="8" fontId="32" fillId="37" borderId="55" xfId="0" applyNumberFormat="1" applyFont="1" applyFill="1" applyBorder="1" applyAlignment="1">
      <alignment horizontal="center" vertical="center"/>
    </xf>
    <xf numFmtId="172" fontId="32" fillId="37" borderId="133" xfId="0" applyNumberFormat="1" applyFont="1" applyFill="1" applyBorder="1" applyAlignment="1">
      <alignment horizontal="center" vertical="center"/>
    </xf>
    <xf numFmtId="172" fontId="32" fillId="37" borderId="0" xfId="0" applyNumberFormat="1" applyFont="1" applyFill="1" applyAlignment="1">
      <alignment horizontal="center" vertical="center"/>
    </xf>
    <xf numFmtId="172" fontId="32" fillId="37" borderId="55" xfId="0" applyNumberFormat="1" applyFont="1" applyFill="1" applyBorder="1" applyAlignment="1">
      <alignment horizontal="center" vertical="center"/>
    </xf>
    <xf numFmtId="174" fontId="32" fillId="6" borderId="105" xfId="0" applyNumberFormat="1" applyFont="1" applyFill="1" applyBorder="1" applyAlignment="1">
      <alignment horizontal="center" vertical="center"/>
    </xf>
    <xf numFmtId="174" fontId="32" fillId="6" borderId="83" xfId="0" applyNumberFormat="1" applyFont="1" applyFill="1" applyBorder="1" applyAlignment="1">
      <alignment horizontal="center" vertical="center"/>
    </xf>
    <xf numFmtId="6" fontId="32" fillId="6" borderId="120" xfId="0" applyNumberFormat="1" applyFont="1" applyFill="1" applyBorder="1" applyAlignment="1">
      <alignment horizontal="center" vertical="center"/>
    </xf>
    <xf numFmtId="6" fontId="32" fillId="6" borderId="121" xfId="0" applyNumberFormat="1" applyFont="1" applyFill="1" applyBorder="1" applyAlignment="1">
      <alignment horizontal="center" vertical="center"/>
    </xf>
    <xf numFmtId="0" fontId="3" fillId="0" borderId="0" xfId="0" applyFont="1"/>
    <xf numFmtId="0" fontId="0" fillId="0" borderId="0" xfId="0"/>
    <xf numFmtId="0" fontId="6" fillId="0" borderId="0" xfId="0" applyFont="1"/>
    <xf numFmtId="0" fontId="9" fillId="0" borderId="48" xfId="0" applyFont="1" applyBorder="1"/>
    <xf numFmtId="0" fontId="10" fillId="0" borderId="48" xfId="0" applyFont="1" applyBorder="1"/>
    <xf numFmtId="0" fontId="10" fillId="0" borderId="0" xfId="0" applyFont="1"/>
    <xf numFmtId="0" fontId="10" fillId="0" borderId="18" xfId="0" applyFont="1" applyBorder="1"/>
    <xf numFmtId="0" fontId="9" fillId="0" borderId="0" xfId="0" applyFont="1"/>
    <xf numFmtId="0" fontId="48" fillId="0" borderId="0" xfId="0" applyFont="1"/>
    <xf numFmtId="0" fontId="9" fillId="0" borderId="4" xfId="0" applyFont="1" applyBorder="1" applyAlignment="1">
      <alignment horizontal="left"/>
    </xf>
    <xf numFmtId="0" fontId="9" fillId="0" borderId="0" xfId="0" applyFont="1" applyAlignment="1">
      <alignment horizontal="center"/>
    </xf>
    <xf numFmtId="0" fontId="9" fillId="0" borderId="18" xfId="0" applyFont="1" applyBorder="1" applyAlignment="1">
      <alignment horizontal="center"/>
    </xf>
    <xf numFmtId="0" fontId="10" fillId="5" borderId="17" xfId="0" applyFont="1" applyFill="1" applyBorder="1"/>
    <xf numFmtId="0" fontId="10" fillId="5" borderId="17" xfId="0" applyFont="1" applyFill="1" applyBorder="1" applyAlignment="1">
      <alignment horizontal="center"/>
    </xf>
    <xf numFmtId="0" fontId="9" fillId="5" borderId="10" xfId="0" applyFont="1" applyFill="1" applyBorder="1" applyAlignment="1">
      <alignment horizontal="center"/>
    </xf>
    <xf numFmtId="3" fontId="9" fillId="5" borderId="10" xfId="0" applyNumberFormat="1" applyFont="1" applyFill="1" applyBorder="1" applyAlignment="1" applyProtection="1">
      <alignment horizontal="center"/>
      <protection locked="0"/>
    </xf>
    <xf numFmtId="0" fontId="9" fillId="5" borderId="8" xfId="0" applyFont="1" applyFill="1" applyBorder="1" applyAlignment="1">
      <alignment horizontal="center"/>
    </xf>
    <xf numFmtId="166" fontId="9" fillId="5" borderId="8" xfId="0" applyNumberFormat="1" applyFont="1" applyFill="1" applyBorder="1" applyAlignment="1" applyProtection="1">
      <alignment horizontal="center"/>
      <protection locked="0"/>
    </xf>
    <xf numFmtId="0" fontId="9" fillId="5" borderId="9" xfId="0" applyFont="1" applyFill="1" applyBorder="1" applyAlignment="1">
      <alignment horizontal="center"/>
    </xf>
    <xf numFmtId="3" fontId="9" fillId="5" borderId="9" xfId="0" applyNumberFormat="1" applyFont="1" applyFill="1" applyBorder="1" applyAlignment="1" applyProtection="1">
      <alignment horizontal="center"/>
    </xf>
    <xf numFmtId="0" fontId="9" fillId="0" borderId="48" xfId="0" applyFont="1" applyBorder="1" applyAlignment="1">
      <alignment horizontal="left"/>
    </xf>
    <xf numFmtId="0" fontId="9" fillId="0" borderId="0" xfId="0" applyFont="1" applyAlignment="1">
      <alignment horizontal="left"/>
    </xf>
    <xf numFmtId="0" fontId="9" fillId="0" borderId="18" xfId="0" quotePrefix="1" applyNumberFormat="1" applyFont="1" applyFill="1" applyBorder="1" applyAlignment="1" applyProtection="1">
      <alignment horizontal="center"/>
    </xf>
    <xf numFmtId="0" fontId="9" fillId="0" borderId="29" xfId="0" applyFont="1" applyBorder="1" applyAlignment="1">
      <alignment horizontal="left"/>
    </xf>
    <xf numFmtId="0" fontId="9" fillId="0" borderId="4" xfId="0" applyFont="1" applyBorder="1" applyAlignment="1">
      <alignment horizontal="center"/>
    </xf>
    <xf numFmtId="3" fontId="9" fillId="5" borderId="10" xfId="0" applyNumberFormat="1" applyFont="1" applyFill="1" applyBorder="1" applyAlignment="1" applyProtection="1">
      <alignment horizontal="center"/>
      <protection locked="0"/>
    </xf>
    <xf numFmtId="3" fontId="9" fillId="38" borderId="8" xfId="0" applyNumberFormat="1" applyFont="1" applyFill="1" applyBorder="1" applyAlignment="1" applyProtection="1">
      <alignment horizontal="center"/>
      <protection locked="0"/>
    </xf>
    <xf numFmtId="3" fontId="9" fillId="5" borderId="9" xfId="0" applyNumberFormat="1" applyFont="1" applyFill="1" applyBorder="1" applyAlignment="1" applyProtection="1">
      <alignment horizontal="center"/>
    </xf>
    <xf numFmtId="0" fontId="10" fillId="5" borderId="11" xfId="0" applyFont="1" applyFill="1" applyBorder="1" applyAlignment="1">
      <alignment horizontal="center"/>
    </xf>
    <xf numFmtId="0" fontId="10" fillId="0" borderId="29" xfId="0" applyFont="1" applyBorder="1"/>
    <xf numFmtId="0" fontId="9" fillId="5" borderId="54" xfId="0" applyFont="1" applyFill="1" applyBorder="1" applyAlignment="1">
      <alignment horizontal="center"/>
    </xf>
    <xf numFmtId="0" fontId="9" fillId="37" borderId="19" xfId="0" quotePrefix="1" applyFont="1" applyFill="1" applyBorder="1" applyAlignment="1">
      <alignment horizontal="center"/>
    </xf>
    <xf numFmtId="0" fontId="9" fillId="5" borderId="7" xfId="0" applyFont="1" applyFill="1" applyBorder="1" applyAlignment="1">
      <alignment horizontal="center"/>
    </xf>
    <xf numFmtId="3" fontId="9" fillId="5" borderId="8" xfId="0" applyNumberFormat="1" applyFont="1" applyFill="1" applyBorder="1" applyAlignment="1" applyProtection="1">
      <alignment horizontal="center"/>
      <protection locked="0"/>
    </xf>
    <xf numFmtId="10" fontId="9" fillId="5" borderId="8" xfId="0" applyNumberFormat="1" applyFont="1" applyFill="1" applyBorder="1" applyAlignment="1" applyProtection="1">
      <alignment horizontal="center"/>
    </xf>
    <xf numFmtId="0" fontId="9" fillId="37" borderId="8" xfId="0" quotePrefix="1" applyFont="1" applyFill="1" applyBorder="1" applyAlignment="1">
      <alignment horizontal="center"/>
    </xf>
    <xf numFmtId="2" fontId="9" fillId="5" borderId="8" xfId="0" applyNumberFormat="1" applyFont="1" applyFill="1" applyBorder="1" applyAlignment="1" applyProtection="1">
      <alignment horizontal="center"/>
    </xf>
    <xf numFmtId="0" fontId="9" fillId="5" borderId="148" xfId="0" applyFont="1" applyFill="1" applyBorder="1" applyAlignment="1">
      <alignment horizontal="center"/>
    </xf>
    <xf numFmtId="2" fontId="9" fillId="5" borderId="154" xfId="0" applyNumberFormat="1" applyFont="1" applyFill="1" applyBorder="1" applyAlignment="1" applyProtection="1">
      <alignment horizontal="center"/>
    </xf>
    <xf numFmtId="0" fontId="9" fillId="5" borderId="31" xfId="0" applyFont="1" applyFill="1" applyBorder="1" applyAlignment="1">
      <alignment horizontal="center"/>
    </xf>
    <xf numFmtId="0" fontId="9" fillId="5" borderId="9" xfId="0" applyNumberFormat="1" applyFont="1" applyFill="1" applyBorder="1" applyAlignment="1" applyProtection="1">
      <alignment horizontal="center"/>
    </xf>
    <xf numFmtId="0" fontId="9" fillId="0" borderId="18" xfId="0" applyFont="1" applyBorder="1"/>
    <xf numFmtId="0" fontId="9" fillId="0" borderId="29" xfId="0" applyFont="1" applyBorder="1"/>
    <xf numFmtId="0" fontId="9" fillId="5" borderId="19" xfId="0" applyFont="1" applyFill="1" applyBorder="1" applyAlignment="1">
      <alignment horizontal="center"/>
    </xf>
    <xf numFmtId="0" fontId="9" fillId="0" borderId="19" xfId="0" applyFont="1" applyBorder="1" applyAlignment="1" applyProtection="1">
      <alignment horizontal="center"/>
      <protection locked="0"/>
    </xf>
    <xf numFmtId="3" fontId="9" fillId="0" borderId="0" xfId="0" applyNumberFormat="1" applyFont="1"/>
    <xf numFmtId="10" fontId="9" fillId="5" borderId="9" xfId="0" applyNumberFormat="1" applyFont="1" applyFill="1" applyBorder="1" applyAlignment="1" applyProtection="1">
      <alignment horizontal="center"/>
    </xf>
    <xf numFmtId="0" fontId="10" fillId="5" borderId="17" xfId="0" applyNumberFormat="1" applyFont="1" applyFill="1" applyBorder="1" applyAlignment="1" applyProtection="1">
      <alignment horizontal="center"/>
    </xf>
    <xf numFmtId="0" fontId="9" fillId="0" borderId="48" xfId="0" applyNumberFormat="1" applyFont="1" applyFill="1" applyBorder="1" applyAlignment="1" applyProtection="1">
      <alignment horizontal="center"/>
    </xf>
    <xf numFmtId="0" fontId="10" fillId="5" borderId="3" xfId="0" applyFont="1" applyFill="1" applyBorder="1"/>
    <xf numFmtId="3" fontId="9" fillId="5" borderId="10" xfId="0" applyNumberFormat="1" applyFont="1" applyFill="1" applyBorder="1" applyAlignment="1" applyProtection="1">
      <alignment horizontal="center"/>
      <protection locked="0"/>
    </xf>
    <xf numFmtId="3" fontId="9" fillId="0" borderId="8" xfId="0" applyNumberFormat="1" applyFont="1" applyBorder="1" applyAlignment="1" applyProtection="1">
      <alignment horizontal="center"/>
      <protection locked="0"/>
    </xf>
    <xf numFmtId="0" fontId="9" fillId="5" borderId="30" xfId="0" applyFont="1" applyFill="1" applyBorder="1" applyAlignment="1">
      <alignment horizontal="center"/>
    </xf>
    <xf numFmtId="3" fontId="9" fillId="5" borderId="9" xfId="0" applyNumberFormat="1" applyFont="1" applyFill="1" applyBorder="1" applyAlignment="1" applyProtection="1">
      <alignment horizontal="center"/>
    </xf>
    <xf numFmtId="0" fontId="9" fillId="0" borderId="50" xfId="0" applyFont="1" applyBorder="1" applyAlignment="1">
      <alignment horizontal="center"/>
    </xf>
    <xf numFmtId="0" fontId="9" fillId="0" borderId="48" xfId="0" applyFont="1" applyBorder="1" applyAlignment="1">
      <alignment horizontal="center"/>
    </xf>
    <xf numFmtId="0" fontId="9" fillId="0" borderId="45" xfId="0" applyFont="1" applyBorder="1" applyAlignment="1">
      <alignment horizontal="center"/>
    </xf>
    <xf numFmtId="0" fontId="9" fillId="0" borderId="28" xfId="0" applyFont="1" applyBorder="1" applyAlignment="1">
      <alignment horizontal="center"/>
    </xf>
    <xf numFmtId="0" fontId="7" fillId="5" borderId="51" xfId="0" applyFont="1" applyFill="1" applyBorder="1" applyAlignment="1">
      <alignment horizontal="center"/>
    </xf>
    <xf numFmtId="166" fontId="53" fillId="0" borderId="0" xfId="0" applyNumberFormat="1" applyFont="1" applyAlignment="1">
      <alignment vertical="center"/>
    </xf>
    <xf numFmtId="0" fontId="53" fillId="0" borderId="0" xfId="0" applyFont="1" applyAlignment="1">
      <alignment vertical="center"/>
    </xf>
    <xf numFmtId="0" fontId="53" fillId="0" borderId="0" xfId="0" applyFont="1"/>
    <xf numFmtId="3" fontId="53" fillId="0" borderId="0" xfId="0" applyNumberFormat="1" applyFont="1" applyAlignment="1">
      <alignment vertical="center"/>
    </xf>
    <xf numFmtId="2" fontId="53" fillId="0" borderId="0" xfId="0" applyNumberFormat="1" applyFont="1" applyAlignment="1">
      <alignment vertical="center"/>
    </xf>
    <xf numFmtId="168" fontId="53" fillId="0" borderId="0" xfId="0" applyNumberFormat="1" applyFont="1" applyAlignment="1">
      <alignment vertical="center"/>
    </xf>
    <xf numFmtId="0" fontId="9" fillId="0" borderId="0" xfId="0" applyFont="1" applyAlignment="1">
      <alignment horizontal="left" vertical="top"/>
    </xf>
    <xf numFmtId="0" fontId="9" fillId="0" borderId="0" xfId="0" applyFont="1" applyAlignment="1">
      <alignment horizontal="center" vertical="top"/>
    </xf>
    <xf numFmtId="0" fontId="7" fillId="0" borderId="0" xfId="0" applyFont="1" applyAlignment="1">
      <alignment vertical="top"/>
    </xf>
    <xf numFmtId="0" fontId="10" fillId="0" borderId="0" xfId="0" applyFont="1" applyAlignment="1">
      <alignment vertical="top"/>
    </xf>
    <xf numFmtId="0" fontId="10" fillId="5" borderId="3" xfId="0" applyFont="1" applyFill="1" applyBorder="1" applyAlignment="1">
      <alignment horizontal="center" vertical="top"/>
    </xf>
    <xf numFmtId="0" fontId="10" fillId="5" borderId="4" xfId="0" applyFont="1" applyFill="1" applyBorder="1" applyAlignment="1">
      <alignment horizontal="center" vertical="top"/>
    </xf>
    <xf numFmtId="0" fontId="10" fillId="0" borderId="0" xfId="0" applyFont="1" applyAlignment="1">
      <alignment horizontal="center" vertical="top"/>
    </xf>
    <xf numFmtId="0" fontId="10" fillId="0" borderId="3" xfId="0" applyFont="1" applyBorder="1" applyAlignment="1">
      <alignment vertical="top"/>
    </xf>
    <xf numFmtId="0" fontId="10" fillId="0" borderId="4" xfId="0" applyFont="1" applyBorder="1" applyAlignment="1">
      <alignment vertical="top"/>
    </xf>
    <xf numFmtId="0" fontId="10" fillId="0" borderId="5" xfId="0" applyFont="1" applyBorder="1" applyAlignment="1">
      <alignment vertical="top"/>
    </xf>
    <xf numFmtId="0" fontId="10" fillId="5" borderId="6" xfId="0" applyFont="1" applyFill="1" applyBorder="1" applyAlignment="1">
      <alignment vertical="top" wrapText="1"/>
    </xf>
    <xf numFmtId="0" fontId="10" fillId="5" borderId="47" xfId="0" applyFont="1" applyFill="1" applyBorder="1" applyAlignment="1">
      <alignment horizontal="right" vertical="top" wrapText="1"/>
    </xf>
    <xf numFmtId="0" fontId="10" fillId="0" borderId="41" xfId="0" applyFont="1" applyBorder="1" applyAlignment="1" applyProtection="1">
      <alignment horizontal="center" vertical="top" wrapText="1"/>
      <protection locked="0"/>
    </xf>
    <xf numFmtId="0" fontId="10" fillId="0" borderId="0" xfId="0" applyFont="1" applyAlignment="1">
      <alignment vertical="top" wrapText="1"/>
    </xf>
    <xf numFmtId="3" fontId="9" fillId="0" borderId="20" xfId="0" applyNumberFormat="1" applyFont="1" applyFill="1" applyBorder="1" applyAlignment="1" applyProtection="1">
      <alignment horizontal="center" vertical="top" wrapText="1"/>
      <protection locked="0"/>
    </xf>
    <xf numFmtId="3" fontId="9" fillId="0" borderId="0" xfId="0" quotePrefix="1" applyNumberFormat="1" applyFont="1" applyFill="1" applyBorder="1" applyAlignment="1" applyProtection="1">
      <alignment vertical="top" wrapText="1"/>
    </xf>
    <xf numFmtId="3" fontId="9" fillId="0" borderId="89" xfId="0" applyNumberFormat="1" applyFont="1" applyFill="1" applyBorder="1" applyAlignment="1" applyProtection="1">
      <alignment horizontal="center" vertical="top" wrapText="1"/>
      <protection locked="0"/>
    </xf>
    <xf numFmtId="0" fontId="10" fillId="0" borderId="27" xfId="0" applyFont="1" applyBorder="1" applyAlignment="1">
      <alignment horizontal="center" vertical="top" wrapText="1"/>
    </xf>
    <xf numFmtId="0" fontId="10" fillId="0" borderId="0" xfId="0" applyFont="1" applyAlignment="1">
      <alignment horizontal="center" vertical="top" wrapText="1"/>
    </xf>
    <xf numFmtId="0" fontId="10" fillId="0" borderId="18" xfId="0" applyFont="1" applyBorder="1" applyAlignment="1">
      <alignment horizontal="center" vertical="top" wrapText="1"/>
    </xf>
    <xf numFmtId="0" fontId="10" fillId="0" borderId="0" xfId="0" applyFont="1" applyAlignment="1" applyProtection="1">
      <alignment vertical="top" wrapText="1"/>
      <protection locked="0"/>
    </xf>
    <xf numFmtId="0" fontId="9" fillId="0" borderId="0" xfId="0" applyFont="1" applyProtection="1">
      <protection locked="0"/>
    </xf>
    <xf numFmtId="0" fontId="9" fillId="0" borderId="0" xfId="0" applyFont="1" applyAlignment="1">
      <alignment wrapText="1"/>
    </xf>
    <xf numFmtId="0" fontId="10" fillId="5" borderId="17" xfId="0" applyFont="1" applyFill="1" applyBorder="1" applyAlignment="1">
      <alignment horizontal="center" vertical="top"/>
    </xf>
    <xf numFmtId="0" fontId="10" fillId="5" borderId="6" xfId="0" applyFont="1" applyFill="1" applyBorder="1"/>
    <xf numFmtId="0" fontId="10" fillId="5" borderId="26" xfId="0" applyFont="1" applyFill="1" applyBorder="1" applyAlignment="1">
      <alignment horizontal="right"/>
    </xf>
    <xf numFmtId="0" fontId="10" fillId="0" borderId="41" xfId="0" applyFont="1" applyBorder="1" applyAlignment="1" applyProtection="1">
      <alignment horizontal="center"/>
      <protection locked="0"/>
    </xf>
    <xf numFmtId="3" fontId="9" fillId="3" borderId="23" xfId="0" applyNumberFormat="1" applyFont="1" applyFill="1" applyBorder="1" applyAlignment="1" applyProtection="1">
      <alignment horizontal="center" vertical="top" wrapText="1"/>
      <protection locked="0"/>
    </xf>
    <xf numFmtId="3" fontId="9" fillId="0" borderId="0" xfId="0" applyNumberFormat="1" applyFont="1" applyFill="1" applyBorder="1" applyAlignment="1" applyProtection="1">
      <alignment horizontal="center" vertical="top" wrapText="1"/>
    </xf>
    <xf numFmtId="168" fontId="9" fillId="0" borderId="0" xfId="0" applyNumberFormat="1" applyFont="1" applyFill="1" applyBorder="1" applyAlignment="1" applyProtection="1">
      <alignment horizontal="center" vertical="top" wrapText="1"/>
    </xf>
    <xf numFmtId="3" fontId="9" fillId="0" borderId="23" xfId="0" applyNumberFormat="1" applyFont="1" applyFill="1" applyBorder="1" applyAlignment="1" applyProtection="1">
      <alignment horizontal="center" vertical="top" wrapText="1"/>
      <protection locked="0"/>
    </xf>
    <xf numFmtId="166" fontId="9" fillId="3" borderId="23" xfId="0" applyNumberFormat="1" applyFont="1" applyFill="1" applyBorder="1" applyAlignment="1" applyProtection="1">
      <alignment horizontal="center" vertical="top" wrapText="1"/>
      <protection locked="0"/>
    </xf>
    <xf numFmtId="3" fontId="9" fillId="0" borderId="0" xfId="0" quotePrefix="1" applyNumberFormat="1" applyFont="1" applyFill="1" applyBorder="1" applyAlignment="1" applyProtection="1">
      <alignment horizontal="center" vertical="top" wrapText="1"/>
    </xf>
    <xf numFmtId="168" fontId="9" fillId="0" borderId="0" xfId="0" quotePrefix="1" applyNumberFormat="1" applyFont="1" applyFill="1" applyBorder="1" applyAlignment="1" applyProtection="1">
      <alignment horizontal="center" vertical="top" wrapText="1"/>
    </xf>
    <xf numFmtId="3" fontId="9" fillId="0" borderId="23" xfId="0" applyNumberFormat="1" applyFont="1" applyBorder="1" applyAlignment="1" applyProtection="1">
      <alignment horizontal="center" vertical="top" wrapText="1"/>
      <protection locked="0"/>
    </xf>
    <xf numFmtId="3" fontId="9" fillId="0" borderId="25" xfId="0" applyNumberFormat="1" applyFont="1" applyBorder="1" applyAlignment="1" applyProtection="1">
      <alignment horizontal="center" vertical="top" wrapText="1"/>
      <protection locked="0"/>
    </xf>
    <xf numFmtId="0" fontId="10" fillId="0" borderId="3" xfId="0" applyFont="1" applyBorder="1" applyAlignment="1">
      <alignment vertical="top" wrapText="1"/>
    </xf>
    <xf numFmtId="0" fontId="10" fillId="0" borderId="4" xfId="0" applyFont="1" applyBorder="1" applyAlignment="1">
      <alignment vertical="top" wrapText="1"/>
    </xf>
    <xf numFmtId="0" fontId="10" fillId="0" borderId="5" xfId="0" applyFont="1" applyBorder="1" applyAlignment="1">
      <alignment horizontal="center" vertical="top" wrapText="1"/>
    </xf>
    <xf numFmtId="0" fontId="10" fillId="0" borderId="28" xfId="0" applyFont="1" applyBorder="1" applyAlignment="1">
      <alignment vertical="top" wrapText="1"/>
    </xf>
    <xf numFmtId="0" fontId="10" fillId="0" borderId="29" xfId="0" applyFont="1" applyBorder="1" applyAlignment="1">
      <alignment vertical="top" wrapText="1"/>
    </xf>
    <xf numFmtId="0" fontId="10" fillId="0" borderId="14" xfId="0" applyFont="1" applyBorder="1" applyAlignment="1">
      <alignment horizontal="center" vertical="top" wrapTex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3" fontId="9" fillId="0" borderId="14" xfId="0" applyNumberFormat="1" applyFont="1" applyBorder="1" applyAlignment="1">
      <alignment horizontal="center" vertical="top" wrapText="1"/>
    </xf>
    <xf numFmtId="3" fontId="9" fillId="0" borderId="0" xfId="0" applyNumberFormat="1" applyFont="1" applyAlignment="1">
      <alignment horizontal="center" vertical="top" wrapText="1"/>
    </xf>
    <xf numFmtId="0" fontId="10" fillId="0" borderId="5" xfId="0" applyFont="1" applyBorder="1" applyAlignment="1">
      <alignment horizontal="center" vertical="top"/>
    </xf>
    <xf numFmtId="0" fontId="10" fillId="0" borderId="27" xfId="0" applyFont="1" applyBorder="1" applyAlignment="1">
      <alignment vertical="top" wrapText="1"/>
    </xf>
    <xf numFmtId="0" fontId="7" fillId="0" borderId="0" xfId="0" applyFont="1" applyAlignment="1">
      <alignment vertical="top" wrapText="1"/>
    </xf>
    <xf numFmtId="0" fontId="10" fillId="5" borderId="3" xfId="0" applyFont="1" applyFill="1" applyBorder="1" applyAlignment="1">
      <alignment horizontal="center" vertical="top" wrapText="1"/>
    </xf>
    <xf numFmtId="0" fontId="10" fillId="5" borderId="4" xfId="0" applyFont="1" applyFill="1" applyBorder="1" applyAlignment="1">
      <alignment horizontal="center" vertical="top" wrapText="1"/>
    </xf>
    <xf numFmtId="0" fontId="52" fillId="0" borderId="0" xfId="0" applyFont="1" applyAlignment="1">
      <alignment wrapText="1"/>
    </xf>
    <xf numFmtId="0" fontId="52" fillId="0" borderId="0" xfId="0" quotePrefix="1" applyFont="1" applyAlignment="1">
      <alignment wrapText="1"/>
    </xf>
    <xf numFmtId="39" fontId="9" fillId="0" borderId="0" xfId="0" applyNumberFormat="1" applyFont="1" applyAlignment="1">
      <alignment horizontal="center"/>
    </xf>
    <xf numFmtId="0" fontId="10" fillId="5" borderId="39" xfId="0" applyFont="1" applyFill="1" applyBorder="1" applyAlignment="1">
      <alignment horizontal="left" vertical="center" indent="1"/>
    </xf>
    <xf numFmtId="10" fontId="10" fillId="5" borderId="26" xfId="0" quotePrefix="1" applyNumberFormat="1" applyFont="1" applyFill="1" applyBorder="1" applyAlignment="1">
      <alignment horizontal="center" vertical="center"/>
    </xf>
    <xf numFmtId="0" fontId="10" fillId="5" borderId="155" xfId="0" applyFont="1" applyFill="1" applyBorder="1" applyAlignment="1">
      <alignment horizontal="center" vertical="center"/>
    </xf>
    <xf numFmtId="0" fontId="10" fillId="5" borderId="155" xfId="0" applyFont="1" applyFill="1" applyBorder="1" applyAlignment="1">
      <alignment vertical="center"/>
    </xf>
    <xf numFmtId="10" fontId="10" fillId="5" borderId="22" xfId="0" quotePrefix="1" applyNumberFormat="1" applyFont="1" applyFill="1" applyBorder="1" applyAlignment="1">
      <alignment horizontal="center" vertical="center"/>
    </xf>
    <xf numFmtId="0" fontId="10" fillId="5" borderId="23" xfId="0" applyFont="1" applyFill="1" applyBorder="1" applyAlignment="1">
      <alignment vertical="center" wrapText="1"/>
    </xf>
    <xf numFmtId="0" fontId="10" fillId="5" borderId="1" xfId="0" applyFont="1" applyFill="1" applyBorder="1" applyAlignment="1">
      <alignment horizontal="left" vertical="center" indent="1"/>
    </xf>
    <xf numFmtId="10" fontId="10" fillId="5" borderId="44" xfId="0" quotePrefix="1" applyNumberFormat="1" applyFont="1" applyFill="1" applyBorder="1" applyAlignment="1">
      <alignment horizontal="center" vertical="center"/>
    </xf>
    <xf numFmtId="0" fontId="10" fillId="40" borderId="37" xfId="0" applyFont="1" applyFill="1" applyBorder="1" applyAlignment="1" applyProtection="1">
      <alignment horizontal="center" vertical="center"/>
      <protection locked="0"/>
    </xf>
    <xf numFmtId="0" fontId="10" fillId="5" borderId="37" xfId="0" applyFont="1" applyFill="1" applyBorder="1" applyAlignment="1">
      <alignment vertical="center"/>
    </xf>
    <xf numFmtId="0" fontId="10" fillId="5" borderId="25" xfId="0" applyFont="1" applyFill="1" applyBorder="1" applyAlignment="1">
      <alignment vertical="center" wrapText="1"/>
    </xf>
    <xf numFmtId="0" fontId="7" fillId="0" borderId="0" xfId="0" quotePrefix="1" applyFont="1" applyFill="1" applyBorder="1"/>
    <xf numFmtId="0" fontId="10" fillId="5" borderId="38" xfId="0" applyFont="1" applyFill="1" applyBorder="1" applyAlignment="1" applyProtection="1">
      <alignment horizontal="center" vertical="center"/>
    </xf>
    <xf numFmtId="0" fontId="0" fillId="0" borderId="0" xfId="0" applyFont="1" applyAlignment="1" applyProtection="1">
      <alignment vertical="center"/>
    </xf>
    <xf numFmtId="0" fontId="45" fillId="0" borderId="141" xfId="0" applyFont="1" applyBorder="1" applyAlignment="1" applyProtection="1">
      <alignment vertical="center"/>
    </xf>
    <xf numFmtId="0" fontId="45" fillId="0" borderId="141" xfId="0" applyFont="1" applyBorder="1" applyAlignment="1" applyProtection="1">
      <alignment horizontal="center" vertical="center"/>
    </xf>
    <xf numFmtId="0" fontId="45" fillId="0" borderId="0" xfId="0" applyFont="1" applyAlignment="1" applyProtection="1">
      <alignment vertical="center"/>
    </xf>
    <xf numFmtId="0" fontId="58" fillId="0" borderId="143" xfId="0" applyFont="1" applyBorder="1" applyAlignment="1" applyProtection="1">
      <alignment vertical="center"/>
    </xf>
    <xf numFmtId="0" fontId="0" fillId="0" borderId="143" xfId="0" applyFont="1" applyBorder="1" applyAlignment="1" applyProtection="1">
      <alignment horizontal="center" vertical="center"/>
    </xf>
    <xf numFmtId="0" fontId="0" fillId="0" borderId="142" xfId="0" applyFont="1" applyBorder="1" applyAlignment="1" applyProtection="1">
      <alignment vertical="center"/>
    </xf>
    <xf numFmtId="0" fontId="0" fillId="0" borderId="142" xfId="0" applyFont="1" applyBorder="1" applyAlignment="1" applyProtection="1">
      <alignment horizontal="center" vertical="center"/>
    </xf>
    <xf numFmtId="0" fontId="0" fillId="0" borderId="133" xfId="0" applyFont="1" applyBorder="1" applyAlignment="1" applyProtection="1">
      <alignment vertical="center"/>
    </xf>
    <xf numFmtId="0" fontId="0" fillId="0" borderId="133" xfId="0" applyFont="1" applyBorder="1" applyAlignment="1" applyProtection="1">
      <alignment horizontal="center" vertical="center"/>
    </xf>
    <xf numFmtId="39" fontId="58" fillId="0" borderId="143" xfId="2" applyNumberFormat="1" applyFont="1" applyBorder="1" applyAlignment="1" applyProtection="1">
      <alignment horizontal="center" vertical="center"/>
    </xf>
    <xf numFmtId="39" fontId="58" fillId="0" borderId="142" xfId="2" applyNumberFormat="1" applyFont="1" applyBorder="1" applyAlignment="1" applyProtection="1">
      <alignment horizontal="center" vertical="center"/>
    </xf>
    <xf numFmtId="39" fontId="58" fillId="0" borderId="133" xfId="2" applyNumberFormat="1" applyFont="1" applyBorder="1" applyAlignment="1" applyProtection="1">
      <alignment horizontal="center" vertical="center"/>
    </xf>
    <xf numFmtId="0" fontId="0" fillId="0" borderId="0" xfId="0" applyFont="1" applyAlignment="1" applyProtection="1">
      <alignment horizontal="right" vertical="center"/>
    </xf>
    <xf numFmtId="0" fontId="0" fillId="0" borderId="143" xfId="0" applyFont="1" applyBorder="1" applyAlignment="1" applyProtection="1">
      <alignment vertical="center"/>
    </xf>
    <xf numFmtId="2" fontId="0" fillId="0" borderId="143" xfId="0" applyNumberFormat="1" applyFont="1" applyBorder="1" applyAlignment="1" applyProtection="1">
      <alignment horizontal="center" vertical="center"/>
    </xf>
    <xf numFmtId="2" fontId="0" fillId="0" borderId="142" xfId="0" applyNumberFormat="1" applyFont="1" applyBorder="1" applyAlignment="1" applyProtection="1">
      <alignment horizontal="center" vertical="center"/>
    </xf>
    <xf numFmtId="2" fontId="0" fillId="0" borderId="133" xfId="0" applyNumberFormat="1" applyFont="1" applyBorder="1" applyAlignment="1" applyProtection="1">
      <alignment horizontal="center" vertical="center"/>
    </xf>
    <xf numFmtId="0" fontId="0" fillId="0" borderId="145" xfId="0" applyFont="1" applyBorder="1" applyAlignment="1" applyProtection="1">
      <alignment horizontal="center" vertical="center"/>
    </xf>
    <xf numFmtId="3" fontId="0" fillId="0" borderId="143" xfId="0" applyNumberFormat="1" applyFont="1" applyBorder="1" applyAlignment="1" applyProtection="1">
      <alignment horizontal="center" vertical="center"/>
    </xf>
    <xf numFmtId="0" fontId="0" fillId="0" borderId="55" xfId="0" applyFont="1" applyBorder="1" applyAlignment="1" applyProtection="1">
      <alignment horizontal="center" vertical="center"/>
    </xf>
    <xf numFmtId="3" fontId="0" fillId="0" borderId="142" xfId="0" applyNumberFormat="1" applyFont="1" applyBorder="1" applyAlignment="1" applyProtection="1">
      <alignment horizontal="center" vertical="center"/>
    </xf>
    <xf numFmtId="0" fontId="0" fillId="0" borderId="0" xfId="0" quotePrefix="1" applyFont="1" applyAlignment="1" applyProtection="1">
      <alignment horizontal="center" vertical="center"/>
    </xf>
    <xf numFmtId="0" fontId="0" fillId="0" borderId="0" xfId="0" quotePrefix="1" applyFont="1" applyAlignment="1" applyProtection="1">
      <alignment vertical="center"/>
    </xf>
    <xf numFmtId="3" fontId="0" fillId="0" borderId="133" xfId="0" applyNumberFormat="1" applyFont="1" applyBorder="1" applyAlignment="1" applyProtection="1">
      <alignment horizontal="center" vertical="center"/>
    </xf>
    <xf numFmtId="176" fontId="0" fillId="0" borderId="143" xfId="0" applyNumberFormat="1" applyFont="1" applyFill="1" applyBorder="1" applyAlignment="1" applyProtection="1">
      <alignment horizontal="center" vertical="center"/>
    </xf>
    <xf numFmtId="176" fontId="0" fillId="0" borderId="142" xfId="0" applyNumberFormat="1" applyFont="1" applyFill="1" applyBorder="1" applyAlignment="1" applyProtection="1">
      <alignment horizontal="center" vertical="center"/>
    </xf>
    <xf numFmtId="176" fontId="0" fillId="0" borderId="133" xfId="0" applyNumberFormat="1" applyFont="1" applyFill="1" applyBorder="1" applyAlignment="1" applyProtection="1">
      <alignment horizontal="center" vertical="center"/>
    </xf>
    <xf numFmtId="0" fontId="0" fillId="0" borderId="145" xfId="0" applyFont="1" applyBorder="1" applyAlignment="1" applyProtection="1">
      <alignment vertical="center"/>
    </xf>
    <xf numFmtId="3" fontId="0" fillId="0" borderId="145" xfId="0" applyNumberFormat="1" applyFont="1" applyBorder="1" applyAlignment="1" applyProtection="1">
      <alignment horizontal="center" vertical="center"/>
    </xf>
    <xf numFmtId="0" fontId="58" fillId="0" borderId="0" xfId="0" applyFont="1" applyAlignment="1" applyProtection="1">
      <alignment vertical="center"/>
    </xf>
    <xf numFmtId="9" fontId="58" fillId="0" borderId="0" xfId="0" applyNumberFormat="1" applyFont="1" applyAlignment="1" applyProtection="1">
      <alignment vertical="center"/>
    </xf>
    <xf numFmtId="4" fontId="0" fillId="0" borderId="143" xfId="0" applyNumberFormat="1" applyFont="1" applyBorder="1" applyAlignment="1" applyProtection="1">
      <alignment horizontal="center" vertical="center"/>
    </xf>
    <xf numFmtId="4" fontId="0" fillId="0" borderId="142" xfId="0" applyNumberFormat="1" applyFont="1" applyBorder="1" applyAlignment="1" applyProtection="1">
      <alignment horizontal="center" vertical="center"/>
    </xf>
    <xf numFmtId="4" fontId="0" fillId="0" borderId="133" xfId="0" applyNumberFormat="1" applyFont="1" applyBorder="1" applyAlignment="1" applyProtection="1">
      <alignment horizontal="center" vertical="center"/>
    </xf>
    <xf numFmtId="0" fontId="0" fillId="0" borderId="143" xfId="0" applyFont="1" applyFill="1" applyBorder="1" applyAlignment="1" applyProtection="1">
      <alignment vertical="center"/>
    </xf>
    <xf numFmtId="3" fontId="0" fillId="0" borderId="143" xfId="0" applyNumberFormat="1" applyFont="1" applyFill="1" applyBorder="1" applyAlignment="1" applyProtection="1">
      <alignment horizontal="center" vertical="center"/>
    </xf>
    <xf numFmtId="0" fontId="0" fillId="0" borderId="143" xfId="0" applyFont="1" applyFill="1" applyBorder="1" applyAlignment="1" applyProtection="1">
      <alignment horizontal="center" vertical="center"/>
    </xf>
    <xf numFmtId="0" fontId="0" fillId="0" borderId="0" xfId="0" applyFont="1" applyFill="1" applyAlignment="1" applyProtection="1">
      <alignment vertical="center"/>
    </xf>
    <xf numFmtId="0" fontId="0" fillId="0" borderId="142" xfId="0" applyFont="1" applyFill="1" applyBorder="1" applyAlignment="1" applyProtection="1">
      <alignment vertical="center"/>
    </xf>
    <xf numFmtId="3" fontId="0" fillId="0" borderId="142" xfId="0" applyNumberFormat="1" applyFont="1" applyFill="1" applyBorder="1" applyAlignment="1" applyProtection="1">
      <alignment horizontal="center" vertical="center"/>
    </xf>
    <xf numFmtId="0" fontId="0" fillId="0" borderId="142" xfId="0" applyFont="1" applyFill="1" applyBorder="1" applyAlignment="1" applyProtection="1">
      <alignment horizontal="center" vertical="center"/>
    </xf>
    <xf numFmtId="0" fontId="0" fillId="0" borderId="145" xfId="0" applyFont="1" applyFill="1" applyBorder="1" applyAlignment="1" applyProtection="1">
      <alignment vertical="center"/>
    </xf>
    <xf numFmtId="3" fontId="0" fillId="0" borderId="145" xfId="0" applyNumberFormat="1" applyFont="1" applyFill="1" applyBorder="1" applyAlignment="1" applyProtection="1">
      <alignment horizontal="center" vertical="center"/>
    </xf>
    <xf numFmtId="0" fontId="0" fillId="0" borderId="145" xfId="0" applyFont="1" applyFill="1" applyBorder="1" applyAlignment="1" applyProtection="1">
      <alignment horizontal="center" vertical="center"/>
    </xf>
    <xf numFmtId="0" fontId="0" fillId="0" borderId="143" xfId="0" applyFont="1" applyFill="1" applyBorder="1" applyAlignment="1" applyProtection="1">
      <alignment vertical="center" wrapText="1"/>
    </xf>
    <xf numFmtId="4" fontId="0" fillId="0" borderId="143" xfId="0" applyNumberFormat="1" applyFont="1" applyFill="1" applyBorder="1" applyAlignment="1" applyProtection="1">
      <alignment horizontal="center" vertical="center"/>
    </xf>
    <xf numFmtId="4" fontId="0" fillId="0" borderId="142" xfId="0" applyNumberFormat="1" applyFont="1" applyFill="1" applyBorder="1" applyAlignment="1" applyProtection="1">
      <alignment horizontal="center" vertical="center"/>
    </xf>
    <xf numFmtId="4" fontId="0" fillId="0" borderId="145" xfId="0" applyNumberFormat="1" applyFont="1" applyFill="1" applyBorder="1" applyAlignment="1" applyProtection="1">
      <alignment horizontal="center" vertical="center"/>
    </xf>
    <xf numFmtId="0" fontId="57" fillId="0" borderId="0" xfId="0" applyFont="1" applyFill="1" applyBorder="1" applyAlignment="1" applyProtection="1">
      <alignment horizontal="left" vertical="center"/>
    </xf>
    <xf numFmtId="0" fontId="0" fillId="0" borderId="0" xfId="0" applyFont="1" applyFill="1" applyBorder="1" applyAlignment="1" applyProtection="1">
      <alignment vertical="center"/>
    </xf>
    <xf numFmtId="9" fontId="57" fillId="0" borderId="0" xfId="0" applyNumberFormat="1" applyFont="1" applyFill="1" applyBorder="1" applyAlignment="1" applyProtection="1">
      <alignment horizontal="center" vertical="center"/>
    </xf>
    <xf numFmtId="0" fontId="0" fillId="0" borderId="0" xfId="0" quotePrefix="1" applyFont="1" applyFill="1" applyBorder="1" applyAlignment="1" applyProtection="1">
      <alignment vertical="center"/>
    </xf>
    <xf numFmtId="0" fontId="9" fillId="0" borderId="7" xfId="0" applyFont="1" applyBorder="1" applyAlignment="1" applyProtection="1">
      <alignment horizontal="center" vertical="top" wrapText="1"/>
      <protection locked="0"/>
    </xf>
    <xf numFmtId="0" fontId="9" fillId="0" borderId="16" xfId="0" applyFont="1" applyBorder="1" applyAlignment="1" applyProtection="1">
      <alignment horizontal="center" vertical="top" wrapText="1"/>
      <protection locked="0"/>
    </xf>
    <xf numFmtId="0" fontId="9" fillId="0" borderId="30" xfId="0" applyFont="1" applyBorder="1" applyAlignment="1" applyProtection="1">
      <alignment horizontal="center" vertical="top" wrapText="1"/>
      <protection locked="0"/>
    </xf>
    <xf numFmtId="0" fontId="9" fillId="0" borderId="24" xfId="0" applyFont="1" applyBorder="1" applyAlignment="1" applyProtection="1">
      <alignment horizontal="center" vertical="top" wrapText="1"/>
      <protection locked="0"/>
    </xf>
    <xf numFmtId="0" fontId="9" fillId="5" borderId="4" xfId="0" applyFont="1" applyFill="1" applyBorder="1" applyAlignment="1" applyProtection="1">
      <alignment horizontal="center" vertical="top" wrapText="1"/>
    </xf>
    <xf numFmtId="0" fontId="9" fillId="5" borderId="5" xfId="0" applyFont="1" applyFill="1" applyBorder="1" applyAlignment="1" applyProtection="1">
      <alignment horizontal="center" vertical="top" wrapText="1"/>
    </xf>
    <xf numFmtId="0" fontId="9" fillId="0" borderId="6" xfId="0" applyFont="1" applyBorder="1" applyAlignment="1" applyProtection="1">
      <alignment horizontal="center" vertical="top" wrapText="1"/>
      <protection locked="0"/>
    </xf>
    <xf numFmtId="0" fontId="9" fillId="0" borderId="15" xfId="0" applyFont="1" applyBorder="1" applyAlignment="1" applyProtection="1">
      <alignment horizontal="center" vertical="top" wrapText="1"/>
      <protection locked="0"/>
    </xf>
    <xf numFmtId="0" fontId="10" fillId="5" borderId="12" xfId="0" applyFont="1" applyFill="1" applyBorder="1" applyAlignment="1" applyProtection="1">
      <alignment horizontal="left" vertical="top" wrapText="1"/>
    </xf>
    <xf numFmtId="0" fontId="10" fillId="5" borderId="13" xfId="0" applyFont="1" applyFill="1" applyBorder="1" applyAlignment="1" applyProtection="1">
      <alignment horizontal="left" vertical="top" wrapText="1"/>
    </xf>
    <xf numFmtId="0" fontId="10" fillId="5" borderId="11" xfId="0" applyFont="1" applyFill="1" applyBorder="1" applyAlignment="1" applyProtection="1">
      <alignment horizontal="left" vertical="top" wrapText="1"/>
    </xf>
    <xf numFmtId="0" fontId="9" fillId="0" borderId="54" xfId="0" applyFont="1" applyBorder="1" applyAlignment="1" applyProtection="1">
      <alignment horizontal="center" vertical="top" wrapText="1"/>
      <protection locked="0"/>
    </xf>
    <xf numFmtId="0" fontId="9" fillId="0" borderId="21" xfId="0" applyFont="1" applyBorder="1" applyAlignment="1" applyProtection="1">
      <alignment horizontal="center" vertical="top" wrapText="1"/>
      <protection locked="0"/>
    </xf>
    <xf numFmtId="0" fontId="10" fillId="5" borderId="12" xfId="0" applyFont="1" applyFill="1" applyBorder="1" applyAlignment="1" applyProtection="1">
      <alignment horizontal="right" vertical="top" wrapText="1"/>
    </xf>
    <xf numFmtId="0" fontId="10" fillId="5" borderId="13" xfId="0" applyFont="1" applyFill="1" applyBorder="1" applyAlignment="1" applyProtection="1">
      <alignment horizontal="right" vertical="top" wrapText="1"/>
    </xf>
    <xf numFmtId="0" fontId="10" fillId="5" borderId="11" xfId="0" applyFont="1" applyFill="1" applyBorder="1" applyAlignment="1" applyProtection="1">
      <alignment horizontal="right" vertical="top" wrapText="1"/>
    </xf>
    <xf numFmtId="0" fontId="10" fillId="5" borderId="12" xfId="0" quotePrefix="1" applyFont="1" applyFill="1" applyBorder="1" applyAlignment="1" applyProtection="1">
      <alignment horizontal="right" vertical="top" wrapText="1"/>
    </xf>
    <xf numFmtId="0" fontId="10" fillId="5" borderId="28" xfId="0" applyFont="1" applyFill="1" applyBorder="1" applyAlignment="1" applyProtection="1">
      <alignment horizontal="right" vertical="top" wrapText="1" indent="1"/>
    </xf>
    <xf numFmtId="0" fontId="10" fillId="5" borderId="14" xfId="0" applyFont="1" applyFill="1" applyBorder="1" applyAlignment="1" applyProtection="1">
      <alignment horizontal="right" vertical="top" wrapText="1" indent="1"/>
    </xf>
    <xf numFmtId="0" fontId="10" fillId="5" borderId="7" xfId="0" applyFont="1" applyFill="1" applyBorder="1" applyAlignment="1" applyProtection="1">
      <alignment horizontal="right" vertical="top" wrapText="1" indent="1"/>
    </xf>
    <xf numFmtId="0" fontId="10" fillId="5" borderId="16" xfId="0" applyFont="1" applyFill="1" applyBorder="1" applyAlignment="1" applyProtection="1">
      <alignment horizontal="right" vertical="top" wrapText="1" indent="1"/>
    </xf>
    <xf numFmtId="0" fontId="10" fillId="5" borderId="12" xfId="0" applyFont="1" applyFill="1" applyBorder="1" applyAlignment="1" applyProtection="1">
      <alignment horizontal="center" vertical="top" wrapText="1"/>
    </xf>
    <xf numFmtId="0" fontId="10" fillId="5" borderId="13" xfId="0" applyFont="1" applyFill="1" applyBorder="1" applyAlignment="1" applyProtection="1">
      <alignment horizontal="center" vertical="top" wrapText="1"/>
    </xf>
    <xf numFmtId="0" fontId="10" fillId="5" borderId="11" xfId="0" applyFont="1" applyFill="1" applyBorder="1" applyAlignment="1" applyProtection="1">
      <alignment horizontal="center" vertical="top" wrapText="1"/>
    </xf>
    <xf numFmtId="0" fontId="10" fillId="5" borderId="7" xfId="0" quotePrefix="1" applyFont="1" applyFill="1" applyBorder="1" applyAlignment="1" applyProtection="1">
      <alignment horizontal="right" vertical="top" wrapText="1" indent="1"/>
    </xf>
    <xf numFmtId="0" fontId="12" fillId="5" borderId="3" xfId="0" applyFont="1" applyFill="1" applyBorder="1" applyAlignment="1" applyProtection="1">
      <alignment horizontal="right" vertical="top" wrapText="1"/>
    </xf>
    <xf numFmtId="0" fontId="12" fillId="5" borderId="4" xfId="0" applyFont="1" applyFill="1" applyBorder="1" applyAlignment="1" applyProtection="1">
      <alignment horizontal="right" vertical="top" wrapText="1"/>
    </xf>
    <xf numFmtId="0" fontId="12" fillId="5" borderId="5" xfId="0" applyFont="1" applyFill="1" applyBorder="1" applyAlignment="1" applyProtection="1">
      <alignment horizontal="right" vertical="top" wrapText="1"/>
    </xf>
    <xf numFmtId="0" fontId="7" fillId="5" borderId="3" xfId="0" applyFont="1" applyFill="1" applyBorder="1" applyAlignment="1" applyProtection="1">
      <alignment horizontal="center" vertical="top" wrapText="1"/>
    </xf>
    <xf numFmtId="0" fontId="7" fillId="5" borderId="4" xfId="0" applyFont="1" applyFill="1" applyBorder="1" applyAlignment="1" applyProtection="1">
      <alignment horizontal="center" vertical="top" wrapText="1"/>
    </xf>
    <xf numFmtId="0" fontId="7" fillId="5" borderId="5" xfId="0" applyFont="1" applyFill="1" applyBorder="1" applyAlignment="1" applyProtection="1">
      <alignment horizontal="center" vertical="top" wrapText="1"/>
    </xf>
    <xf numFmtId="0" fontId="9" fillId="0" borderId="3" xfId="0" applyFont="1" applyBorder="1" applyAlignment="1" applyProtection="1">
      <alignment horizontal="center" vertical="top" wrapText="1"/>
      <protection locked="0"/>
    </xf>
    <xf numFmtId="0" fontId="9" fillId="0" borderId="5" xfId="0" applyFont="1" applyBorder="1" applyAlignment="1" applyProtection="1">
      <alignment horizontal="center" vertical="top" wrapText="1"/>
      <protection locked="0"/>
    </xf>
    <xf numFmtId="0" fontId="9" fillId="0" borderId="28" xfId="0" applyFont="1" applyBorder="1" applyAlignment="1" applyProtection="1">
      <alignment horizontal="center" vertical="top" wrapText="1"/>
      <protection locked="0"/>
    </xf>
    <xf numFmtId="0" fontId="9" fillId="0" borderId="14" xfId="0" applyFont="1" applyBorder="1" applyAlignment="1" applyProtection="1">
      <alignment horizontal="center" vertical="top" wrapText="1"/>
      <protection locked="0"/>
    </xf>
    <xf numFmtId="0" fontId="12" fillId="5" borderId="3" xfId="0" applyFont="1" applyFill="1" applyBorder="1" applyAlignment="1" applyProtection="1">
      <alignment horizontal="center" vertical="top" wrapText="1"/>
    </xf>
    <xf numFmtId="0" fontId="12" fillId="5" borderId="4" xfId="0" applyFont="1" applyFill="1" applyBorder="1" applyAlignment="1" applyProtection="1">
      <alignment horizontal="center" vertical="top" wrapText="1"/>
    </xf>
    <xf numFmtId="0" fontId="12" fillId="5" borderId="5" xfId="0" applyFont="1" applyFill="1" applyBorder="1" applyAlignment="1" applyProtection="1">
      <alignment horizontal="center" vertical="top" wrapText="1"/>
    </xf>
    <xf numFmtId="0" fontId="10" fillId="5" borderId="3" xfId="0" applyFont="1" applyFill="1" applyBorder="1" applyAlignment="1" applyProtection="1">
      <alignment horizontal="left" vertical="top" wrapText="1"/>
    </xf>
    <xf numFmtId="0" fontId="10" fillId="5" borderId="5" xfId="0" applyFont="1" applyFill="1" applyBorder="1" applyAlignment="1" applyProtection="1">
      <alignment horizontal="left" vertical="top" wrapText="1"/>
    </xf>
    <xf numFmtId="0" fontId="10" fillId="5" borderId="12" xfId="0" applyFont="1" applyFill="1" applyBorder="1" applyAlignment="1" applyProtection="1">
      <alignment vertical="top" wrapText="1"/>
    </xf>
    <xf numFmtId="0" fontId="10" fillId="5" borderId="13" xfId="0" applyFont="1" applyFill="1" applyBorder="1" applyAlignment="1" applyProtection="1">
      <alignment vertical="top" wrapText="1"/>
    </xf>
    <xf numFmtId="0" fontId="10" fillId="5" borderId="11" xfId="0" applyFont="1" applyFill="1" applyBorder="1" applyAlignment="1" applyProtection="1">
      <alignment vertical="top" wrapText="1"/>
    </xf>
    <xf numFmtId="0" fontId="10" fillId="5" borderId="3" xfId="0" applyFont="1" applyFill="1" applyBorder="1" applyAlignment="1" applyProtection="1">
      <alignment horizontal="center" vertical="top" wrapText="1"/>
    </xf>
    <xf numFmtId="0" fontId="10" fillId="5" borderId="4" xfId="0" applyFont="1" applyFill="1" applyBorder="1" applyAlignment="1" applyProtection="1">
      <alignment horizontal="center" vertical="top" wrapText="1"/>
    </xf>
    <xf numFmtId="0" fontId="10" fillId="5" borderId="5" xfId="0" applyFont="1" applyFill="1" applyBorder="1" applyAlignment="1" applyProtection="1">
      <alignment horizontal="center" vertical="top" wrapText="1"/>
    </xf>
    <xf numFmtId="0" fontId="5" fillId="0" borderId="3" xfId="0" applyFont="1" applyBorder="1" applyAlignment="1" applyProtection="1">
      <alignment horizontal="center" vertical="top" wrapText="1"/>
      <protection locked="0"/>
    </xf>
    <xf numFmtId="0" fontId="5" fillId="0" borderId="4" xfId="0" applyFont="1" applyBorder="1" applyAlignment="1" applyProtection="1">
      <alignment horizontal="center" vertical="top" wrapText="1"/>
      <protection locked="0"/>
    </xf>
    <xf numFmtId="0" fontId="5" fillId="0" borderId="5" xfId="0" applyFont="1" applyBorder="1" applyAlignment="1" applyProtection="1">
      <alignment horizontal="center" vertical="top" wrapText="1"/>
      <protection locked="0"/>
    </xf>
    <xf numFmtId="0" fontId="9" fillId="0" borderId="39" xfId="0" applyFont="1" applyBorder="1" applyAlignment="1" applyProtection="1">
      <alignment horizontal="center" vertical="top" wrapText="1"/>
      <protection locked="0"/>
    </xf>
    <xf numFmtId="0" fontId="9" fillId="0" borderId="41" xfId="0" applyFont="1" applyBorder="1" applyAlignment="1" applyProtection="1">
      <alignment horizontal="center" vertical="top" wrapText="1"/>
      <protection locked="0"/>
    </xf>
    <xf numFmtId="0" fontId="10" fillId="5" borderId="3" xfId="0" quotePrefix="1" applyFont="1" applyFill="1" applyBorder="1" applyAlignment="1" applyProtection="1">
      <alignment horizontal="left" wrapText="1"/>
    </xf>
    <xf numFmtId="0" fontId="10" fillId="5" borderId="5" xfId="0" quotePrefix="1" applyFont="1" applyFill="1" applyBorder="1" applyAlignment="1" applyProtection="1">
      <alignment horizontal="left" wrapText="1"/>
    </xf>
    <xf numFmtId="3" fontId="9" fillId="0" borderId="3" xfId="0" applyNumberFormat="1" applyFont="1" applyBorder="1" applyAlignment="1" applyProtection="1">
      <alignment horizontal="center" vertical="center" wrapText="1"/>
      <protection locked="0"/>
    </xf>
    <xf numFmtId="3" fontId="9" fillId="0" borderId="5" xfId="0" applyNumberFormat="1" applyFont="1" applyBorder="1" applyAlignment="1" applyProtection="1">
      <alignment horizontal="center" vertical="center" wrapText="1"/>
      <protection locked="0"/>
    </xf>
    <xf numFmtId="0" fontId="9" fillId="0" borderId="3" xfId="0" applyFont="1" applyFill="1" applyBorder="1" applyAlignment="1" applyProtection="1">
      <alignment horizontal="center" vertical="top" wrapText="1"/>
      <protection locked="0"/>
    </xf>
    <xf numFmtId="0" fontId="9" fillId="0" borderId="5" xfId="0" applyFont="1" applyFill="1" applyBorder="1" applyAlignment="1" applyProtection="1">
      <alignment horizontal="center" vertical="top" wrapText="1"/>
      <protection locked="0"/>
    </xf>
    <xf numFmtId="12" fontId="9" fillId="0" borderId="3" xfId="0" applyNumberFormat="1" applyFont="1" applyBorder="1" applyAlignment="1" applyProtection="1">
      <alignment horizontal="center" vertical="top" wrapText="1"/>
      <protection locked="0"/>
    </xf>
    <xf numFmtId="0" fontId="10" fillId="5" borderId="6" xfId="0" quotePrefix="1" applyFont="1" applyFill="1" applyBorder="1" applyAlignment="1" applyProtection="1">
      <alignment horizontal="right" vertical="top" wrapText="1" indent="1"/>
    </xf>
    <xf numFmtId="0" fontId="10" fillId="5" borderId="15" xfId="0" quotePrefix="1" applyFont="1" applyFill="1" applyBorder="1" applyAlignment="1" applyProtection="1">
      <alignment horizontal="right" vertical="top" wrapText="1" indent="1"/>
    </xf>
    <xf numFmtId="0" fontId="10" fillId="5" borderId="28" xfId="0" applyFont="1" applyFill="1" applyBorder="1" applyAlignment="1">
      <alignment horizontal="left" vertical="top" wrapText="1"/>
    </xf>
    <xf numFmtId="0" fontId="10" fillId="5" borderId="14" xfId="0" applyFont="1" applyFill="1" applyBorder="1" applyAlignment="1">
      <alignment horizontal="left" vertical="top" wrapText="1"/>
    </xf>
    <xf numFmtId="165" fontId="9" fillId="5" borderId="3" xfId="2" applyNumberFormat="1" applyFont="1" applyFill="1" applyBorder="1" applyAlignment="1" applyProtection="1">
      <alignment vertical="top" wrapText="1"/>
    </xf>
    <xf numFmtId="165" fontId="9" fillId="5" borderId="5" xfId="2" applyNumberFormat="1" applyFont="1" applyFill="1" applyBorder="1" applyAlignment="1" applyProtection="1">
      <alignment vertical="top" wrapText="1"/>
    </xf>
    <xf numFmtId="0" fontId="0" fillId="5" borderId="5" xfId="0" applyFill="1" applyBorder="1" applyAlignment="1">
      <alignment horizontal="left" vertical="top" wrapText="1"/>
    </xf>
    <xf numFmtId="0" fontId="10" fillId="5" borderId="50" xfId="0" applyFont="1" applyFill="1" applyBorder="1" applyAlignment="1" applyProtection="1">
      <alignment horizontal="left" vertical="top" wrapText="1"/>
    </xf>
    <xf numFmtId="0" fontId="10" fillId="5" borderId="45" xfId="0" applyFont="1" applyFill="1" applyBorder="1" applyAlignment="1" applyProtection="1">
      <alignment horizontal="left" vertical="top" wrapText="1"/>
    </xf>
    <xf numFmtId="0" fontId="10" fillId="5" borderId="13" xfId="0" quotePrefix="1" applyFont="1" applyFill="1" applyBorder="1" applyAlignment="1" applyProtection="1">
      <alignment horizontal="right" vertical="top" wrapText="1"/>
    </xf>
    <xf numFmtId="0" fontId="10" fillId="5" borderId="11" xfId="0" quotePrefix="1" applyFont="1" applyFill="1" applyBorder="1" applyAlignment="1" applyProtection="1">
      <alignment horizontal="right" vertical="top" wrapText="1"/>
    </xf>
    <xf numFmtId="0" fontId="9" fillId="0" borderId="48" xfId="0" quotePrefix="1" applyFont="1" applyFill="1" applyBorder="1" applyAlignment="1" applyProtection="1">
      <alignment horizontal="left" vertical="top" wrapText="1"/>
    </xf>
    <xf numFmtId="0" fontId="3" fillId="0" borderId="48" xfId="0" applyFont="1" applyFill="1" applyBorder="1" applyAlignment="1">
      <alignment horizontal="left" vertical="top" wrapText="1"/>
    </xf>
    <xf numFmtId="3" fontId="9" fillId="5" borderId="3" xfId="0" applyNumberFormat="1" applyFont="1" applyFill="1" applyBorder="1" applyAlignment="1" applyProtection="1">
      <alignment horizontal="center" vertical="top" wrapText="1"/>
      <protection locked="0"/>
    </xf>
    <xf numFmtId="3" fontId="9" fillId="5" borderId="5" xfId="0" applyNumberFormat="1" applyFont="1" applyFill="1" applyBorder="1" applyAlignment="1" applyProtection="1">
      <alignment horizontal="center" vertical="top" wrapText="1"/>
      <protection locked="0"/>
    </xf>
    <xf numFmtId="0" fontId="9" fillId="6" borderId="2" xfId="0" applyFont="1" applyFill="1" applyBorder="1" applyAlignment="1" applyProtection="1">
      <alignment horizontal="left" vertical="center"/>
    </xf>
    <xf numFmtId="0" fontId="9" fillId="6" borderId="56" xfId="0" applyFont="1" applyFill="1" applyBorder="1" applyAlignment="1" applyProtection="1">
      <alignment horizontal="left" vertical="center"/>
    </xf>
    <xf numFmtId="0" fontId="9" fillId="6" borderId="1" xfId="0" applyFont="1" applyFill="1" applyBorder="1" applyAlignment="1" applyProtection="1">
      <alignment horizontal="left" vertical="center"/>
    </xf>
    <xf numFmtId="0" fontId="9" fillId="6" borderId="52" xfId="0" applyFont="1" applyFill="1" applyBorder="1" applyAlignment="1" applyProtection="1">
      <alignment horizontal="left" vertical="center"/>
    </xf>
    <xf numFmtId="0" fontId="29" fillId="0" borderId="0" xfId="0" quotePrefix="1" applyFont="1" applyAlignment="1">
      <alignment horizontal="left" wrapText="1"/>
    </xf>
    <xf numFmtId="0" fontId="29" fillId="6" borderId="7" xfId="0" applyFont="1" applyFill="1" applyBorder="1" applyAlignment="1" applyProtection="1">
      <alignment horizontal="center" wrapText="1"/>
    </xf>
    <xf numFmtId="0" fontId="29" fillId="6" borderId="16" xfId="0" applyFont="1" applyFill="1" applyBorder="1" applyAlignment="1" applyProtection="1">
      <alignment horizontal="center" wrapText="1"/>
    </xf>
    <xf numFmtId="0" fontId="9" fillId="6" borderId="51" xfId="0" applyFont="1" applyFill="1" applyBorder="1" applyAlignment="1" applyProtection="1">
      <alignment horizontal="left" vertical="center"/>
    </xf>
    <xf numFmtId="0" fontId="9" fillId="6" borderId="87" xfId="0" applyFont="1" applyFill="1" applyBorder="1" applyAlignment="1" applyProtection="1">
      <alignment horizontal="left" vertical="center"/>
    </xf>
    <xf numFmtId="0" fontId="9" fillId="6" borderId="35" xfId="0" applyFont="1" applyFill="1" applyBorder="1" applyAlignment="1" applyProtection="1">
      <alignment horizontal="left" vertical="center"/>
    </xf>
    <xf numFmtId="0" fontId="9" fillId="6" borderId="59" xfId="0" applyFont="1" applyFill="1" applyBorder="1" applyAlignment="1" applyProtection="1">
      <alignment horizontal="left" vertical="center"/>
    </xf>
    <xf numFmtId="0" fontId="33" fillId="5" borderId="3" xfId="0" applyFont="1" applyFill="1" applyBorder="1" applyAlignment="1" applyProtection="1">
      <alignment horizontal="left" vertical="center" wrapText="1"/>
    </xf>
    <xf numFmtId="0" fontId="33" fillId="5" borderId="5" xfId="0" applyFont="1" applyFill="1" applyBorder="1" applyAlignment="1" applyProtection="1">
      <alignment horizontal="left" vertical="center" wrapText="1"/>
    </xf>
    <xf numFmtId="0" fontId="33" fillId="37" borderId="104" xfId="0" quotePrefix="1" applyFont="1" applyFill="1" applyBorder="1" applyAlignment="1" applyProtection="1">
      <alignment horizontal="center" vertical="center" wrapText="1"/>
    </xf>
    <xf numFmtId="0" fontId="33" fillId="37" borderId="103" xfId="0" applyFont="1" applyFill="1" applyBorder="1" applyAlignment="1" applyProtection="1">
      <alignment horizontal="center" vertical="center" wrapText="1"/>
    </xf>
    <xf numFmtId="0" fontId="33" fillId="37" borderId="102" xfId="0" applyFont="1" applyFill="1" applyBorder="1" applyAlignment="1" applyProtection="1">
      <alignment horizontal="center" vertical="center" wrapText="1"/>
    </xf>
    <xf numFmtId="0" fontId="29" fillId="6" borderId="88" xfId="0" applyFont="1" applyFill="1" applyBorder="1" applyAlignment="1" applyProtection="1">
      <alignment horizontal="center" wrapText="1"/>
    </xf>
    <xf numFmtId="0" fontId="29" fillId="6" borderId="34" xfId="0" applyFont="1" applyFill="1" applyBorder="1" applyAlignment="1" applyProtection="1">
      <alignment horizontal="center" wrapText="1"/>
    </xf>
    <xf numFmtId="0" fontId="29" fillId="6" borderId="40" xfId="0" applyFont="1" applyFill="1" applyBorder="1" applyAlignment="1" applyProtection="1">
      <alignment horizontal="center" wrapText="1"/>
    </xf>
    <xf numFmtId="0" fontId="29" fillId="6" borderId="89" xfId="0" applyFont="1" applyFill="1" applyBorder="1" applyAlignment="1" applyProtection="1">
      <alignment horizontal="center" wrapText="1"/>
    </xf>
    <xf numFmtId="0" fontId="29" fillId="5" borderId="3" xfId="0" applyFont="1" applyFill="1" applyBorder="1" applyAlignment="1" applyProtection="1">
      <alignment horizontal="left" vertical="center" wrapText="1"/>
    </xf>
    <xf numFmtId="0" fontId="29" fillId="5" borderId="5" xfId="0" applyFont="1" applyFill="1" applyBorder="1" applyAlignment="1" applyProtection="1">
      <alignment horizontal="left" vertical="center" wrapText="1"/>
    </xf>
    <xf numFmtId="0" fontId="34" fillId="0" borderId="3" xfId="0" applyFont="1" applyFill="1" applyBorder="1" applyAlignment="1" applyProtection="1">
      <alignment horizontal="center"/>
    </xf>
    <xf numFmtId="0" fontId="34" fillId="0" borderId="4" xfId="0" applyFont="1" applyFill="1" applyBorder="1" applyAlignment="1" applyProtection="1">
      <alignment horizontal="center"/>
    </xf>
    <xf numFmtId="0" fontId="34" fillId="0" borderId="5" xfId="0" applyFont="1" applyFill="1" applyBorder="1" applyAlignment="1" applyProtection="1">
      <alignment horizontal="center"/>
    </xf>
    <xf numFmtId="0" fontId="33" fillId="6" borderId="12" xfId="0" applyFont="1" applyFill="1" applyBorder="1" applyAlignment="1" applyProtection="1">
      <alignment horizontal="center" wrapText="1"/>
    </xf>
    <xf numFmtId="0" fontId="33" fillId="6" borderId="13" xfId="0" applyFont="1" applyFill="1" applyBorder="1" applyAlignment="1" applyProtection="1">
      <alignment horizontal="center" wrapText="1"/>
    </xf>
    <xf numFmtId="0" fontId="33" fillId="6" borderId="50" xfId="0" applyFont="1" applyFill="1" applyBorder="1" applyAlignment="1" applyProtection="1">
      <alignment horizontal="left"/>
    </xf>
    <xf numFmtId="0" fontId="33" fillId="6" borderId="45" xfId="0" applyFont="1" applyFill="1" applyBorder="1" applyAlignment="1" applyProtection="1">
      <alignment horizontal="left"/>
    </xf>
    <xf numFmtId="0" fontId="33" fillId="6" borderId="27" xfId="0" applyFont="1" applyFill="1" applyBorder="1" applyAlignment="1" applyProtection="1">
      <alignment horizontal="left"/>
    </xf>
    <xf numFmtId="0" fontId="33" fillId="6" borderId="18" xfId="0" applyFont="1" applyFill="1" applyBorder="1" applyAlignment="1" applyProtection="1">
      <alignment horizontal="left"/>
    </xf>
    <xf numFmtId="0" fontId="33" fillId="6" borderId="28" xfId="0" applyFont="1" applyFill="1" applyBorder="1" applyAlignment="1" applyProtection="1">
      <alignment horizontal="left"/>
    </xf>
    <xf numFmtId="0" fontId="33" fillId="6" borderId="14" xfId="0" applyFont="1" applyFill="1" applyBorder="1" applyAlignment="1" applyProtection="1">
      <alignment horizontal="left"/>
    </xf>
    <xf numFmtId="0" fontId="33" fillId="6" borderId="6" xfId="0" applyFont="1" applyFill="1" applyBorder="1" applyAlignment="1" applyProtection="1">
      <alignment horizontal="center" wrapText="1"/>
    </xf>
    <xf numFmtId="0" fontId="33" fillId="6" borderId="47" xfId="0" applyFont="1" applyFill="1" applyBorder="1" applyAlignment="1" applyProtection="1">
      <alignment horizontal="center" wrapText="1"/>
    </xf>
    <xf numFmtId="0" fontId="33" fillId="6" borderId="15" xfId="0" applyFont="1" applyFill="1" applyBorder="1" applyAlignment="1" applyProtection="1">
      <alignment horizontal="center" wrapText="1"/>
    </xf>
    <xf numFmtId="0" fontId="33" fillId="6" borderId="11" xfId="0" applyFont="1" applyFill="1" applyBorder="1" applyAlignment="1" applyProtection="1">
      <alignment horizontal="center" wrapText="1"/>
    </xf>
    <xf numFmtId="0" fontId="29" fillId="0" borderId="2" xfId="0" applyFont="1" applyFill="1" applyBorder="1" applyAlignment="1" applyProtection="1">
      <alignment horizontal="left" vertical="center" wrapText="1"/>
      <protection locked="0"/>
    </xf>
    <xf numFmtId="0" fontId="29" fillId="0" borderId="88" xfId="0" applyFont="1" applyFill="1" applyBorder="1" applyAlignment="1" applyProtection="1">
      <alignment horizontal="left" vertical="center" wrapText="1"/>
      <protection locked="0"/>
    </xf>
    <xf numFmtId="1" fontId="29" fillId="0" borderId="46" xfId="0" applyNumberFormat="1" applyFont="1" applyFill="1" applyBorder="1" applyAlignment="1" applyProtection="1">
      <alignment horizontal="center" vertical="center"/>
      <protection locked="0"/>
    </xf>
    <xf numFmtId="1" fontId="29" fillId="0" borderId="148" xfId="0" applyNumberFormat="1" applyFont="1" applyFill="1" applyBorder="1" applyAlignment="1" applyProtection="1">
      <alignment horizontal="center" vertical="center"/>
      <protection locked="0"/>
    </xf>
    <xf numFmtId="0" fontId="29" fillId="0" borderId="27" xfId="0" applyFont="1" applyBorder="1" applyAlignment="1" applyProtection="1">
      <alignment horizontal="left" vertical="center" wrapText="1"/>
      <protection locked="0"/>
    </xf>
    <xf numFmtId="0" fontId="29" fillId="0" borderId="0" xfId="0" applyFont="1" applyBorder="1" applyAlignment="1" applyProtection="1">
      <alignment horizontal="left" vertical="center" wrapText="1"/>
      <protection locked="0"/>
    </xf>
    <xf numFmtId="0" fontId="29" fillId="0" borderId="18" xfId="0" applyFont="1" applyBorder="1" applyAlignment="1" applyProtection="1">
      <alignment horizontal="left" vertical="center" wrapText="1"/>
      <protection locked="0"/>
    </xf>
    <xf numFmtId="0" fontId="29" fillId="0" borderId="28" xfId="0" applyFont="1" applyBorder="1" applyAlignment="1" applyProtection="1">
      <alignment horizontal="left" vertical="center" wrapText="1"/>
      <protection locked="0"/>
    </xf>
    <xf numFmtId="0" fontId="29" fillId="0" borderId="29" xfId="0" applyFont="1" applyBorder="1" applyAlignment="1" applyProtection="1">
      <alignment horizontal="left" vertical="center" wrapText="1"/>
      <protection locked="0"/>
    </xf>
    <xf numFmtId="0" fontId="29" fillId="0" borderId="14" xfId="0" applyFont="1" applyBorder="1" applyAlignment="1" applyProtection="1">
      <alignment horizontal="left" vertical="center" wrapText="1"/>
      <protection locked="0"/>
    </xf>
    <xf numFmtId="0" fontId="29" fillId="6" borderId="33" xfId="0" applyFont="1" applyFill="1" applyBorder="1" applyAlignment="1" applyProtection="1">
      <alignment horizontal="left" vertical="center" wrapText="1"/>
    </xf>
    <xf numFmtId="0" fontId="29" fillId="6" borderId="34" xfId="0" applyFont="1" applyFill="1" applyBorder="1" applyAlignment="1" applyProtection="1">
      <alignment horizontal="left" vertical="center" wrapText="1"/>
    </xf>
    <xf numFmtId="0" fontId="29" fillId="37" borderId="12" xfId="0" quotePrefix="1" applyFont="1" applyFill="1" applyBorder="1" applyAlignment="1" applyProtection="1">
      <alignment horizontal="center" vertical="center"/>
    </xf>
    <xf numFmtId="0" fontId="29" fillId="37" borderId="11" xfId="0" quotePrefix="1" applyFont="1" applyFill="1" applyBorder="1" applyAlignment="1" applyProtection="1">
      <alignment horizontal="center" vertical="center"/>
    </xf>
    <xf numFmtId="0" fontId="33" fillId="37" borderId="50" xfId="0" quotePrefix="1" applyFont="1" applyFill="1" applyBorder="1" applyAlignment="1" applyProtection="1">
      <alignment horizontal="center" vertical="center" wrapText="1"/>
    </xf>
    <xf numFmtId="0" fontId="33" fillId="37" borderId="48" xfId="0" applyFont="1" applyFill="1" applyBorder="1" applyAlignment="1" applyProtection="1">
      <alignment horizontal="center" vertical="center" wrapText="1"/>
    </xf>
    <xf numFmtId="0" fontId="33" fillId="37" borderId="45" xfId="0" applyFont="1" applyFill="1" applyBorder="1" applyAlignment="1" applyProtection="1">
      <alignment horizontal="center" vertical="center" wrapText="1"/>
    </xf>
    <xf numFmtId="0" fontId="33" fillId="37" borderId="28" xfId="0" quotePrefix="1" applyFont="1" applyFill="1" applyBorder="1" applyAlignment="1" applyProtection="1">
      <alignment horizontal="center" vertical="center" wrapText="1"/>
    </xf>
    <xf numFmtId="0" fontId="33" fillId="37" borderId="29" xfId="0" applyFont="1" applyFill="1" applyBorder="1" applyAlignment="1" applyProtection="1">
      <alignment horizontal="center" vertical="center" wrapText="1"/>
    </xf>
    <xf numFmtId="0" fontId="33" fillId="37" borderId="14" xfId="0" applyFont="1" applyFill="1" applyBorder="1" applyAlignment="1" applyProtection="1">
      <alignment horizontal="center" vertical="center" wrapText="1"/>
    </xf>
    <xf numFmtId="0" fontId="29" fillId="0" borderId="7" xfId="0" applyFont="1" applyBorder="1" applyAlignment="1" applyProtection="1">
      <alignment horizontal="left" vertical="center" wrapText="1"/>
      <protection locked="0"/>
    </xf>
    <xf numFmtId="0" fontId="29" fillId="0" borderId="46" xfId="0" applyFont="1" applyBorder="1" applyAlignment="1" applyProtection="1">
      <alignment horizontal="left" vertical="center" wrapText="1"/>
      <protection locked="0"/>
    </xf>
    <xf numFmtId="0" fontId="29" fillId="0" borderId="16" xfId="0" applyFont="1" applyBorder="1" applyAlignment="1" applyProtection="1">
      <alignment horizontal="left" vertical="center" wrapText="1"/>
      <protection locked="0"/>
    </xf>
    <xf numFmtId="0" fontId="29" fillId="6" borderId="2" xfId="0" applyFont="1" applyFill="1" applyBorder="1" applyAlignment="1" applyProtection="1">
      <alignment horizontal="left" vertical="center" wrapText="1"/>
    </xf>
    <xf numFmtId="1" fontId="29" fillId="6" borderId="46" xfId="0" applyNumberFormat="1" applyFont="1" applyFill="1" applyBorder="1" applyAlignment="1" applyProtection="1">
      <alignment horizontal="center" vertical="center"/>
    </xf>
    <xf numFmtId="0" fontId="29" fillId="6" borderId="7" xfId="0" applyFont="1" applyFill="1" applyBorder="1" applyAlignment="1" applyProtection="1">
      <alignment horizontal="left" vertical="center" wrapText="1"/>
    </xf>
    <xf numFmtId="0" fontId="29" fillId="6" borderId="46" xfId="0" applyFont="1" applyFill="1" applyBorder="1" applyAlignment="1" applyProtection="1">
      <alignment horizontal="left" vertical="center" wrapText="1"/>
    </xf>
    <xf numFmtId="0" fontId="29" fillId="6" borderId="16" xfId="0" applyFont="1" applyFill="1" applyBorder="1" applyAlignment="1" applyProtection="1">
      <alignment horizontal="left" vertical="center" wrapText="1"/>
    </xf>
    <xf numFmtId="0" fontId="5" fillId="5" borderId="3" xfId="0" applyFont="1" applyFill="1" applyBorder="1" applyAlignment="1" applyProtection="1">
      <alignment horizontal="center"/>
    </xf>
    <xf numFmtId="0" fontId="5" fillId="5" borderId="4" xfId="0" applyFont="1" applyFill="1" applyBorder="1" applyAlignment="1" applyProtection="1">
      <alignment horizontal="center"/>
    </xf>
    <xf numFmtId="0" fontId="5" fillId="5" borderId="5" xfId="0" applyFont="1" applyFill="1" applyBorder="1" applyAlignment="1" applyProtection="1">
      <alignment horizontal="center"/>
    </xf>
    <xf numFmtId="0" fontId="44" fillId="0" borderId="0" xfId="0" applyFont="1" applyBorder="1" applyAlignment="1" applyProtection="1">
      <alignment horizontal="center" vertical="center" wrapText="1"/>
    </xf>
    <xf numFmtId="0" fontId="33" fillId="6" borderId="50" xfId="0" applyFont="1" applyFill="1" applyBorder="1" applyAlignment="1" applyProtection="1">
      <alignment horizontal="left" wrapText="1"/>
    </xf>
    <xf numFmtId="0" fontId="33" fillId="6" borderId="48" xfId="0" applyFont="1" applyFill="1" applyBorder="1" applyAlignment="1" applyProtection="1">
      <alignment horizontal="left" wrapText="1"/>
    </xf>
    <xf numFmtId="0" fontId="33" fillId="6" borderId="45" xfId="0" applyFont="1" applyFill="1" applyBorder="1" applyAlignment="1" applyProtection="1">
      <alignment horizontal="left" wrapText="1"/>
    </xf>
    <xf numFmtId="0" fontId="33" fillId="6" borderId="28" xfId="0" applyFont="1" applyFill="1" applyBorder="1" applyAlignment="1" applyProtection="1">
      <alignment horizontal="left" wrapText="1"/>
    </xf>
    <xf numFmtId="0" fontId="33" fillId="6" borderId="29" xfId="0" applyFont="1" applyFill="1" applyBorder="1" applyAlignment="1" applyProtection="1">
      <alignment horizontal="left" wrapText="1"/>
    </xf>
    <xf numFmtId="0" fontId="33" fillId="6" borderId="14" xfId="0" applyFont="1" applyFill="1" applyBorder="1" applyAlignment="1" applyProtection="1">
      <alignment horizontal="left" wrapText="1"/>
    </xf>
    <xf numFmtId="0" fontId="29" fillId="6" borderId="39" xfId="0" applyFont="1" applyFill="1" applyBorder="1" applyAlignment="1" applyProtection="1">
      <alignment horizontal="left" vertical="center" wrapText="1"/>
    </xf>
    <xf numFmtId="0" fontId="33" fillId="6" borderId="33" xfId="0" applyFont="1" applyFill="1" applyBorder="1" applyAlignment="1" applyProtection="1">
      <alignment horizontal="left" wrapText="1"/>
    </xf>
    <xf numFmtId="0" fontId="33" fillId="6" borderId="34" xfId="0" applyFont="1" applyFill="1" applyBorder="1" applyAlignment="1" applyProtection="1">
      <alignment horizontal="left" wrapText="1"/>
    </xf>
    <xf numFmtId="1" fontId="29" fillId="0" borderId="58" xfId="0" applyNumberFormat="1" applyFont="1" applyFill="1" applyBorder="1" applyAlignment="1" applyProtection="1">
      <alignment horizontal="center" vertical="center"/>
      <protection locked="0"/>
    </xf>
    <xf numFmtId="0" fontId="29" fillId="6" borderId="50" xfId="0" applyFont="1" applyFill="1" applyBorder="1" applyAlignment="1" applyProtection="1">
      <alignment horizontal="left" vertical="center" wrapText="1"/>
    </xf>
    <xf numFmtId="0" fontId="29" fillId="6" borderId="48" xfId="0" applyFont="1" applyFill="1" applyBorder="1" applyAlignment="1" applyProtection="1">
      <alignment horizontal="left" vertical="center" wrapText="1"/>
    </xf>
    <xf numFmtId="0" fontId="29" fillId="6" borderId="45" xfId="0" applyFont="1" applyFill="1" applyBorder="1" applyAlignment="1" applyProtection="1">
      <alignment horizontal="left" vertical="center" wrapText="1"/>
    </xf>
    <xf numFmtId="0" fontId="29" fillId="6" borderId="27" xfId="0" applyFont="1" applyFill="1" applyBorder="1" applyAlignment="1" applyProtection="1">
      <alignment horizontal="left" vertical="center" wrapText="1"/>
    </xf>
    <xf numFmtId="0" fontId="29" fillId="6" borderId="0" xfId="0" applyFont="1" applyFill="1" applyBorder="1" applyAlignment="1" applyProtection="1">
      <alignment horizontal="left" vertical="center" wrapText="1"/>
    </xf>
    <xf numFmtId="0" fontId="29" fillId="6" borderId="18" xfId="0" applyFont="1" applyFill="1" applyBorder="1" applyAlignment="1" applyProtection="1">
      <alignment horizontal="left" vertical="center" wrapText="1"/>
    </xf>
    <xf numFmtId="169" fontId="9" fillId="5" borderId="75" xfId="0" applyNumberFormat="1" applyFont="1" applyFill="1" applyBorder="1" applyAlignment="1" applyProtection="1">
      <alignment horizontal="center" vertical="center"/>
    </xf>
    <xf numFmtId="169" fontId="9" fillId="5" borderId="76" xfId="0" applyNumberFormat="1" applyFont="1" applyFill="1" applyBorder="1" applyAlignment="1" applyProtection="1">
      <alignment horizontal="center" vertical="center"/>
    </xf>
    <xf numFmtId="3" fontId="9" fillId="6" borderId="30" xfId="0" applyNumberFormat="1" applyFont="1" applyFill="1" applyBorder="1" applyAlignment="1" applyProtection="1">
      <alignment horizontal="center" vertical="center"/>
    </xf>
    <xf numFmtId="3" fontId="9" fillId="6" borderId="24" xfId="0" applyNumberFormat="1" applyFont="1" applyFill="1" applyBorder="1" applyAlignment="1" applyProtection="1">
      <alignment horizontal="center" vertical="center"/>
    </xf>
    <xf numFmtId="0" fontId="5" fillId="0" borderId="3" xfId="0" applyFont="1" applyFill="1" applyBorder="1" applyAlignment="1" applyProtection="1">
      <alignment horizontal="center"/>
    </xf>
    <xf numFmtId="0" fontId="5" fillId="0" borderId="4" xfId="0" applyFont="1" applyFill="1" applyBorder="1" applyAlignment="1" applyProtection="1">
      <alignment horizontal="center"/>
    </xf>
    <xf numFmtId="0" fontId="5" fillId="0" borderId="5" xfId="0" applyFont="1" applyFill="1" applyBorder="1" applyAlignment="1" applyProtection="1">
      <alignment horizontal="center"/>
    </xf>
    <xf numFmtId="0" fontId="10" fillId="5" borderId="12" xfId="0" applyFont="1" applyFill="1" applyBorder="1" applyAlignment="1" applyProtection="1">
      <alignment horizontal="center"/>
    </xf>
    <xf numFmtId="0" fontId="10" fillId="5" borderId="11" xfId="0" applyFont="1" applyFill="1" applyBorder="1" applyAlignment="1" applyProtection="1">
      <alignment horizontal="center"/>
    </xf>
    <xf numFmtId="0" fontId="10" fillId="5" borderId="12" xfId="0" applyFont="1" applyFill="1" applyBorder="1" applyAlignment="1" applyProtection="1">
      <alignment horizontal="left"/>
    </xf>
    <xf numFmtId="0" fontId="10" fillId="5" borderId="11" xfId="0" applyFont="1" applyFill="1" applyBorder="1" applyAlignment="1" applyProtection="1">
      <alignment horizontal="left"/>
    </xf>
    <xf numFmtId="0" fontId="10" fillId="5" borderId="50" xfId="0" applyFont="1" applyFill="1" applyBorder="1" applyAlignment="1" applyProtection="1">
      <alignment horizontal="center"/>
    </xf>
    <xf numFmtId="0" fontId="10" fillId="5" borderId="45" xfId="0" applyFont="1" applyFill="1" applyBorder="1" applyAlignment="1" applyProtection="1">
      <alignment horizontal="center"/>
    </xf>
    <xf numFmtId="0" fontId="10" fillId="0" borderId="0" xfId="0" applyFont="1" applyFill="1" applyBorder="1" applyAlignment="1" applyProtection="1">
      <alignment horizontal="center"/>
    </xf>
    <xf numFmtId="3" fontId="9" fillId="5" borderId="75" xfId="0" applyNumberFormat="1" applyFont="1" applyFill="1" applyBorder="1" applyAlignment="1" applyProtection="1">
      <alignment horizontal="center" vertical="center"/>
    </xf>
    <xf numFmtId="3" fontId="9" fillId="5" borderId="76" xfId="0" applyNumberFormat="1" applyFont="1" applyFill="1" applyBorder="1" applyAlignment="1" applyProtection="1">
      <alignment horizontal="center" vertical="center"/>
    </xf>
    <xf numFmtId="3" fontId="10" fillId="5" borderId="3" xfId="0" applyNumberFormat="1" applyFont="1" applyFill="1" applyBorder="1" applyAlignment="1" applyProtection="1">
      <alignment horizontal="center" vertical="top"/>
    </xf>
    <xf numFmtId="3" fontId="10" fillId="5" borderId="5" xfId="0" applyNumberFormat="1" applyFont="1" applyFill="1" applyBorder="1" applyAlignment="1" applyProtection="1">
      <alignment horizontal="center" vertical="top"/>
    </xf>
    <xf numFmtId="0" fontId="9" fillId="5" borderId="35" xfId="0" applyFont="1" applyFill="1" applyBorder="1" applyAlignment="1">
      <alignment horizontal="left"/>
    </xf>
    <xf numFmtId="0" fontId="9" fillId="5" borderId="59" xfId="0" applyFont="1" applyFill="1" applyBorder="1" applyAlignment="1">
      <alignment horizontal="left"/>
    </xf>
    <xf numFmtId="0" fontId="9" fillId="5" borderId="47" xfId="0" applyNumberFormat="1" applyFont="1" applyFill="1" applyBorder="1" applyAlignment="1" applyProtection="1"/>
    <xf numFmtId="0" fontId="9" fillId="5" borderId="15" xfId="0" applyNumberFormat="1" applyFont="1" applyFill="1" applyBorder="1" applyAlignment="1" applyProtection="1"/>
    <xf numFmtId="0" fontId="9" fillId="5" borderId="2" xfId="0" applyFont="1" applyFill="1" applyBorder="1" applyAlignment="1">
      <alignment horizontal="left"/>
    </xf>
    <xf numFmtId="0" fontId="9" fillId="5" borderId="56" xfId="0" applyFont="1" applyFill="1" applyBorder="1" applyAlignment="1">
      <alignment horizontal="left"/>
    </xf>
    <xf numFmtId="0" fontId="9" fillId="5" borderId="46" xfId="0" quotePrefix="1" applyNumberFormat="1" applyFont="1" applyFill="1" applyBorder="1" applyAlignment="1" applyProtection="1"/>
    <xf numFmtId="0" fontId="9" fillId="5" borderId="16" xfId="0" quotePrefix="1" applyNumberFormat="1" applyFont="1" applyFill="1" applyBorder="1" applyAlignment="1" applyProtection="1"/>
    <xf numFmtId="0" fontId="9" fillId="5" borderId="1" xfId="0" applyFont="1" applyFill="1" applyBorder="1" applyAlignment="1">
      <alignment horizontal="left"/>
    </xf>
    <xf numFmtId="0" fontId="9" fillId="5" borderId="52" xfId="0" applyFont="1" applyFill="1" applyBorder="1" applyAlignment="1">
      <alignment horizontal="left"/>
    </xf>
    <xf numFmtId="0" fontId="9" fillId="5" borderId="31" xfId="0" applyFont="1" applyFill="1" applyBorder="1"/>
    <xf numFmtId="0" fontId="9" fillId="5" borderId="24" xfId="0" applyFont="1" applyFill="1" applyBorder="1"/>
    <xf numFmtId="0" fontId="7" fillId="5" borderId="3" xfId="0" applyFont="1" applyFill="1" applyBorder="1" applyAlignment="1">
      <alignment horizontal="center" vertical="top"/>
    </xf>
    <xf numFmtId="0" fontId="7" fillId="5" borderId="4" xfId="0" applyFont="1" applyFill="1" applyBorder="1" applyAlignment="1">
      <alignment horizontal="center" vertical="top"/>
    </xf>
    <xf numFmtId="0" fontId="7" fillId="5" borderId="5" xfId="0" applyFont="1" applyFill="1" applyBorder="1" applyAlignment="1">
      <alignment horizontal="center" vertical="top"/>
    </xf>
    <xf numFmtId="0" fontId="5" fillId="5" borderId="3" xfId="0" applyFont="1" applyFill="1" applyBorder="1" applyAlignment="1">
      <alignment horizontal="center"/>
    </xf>
    <xf numFmtId="0" fontId="5" fillId="5" borderId="5" xfId="0" applyFont="1" applyFill="1" applyBorder="1" applyAlignment="1">
      <alignment horizontal="center"/>
    </xf>
    <xf numFmtId="0" fontId="5" fillId="5" borderId="4" xfId="0" applyFont="1" applyFill="1" applyBorder="1" applyAlignment="1">
      <alignment horizontal="center"/>
    </xf>
    <xf numFmtId="0" fontId="7" fillId="5" borderId="3" xfId="0" applyFont="1" applyFill="1" applyBorder="1" applyAlignment="1">
      <alignment horizontal="center"/>
    </xf>
    <xf numFmtId="0" fontId="7" fillId="5" borderId="4" xfId="0" applyFont="1" applyFill="1" applyBorder="1" applyAlignment="1">
      <alignment horizontal="center"/>
    </xf>
    <xf numFmtId="0" fontId="7" fillId="5" borderId="5" xfId="0" applyFont="1" applyFill="1" applyBorder="1" applyAlignment="1">
      <alignment horizontal="center"/>
    </xf>
    <xf numFmtId="0" fontId="10" fillId="5" borderId="3" xfId="0" applyFont="1" applyFill="1" applyBorder="1"/>
    <xf numFmtId="0" fontId="10" fillId="5" borderId="5" xfId="0" applyFont="1" applyFill="1" applyBorder="1"/>
    <xf numFmtId="0" fontId="10" fillId="5" borderId="4" xfId="0" applyFont="1" applyFill="1" applyBorder="1" applyAlignment="1">
      <alignment horizontal="center"/>
    </xf>
    <xf numFmtId="0" fontId="10" fillId="5" borderId="5" xfId="0" applyFont="1" applyFill="1" applyBorder="1" applyAlignment="1">
      <alignment horizontal="center"/>
    </xf>
    <xf numFmtId="0" fontId="9" fillId="5" borderId="1" xfId="0" applyFont="1" applyFill="1" applyBorder="1"/>
    <xf numFmtId="0" fontId="9" fillId="5" borderId="52" xfId="0" applyFont="1" applyFill="1" applyBorder="1"/>
    <xf numFmtId="0" fontId="9" fillId="5" borderId="31" xfId="0" quotePrefix="1" applyNumberFormat="1" applyFont="1" applyFill="1" applyBorder="1" applyAlignment="1" applyProtection="1"/>
    <xf numFmtId="0" fontId="9" fillId="5" borderId="24" xfId="0" quotePrefix="1" applyNumberFormat="1" applyFont="1" applyFill="1" applyBorder="1" applyAlignment="1" applyProtection="1"/>
    <xf numFmtId="0" fontId="10" fillId="5" borderId="6" xfId="0" applyFont="1" applyFill="1" applyBorder="1"/>
    <xf numFmtId="0" fontId="10" fillId="5" borderId="15" xfId="0" applyFont="1" applyFill="1" applyBorder="1"/>
    <xf numFmtId="0" fontId="9" fillId="37" borderId="47" xfId="0" quotePrefix="1" applyFont="1" applyFill="1" applyBorder="1"/>
    <xf numFmtId="0" fontId="9" fillId="37" borderId="15" xfId="0" applyFont="1" applyFill="1" applyBorder="1"/>
    <xf numFmtId="0" fontId="9" fillId="5" borderId="35" xfId="0" applyFont="1" applyFill="1" applyBorder="1"/>
    <xf numFmtId="0" fontId="9" fillId="5" borderId="59" xfId="0" applyFont="1" applyFill="1" applyBorder="1"/>
    <xf numFmtId="0" fontId="9" fillId="5" borderId="2" xfId="0" applyFont="1" applyFill="1" applyBorder="1"/>
    <xf numFmtId="0" fontId="9" fillId="5" borderId="56" xfId="0" applyFont="1" applyFill="1" applyBorder="1"/>
    <xf numFmtId="0" fontId="10" fillId="5" borderId="7" xfId="0" applyFont="1" applyFill="1" applyBorder="1"/>
    <xf numFmtId="0" fontId="10" fillId="5" borderId="16" xfId="0" applyFont="1" applyFill="1" applyBorder="1"/>
    <xf numFmtId="0" fontId="9" fillId="37" borderId="46" xfId="0" quotePrefix="1" applyFont="1" applyFill="1" applyBorder="1"/>
    <xf numFmtId="0" fontId="9" fillId="37" borderId="16" xfId="0" applyFont="1" applyFill="1" applyBorder="1"/>
    <xf numFmtId="0" fontId="9" fillId="5" borderId="23" xfId="0" applyFont="1" applyFill="1" applyBorder="1" applyAlignment="1">
      <alignment horizontal="left"/>
    </xf>
    <xf numFmtId="0" fontId="9" fillId="5" borderId="46" xfId="0" quotePrefix="1" applyNumberFormat="1" applyFont="1" applyFill="1" applyBorder="1" applyAlignment="1" applyProtection="1">
      <alignment wrapText="1"/>
    </xf>
    <xf numFmtId="0" fontId="9" fillId="5" borderId="16" xfId="0" quotePrefix="1" applyNumberFormat="1" applyFont="1" applyFill="1" applyBorder="1" applyAlignment="1" applyProtection="1">
      <alignment wrapText="1"/>
    </xf>
    <xf numFmtId="0" fontId="9" fillId="5" borderId="30" xfId="0" quotePrefix="1" applyFont="1" applyFill="1" applyBorder="1" applyAlignment="1">
      <alignment horizontal="left"/>
    </xf>
    <xf numFmtId="0" fontId="9" fillId="5" borderId="24" xfId="0" quotePrefix="1" applyFont="1" applyFill="1" applyBorder="1" applyAlignment="1">
      <alignment horizontal="left"/>
    </xf>
    <xf numFmtId="0" fontId="9" fillId="5" borderId="31" xfId="0" quotePrefix="1" applyNumberFormat="1" applyFont="1" applyFill="1" applyBorder="1" applyAlignment="1" applyProtection="1">
      <alignment wrapText="1"/>
    </xf>
    <xf numFmtId="0" fontId="9" fillId="5" borderId="24" xfId="0" quotePrefix="1" applyNumberFormat="1" applyFont="1" applyFill="1" applyBorder="1" applyAlignment="1" applyProtection="1">
      <alignment wrapText="1"/>
    </xf>
    <xf numFmtId="0" fontId="9" fillId="5" borderId="6" xfId="0" applyFont="1" applyFill="1" applyBorder="1"/>
    <xf numFmtId="0" fontId="9" fillId="5" borderId="15" xfId="0" applyFont="1" applyFill="1" applyBorder="1"/>
    <xf numFmtId="0" fontId="9" fillId="5" borderId="47" xfId="0" applyFont="1" applyFill="1" applyBorder="1"/>
    <xf numFmtId="0" fontId="9" fillId="5" borderId="2" xfId="0" quotePrefix="1" applyFont="1" applyFill="1" applyBorder="1" applyAlignment="1">
      <alignment horizontal="left"/>
    </xf>
    <xf numFmtId="0" fontId="9" fillId="5" borderId="7" xfId="0" quotePrefix="1" applyFont="1" applyFill="1" applyBorder="1" applyAlignment="1">
      <alignment horizontal="left"/>
    </xf>
    <xf numFmtId="0" fontId="9" fillId="5" borderId="16" xfId="0" quotePrefix="1" applyFont="1" applyFill="1" applyBorder="1" applyAlignment="1">
      <alignment horizontal="left"/>
    </xf>
    <xf numFmtId="0" fontId="9" fillId="5" borderId="7" xfId="0" quotePrefix="1" applyNumberFormat="1" applyFont="1" applyFill="1" applyBorder="1" applyAlignment="1" applyProtection="1"/>
    <xf numFmtId="0" fontId="9" fillId="5" borderId="54" xfId="0" applyFont="1" applyFill="1" applyBorder="1" applyAlignment="1">
      <alignment horizontal="left"/>
    </xf>
    <xf numFmtId="0" fontId="9" fillId="5" borderId="21" xfId="0" applyFont="1" applyFill="1" applyBorder="1" applyAlignment="1">
      <alignment horizontal="left"/>
    </xf>
    <xf numFmtId="0" fontId="9" fillId="5" borderId="58" xfId="0" applyFont="1" applyFill="1" applyBorder="1" applyAlignment="1">
      <alignment wrapText="1"/>
    </xf>
    <xf numFmtId="0" fontId="9" fillId="5" borderId="21" xfId="0" applyFont="1" applyFill="1" applyBorder="1" applyAlignment="1">
      <alignment wrapText="1"/>
    </xf>
    <xf numFmtId="0" fontId="9" fillId="5" borderId="7" xfId="0" applyFont="1" applyFill="1" applyBorder="1" applyAlignment="1">
      <alignment horizontal="left"/>
    </xf>
    <xf numFmtId="0" fontId="9" fillId="5" borderId="16" xfId="0" applyFont="1" applyFill="1" applyBorder="1" applyAlignment="1">
      <alignment horizontal="left"/>
    </xf>
    <xf numFmtId="0" fontId="9" fillId="5" borderId="46" xfId="0" applyFont="1" applyFill="1" applyBorder="1"/>
    <xf numFmtId="0" fontId="9" fillId="5" borderId="16" xfId="0" applyFont="1" applyFill="1" applyBorder="1"/>
    <xf numFmtId="0" fontId="53" fillId="0" borderId="0" xfId="0" quotePrefix="1" applyFont="1" applyAlignment="1">
      <alignment horizontal="left" vertical="center"/>
    </xf>
    <xf numFmtId="0" fontId="53" fillId="0" borderId="0" xfId="0" applyFont="1" applyAlignment="1">
      <alignment horizontal="left" vertical="center"/>
    </xf>
    <xf numFmtId="0" fontId="10" fillId="5" borderId="3" xfId="0" applyFont="1" applyFill="1" applyBorder="1" applyAlignment="1">
      <alignment horizontal="center" vertical="top"/>
    </xf>
    <xf numFmtId="0" fontId="10" fillId="5" borderId="4" xfId="0" applyFont="1" applyFill="1" applyBorder="1" applyAlignment="1">
      <alignment horizontal="center" vertical="top"/>
    </xf>
    <xf numFmtId="0" fontId="10" fillId="5" borderId="5" xfId="0" applyFont="1" applyFill="1" applyBorder="1" applyAlignment="1">
      <alignment horizontal="center" vertical="top"/>
    </xf>
    <xf numFmtId="0" fontId="9" fillId="5" borderId="54" xfId="0" applyFont="1" applyFill="1" applyBorder="1" applyAlignment="1">
      <alignment horizontal="left" vertical="top" wrapText="1" indent="1"/>
    </xf>
    <xf numFmtId="0" fontId="9" fillId="5" borderId="42" xfId="0" applyFont="1" applyFill="1" applyBorder="1" applyAlignment="1">
      <alignment horizontal="left" vertical="top" wrapText="1" indent="1"/>
    </xf>
    <xf numFmtId="0" fontId="9" fillId="5" borderId="3" xfId="0" quotePrefix="1" applyNumberFormat="1" applyFont="1" applyFill="1" applyBorder="1" applyAlignment="1" applyProtection="1"/>
    <xf numFmtId="0" fontId="9" fillId="5" borderId="5" xfId="0" quotePrefix="1" applyNumberFormat="1" applyFont="1" applyFill="1" applyBorder="1" applyAlignment="1" applyProtection="1"/>
    <xf numFmtId="0" fontId="9" fillId="5" borderId="30" xfId="0" applyFont="1" applyFill="1" applyBorder="1" applyAlignment="1">
      <alignment horizontal="left" vertical="center" wrapText="1" indent="1"/>
    </xf>
    <xf numFmtId="0" fontId="9" fillId="5" borderId="44" xfId="0" applyFont="1" applyFill="1" applyBorder="1" applyAlignment="1">
      <alignment horizontal="left" vertical="center" wrapText="1" indent="1"/>
    </xf>
    <xf numFmtId="3" fontId="9" fillId="0" borderId="0" xfId="0" quotePrefix="1" applyNumberFormat="1" applyFont="1" applyFill="1" applyBorder="1" applyAlignment="1" applyProtection="1">
      <alignment horizontal="center" vertical="top" wrapText="1"/>
    </xf>
    <xf numFmtId="0" fontId="10" fillId="0" borderId="4" xfId="0" applyFont="1" applyBorder="1" applyAlignment="1" applyProtection="1">
      <alignment horizontal="center" vertical="top" wrapText="1"/>
      <protection locked="0"/>
    </xf>
    <xf numFmtId="0" fontId="10" fillId="5" borderId="3" xfId="0" applyFont="1" applyFill="1" applyBorder="1" applyAlignment="1">
      <alignment horizontal="center" vertical="top" wrapText="1"/>
    </xf>
    <xf numFmtId="0" fontId="10" fillId="5" borderId="4" xfId="0" applyFont="1" applyFill="1" applyBorder="1" applyAlignment="1">
      <alignment horizontal="center" vertical="top" wrapText="1"/>
    </xf>
    <xf numFmtId="0" fontId="10" fillId="5" borderId="5" xfId="0" applyFont="1" applyFill="1" applyBorder="1" applyAlignment="1">
      <alignment horizontal="center" vertical="top" wrapText="1"/>
    </xf>
    <xf numFmtId="0" fontId="9" fillId="5" borderId="2" xfId="0" applyFont="1" applyFill="1" applyBorder="1" applyAlignment="1">
      <alignment horizontal="left" vertical="top" wrapText="1" indent="1"/>
    </xf>
    <xf numFmtId="0" fontId="9" fillId="5" borderId="38" xfId="0" applyFont="1" applyFill="1" applyBorder="1" applyAlignment="1">
      <alignment horizontal="left" vertical="top" wrapText="1" indent="1"/>
    </xf>
    <xf numFmtId="0" fontId="9" fillId="5" borderId="2" xfId="0" quotePrefix="1" applyFont="1" applyFill="1" applyBorder="1" applyAlignment="1">
      <alignment horizontal="left" vertical="top" wrapText="1" indent="1"/>
    </xf>
    <xf numFmtId="0" fontId="9" fillId="5" borderId="1" xfId="0" applyFont="1" applyFill="1" applyBorder="1" applyAlignment="1">
      <alignment horizontal="left" vertical="top" wrapText="1" indent="1"/>
    </xf>
    <xf numFmtId="0" fontId="9" fillId="5" borderId="37" xfId="0" applyFont="1" applyFill="1" applyBorder="1" applyAlignment="1">
      <alignment horizontal="left" vertical="top" wrapText="1" indent="1"/>
    </xf>
    <xf numFmtId="0" fontId="9" fillId="0" borderId="48" xfId="0" applyFont="1" applyBorder="1" applyAlignment="1" applyProtection="1">
      <alignment horizontal="center"/>
      <protection locked="0"/>
    </xf>
    <xf numFmtId="0" fontId="9" fillId="0" borderId="0" xfId="0" quotePrefix="1" applyFont="1" applyAlignment="1">
      <alignment wrapText="1"/>
    </xf>
    <xf numFmtId="0" fontId="9" fillId="0" borderId="0" xfId="0" applyFont="1" applyAlignment="1">
      <alignment wrapText="1"/>
    </xf>
    <xf numFmtId="0" fontId="9" fillId="42" borderId="0" xfId="0" applyFont="1" applyFill="1" applyAlignment="1">
      <alignment wrapText="1"/>
    </xf>
    <xf numFmtId="0" fontId="37" fillId="6" borderId="2" xfId="0" applyFont="1" applyFill="1" applyBorder="1" applyAlignment="1" applyProtection="1">
      <alignment horizontal="left" vertical="center"/>
    </xf>
    <xf numFmtId="0" fontId="37" fillId="6" borderId="38" xfId="0" applyFont="1" applyFill="1" applyBorder="1" applyAlignment="1" applyProtection="1">
      <alignment horizontal="left" vertical="center"/>
    </xf>
    <xf numFmtId="0" fontId="37" fillId="6" borderId="23" xfId="0" applyFont="1" applyFill="1" applyBorder="1" applyAlignment="1" applyProtection="1">
      <alignment horizontal="left" vertical="center"/>
    </xf>
    <xf numFmtId="0" fontId="37" fillId="6" borderId="1" xfId="0" applyFont="1" applyFill="1" applyBorder="1" applyAlignment="1" applyProtection="1">
      <alignment horizontal="left" vertical="center"/>
    </xf>
    <xf numFmtId="0" fontId="37" fillId="6" borderId="37" xfId="0" applyFont="1" applyFill="1" applyBorder="1" applyAlignment="1" applyProtection="1">
      <alignment horizontal="left" vertical="center"/>
    </xf>
    <xf numFmtId="0" fontId="37" fillId="6" borderId="25" xfId="0" applyFont="1" applyFill="1" applyBorder="1" applyAlignment="1" applyProtection="1">
      <alignment horizontal="left" vertical="center"/>
    </xf>
    <xf numFmtId="9" fontId="38" fillId="5" borderId="22" xfId="3" applyFont="1" applyFill="1" applyBorder="1" applyAlignment="1" applyProtection="1">
      <alignment horizontal="center" vertical="center"/>
    </xf>
    <xf numFmtId="9" fontId="38" fillId="5" borderId="38" xfId="3" applyFont="1" applyFill="1" applyBorder="1" applyAlignment="1" applyProtection="1">
      <alignment horizontal="center" vertical="center"/>
    </xf>
    <xf numFmtId="9" fontId="38" fillId="5" borderId="56" xfId="3" applyFont="1" applyFill="1" applyBorder="1" applyAlignment="1" applyProtection="1">
      <alignment horizontal="center" vertical="center"/>
    </xf>
    <xf numFmtId="3" fontId="38" fillId="5" borderId="44" xfId="0" applyNumberFormat="1" applyFont="1" applyFill="1" applyBorder="1" applyAlignment="1" applyProtection="1">
      <alignment horizontal="center" vertical="center"/>
    </xf>
    <xf numFmtId="3" fontId="38" fillId="5" borderId="37" xfId="0" applyNumberFormat="1" applyFont="1" applyFill="1" applyBorder="1" applyAlignment="1" applyProtection="1">
      <alignment horizontal="center" vertical="center"/>
    </xf>
    <xf numFmtId="3" fontId="38" fillId="5" borderId="52" xfId="0" applyNumberFormat="1" applyFont="1" applyFill="1" applyBorder="1" applyAlignment="1" applyProtection="1">
      <alignment horizontal="center" vertical="center"/>
    </xf>
    <xf numFmtId="0" fontId="37" fillId="6" borderId="2" xfId="0" applyFont="1" applyFill="1" applyBorder="1" applyAlignment="1" applyProtection="1">
      <alignment horizontal="left" vertical="center" wrapText="1"/>
    </xf>
    <xf numFmtId="0" fontId="37" fillId="6" borderId="38" xfId="0" applyFont="1" applyFill="1" applyBorder="1" applyAlignment="1" applyProtection="1">
      <alignment horizontal="left" vertical="center" wrapText="1"/>
    </xf>
    <xf numFmtId="0" fontId="37" fillId="6" borderId="23" xfId="0" applyFont="1" applyFill="1" applyBorder="1" applyAlignment="1" applyProtection="1">
      <alignment horizontal="left" vertical="center" wrapText="1"/>
    </xf>
    <xf numFmtId="0" fontId="37" fillId="6" borderId="7" xfId="0" applyFont="1" applyFill="1" applyBorder="1" applyAlignment="1" applyProtection="1">
      <alignment horizontal="left" vertical="center" wrapText="1"/>
    </xf>
    <xf numFmtId="0" fontId="37" fillId="6" borderId="46" xfId="0" applyFont="1" applyFill="1" applyBorder="1" applyAlignment="1" applyProtection="1">
      <alignment horizontal="left" vertical="center" wrapText="1"/>
    </xf>
    <xf numFmtId="0" fontId="37" fillId="6" borderId="16" xfId="0" applyFont="1" applyFill="1" applyBorder="1" applyAlignment="1" applyProtection="1">
      <alignment horizontal="left" vertical="center" wrapText="1"/>
    </xf>
    <xf numFmtId="3" fontId="38" fillId="5" borderId="22" xfId="0" applyNumberFormat="1" applyFont="1" applyFill="1" applyBorder="1" applyAlignment="1" applyProtection="1">
      <alignment horizontal="center" vertical="center"/>
    </xf>
    <xf numFmtId="3" fontId="38" fillId="5" borderId="38" xfId="0" applyNumberFormat="1" applyFont="1" applyFill="1" applyBorder="1" applyAlignment="1" applyProtection="1">
      <alignment horizontal="center" vertical="center"/>
    </xf>
    <xf numFmtId="3" fontId="38" fillId="5" borderId="56" xfId="0" applyNumberFormat="1" applyFont="1" applyFill="1" applyBorder="1" applyAlignment="1" applyProtection="1">
      <alignment horizontal="center" vertical="center"/>
    </xf>
    <xf numFmtId="0" fontId="38" fillId="5" borderId="22" xfId="0" applyFont="1" applyFill="1" applyBorder="1" applyAlignment="1" applyProtection="1">
      <alignment horizontal="center" vertical="center"/>
    </xf>
    <xf numFmtId="0" fontId="38" fillId="5" borderId="38" xfId="0" applyFont="1" applyFill="1" applyBorder="1" applyAlignment="1" applyProtection="1">
      <alignment horizontal="center" vertical="center"/>
    </xf>
    <xf numFmtId="0" fontId="38" fillId="5" borderId="56" xfId="0" applyFont="1" applyFill="1" applyBorder="1" applyAlignment="1" applyProtection="1">
      <alignment horizontal="center" vertical="center"/>
    </xf>
    <xf numFmtId="164" fontId="38" fillId="5" borderId="46" xfId="0" applyNumberFormat="1" applyFont="1" applyFill="1" applyBorder="1" applyAlignment="1" applyProtection="1">
      <alignment horizontal="center" vertical="center"/>
    </xf>
    <xf numFmtId="0" fontId="37" fillId="6" borderId="33" xfId="0" applyFont="1" applyFill="1" applyBorder="1" applyAlignment="1" applyProtection="1">
      <alignment horizontal="left"/>
    </xf>
    <xf numFmtId="0" fontId="37" fillId="6" borderId="57" xfId="0" applyFont="1" applyFill="1" applyBorder="1" applyAlignment="1" applyProtection="1">
      <alignment horizontal="left"/>
    </xf>
    <xf numFmtId="0" fontId="37" fillId="6" borderId="60" xfId="0" applyFont="1" applyFill="1" applyBorder="1" applyAlignment="1" applyProtection="1">
      <alignment horizontal="left"/>
    </xf>
    <xf numFmtId="0" fontId="37" fillId="6" borderId="6" xfId="0" applyFont="1" applyFill="1" applyBorder="1" applyAlignment="1" applyProtection="1">
      <alignment horizontal="center"/>
    </xf>
    <xf numFmtId="0" fontId="37" fillId="6" borderId="47" xfId="0" applyFont="1" applyFill="1" applyBorder="1" applyAlignment="1" applyProtection="1">
      <alignment horizontal="center"/>
    </xf>
    <xf numFmtId="0" fontId="37" fillId="6" borderId="15" xfId="0" applyFont="1" applyFill="1" applyBorder="1" applyAlignment="1" applyProtection="1">
      <alignment horizontal="center"/>
    </xf>
    <xf numFmtId="3" fontId="38" fillId="0" borderId="22" xfId="0" applyNumberFormat="1" applyFont="1" applyFill="1" applyBorder="1" applyAlignment="1" applyProtection="1">
      <alignment horizontal="center" vertical="center"/>
      <protection locked="0"/>
    </xf>
    <xf numFmtId="3" fontId="38" fillId="0" borderId="38" xfId="0" applyNumberFormat="1" applyFont="1" applyFill="1" applyBorder="1" applyAlignment="1" applyProtection="1">
      <alignment horizontal="center" vertical="center"/>
      <protection locked="0"/>
    </xf>
    <xf numFmtId="3" fontId="38" fillId="0" borderId="56" xfId="0" applyNumberFormat="1" applyFont="1" applyFill="1" applyBorder="1" applyAlignment="1" applyProtection="1">
      <alignment horizontal="center" vertical="center"/>
      <protection locked="0"/>
    </xf>
    <xf numFmtId="168" fontId="38" fillId="0" borderId="22" xfId="0" applyNumberFormat="1" applyFont="1" applyFill="1" applyBorder="1" applyAlignment="1" applyProtection="1">
      <alignment horizontal="center" vertical="center"/>
      <protection locked="0"/>
    </xf>
    <xf numFmtId="168" fontId="38" fillId="0" borderId="38" xfId="0" applyNumberFormat="1" applyFont="1" applyFill="1" applyBorder="1" applyAlignment="1" applyProtection="1">
      <alignment horizontal="center" vertical="center"/>
      <protection locked="0"/>
    </xf>
    <xf numFmtId="168" fontId="38" fillId="0" borderId="56" xfId="0" applyNumberFormat="1" applyFont="1" applyFill="1" applyBorder="1" applyAlignment="1" applyProtection="1">
      <alignment horizontal="center" vertical="center"/>
      <protection locked="0"/>
    </xf>
    <xf numFmtId="0" fontId="5" fillId="4" borderId="3" xfId="0" applyFont="1" applyFill="1" applyBorder="1" applyAlignment="1" applyProtection="1">
      <alignment horizontal="center"/>
    </xf>
    <xf numFmtId="0" fontId="5" fillId="4" borderId="4" xfId="0" applyFont="1" applyFill="1" applyBorder="1" applyAlignment="1" applyProtection="1">
      <alignment horizontal="center"/>
    </xf>
    <xf numFmtId="0" fontId="5" fillId="4" borderId="5" xfId="0" applyFont="1" applyFill="1" applyBorder="1" applyAlignment="1" applyProtection="1">
      <alignment horizontal="center"/>
    </xf>
    <xf numFmtId="0" fontId="38" fillId="0" borderId="7" xfId="0" applyFont="1" applyFill="1" applyBorder="1" applyAlignment="1" applyProtection="1">
      <alignment horizontal="center" vertical="center"/>
      <protection locked="0"/>
    </xf>
    <xf numFmtId="0" fontId="38" fillId="0" borderId="46" xfId="0" applyFont="1" applyFill="1" applyBorder="1" applyAlignment="1" applyProtection="1">
      <alignment horizontal="center" vertical="center"/>
      <protection locked="0"/>
    </xf>
    <xf numFmtId="0" fontId="38" fillId="0" borderId="16" xfId="0" applyFont="1" applyFill="1" applyBorder="1" applyAlignment="1" applyProtection="1">
      <alignment horizontal="center" vertical="center"/>
      <protection locked="0"/>
    </xf>
    <xf numFmtId="0" fontId="37" fillId="6" borderId="30" xfId="0" applyFont="1" applyFill="1" applyBorder="1" applyAlignment="1" applyProtection="1">
      <alignment horizontal="left" vertical="center" wrapText="1"/>
    </xf>
    <xf numFmtId="0" fontId="37" fillId="6" borderId="31" xfId="0" applyFont="1" applyFill="1" applyBorder="1" applyAlignment="1" applyProtection="1">
      <alignment horizontal="left" vertical="center" wrapText="1"/>
    </xf>
    <xf numFmtId="0" fontId="37" fillId="6" borderId="24" xfId="0" applyFont="1" applyFill="1" applyBorder="1" applyAlignment="1" applyProtection="1">
      <alignment horizontal="left" vertical="center" wrapText="1"/>
    </xf>
    <xf numFmtId="0" fontId="38" fillId="0" borderId="30" xfId="0" applyFont="1" applyFill="1" applyBorder="1" applyAlignment="1" applyProtection="1">
      <alignment horizontal="center" vertical="center"/>
      <protection locked="0"/>
    </xf>
    <xf numFmtId="0" fontId="38" fillId="0" borderId="31" xfId="0" applyFont="1" applyFill="1" applyBorder="1" applyAlignment="1" applyProtection="1">
      <alignment horizontal="center" vertical="center"/>
      <protection locked="0"/>
    </xf>
    <xf numFmtId="0" fontId="38" fillId="0" borderId="24" xfId="0" applyFont="1" applyFill="1" applyBorder="1" applyAlignment="1" applyProtection="1">
      <alignment horizontal="center" vertical="center"/>
      <protection locked="0"/>
    </xf>
    <xf numFmtId="0" fontId="0" fillId="6" borderId="86" xfId="0" applyFill="1" applyBorder="1" applyAlignment="1" applyProtection="1">
      <alignment horizontal="left" vertical="center"/>
    </xf>
    <xf numFmtId="0" fontId="0" fillId="6" borderId="148" xfId="0" applyFill="1" applyBorder="1" applyAlignment="1" applyProtection="1">
      <alignment horizontal="left" vertical="center"/>
    </xf>
    <xf numFmtId="0" fontId="0" fillId="6" borderId="140" xfId="0" applyFill="1" applyBorder="1" applyAlignment="1" applyProtection="1">
      <alignment horizontal="left" vertical="center"/>
    </xf>
    <xf numFmtId="0" fontId="0" fillId="6" borderId="27" xfId="0" applyFill="1" applyBorder="1" applyAlignment="1" applyProtection="1">
      <alignment horizontal="left" vertical="center"/>
    </xf>
    <xf numFmtId="0" fontId="0" fillId="6" borderId="0" xfId="0" applyFill="1" applyBorder="1" applyAlignment="1" applyProtection="1">
      <alignment horizontal="left" vertical="center"/>
    </xf>
    <xf numFmtId="0" fontId="0" fillId="6" borderId="18" xfId="0" applyFill="1" applyBorder="1" applyAlignment="1" applyProtection="1">
      <alignment horizontal="left" vertical="center"/>
    </xf>
    <xf numFmtId="0" fontId="0" fillId="6" borderId="28" xfId="0" applyFill="1" applyBorder="1" applyAlignment="1" applyProtection="1">
      <alignment horizontal="left" vertical="center"/>
    </xf>
    <xf numFmtId="0" fontId="0" fillId="6" borderId="29" xfId="0" applyFill="1" applyBorder="1" applyAlignment="1" applyProtection="1">
      <alignment horizontal="left" vertical="center"/>
    </xf>
    <xf numFmtId="0" fontId="0" fillId="6" borderId="14" xfId="0" applyFill="1" applyBorder="1" applyAlignment="1" applyProtection="1">
      <alignment horizontal="left" vertical="center"/>
    </xf>
    <xf numFmtId="0" fontId="10" fillId="0" borderId="0" xfId="0" applyFont="1" applyFill="1" applyBorder="1" applyAlignment="1" applyProtection="1">
      <alignment horizontal="center" vertical="center"/>
    </xf>
    <xf numFmtId="0" fontId="7" fillId="4" borderId="3" xfId="0" applyFont="1" applyFill="1" applyBorder="1" applyAlignment="1" applyProtection="1">
      <alignment horizontal="center" vertical="top" wrapText="1"/>
    </xf>
    <xf numFmtId="0" fontId="7" fillId="4" borderId="4" xfId="0" applyFont="1" applyFill="1" applyBorder="1" applyAlignment="1" applyProtection="1">
      <alignment horizontal="center" vertical="top" wrapText="1"/>
    </xf>
    <xf numFmtId="0" fontId="7" fillId="4" borderId="5" xfId="0" applyFont="1" applyFill="1" applyBorder="1" applyAlignment="1" applyProtection="1">
      <alignment horizontal="center" vertical="top" wrapText="1"/>
    </xf>
    <xf numFmtId="0" fontId="5" fillId="0" borderId="3"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0" fontId="5" fillId="0" borderId="5" xfId="0" applyFont="1" applyFill="1" applyBorder="1" applyAlignment="1" applyProtection="1">
      <alignment horizontal="center" vertical="center"/>
    </xf>
    <xf numFmtId="0" fontId="31" fillId="6" borderId="33" xfId="0" applyFont="1" applyFill="1" applyBorder="1" applyAlignment="1" applyProtection="1">
      <alignment horizontal="center"/>
    </xf>
    <xf numFmtId="0" fontId="31" fillId="6" borderId="35" xfId="0" applyFont="1" applyFill="1" applyBorder="1" applyAlignment="1" applyProtection="1">
      <alignment horizontal="center"/>
    </xf>
    <xf numFmtId="0" fontId="31" fillId="6" borderId="60" xfId="0" applyFont="1" applyFill="1" applyBorder="1" applyAlignment="1" applyProtection="1">
      <alignment horizontal="center"/>
    </xf>
    <xf numFmtId="0" fontId="31" fillId="6" borderId="20" xfId="0" applyFont="1" applyFill="1" applyBorder="1" applyAlignment="1" applyProtection="1">
      <alignment horizontal="center"/>
    </xf>
    <xf numFmtId="0" fontId="35" fillId="6" borderId="6" xfId="0" applyFont="1" applyFill="1" applyBorder="1" applyAlignment="1" applyProtection="1">
      <alignment horizontal="center" wrapText="1"/>
    </xf>
    <xf numFmtId="0" fontId="35" fillId="6" borderId="47" xfId="0" applyFont="1" applyFill="1" applyBorder="1" applyAlignment="1" applyProtection="1">
      <alignment horizontal="center" wrapText="1"/>
    </xf>
    <xf numFmtId="0" fontId="35" fillId="6" borderId="15" xfId="0" applyFont="1" applyFill="1" applyBorder="1" applyAlignment="1" applyProtection="1">
      <alignment horizontal="center" wrapText="1"/>
    </xf>
    <xf numFmtId="0" fontId="37" fillId="6" borderId="50" xfId="0" applyFont="1" applyFill="1" applyBorder="1" applyAlignment="1" applyProtection="1">
      <alignment horizontal="left"/>
    </xf>
    <xf numFmtId="0" fontId="37" fillId="6" borderId="48" xfId="0" applyFont="1" applyFill="1" applyBorder="1" applyAlignment="1" applyProtection="1">
      <alignment horizontal="left"/>
    </xf>
    <xf numFmtId="0" fontId="37" fillId="6" borderId="45" xfId="0" applyFont="1" applyFill="1" applyBorder="1" applyAlignment="1" applyProtection="1">
      <alignment horizontal="left"/>
    </xf>
    <xf numFmtId="0" fontId="37" fillId="6" borderId="7" xfId="0" applyFont="1" applyFill="1" applyBorder="1" applyAlignment="1" applyProtection="1">
      <alignment horizontal="left" vertical="center"/>
    </xf>
    <xf numFmtId="0" fontId="37" fillId="6" borderId="46" xfId="0" applyFont="1" applyFill="1" applyBorder="1" applyAlignment="1" applyProtection="1">
      <alignment horizontal="left" vertical="center"/>
    </xf>
    <xf numFmtId="0" fontId="37" fillId="6" borderId="16" xfId="0" applyFont="1" applyFill="1" applyBorder="1" applyAlignment="1" applyProtection="1">
      <alignment horizontal="left" vertical="center"/>
    </xf>
    <xf numFmtId="0" fontId="37" fillId="6" borderId="28" xfId="0" applyFont="1" applyFill="1" applyBorder="1" applyAlignment="1" applyProtection="1">
      <alignment horizontal="left" vertical="center" wrapText="1"/>
    </xf>
    <xf numFmtId="0" fontId="37" fillId="6" borderId="29" xfId="0" applyFont="1" applyFill="1" applyBorder="1" applyAlignment="1" applyProtection="1">
      <alignment horizontal="left" vertical="center" wrapText="1"/>
    </xf>
    <xf numFmtId="0" fontId="37" fillId="6" borderId="14" xfId="0" applyFont="1" applyFill="1" applyBorder="1" applyAlignment="1" applyProtection="1">
      <alignment horizontal="left" vertical="center" wrapText="1"/>
    </xf>
    <xf numFmtId="167" fontId="37" fillId="6" borderId="7" xfId="0" applyNumberFormat="1" applyFont="1" applyFill="1" applyBorder="1" applyAlignment="1" applyProtection="1">
      <alignment horizontal="center" wrapText="1"/>
    </xf>
    <xf numFmtId="167" fontId="37" fillId="6" borderId="129" xfId="0" applyNumberFormat="1" applyFont="1" applyFill="1" applyBorder="1" applyAlignment="1" applyProtection="1">
      <alignment horizontal="center" wrapText="1"/>
    </xf>
    <xf numFmtId="167" fontId="38" fillId="6" borderId="7" xfId="0" applyNumberFormat="1" applyFont="1" applyFill="1" applyBorder="1" applyAlignment="1" applyProtection="1">
      <alignment horizontal="center"/>
    </xf>
    <xf numFmtId="167" fontId="38" fillId="6" borderId="129" xfId="0" applyNumberFormat="1" applyFont="1" applyFill="1" applyBorder="1" applyAlignment="1" applyProtection="1">
      <alignment horizontal="center"/>
    </xf>
    <xf numFmtId="167" fontId="38" fillId="6" borderId="46" xfId="0" applyNumberFormat="1" applyFont="1" applyFill="1" applyBorder="1" applyAlignment="1" applyProtection="1">
      <alignment horizontal="center"/>
    </xf>
    <xf numFmtId="167" fontId="38" fillId="6" borderId="16" xfId="0" applyNumberFormat="1" applyFont="1" applyFill="1" applyBorder="1" applyAlignment="1" applyProtection="1">
      <alignment horizontal="center"/>
    </xf>
    <xf numFmtId="168" fontId="37" fillId="5" borderId="3" xfId="0" applyNumberFormat="1" applyFont="1" applyFill="1" applyBorder="1" applyAlignment="1" applyProtection="1">
      <alignment horizontal="center" vertical="center"/>
    </xf>
    <xf numFmtId="168" fontId="37" fillId="5" borderId="4" xfId="0" applyNumberFormat="1" applyFont="1" applyFill="1" applyBorder="1" applyAlignment="1" applyProtection="1">
      <alignment horizontal="center" vertical="center"/>
    </xf>
    <xf numFmtId="168" fontId="37" fillId="5" borderId="5" xfId="0" applyNumberFormat="1" applyFont="1" applyFill="1" applyBorder="1" applyAlignment="1" applyProtection="1">
      <alignment horizontal="center" vertical="center"/>
    </xf>
    <xf numFmtId="0" fontId="37" fillId="6" borderId="7" xfId="0" applyFont="1" applyFill="1" applyBorder="1" applyAlignment="1" applyProtection="1">
      <alignment horizontal="left" wrapText="1"/>
    </xf>
    <xf numFmtId="0" fontId="37" fillId="6" borderId="46" xfId="0" applyFont="1" applyFill="1" applyBorder="1" applyAlignment="1" applyProtection="1">
      <alignment horizontal="left" wrapText="1"/>
    </xf>
    <xf numFmtId="0" fontId="37" fillId="6" borderId="16" xfId="0" applyFont="1" applyFill="1" applyBorder="1" applyAlignment="1" applyProtection="1">
      <alignment horizontal="left" wrapText="1"/>
    </xf>
    <xf numFmtId="168" fontId="38" fillId="6" borderId="7" xfId="0" applyNumberFormat="1" applyFont="1" applyFill="1" applyBorder="1" applyAlignment="1" applyProtection="1">
      <alignment horizontal="center"/>
    </xf>
    <xf numFmtId="168" fontId="38" fillId="6" borderId="129" xfId="0" applyNumberFormat="1" applyFont="1" applyFill="1" applyBorder="1" applyAlignment="1" applyProtection="1">
      <alignment horizontal="center"/>
    </xf>
    <xf numFmtId="168" fontId="38" fillId="6" borderId="46" xfId="0" applyNumberFormat="1" applyFont="1" applyFill="1" applyBorder="1" applyAlignment="1" applyProtection="1">
      <alignment horizontal="center"/>
    </xf>
    <xf numFmtId="168" fontId="38" fillId="6" borderId="16" xfId="0" applyNumberFormat="1" applyFont="1" applyFill="1" applyBorder="1" applyAlignment="1" applyProtection="1">
      <alignment horizontal="center"/>
    </xf>
    <xf numFmtId="0" fontId="41" fillId="37" borderId="3" xfId="0" applyFont="1" applyFill="1" applyBorder="1" applyAlignment="1" applyProtection="1">
      <alignment horizontal="center"/>
    </xf>
    <xf numFmtId="0" fontId="41" fillId="37" borderId="4" xfId="0" applyFont="1" applyFill="1" applyBorder="1" applyAlignment="1" applyProtection="1">
      <alignment horizontal="center"/>
    </xf>
    <xf numFmtId="0" fontId="41" fillId="37" borderId="5" xfId="0" applyFont="1" applyFill="1" applyBorder="1" applyAlignment="1" applyProtection="1">
      <alignment horizontal="center"/>
    </xf>
    <xf numFmtId="0" fontId="5" fillId="0" borderId="0" xfId="0" applyFont="1" applyFill="1" applyBorder="1" applyAlignment="1" applyProtection="1">
      <alignment horizontal="center"/>
    </xf>
    <xf numFmtId="168" fontId="38" fillId="6" borderId="28" xfId="0" applyNumberFormat="1" applyFont="1" applyFill="1" applyBorder="1" applyAlignment="1" applyProtection="1">
      <alignment horizontal="center" vertical="center"/>
    </xf>
    <xf numFmtId="168" fontId="38" fillId="6" borderId="29" xfId="0" applyNumberFormat="1" applyFont="1" applyFill="1" applyBorder="1" applyAlignment="1" applyProtection="1">
      <alignment horizontal="center" vertical="center"/>
    </xf>
    <xf numFmtId="168" fontId="38" fillId="6" borderId="14" xfId="0" applyNumberFormat="1" applyFont="1" applyFill="1" applyBorder="1" applyAlignment="1" applyProtection="1">
      <alignment horizontal="center" vertical="center"/>
    </xf>
    <xf numFmtId="167" fontId="37" fillId="6" borderId="46" xfId="0" applyNumberFormat="1" applyFont="1" applyFill="1" applyBorder="1" applyAlignment="1" applyProtection="1">
      <alignment horizontal="center" wrapText="1"/>
    </xf>
    <xf numFmtId="167" fontId="37" fillId="6" borderId="16" xfId="0" applyNumberFormat="1" applyFont="1" applyFill="1" applyBorder="1" applyAlignment="1" applyProtection="1">
      <alignment horizontal="center" wrapText="1"/>
    </xf>
    <xf numFmtId="167" fontId="9" fillId="3" borderId="7" xfId="2" applyNumberFormat="1" applyFont="1" applyFill="1" applyBorder="1" applyAlignment="1" applyProtection="1">
      <alignment horizontal="center" vertical="top" wrapText="1"/>
      <protection locked="0"/>
    </xf>
    <xf numFmtId="167" fontId="9" fillId="3" borderId="16" xfId="2" applyNumberFormat="1" applyFont="1" applyFill="1" applyBorder="1" applyAlignment="1" applyProtection="1">
      <alignment horizontal="center" vertical="top" wrapText="1"/>
      <protection locked="0"/>
    </xf>
    <xf numFmtId="0" fontId="9" fillId="3" borderId="7" xfId="0" applyFont="1" applyFill="1" applyBorder="1" applyAlignment="1" applyProtection="1">
      <alignment horizontal="left" vertical="top" wrapText="1"/>
      <protection locked="0"/>
    </xf>
    <xf numFmtId="0" fontId="9" fillId="3" borderId="16" xfId="0" applyFont="1" applyFill="1" applyBorder="1" applyAlignment="1" applyProtection="1">
      <alignment horizontal="left" vertical="top" wrapText="1"/>
      <protection locked="0"/>
    </xf>
    <xf numFmtId="0" fontId="9" fillId="3" borderId="6" xfId="0" applyFont="1" applyFill="1" applyBorder="1" applyAlignment="1" applyProtection="1">
      <alignment horizontal="left" vertical="top" wrapText="1"/>
      <protection locked="0"/>
    </xf>
    <xf numFmtId="0" fontId="9" fillId="3" borderId="15" xfId="0" applyFont="1" applyFill="1" applyBorder="1" applyAlignment="1" applyProtection="1">
      <alignment horizontal="left" vertical="top" wrapText="1"/>
      <protection locked="0"/>
    </xf>
    <xf numFmtId="0" fontId="9" fillId="3" borderId="30" xfId="0" applyFont="1" applyFill="1" applyBorder="1" applyAlignment="1" applyProtection="1">
      <alignment horizontal="left" vertical="top" wrapText="1"/>
      <protection locked="0"/>
    </xf>
    <xf numFmtId="0" fontId="9" fillId="3" borderId="24" xfId="0" applyFont="1" applyFill="1" applyBorder="1" applyAlignment="1" applyProtection="1">
      <alignment horizontal="left" vertical="top" wrapText="1"/>
      <protection locked="0"/>
    </xf>
    <xf numFmtId="0" fontId="10" fillId="4" borderId="3" xfId="0" applyFont="1" applyFill="1" applyBorder="1" applyAlignment="1" applyProtection="1">
      <alignment horizontal="center" vertical="top" wrapText="1"/>
    </xf>
    <xf numFmtId="0" fontId="10" fillId="4" borderId="5" xfId="0" applyFont="1" applyFill="1" applyBorder="1" applyAlignment="1" applyProtection="1">
      <alignment horizontal="center" vertical="top" wrapText="1"/>
    </xf>
    <xf numFmtId="0" fontId="9" fillId="3" borderId="0" xfId="0" quotePrefix="1" applyFont="1" applyFill="1" applyBorder="1" applyAlignment="1" applyProtection="1">
      <alignment horizontal="left" vertical="center" wrapText="1"/>
    </xf>
    <xf numFmtId="0" fontId="10" fillId="3" borderId="0" xfId="0" quotePrefix="1" applyFont="1" applyFill="1" applyBorder="1" applyAlignment="1" applyProtection="1">
      <alignment horizontal="left" vertical="center" wrapText="1"/>
    </xf>
    <xf numFmtId="0" fontId="9" fillId="3" borderId="29" xfId="0" applyFont="1" applyFill="1" applyBorder="1" applyAlignment="1" applyProtection="1">
      <alignment horizontal="center"/>
    </xf>
    <xf numFmtId="0" fontId="10" fillId="3" borderId="0" xfId="0" quotePrefix="1" applyFont="1" applyFill="1" applyAlignment="1" applyProtection="1">
      <alignment horizontal="left" vertical="center" wrapText="1"/>
    </xf>
    <xf numFmtId="0" fontId="9" fillId="3" borderId="0" xfId="0" applyFont="1" applyFill="1" applyAlignment="1" applyProtection="1">
      <alignment horizontal="left" vertical="center" wrapText="1"/>
    </xf>
    <xf numFmtId="0" fontId="10" fillId="4" borderId="12" xfId="0" applyFont="1" applyFill="1" applyBorder="1" applyAlignment="1" applyProtection="1">
      <alignment horizontal="center" vertical="center" wrapText="1"/>
    </xf>
    <xf numFmtId="0" fontId="10" fillId="4" borderId="11" xfId="0" applyFont="1" applyFill="1" applyBorder="1" applyAlignment="1" applyProtection="1">
      <alignment horizontal="center" vertical="center" wrapText="1"/>
    </xf>
    <xf numFmtId="0" fontId="10" fillId="4" borderId="50" xfId="0" applyFont="1" applyFill="1" applyBorder="1" applyAlignment="1" applyProtection="1">
      <alignment horizontal="center" vertical="center" wrapText="1"/>
    </xf>
    <xf numFmtId="0" fontId="10" fillId="4" borderId="45" xfId="0" applyFont="1" applyFill="1" applyBorder="1" applyAlignment="1" applyProtection="1">
      <alignment horizontal="center" vertical="center" wrapText="1"/>
    </xf>
    <xf numFmtId="0" fontId="10" fillId="4" borderId="28" xfId="0" applyFont="1" applyFill="1" applyBorder="1" applyAlignment="1" applyProtection="1">
      <alignment horizontal="center" vertical="center" wrapText="1"/>
    </xf>
    <xf numFmtId="0" fontId="10" fillId="4" borderId="14" xfId="0" applyFont="1" applyFill="1" applyBorder="1" applyAlignment="1" applyProtection="1">
      <alignment horizontal="center" vertical="center" wrapText="1"/>
    </xf>
    <xf numFmtId="0" fontId="9" fillId="3" borderId="0" xfId="0" applyFont="1" applyFill="1" applyBorder="1" applyAlignment="1" applyProtection="1">
      <alignment horizontal="left" vertical="center" wrapText="1"/>
    </xf>
    <xf numFmtId="0" fontId="10" fillId="4" borderId="50" xfId="0" applyFont="1" applyFill="1" applyBorder="1" applyAlignment="1" applyProtection="1">
      <alignment vertical="top" wrapText="1"/>
    </xf>
    <xf numFmtId="0" fontId="10" fillId="4" borderId="48" xfId="0" applyFont="1" applyFill="1" applyBorder="1" applyAlignment="1" applyProtection="1">
      <alignment vertical="top" wrapText="1"/>
    </xf>
    <xf numFmtId="0" fontId="10" fillId="4" borderId="45" xfId="0" applyFont="1" applyFill="1" applyBorder="1" applyAlignment="1" applyProtection="1">
      <alignment vertical="top" wrapText="1"/>
    </xf>
    <xf numFmtId="0" fontId="9" fillId="4" borderId="28" xfId="0" quotePrefix="1" applyFont="1" applyFill="1" applyBorder="1" applyAlignment="1" applyProtection="1">
      <alignment horizontal="left" vertical="top" wrapText="1"/>
    </xf>
    <xf numFmtId="0" fontId="9" fillId="4" borderId="29" xfId="0" applyFont="1" applyFill="1" applyBorder="1" applyAlignment="1" applyProtection="1">
      <alignment vertical="top" wrapText="1"/>
    </xf>
    <xf numFmtId="0" fontId="9" fillId="4" borderId="14" xfId="0" applyFont="1" applyFill="1" applyBorder="1" applyAlignment="1" applyProtection="1">
      <alignment vertical="top" wrapText="1"/>
    </xf>
    <xf numFmtId="0" fontId="10" fillId="6" borderId="12" xfId="0" applyFont="1" applyFill="1" applyBorder="1" applyAlignment="1" applyProtection="1">
      <alignment horizontal="center" vertical="center" wrapText="1"/>
    </xf>
    <xf numFmtId="0" fontId="10" fillId="6" borderId="11" xfId="0" applyFont="1" applyFill="1" applyBorder="1" applyAlignment="1" applyProtection="1">
      <alignment horizontal="center" vertical="center" wrapText="1"/>
    </xf>
    <xf numFmtId="0" fontId="10" fillId="4" borderId="12" xfId="0" quotePrefix="1" applyFont="1" applyFill="1" applyBorder="1" applyAlignment="1" applyProtection="1">
      <alignment horizontal="center" vertical="center" wrapText="1"/>
    </xf>
    <xf numFmtId="0" fontId="10" fillId="4" borderId="3" xfId="0" applyFont="1" applyFill="1" applyBorder="1" applyAlignment="1" applyProtection="1">
      <alignment horizontal="left" vertical="top" wrapText="1"/>
    </xf>
    <xf numFmtId="0" fontId="10" fillId="4" borderId="4" xfId="0" applyFont="1" applyFill="1" applyBorder="1" applyAlignment="1" applyProtection="1">
      <alignment horizontal="left" vertical="top" wrapText="1"/>
    </xf>
    <xf numFmtId="0" fontId="10" fillId="4" borderId="5" xfId="0" applyFont="1" applyFill="1" applyBorder="1" applyAlignment="1" applyProtection="1">
      <alignment horizontal="left" vertical="top" wrapText="1"/>
    </xf>
    <xf numFmtId="0" fontId="10" fillId="4" borderId="11" xfId="0" quotePrefix="1" applyFont="1" applyFill="1" applyBorder="1" applyAlignment="1" applyProtection="1">
      <alignment horizontal="center" vertical="center" wrapText="1"/>
    </xf>
    <xf numFmtId="0" fontId="10" fillId="4" borderId="50" xfId="0" quotePrefix="1" applyFont="1" applyFill="1" applyBorder="1" applyAlignment="1" applyProtection="1">
      <alignment horizontal="center" vertical="center" wrapText="1"/>
    </xf>
    <xf numFmtId="0" fontId="10" fillId="4" borderId="45" xfId="0" quotePrefix="1" applyFont="1" applyFill="1" applyBorder="1" applyAlignment="1" applyProtection="1">
      <alignment horizontal="center" vertical="center" wrapText="1"/>
    </xf>
    <xf numFmtId="0" fontId="10" fillId="4" borderId="28" xfId="0" quotePrefix="1" applyFont="1" applyFill="1" applyBorder="1" applyAlignment="1" applyProtection="1">
      <alignment horizontal="center" vertical="center" wrapText="1"/>
    </xf>
    <xf numFmtId="0" fontId="10" fillId="4" borderId="14" xfId="0" quotePrefix="1" applyFont="1" applyFill="1" applyBorder="1" applyAlignment="1" applyProtection="1">
      <alignment horizontal="center" vertical="center" wrapText="1"/>
    </xf>
    <xf numFmtId="0" fontId="10" fillId="6" borderId="50" xfId="0" applyFont="1" applyFill="1" applyBorder="1" applyAlignment="1" applyProtection="1">
      <alignment horizontal="center" vertical="center" wrapText="1"/>
    </xf>
    <xf numFmtId="0" fontId="10" fillId="6" borderId="45" xfId="0" applyFont="1" applyFill="1" applyBorder="1" applyAlignment="1" applyProtection="1">
      <alignment horizontal="center" vertical="center" wrapText="1"/>
    </xf>
    <xf numFmtId="0" fontId="10" fillId="6" borderId="28" xfId="0" applyFont="1" applyFill="1" applyBorder="1" applyAlignment="1" applyProtection="1">
      <alignment horizontal="center" vertical="center" wrapText="1"/>
    </xf>
    <xf numFmtId="0" fontId="10" fillId="6" borderId="14" xfId="0" applyFont="1" applyFill="1" applyBorder="1" applyAlignment="1" applyProtection="1">
      <alignment horizontal="center" vertical="center" wrapText="1"/>
    </xf>
    <xf numFmtId="0" fontId="9" fillId="4" borderId="7" xfId="0" applyFont="1" applyFill="1" applyBorder="1" applyAlignment="1" applyProtection="1">
      <alignment horizontal="center" vertical="top" wrapText="1"/>
    </xf>
    <xf numFmtId="0" fontId="9" fillId="4" borderId="16" xfId="0" applyFont="1" applyFill="1" applyBorder="1" applyAlignment="1" applyProtection="1">
      <alignment horizontal="center" vertical="top" wrapText="1"/>
    </xf>
    <xf numFmtId="0" fontId="9" fillId="4" borderId="30" xfId="0" applyFont="1" applyFill="1" applyBorder="1" applyAlignment="1" applyProtection="1">
      <alignment horizontal="center" vertical="top" wrapText="1"/>
    </xf>
    <xf numFmtId="0" fontId="9" fillId="4" borderId="24" xfId="0" applyFont="1" applyFill="1" applyBorder="1" applyAlignment="1" applyProtection="1">
      <alignment horizontal="center" vertical="top" wrapText="1"/>
    </xf>
    <xf numFmtId="0" fontId="10" fillId="4" borderId="45" xfId="0" applyFont="1" applyFill="1" applyBorder="1" applyAlignment="1" applyProtection="1">
      <alignment horizontal="center" vertical="top" wrapText="1"/>
    </xf>
    <xf numFmtId="0" fontId="10" fillId="4" borderId="14" xfId="0" applyFont="1" applyFill="1" applyBorder="1" applyAlignment="1" applyProtection="1">
      <alignment horizontal="center" vertical="top" wrapText="1"/>
    </xf>
    <xf numFmtId="0" fontId="9" fillId="3" borderId="6" xfId="0" applyFont="1" applyFill="1" applyBorder="1" applyAlignment="1" applyProtection="1">
      <alignment horizontal="center" vertical="top" wrapText="1"/>
      <protection locked="0"/>
    </xf>
    <xf numFmtId="0" fontId="9" fillId="3" borderId="15" xfId="0" applyFont="1" applyFill="1" applyBorder="1" applyAlignment="1" applyProtection="1">
      <alignment horizontal="center" vertical="top" wrapText="1"/>
      <protection locked="0"/>
    </xf>
    <xf numFmtId="0" fontId="9" fillId="3" borderId="7" xfId="0" applyFont="1" applyFill="1" applyBorder="1" applyAlignment="1" applyProtection="1">
      <alignment horizontal="center" vertical="top" wrapText="1"/>
      <protection locked="0"/>
    </xf>
    <xf numFmtId="0" fontId="9" fillId="3" borderId="16" xfId="0" applyFont="1" applyFill="1" applyBorder="1" applyAlignment="1" applyProtection="1">
      <alignment horizontal="center" vertical="top" wrapText="1"/>
      <protection locked="0"/>
    </xf>
    <xf numFmtId="0" fontId="9" fillId="3" borderId="30" xfId="0" applyFont="1" applyFill="1" applyBorder="1" applyAlignment="1" applyProtection="1">
      <alignment horizontal="center" vertical="top" wrapText="1"/>
      <protection locked="0"/>
    </xf>
    <xf numFmtId="0" fontId="9" fillId="3" borderId="24" xfId="0" applyFont="1" applyFill="1" applyBorder="1" applyAlignment="1" applyProtection="1">
      <alignment horizontal="center" vertical="top" wrapText="1"/>
      <protection locked="0"/>
    </xf>
    <xf numFmtId="0" fontId="10" fillId="4" borderId="12" xfId="0" applyFont="1" applyFill="1" applyBorder="1" applyAlignment="1" applyProtection="1">
      <alignment horizontal="center" vertical="top" wrapText="1"/>
    </xf>
    <xf numFmtId="0" fontId="10" fillId="4" borderId="11" xfId="0" applyFont="1" applyFill="1" applyBorder="1" applyAlignment="1" applyProtection="1">
      <alignment horizontal="center" vertical="top" wrapText="1"/>
    </xf>
    <xf numFmtId="49" fontId="9" fillId="3" borderId="7" xfId="0" applyNumberFormat="1" applyFont="1" applyFill="1" applyBorder="1" applyAlignment="1" applyProtection="1">
      <alignment horizontal="left" vertical="top" wrapText="1"/>
      <protection locked="0"/>
    </xf>
    <xf numFmtId="49" fontId="9" fillId="3" borderId="16" xfId="0" applyNumberFormat="1" applyFont="1" applyFill="1" applyBorder="1" applyAlignment="1" applyProtection="1">
      <alignment horizontal="left" vertical="top" wrapText="1"/>
      <protection locked="0"/>
    </xf>
    <xf numFmtId="49" fontId="9" fillId="3" borderId="39" xfId="0" applyNumberFormat="1" applyFont="1" applyFill="1" applyBorder="1" applyAlignment="1" applyProtection="1">
      <alignment vertical="top" wrapText="1"/>
      <protection locked="0"/>
    </xf>
    <xf numFmtId="49" fontId="9" fillId="3" borderId="53" xfId="0" applyNumberFormat="1" applyFont="1" applyFill="1" applyBorder="1" applyAlignment="1" applyProtection="1">
      <alignment vertical="top" wrapText="1"/>
      <protection locked="0"/>
    </xf>
    <xf numFmtId="0" fontId="10" fillId="4" borderId="50" xfId="0" applyFont="1" applyFill="1" applyBorder="1" applyAlignment="1" applyProtection="1">
      <alignment horizontal="center" vertical="top" wrapText="1"/>
    </xf>
    <xf numFmtId="0" fontId="10" fillId="4" borderId="28" xfId="0" applyFont="1" applyFill="1" applyBorder="1" applyAlignment="1" applyProtection="1">
      <alignment horizontal="center" vertical="top" wrapText="1"/>
    </xf>
    <xf numFmtId="0" fontId="10" fillId="4" borderId="7" xfId="0" applyFont="1" applyFill="1" applyBorder="1" applyAlignment="1" applyProtection="1">
      <alignment horizontal="left" vertical="top" wrapText="1"/>
    </xf>
    <xf numFmtId="0" fontId="10" fillId="4" borderId="22" xfId="0" applyFont="1" applyFill="1" applyBorder="1" applyAlignment="1" applyProtection="1">
      <alignment horizontal="left" vertical="top" wrapText="1"/>
    </xf>
    <xf numFmtId="0" fontId="9" fillId="41" borderId="6" xfId="0" applyFont="1" applyFill="1" applyBorder="1" applyAlignment="1" applyProtection="1">
      <alignment horizontal="center" vertical="center"/>
      <protection locked="0"/>
    </xf>
    <xf numFmtId="0" fontId="9" fillId="41" borderId="15" xfId="0" applyFont="1" applyFill="1" applyBorder="1" applyAlignment="1" applyProtection="1">
      <alignment horizontal="center" vertical="center"/>
      <protection locked="0"/>
    </xf>
    <xf numFmtId="0" fontId="10" fillId="4" borderId="4" xfId="0" applyFont="1" applyFill="1" applyBorder="1" applyAlignment="1" applyProtection="1">
      <alignment horizontal="center" vertical="top" wrapText="1"/>
    </xf>
    <xf numFmtId="167" fontId="9" fillId="0" borderId="3" xfId="0" applyNumberFormat="1" applyFont="1" applyFill="1" applyBorder="1" applyAlignment="1" applyProtection="1">
      <alignment horizontal="center" vertical="center"/>
      <protection locked="0"/>
    </xf>
    <xf numFmtId="167" fontId="9" fillId="0" borderId="5" xfId="0" applyNumberFormat="1" applyFont="1" applyFill="1" applyBorder="1" applyAlignment="1" applyProtection="1">
      <alignment horizontal="center" vertical="center"/>
      <protection locked="0"/>
    </xf>
    <xf numFmtId="0" fontId="9" fillId="3" borderId="7" xfId="0" applyFont="1" applyFill="1" applyBorder="1" applyAlignment="1" applyProtection="1">
      <alignment horizontal="center"/>
      <protection locked="0"/>
    </xf>
    <xf numFmtId="0" fontId="9" fillId="3" borderId="16" xfId="0" applyFont="1" applyFill="1" applyBorder="1" applyAlignment="1" applyProtection="1">
      <alignment horizontal="center"/>
      <protection locked="0"/>
    </xf>
    <xf numFmtId="0" fontId="9" fillId="4" borderId="28" xfId="0" applyFont="1" applyFill="1" applyBorder="1" applyAlignment="1" applyProtection="1">
      <alignment horizontal="center"/>
    </xf>
    <xf numFmtId="0" fontId="9" fillId="4" borderId="14" xfId="0" applyFont="1" applyFill="1" applyBorder="1" applyAlignment="1" applyProtection="1">
      <alignment horizontal="center"/>
    </xf>
    <xf numFmtId="0" fontId="9" fillId="3" borderId="61" xfId="0" applyFont="1" applyFill="1" applyBorder="1" applyAlignment="1" applyProtection="1">
      <alignment horizontal="center"/>
      <protection locked="0"/>
    </xf>
    <xf numFmtId="0" fontId="9" fillId="3" borderId="49" xfId="0" applyFont="1" applyFill="1" applyBorder="1" applyAlignment="1" applyProtection="1">
      <alignment horizontal="center"/>
      <protection locked="0"/>
    </xf>
    <xf numFmtId="0" fontId="10" fillId="4" borderId="3" xfId="0" quotePrefix="1" applyFont="1" applyFill="1" applyBorder="1" applyAlignment="1" applyProtection="1">
      <alignment horizontal="left" vertical="top" wrapText="1"/>
    </xf>
    <xf numFmtId="0" fontId="10" fillId="4" borderId="5" xfId="0" quotePrefix="1" applyFont="1" applyFill="1" applyBorder="1" applyAlignment="1" applyProtection="1">
      <alignment horizontal="left" vertical="top" wrapText="1"/>
    </xf>
    <xf numFmtId="0" fontId="10" fillId="4" borderId="30" xfId="0" applyFont="1" applyFill="1" applyBorder="1" applyAlignment="1" applyProtection="1">
      <alignment horizontal="left" vertical="top" wrapText="1"/>
    </xf>
    <xf numFmtId="0" fontId="10" fillId="4" borderId="44" xfId="0" applyFont="1" applyFill="1" applyBorder="1" applyAlignment="1" applyProtection="1">
      <alignment horizontal="left" vertical="top" wrapText="1"/>
    </xf>
    <xf numFmtId="169" fontId="9" fillId="3" borderId="56" xfId="0" applyNumberFormat="1" applyFont="1" applyFill="1" applyBorder="1" applyAlignment="1" applyProtection="1">
      <alignment horizontal="center" vertical="top" wrapText="1"/>
      <protection locked="0"/>
    </xf>
    <xf numFmtId="169" fontId="9" fillId="3" borderId="16" xfId="0" applyNumberFormat="1" applyFont="1" applyFill="1" applyBorder="1" applyAlignment="1" applyProtection="1">
      <alignment horizontal="center" vertical="top" wrapText="1"/>
      <protection locked="0"/>
    </xf>
    <xf numFmtId="3" fontId="9" fillId="3" borderId="52" xfId="0" applyNumberFormat="1" applyFont="1" applyFill="1" applyBorder="1" applyAlignment="1" applyProtection="1">
      <alignment horizontal="center" vertical="top" wrapText="1"/>
      <protection locked="0"/>
    </xf>
    <xf numFmtId="3" fontId="9" fillId="3" borderId="24" xfId="0" applyNumberFormat="1" applyFont="1" applyFill="1" applyBorder="1" applyAlignment="1" applyProtection="1">
      <alignment horizontal="center" vertical="top" wrapText="1"/>
      <protection locked="0"/>
    </xf>
    <xf numFmtId="0" fontId="9" fillId="4" borderId="56" xfId="0" applyFont="1" applyFill="1" applyBorder="1" applyAlignment="1" applyProtection="1">
      <alignment horizontal="center" vertical="top" wrapText="1"/>
    </xf>
    <xf numFmtId="3" fontId="9" fillId="3" borderId="56" xfId="0" applyNumberFormat="1" applyFont="1" applyFill="1" applyBorder="1" applyAlignment="1" applyProtection="1">
      <alignment horizontal="center" vertical="top" wrapText="1"/>
      <protection locked="0"/>
    </xf>
    <xf numFmtId="3" fontId="9" fillId="3" borderId="16" xfId="0" applyNumberFormat="1" applyFont="1" applyFill="1" applyBorder="1" applyAlignment="1" applyProtection="1">
      <alignment horizontal="center" vertical="top" wrapText="1"/>
      <protection locked="0"/>
    </xf>
    <xf numFmtId="0" fontId="9" fillId="3" borderId="3" xfId="0" applyFont="1" applyFill="1" applyBorder="1" applyAlignment="1" applyProtection="1">
      <alignment horizontal="center"/>
    </xf>
    <xf numFmtId="0" fontId="9" fillId="3" borderId="4" xfId="0" applyFont="1" applyFill="1" applyBorder="1" applyAlignment="1" applyProtection="1">
      <alignment horizontal="center"/>
    </xf>
    <xf numFmtId="0" fontId="9" fillId="3" borderId="5" xfId="0" applyFont="1" applyFill="1" applyBorder="1" applyAlignment="1" applyProtection="1">
      <alignment horizontal="center"/>
    </xf>
    <xf numFmtId="0" fontId="10" fillId="4" borderId="48" xfId="0" applyFont="1" applyFill="1" applyBorder="1" applyAlignment="1" applyProtection="1">
      <alignment horizontal="center" vertical="center" wrapText="1"/>
    </xf>
    <xf numFmtId="0" fontId="10" fillId="4" borderId="29" xfId="0" applyFont="1" applyFill="1" applyBorder="1" applyAlignment="1" applyProtection="1">
      <alignment horizontal="center" vertical="center" wrapText="1"/>
    </xf>
    <xf numFmtId="0" fontId="10" fillId="4" borderId="50" xfId="0" applyFont="1" applyFill="1" applyBorder="1" applyAlignment="1" applyProtection="1">
      <alignment horizontal="left" vertical="top" wrapText="1"/>
    </xf>
    <xf numFmtId="0" fontId="10" fillId="4" borderId="64" xfId="0" applyFont="1" applyFill="1" applyBorder="1" applyAlignment="1" applyProtection="1">
      <alignment horizontal="left" vertical="top" wrapText="1"/>
    </xf>
    <xf numFmtId="0" fontId="10" fillId="4" borderId="28" xfId="0" applyFont="1" applyFill="1" applyBorder="1" applyAlignment="1" applyProtection="1">
      <alignment horizontal="left" vertical="top" wrapText="1"/>
    </xf>
    <xf numFmtId="0" fontId="10" fillId="4" borderId="43" xfId="0" applyFont="1" applyFill="1" applyBorder="1" applyAlignment="1" applyProtection="1">
      <alignment horizontal="left" vertical="top" wrapText="1"/>
    </xf>
    <xf numFmtId="0" fontId="9" fillId="3" borderId="56" xfId="0" applyFont="1" applyFill="1" applyBorder="1" applyAlignment="1" applyProtection="1">
      <alignment horizontal="center" vertical="top" wrapText="1"/>
      <protection locked="0"/>
    </xf>
    <xf numFmtId="0" fontId="10" fillId="4" borderId="6" xfId="0" applyFont="1" applyFill="1" applyBorder="1" applyAlignment="1" applyProtection="1">
      <alignment horizontal="left" vertical="top" wrapText="1"/>
    </xf>
    <xf numFmtId="0" fontId="10" fillId="4" borderId="26" xfId="0" applyFont="1" applyFill="1" applyBorder="1" applyAlignment="1" applyProtection="1">
      <alignment horizontal="left" vertical="top" wrapText="1"/>
    </xf>
    <xf numFmtId="0" fontId="9" fillId="0" borderId="56" xfId="0" applyFont="1" applyFill="1" applyBorder="1" applyAlignment="1" applyProtection="1">
      <alignment horizontal="center" vertical="top" wrapText="1"/>
      <protection locked="0"/>
    </xf>
    <xf numFmtId="0" fontId="9" fillId="0" borderId="16" xfId="0" applyFont="1" applyFill="1" applyBorder="1" applyAlignment="1" applyProtection="1">
      <alignment horizontal="center" vertical="top" wrapText="1"/>
      <protection locked="0"/>
    </xf>
    <xf numFmtId="0" fontId="10" fillId="41" borderId="50" xfId="0" applyFont="1" applyFill="1" applyBorder="1" applyAlignment="1" applyProtection="1">
      <alignment horizontal="center" vertical="top" wrapText="1"/>
    </xf>
    <xf numFmtId="0" fontId="10" fillId="41" borderId="45" xfId="0" applyFont="1" applyFill="1" applyBorder="1" applyAlignment="1" applyProtection="1">
      <alignment horizontal="center" vertical="top" wrapText="1"/>
    </xf>
    <xf numFmtId="0" fontId="10" fillId="41" borderId="28" xfId="0" applyFont="1" applyFill="1" applyBorder="1" applyAlignment="1" applyProtection="1">
      <alignment horizontal="center" vertical="top" wrapText="1"/>
    </xf>
    <xf numFmtId="0" fontId="10" fillId="41" borderId="14" xfId="0" applyFont="1" applyFill="1" applyBorder="1" applyAlignment="1" applyProtection="1">
      <alignment horizontal="center" vertical="top" wrapText="1"/>
    </xf>
    <xf numFmtId="49" fontId="9" fillId="3" borderId="46" xfId="0" applyNumberFormat="1" applyFont="1" applyFill="1" applyBorder="1" applyAlignment="1" applyProtection="1">
      <alignment horizontal="left" vertical="top" wrapText="1"/>
      <protection locked="0"/>
    </xf>
    <xf numFmtId="0" fontId="10" fillId="4" borderId="5" xfId="0" applyFont="1" applyFill="1" applyBorder="1" applyAlignment="1" applyProtection="1">
      <alignment vertical="top" wrapText="1"/>
    </xf>
    <xf numFmtId="168" fontId="9" fillId="4" borderId="3" xfId="3" applyNumberFormat="1" applyFont="1" applyFill="1" applyBorder="1" applyAlignment="1" applyProtection="1">
      <alignment horizontal="center" wrapText="1"/>
    </xf>
    <xf numFmtId="168" fontId="9" fillId="4" borderId="5" xfId="3" applyNumberFormat="1" applyFont="1" applyFill="1" applyBorder="1" applyAlignment="1" applyProtection="1">
      <alignment horizontal="center" wrapText="1"/>
    </xf>
    <xf numFmtId="49" fontId="9" fillId="3" borderId="28" xfId="0" applyNumberFormat="1" applyFont="1" applyFill="1" applyBorder="1" applyAlignment="1" applyProtection="1">
      <alignment vertical="top" wrapText="1"/>
      <protection locked="0"/>
    </xf>
    <xf numFmtId="49" fontId="9" fillId="3" borderId="29" xfId="0" applyNumberFormat="1" applyFont="1" applyFill="1" applyBorder="1" applyAlignment="1" applyProtection="1">
      <alignment vertical="top" wrapText="1"/>
      <protection locked="0"/>
    </xf>
    <xf numFmtId="167" fontId="9" fillId="3" borderId="28" xfId="2" applyNumberFormat="1" applyFont="1" applyFill="1" applyBorder="1" applyAlignment="1" applyProtection="1">
      <alignment horizontal="center" vertical="top" wrapText="1"/>
      <protection locked="0"/>
    </xf>
    <xf numFmtId="167" fontId="9" fillId="3" borderId="14" xfId="2" applyNumberFormat="1" applyFont="1" applyFill="1" applyBorder="1" applyAlignment="1" applyProtection="1">
      <alignment horizontal="center" vertical="top" wrapText="1"/>
      <protection locked="0"/>
    </xf>
    <xf numFmtId="0" fontId="9" fillId="3" borderId="6" xfId="0" applyFont="1" applyFill="1" applyBorder="1" applyAlignment="1" applyProtection="1">
      <alignment vertical="top" wrapText="1"/>
      <protection locked="0"/>
    </xf>
    <xf numFmtId="0" fontId="9" fillId="3" borderId="47" xfId="0" applyFont="1" applyFill="1" applyBorder="1" applyAlignment="1" applyProtection="1">
      <alignment vertical="top" wrapText="1"/>
      <protection locked="0"/>
    </xf>
    <xf numFmtId="167" fontId="9" fillId="3" borderId="6" xfId="2" applyNumberFormat="1" applyFont="1" applyFill="1" applyBorder="1" applyAlignment="1" applyProtection="1">
      <alignment horizontal="center" vertical="top" wrapText="1"/>
      <protection locked="0"/>
    </xf>
    <xf numFmtId="167" fontId="9" fillId="3" borderId="15" xfId="2" applyNumberFormat="1" applyFont="1" applyFill="1" applyBorder="1" applyAlignment="1" applyProtection="1">
      <alignment horizontal="center" vertical="top" wrapText="1"/>
      <protection locked="0"/>
    </xf>
    <xf numFmtId="49" fontId="9" fillId="3" borderId="7" xfId="0" applyNumberFormat="1" applyFont="1" applyFill="1" applyBorder="1" applyAlignment="1" applyProtection="1">
      <alignment vertical="top" wrapText="1"/>
      <protection locked="0"/>
    </xf>
    <xf numFmtId="49" fontId="9" fillId="3" borderId="46" xfId="0" applyNumberFormat="1" applyFont="1" applyFill="1" applyBorder="1" applyAlignment="1" applyProtection="1">
      <alignment vertical="top" wrapText="1"/>
      <protection locked="0"/>
    </xf>
    <xf numFmtId="0" fontId="10" fillId="4" borderId="28" xfId="0" quotePrefix="1" applyFont="1" applyFill="1" applyBorder="1" applyAlignment="1" applyProtection="1">
      <alignment horizontal="left" vertical="top" wrapText="1"/>
    </xf>
    <xf numFmtId="0" fontId="10" fillId="4" borderId="29" xfId="0" applyFont="1" applyFill="1" applyBorder="1" applyAlignment="1" applyProtection="1">
      <alignment vertical="top" wrapText="1"/>
    </xf>
    <xf numFmtId="0" fontId="8" fillId="3" borderId="3" xfId="0" applyFont="1" applyFill="1" applyBorder="1" applyAlignment="1" applyProtection="1">
      <alignment horizontal="center"/>
    </xf>
    <xf numFmtId="0" fontId="8" fillId="3" borderId="4" xfId="0" applyFont="1" applyFill="1" applyBorder="1" applyAlignment="1" applyProtection="1">
      <alignment horizontal="center"/>
    </xf>
    <xf numFmtId="0" fontId="8" fillId="3" borderId="5" xfId="0" applyFont="1" applyFill="1" applyBorder="1" applyAlignment="1" applyProtection="1">
      <alignment horizontal="center"/>
    </xf>
    <xf numFmtId="0" fontId="10" fillId="4" borderId="28" xfId="0" applyFont="1" applyFill="1" applyBorder="1" applyAlignment="1" applyProtection="1">
      <alignment vertical="top" wrapText="1"/>
    </xf>
    <xf numFmtId="0" fontId="10" fillId="39" borderId="3" xfId="0" quotePrefix="1" applyFont="1" applyFill="1" applyBorder="1" applyAlignment="1" applyProtection="1">
      <alignment horizontal="left" vertical="top" wrapText="1"/>
    </xf>
    <xf numFmtId="0" fontId="10" fillId="39" borderId="4" xfId="0" applyFont="1" applyFill="1" applyBorder="1" applyAlignment="1" applyProtection="1">
      <alignment vertical="top" wrapText="1"/>
    </xf>
    <xf numFmtId="0" fontId="10" fillId="39" borderId="5" xfId="0" applyFont="1" applyFill="1" applyBorder="1" applyAlignment="1" applyProtection="1">
      <alignment vertical="top" wrapText="1"/>
    </xf>
    <xf numFmtId="167" fontId="9" fillId="0" borderId="3" xfId="2" applyNumberFormat="1" applyFont="1" applyFill="1" applyBorder="1" applyAlignment="1" applyProtection="1">
      <alignment horizontal="center" vertical="center" wrapText="1"/>
      <protection locked="0"/>
    </xf>
    <xf numFmtId="167" fontId="9" fillId="0" borderId="5" xfId="2" applyNumberFormat="1" applyFont="1" applyFill="1" applyBorder="1" applyAlignment="1" applyProtection="1">
      <alignment horizontal="center" vertical="center" wrapText="1"/>
      <protection locked="0"/>
    </xf>
    <xf numFmtId="0" fontId="10" fillId="4" borderId="3" xfId="0" applyFont="1" applyFill="1" applyBorder="1" applyAlignment="1" applyProtection="1">
      <alignment vertical="top" wrapText="1"/>
    </xf>
    <xf numFmtId="167" fontId="9" fillId="4" borderId="3" xfId="2" applyNumberFormat="1" applyFont="1" applyFill="1" applyBorder="1" applyAlignment="1" applyProtection="1">
      <alignment horizontal="center" vertical="top" wrapText="1"/>
    </xf>
    <xf numFmtId="167" fontId="9" fillId="4" borderId="5" xfId="2" applyNumberFormat="1" applyFont="1" applyFill="1" applyBorder="1" applyAlignment="1" applyProtection="1">
      <alignment horizontal="center" vertical="top" wrapText="1"/>
    </xf>
    <xf numFmtId="49" fontId="9" fillId="3" borderId="30" xfId="0" applyNumberFormat="1" applyFont="1" applyFill="1" applyBorder="1" applyAlignment="1" applyProtection="1">
      <alignment vertical="top" wrapText="1"/>
      <protection locked="0"/>
    </xf>
    <xf numFmtId="49" fontId="9" fillId="3" borderId="24" xfId="0" applyNumberFormat="1" applyFont="1" applyFill="1" applyBorder="1" applyAlignment="1" applyProtection="1">
      <alignment vertical="top" wrapText="1"/>
      <protection locked="0"/>
    </xf>
    <xf numFmtId="0" fontId="10" fillId="4" borderId="45" xfId="0" applyFont="1" applyFill="1" applyBorder="1" applyAlignment="1" applyProtection="1">
      <alignment horizontal="left" vertical="top" wrapText="1"/>
    </xf>
    <xf numFmtId="0" fontId="10" fillId="4" borderId="14" xfId="0" applyFont="1" applyFill="1" applyBorder="1" applyAlignment="1" applyProtection="1">
      <alignment horizontal="left" vertical="top" wrapText="1"/>
    </xf>
    <xf numFmtId="49" fontId="9" fillId="3" borderId="6" xfId="0" applyNumberFormat="1" applyFont="1" applyFill="1" applyBorder="1" applyAlignment="1" applyProtection="1">
      <alignment vertical="top" wrapText="1"/>
      <protection locked="0"/>
    </xf>
    <xf numFmtId="49" fontId="9" fillId="3" borderId="15" xfId="0" applyNumberFormat="1" applyFont="1" applyFill="1" applyBorder="1" applyAlignment="1" applyProtection="1">
      <alignment vertical="top" wrapText="1"/>
      <protection locked="0"/>
    </xf>
    <xf numFmtId="49" fontId="9" fillId="3" borderId="16" xfId="0" applyNumberFormat="1" applyFont="1" applyFill="1" applyBorder="1" applyAlignment="1" applyProtection="1">
      <alignment vertical="top" wrapText="1"/>
      <protection locked="0"/>
    </xf>
    <xf numFmtId="0" fontId="9" fillId="4" borderId="3" xfId="0" applyFont="1" applyFill="1" applyBorder="1" applyAlignment="1" applyProtection="1">
      <alignment horizontal="center" vertical="top" wrapText="1"/>
    </xf>
    <xf numFmtId="0" fontId="9" fillId="4" borderId="4" xfId="0" applyFont="1" applyFill="1" applyBorder="1" applyAlignment="1" applyProtection="1">
      <alignment horizontal="center" vertical="top" wrapText="1"/>
    </xf>
    <xf numFmtId="0" fontId="9" fillId="4" borderId="5" xfId="0" applyFont="1" applyFill="1" applyBorder="1" applyAlignment="1" applyProtection="1">
      <alignment horizontal="center" vertical="top" wrapText="1"/>
    </xf>
    <xf numFmtId="0" fontId="10" fillId="4" borderId="48" xfId="0" applyFont="1" applyFill="1" applyBorder="1" applyAlignment="1" applyProtection="1">
      <alignment horizontal="left" vertical="top" wrapText="1"/>
    </xf>
    <xf numFmtId="0" fontId="10" fillId="4" borderId="29" xfId="0" applyFont="1" applyFill="1" applyBorder="1" applyAlignment="1" applyProtection="1">
      <alignment horizontal="left" vertical="top" wrapText="1"/>
    </xf>
    <xf numFmtId="0" fontId="10" fillId="4" borderId="17" xfId="0" applyFont="1" applyFill="1" applyBorder="1" applyAlignment="1" applyProtection="1">
      <alignment horizontal="left" vertical="top" wrapText="1"/>
    </xf>
    <xf numFmtId="167" fontId="9" fillId="0" borderId="3" xfId="2" quotePrefix="1" applyNumberFormat="1" applyFont="1" applyFill="1" applyBorder="1" applyAlignment="1" applyProtection="1">
      <alignment horizontal="center" vertical="center" wrapText="1"/>
      <protection locked="0"/>
    </xf>
    <xf numFmtId="0" fontId="9" fillId="3" borderId="39" xfId="0" applyFont="1" applyFill="1" applyBorder="1" applyAlignment="1" applyProtection="1">
      <alignment vertical="top" wrapText="1"/>
      <protection locked="0"/>
    </xf>
    <xf numFmtId="0" fontId="9" fillId="3" borderId="53" xfId="0" applyFont="1" applyFill="1" applyBorder="1" applyAlignment="1" applyProtection="1">
      <alignment vertical="top" wrapText="1"/>
      <protection locked="0"/>
    </xf>
    <xf numFmtId="0" fontId="49" fillId="0" borderId="0" xfId="0" quotePrefix="1" applyFont="1" applyAlignment="1">
      <alignment horizontal="left" vertical="center" wrapText="1"/>
    </xf>
    <xf numFmtId="0" fontId="10" fillId="5" borderId="41" xfId="0" applyFont="1" applyFill="1" applyBorder="1" applyAlignment="1">
      <alignment horizontal="left" vertical="center" wrapText="1"/>
    </xf>
    <xf numFmtId="0" fontId="10" fillId="5" borderId="23" xfId="0" applyFont="1" applyFill="1" applyBorder="1" applyAlignment="1">
      <alignment horizontal="left" vertical="center" wrapText="1"/>
    </xf>
    <xf numFmtId="0" fontId="46" fillId="5" borderId="50" xfId="0" applyFont="1" applyFill="1" applyBorder="1" applyAlignment="1">
      <alignment horizontal="center"/>
    </xf>
    <xf numFmtId="0" fontId="46" fillId="5" borderId="48" xfId="0" applyFont="1" applyFill="1" applyBorder="1" applyAlignment="1">
      <alignment horizontal="center"/>
    </xf>
    <xf numFmtId="0" fontId="46" fillId="5" borderId="45" xfId="0" applyFont="1" applyFill="1" applyBorder="1" applyAlignment="1">
      <alignment horizontal="center"/>
    </xf>
    <xf numFmtId="0" fontId="45" fillId="5" borderId="3" xfId="0" applyFont="1" applyFill="1" applyBorder="1" applyAlignment="1">
      <alignment horizontal="left" vertical="center" wrapText="1"/>
    </xf>
    <xf numFmtId="0" fontId="45" fillId="5" borderId="4" xfId="0" applyFont="1" applyFill="1" applyBorder="1" applyAlignment="1">
      <alignment horizontal="left" vertical="center" wrapText="1"/>
    </xf>
    <xf numFmtId="0" fontId="45" fillId="5" borderId="5" xfId="0" applyFont="1" applyFill="1" applyBorder="1" applyAlignment="1">
      <alignment horizontal="left"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10" fillId="5" borderId="50" xfId="0" applyFont="1" applyFill="1" applyBorder="1" applyAlignment="1">
      <alignment vertical="center" wrapText="1"/>
    </xf>
    <xf numFmtId="0" fontId="10" fillId="5" borderId="48" xfId="0" applyFont="1" applyFill="1" applyBorder="1" applyAlignment="1">
      <alignment vertical="center" wrapText="1"/>
    </xf>
    <xf numFmtId="0" fontId="10" fillId="5" borderId="28" xfId="0" applyFont="1" applyFill="1" applyBorder="1" applyAlignment="1">
      <alignment vertical="center" wrapText="1"/>
    </xf>
    <xf numFmtId="0" fontId="10" fillId="5" borderId="29" xfId="0" applyFont="1" applyFill="1" applyBorder="1" applyAlignment="1">
      <alignment vertical="center" wrapText="1"/>
    </xf>
    <xf numFmtId="0" fontId="10" fillId="40" borderId="60" xfId="0" applyFont="1" applyFill="1" applyBorder="1" applyAlignment="1" applyProtection="1">
      <alignment horizontal="center" vertical="center"/>
      <protection locked="0"/>
    </xf>
    <xf numFmtId="0" fontId="10" fillId="40" borderId="89" xfId="0" applyFont="1" applyFill="1" applyBorder="1" applyAlignment="1" applyProtection="1">
      <alignment horizontal="center" vertical="center"/>
      <protection locked="0"/>
    </xf>
    <xf numFmtId="0" fontId="10" fillId="5" borderId="60" xfId="0" applyFont="1" applyFill="1" applyBorder="1" applyAlignment="1">
      <alignment vertical="center" wrapText="1"/>
    </xf>
    <xf numFmtId="0" fontId="10" fillId="5" borderId="84" xfId="0" applyFont="1" applyFill="1" applyBorder="1" applyAlignment="1">
      <alignment vertical="center" wrapText="1"/>
    </xf>
    <xf numFmtId="0" fontId="10" fillId="5" borderId="20" xfId="0" applyFont="1" applyFill="1" applyBorder="1" applyAlignment="1">
      <alignment vertical="center" wrapText="1"/>
    </xf>
    <xf numFmtId="0" fontId="47" fillId="0" borderId="0" xfId="0" quotePrefix="1" applyFont="1" applyAlignment="1" applyProtection="1">
      <alignment horizontal="center"/>
      <protection locked="0"/>
    </xf>
    <xf numFmtId="0" fontId="7" fillId="5" borderId="3" xfId="0" applyFont="1" applyFill="1" applyBorder="1" applyAlignment="1">
      <alignment horizontal="center" wrapText="1"/>
    </xf>
    <xf numFmtId="0" fontId="7" fillId="5" borderId="4" xfId="0" applyFont="1" applyFill="1" applyBorder="1" applyAlignment="1">
      <alignment horizontal="center" wrapText="1"/>
    </xf>
    <xf numFmtId="0" fontId="7" fillId="5" borderId="5" xfId="0" applyFont="1" applyFill="1" applyBorder="1" applyAlignment="1">
      <alignment horizontal="center" wrapText="1"/>
    </xf>
    <xf numFmtId="0" fontId="7" fillId="5" borderId="3" xfId="0" applyFont="1" applyFill="1" applyBorder="1" applyAlignment="1">
      <alignment horizontal="left" wrapText="1"/>
    </xf>
    <xf numFmtId="0" fontId="7" fillId="5" borderId="4" xfId="0" applyFont="1" applyFill="1" applyBorder="1" applyAlignment="1">
      <alignment horizontal="left" wrapText="1"/>
    </xf>
    <xf numFmtId="0" fontId="7" fillId="5" borderId="5" xfId="0" applyFont="1" applyFill="1" applyBorder="1" applyAlignment="1">
      <alignment horizontal="left" wrapText="1"/>
    </xf>
  </cellXfs>
  <cellStyles count="47">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10" builtinId="27" customBuiltin="1"/>
    <cellStyle name="Calculation" xfId="14" builtinId="22" customBuiltin="1"/>
    <cellStyle name="Check Cell" xfId="16" builtinId="23" customBuiltin="1"/>
    <cellStyle name="Comma" xfId="1" builtinId="3" customBuiltin="1"/>
    <cellStyle name="Currency" xfId="2" builtinId="4" customBuiltin="1"/>
    <cellStyle name="Date_A25 modèle de suivi du régime tarifaire PBC 22Dec07 version beta 1.0 test " xfId="45" xr:uid="{00000000-0005-0000-0000-00008B0B0000}"/>
    <cellStyle name="Explanatory Text" xfId="18" builtinId="53" customBuiltin="1"/>
    <cellStyle name="Followed Hyperlink" xfId="46" builtinId="9" hidde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yperlink" xfId="44" builtinId="8" hidden="1"/>
    <cellStyle name="Input" xfId="12" builtinId="20" customBuiltin="1"/>
    <cellStyle name="Linked Cell" xfId="15" builtinId="24" customBuiltin="1"/>
    <cellStyle name="Neutral" xfId="11" builtinId="28" customBuiltin="1"/>
    <cellStyle name="Normal" xfId="0" builtinId="0" customBuiltin="1"/>
    <cellStyle name="Output" xfId="13" builtinId="21" customBuiltin="1"/>
    <cellStyle name="Percent" xfId="3" builtinId="5" customBuiltin="1"/>
    <cellStyle name="Title" xfId="4" builtinId="15" customBuiltin="1"/>
    <cellStyle name="Total" xfId="19" builtinId="25" customBuiltin="1"/>
    <cellStyle name="Warning Text" xfId="17" builtinId="11" customBuiltin="1"/>
  </cellStyles>
  <dxfs count="14">
    <dxf>
      <fill>
        <patternFill>
          <bgColor theme="1"/>
        </patternFill>
      </fill>
    </dxf>
    <dxf>
      <font>
        <b/>
        <i val="0"/>
        <color rgb="FFFF0000"/>
      </font>
    </dxf>
    <dxf>
      <fill>
        <patternFill patternType="solid">
          <bgColor theme="1"/>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ont>
        <color rgb="FF00B050"/>
      </font>
    </dxf>
    <dxf>
      <font>
        <color rgb="FFFF0000"/>
      </font>
    </dxf>
    <dxf>
      <fill>
        <patternFill>
          <bgColor theme="0" tint="-0.14996795556505021"/>
        </patternFill>
      </fill>
    </dxf>
    <dxf>
      <fill>
        <patternFill>
          <bgColor theme="0" tint="-0.14996795556505021"/>
        </patternFill>
      </fill>
    </dxf>
    <dxf>
      <fill>
        <patternFill patternType="solid">
          <bgColor theme="1"/>
        </patternFill>
      </fill>
    </dxf>
    <dxf>
      <fill>
        <patternFill>
          <bgColor theme="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DDDDDD"/>
      <color rgb="FFE3E3E3"/>
      <color rgb="FFFFFF66"/>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epa.gov/green-book" TargetMode="External"/><Relationship Id="rId1" Type="http://schemas.openxmlformats.org/officeDocument/2006/relationships/hyperlink" Target="http://www.epa.gov/oaqps001/greenbk/"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transit.dot.gov/funding/grant-programs/capital-investments/regulations-guidance"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195"/>
  <sheetViews>
    <sheetView topLeftCell="A148" zoomScaleNormal="100" zoomScaleSheetLayoutView="100" workbookViewId="0">
      <selection activeCell="C156" sqref="C156:D156"/>
    </sheetView>
  </sheetViews>
  <sheetFormatPr defaultColWidth="9.25" defaultRowHeight="11.25" x14ac:dyDescent="0.2"/>
  <cols>
    <col min="1" max="1" width="26.5" style="9" customWidth="1"/>
    <col min="2" max="2" width="42.875" style="9" customWidth="1"/>
    <col min="3" max="4" width="29.875" style="9" customWidth="1"/>
    <col min="5" max="16384" width="9.25" style="7"/>
  </cols>
  <sheetData>
    <row r="1" spans="1:4" ht="20.25" customHeight="1" thickBot="1" x14ac:dyDescent="0.25">
      <c r="A1" s="690" t="s">
        <v>446</v>
      </c>
      <c r="B1" s="691"/>
      <c r="C1" s="691"/>
      <c r="D1" s="692"/>
    </row>
    <row r="2" spans="1:4" s="3" customFormat="1" ht="15.95" thickBot="1" x14ac:dyDescent="0.4">
      <c r="A2" s="21" t="s">
        <v>0</v>
      </c>
      <c r="B2" s="708"/>
      <c r="C2" s="709"/>
      <c r="D2" s="710"/>
    </row>
    <row r="3" spans="1:4" s="8" customFormat="1" ht="13.5" thickBot="1" x14ac:dyDescent="0.3">
      <c r="A3" s="705" t="s">
        <v>1</v>
      </c>
      <c r="B3" s="706"/>
      <c r="C3" s="706"/>
      <c r="D3" s="707"/>
    </row>
    <row r="4" spans="1:4" s="8" customFormat="1" ht="12.75" x14ac:dyDescent="0.2">
      <c r="A4" s="670" t="s">
        <v>2</v>
      </c>
      <c r="B4" s="293" t="s">
        <v>3</v>
      </c>
      <c r="C4" s="711"/>
      <c r="D4" s="712"/>
    </row>
    <row r="5" spans="1:4" s="8" customFormat="1" ht="12.75" x14ac:dyDescent="0.2">
      <c r="A5" s="671"/>
      <c r="B5" s="22" t="s">
        <v>4</v>
      </c>
      <c r="C5" s="662"/>
      <c r="D5" s="663"/>
    </row>
    <row r="6" spans="1:4" s="8" customFormat="1" ht="12.75" x14ac:dyDescent="0.2">
      <c r="A6" s="671"/>
      <c r="B6" s="22" t="s">
        <v>5</v>
      </c>
      <c r="C6" s="662"/>
      <c r="D6" s="663"/>
    </row>
    <row r="7" spans="1:4" s="8" customFormat="1" ht="12.75" x14ac:dyDescent="0.2">
      <c r="A7" s="671"/>
      <c r="B7" s="22" t="s">
        <v>6</v>
      </c>
      <c r="C7" s="662"/>
      <c r="D7" s="663"/>
    </row>
    <row r="8" spans="1:4" s="8" customFormat="1" ht="12.75" x14ac:dyDescent="0.2">
      <c r="A8" s="671"/>
      <c r="B8" s="23" t="s">
        <v>7</v>
      </c>
      <c r="C8" s="662"/>
      <c r="D8" s="663"/>
    </row>
    <row r="9" spans="1:4" s="8" customFormat="1" ht="13.5" thickBot="1" x14ac:dyDescent="0.25">
      <c r="A9" s="672"/>
      <c r="B9" s="24" t="s">
        <v>8</v>
      </c>
      <c r="C9" s="664"/>
      <c r="D9" s="665"/>
    </row>
    <row r="10" spans="1:4" s="8" customFormat="1" ht="12.75" x14ac:dyDescent="0.2">
      <c r="A10" s="670" t="s">
        <v>9</v>
      </c>
      <c r="B10" s="25" t="s">
        <v>3</v>
      </c>
      <c r="C10" s="673"/>
      <c r="D10" s="674"/>
    </row>
    <row r="11" spans="1:4" s="8" customFormat="1" ht="12.75" x14ac:dyDescent="0.2">
      <c r="A11" s="671"/>
      <c r="B11" s="23" t="s">
        <v>4</v>
      </c>
      <c r="C11" s="662"/>
      <c r="D11" s="663"/>
    </row>
    <row r="12" spans="1:4" s="8" customFormat="1" ht="12.75" x14ac:dyDescent="0.2">
      <c r="A12" s="671"/>
      <c r="B12" s="23" t="s">
        <v>5</v>
      </c>
      <c r="C12" s="662"/>
      <c r="D12" s="663"/>
    </row>
    <row r="13" spans="1:4" s="8" customFormat="1" ht="12.75" x14ac:dyDescent="0.2">
      <c r="A13" s="671"/>
      <c r="B13" s="23" t="s">
        <v>6</v>
      </c>
      <c r="C13" s="662"/>
      <c r="D13" s="663"/>
    </row>
    <row r="14" spans="1:4" s="8" customFormat="1" ht="12.75" x14ac:dyDescent="0.2">
      <c r="A14" s="671"/>
      <c r="B14" s="23" t="s">
        <v>7</v>
      </c>
      <c r="C14" s="662"/>
      <c r="D14" s="663"/>
    </row>
    <row r="15" spans="1:4" s="8" customFormat="1" ht="13.5" thickBot="1" x14ac:dyDescent="0.25">
      <c r="A15" s="672"/>
      <c r="B15" s="24" t="s">
        <v>8</v>
      </c>
      <c r="C15" s="664"/>
      <c r="D15" s="665"/>
    </row>
    <row r="16" spans="1:4" s="8" customFormat="1" ht="12.75" x14ac:dyDescent="0.2">
      <c r="A16" s="670" t="s">
        <v>10</v>
      </c>
      <c r="B16" s="25" t="s">
        <v>3</v>
      </c>
      <c r="C16" s="673"/>
      <c r="D16" s="674"/>
    </row>
    <row r="17" spans="1:4" s="8" customFormat="1" ht="12.75" x14ac:dyDescent="0.2">
      <c r="A17" s="671"/>
      <c r="B17" s="23" t="s">
        <v>4</v>
      </c>
      <c r="C17" s="662"/>
      <c r="D17" s="663"/>
    </row>
    <row r="18" spans="1:4" s="8" customFormat="1" ht="12.75" x14ac:dyDescent="0.2">
      <c r="A18" s="671"/>
      <c r="B18" s="23" t="s">
        <v>5</v>
      </c>
      <c r="C18" s="662"/>
      <c r="D18" s="663"/>
    </row>
    <row r="19" spans="1:4" s="8" customFormat="1" ht="12.75" x14ac:dyDescent="0.2">
      <c r="A19" s="671"/>
      <c r="B19" s="23" t="s">
        <v>6</v>
      </c>
      <c r="C19" s="662"/>
      <c r="D19" s="663"/>
    </row>
    <row r="20" spans="1:4" s="8" customFormat="1" ht="12.75" x14ac:dyDescent="0.2">
      <c r="A20" s="671"/>
      <c r="B20" s="23" t="s">
        <v>7</v>
      </c>
      <c r="C20" s="662"/>
      <c r="D20" s="663"/>
    </row>
    <row r="21" spans="1:4" s="8" customFormat="1" ht="13.5" thickBot="1" x14ac:dyDescent="0.25">
      <c r="A21" s="672"/>
      <c r="B21" s="24" t="s">
        <v>8</v>
      </c>
      <c r="C21" s="664"/>
      <c r="D21" s="665"/>
    </row>
    <row r="22" spans="1:4" s="8" customFormat="1" ht="12.75" x14ac:dyDescent="0.2">
      <c r="A22" s="670" t="s">
        <v>11</v>
      </c>
      <c r="B22" s="25" t="s">
        <v>3</v>
      </c>
      <c r="C22" s="673"/>
      <c r="D22" s="674"/>
    </row>
    <row r="23" spans="1:4" s="8" customFormat="1" ht="12.75" x14ac:dyDescent="0.2">
      <c r="A23" s="671"/>
      <c r="B23" s="23" t="s">
        <v>4</v>
      </c>
      <c r="C23" s="662"/>
      <c r="D23" s="663"/>
    </row>
    <row r="24" spans="1:4" s="8" customFormat="1" ht="12.75" x14ac:dyDescent="0.2">
      <c r="A24" s="671"/>
      <c r="B24" s="23" t="s">
        <v>5</v>
      </c>
      <c r="C24" s="662"/>
      <c r="D24" s="663"/>
    </row>
    <row r="25" spans="1:4" s="8" customFormat="1" ht="12.75" x14ac:dyDescent="0.2">
      <c r="A25" s="671"/>
      <c r="B25" s="23" t="s">
        <v>6</v>
      </c>
      <c r="C25" s="662"/>
      <c r="D25" s="663"/>
    </row>
    <row r="26" spans="1:4" s="8" customFormat="1" ht="12.75" x14ac:dyDescent="0.2">
      <c r="A26" s="671"/>
      <c r="B26" s="23" t="s">
        <v>7</v>
      </c>
      <c r="C26" s="662"/>
      <c r="D26" s="663"/>
    </row>
    <row r="27" spans="1:4" s="8" customFormat="1" ht="13.5" thickBot="1" x14ac:dyDescent="0.25">
      <c r="A27" s="672"/>
      <c r="B27" s="24" t="s">
        <v>8</v>
      </c>
      <c r="C27" s="664"/>
      <c r="D27" s="665"/>
    </row>
    <row r="28" spans="1:4" s="8" customFormat="1" ht="12.75" x14ac:dyDescent="0.2">
      <c r="A28" s="670" t="s">
        <v>12</v>
      </c>
      <c r="B28" s="25" t="s">
        <v>3</v>
      </c>
      <c r="C28" s="673"/>
      <c r="D28" s="674"/>
    </row>
    <row r="29" spans="1:4" s="8" customFormat="1" ht="12.75" x14ac:dyDescent="0.2">
      <c r="A29" s="671"/>
      <c r="B29" s="23" t="s">
        <v>4</v>
      </c>
      <c r="C29" s="662"/>
      <c r="D29" s="663"/>
    </row>
    <row r="30" spans="1:4" s="8" customFormat="1" ht="12.75" x14ac:dyDescent="0.2">
      <c r="A30" s="671"/>
      <c r="B30" s="23" t="s">
        <v>5</v>
      </c>
      <c r="C30" s="662"/>
      <c r="D30" s="663"/>
    </row>
    <row r="31" spans="1:4" s="8" customFormat="1" ht="12.75" x14ac:dyDescent="0.2">
      <c r="A31" s="671"/>
      <c r="B31" s="23" t="s">
        <v>6</v>
      </c>
      <c r="C31" s="662"/>
      <c r="D31" s="663"/>
    </row>
    <row r="32" spans="1:4" s="8" customFormat="1" ht="12.75" x14ac:dyDescent="0.2">
      <c r="A32" s="671"/>
      <c r="B32" s="23" t="s">
        <v>7</v>
      </c>
      <c r="C32" s="662"/>
      <c r="D32" s="663"/>
    </row>
    <row r="33" spans="1:5" s="8" customFormat="1" ht="13.5" thickBot="1" x14ac:dyDescent="0.25">
      <c r="A33" s="672"/>
      <c r="B33" s="24" t="s">
        <v>8</v>
      </c>
      <c r="C33" s="664"/>
      <c r="D33" s="665"/>
      <c r="E33" s="299"/>
    </row>
    <row r="34" spans="1:5" s="8" customFormat="1" ht="12.75" x14ac:dyDescent="0.2">
      <c r="A34" s="670" t="s">
        <v>12</v>
      </c>
      <c r="B34" s="25" t="s">
        <v>3</v>
      </c>
      <c r="C34" s="673"/>
      <c r="D34" s="674"/>
      <c r="E34" s="299"/>
    </row>
    <row r="35" spans="1:5" s="8" customFormat="1" ht="12.75" x14ac:dyDescent="0.2">
      <c r="A35" s="671"/>
      <c r="B35" s="23" t="s">
        <v>4</v>
      </c>
      <c r="C35" s="662"/>
      <c r="D35" s="663"/>
      <c r="E35" s="299"/>
    </row>
    <row r="36" spans="1:5" s="8" customFormat="1" ht="12.75" x14ac:dyDescent="0.2">
      <c r="A36" s="671"/>
      <c r="B36" s="23" t="s">
        <v>5</v>
      </c>
      <c r="C36" s="662"/>
      <c r="D36" s="663"/>
      <c r="E36" s="299"/>
    </row>
    <row r="37" spans="1:5" s="8" customFormat="1" ht="12.75" x14ac:dyDescent="0.2">
      <c r="A37" s="671"/>
      <c r="B37" s="23" t="s">
        <v>6</v>
      </c>
      <c r="C37" s="662"/>
      <c r="D37" s="663"/>
      <c r="E37" s="299"/>
    </row>
    <row r="38" spans="1:5" s="8" customFormat="1" ht="12.75" x14ac:dyDescent="0.2">
      <c r="A38" s="671"/>
      <c r="B38" s="23" t="s">
        <v>7</v>
      </c>
      <c r="C38" s="662"/>
      <c r="D38" s="663"/>
      <c r="E38" s="299"/>
    </row>
    <row r="39" spans="1:5" s="8" customFormat="1" ht="13.5" thickBot="1" x14ac:dyDescent="0.25">
      <c r="A39" s="672"/>
      <c r="B39" s="24" t="s">
        <v>8</v>
      </c>
      <c r="C39" s="664"/>
      <c r="D39" s="665"/>
      <c r="E39" s="299"/>
    </row>
    <row r="40" spans="1:5" s="8" customFormat="1" ht="12.75" x14ac:dyDescent="0.2">
      <c r="A40" s="670" t="s">
        <v>12</v>
      </c>
      <c r="B40" s="25" t="s">
        <v>3</v>
      </c>
      <c r="C40" s="673"/>
      <c r="D40" s="674"/>
      <c r="E40" s="299"/>
    </row>
    <row r="41" spans="1:5" s="8" customFormat="1" ht="12.75" x14ac:dyDescent="0.2">
      <c r="A41" s="671"/>
      <c r="B41" s="23" t="s">
        <v>4</v>
      </c>
      <c r="C41" s="662"/>
      <c r="D41" s="663"/>
      <c r="E41" s="299"/>
    </row>
    <row r="42" spans="1:5" s="8" customFormat="1" ht="12.75" x14ac:dyDescent="0.2">
      <c r="A42" s="671"/>
      <c r="B42" s="23" t="s">
        <v>5</v>
      </c>
      <c r="C42" s="662"/>
      <c r="D42" s="663"/>
      <c r="E42" s="299"/>
    </row>
    <row r="43" spans="1:5" s="8" customFormat="1" ht="12.75" x14ac:dyDescent="0.2">
      <c r="A43" s="671"/>
      <c r="B43" s="23" t="s">
        <v>6</v>
      </c>
      <c r="C43" s="662"/>
      <c r="D43" s="663"/>
      <c r="E43" s="299"/>
    </row>
    <row r="44" spans="1:5" s="8" customFormat="1" ht="12.75" x14ac:dyDescent="0.2">
      <c r="A44" s="671"/>
      <c r="B44" s="23" t="s">
        <v>7</v>
      </c>
      <c r="C44" s="662"/>
      <c r="D44" s="663"/>
      <c r="E44" s="299"/>
    </row>
    <row r="45" spans="1:5" s="8" customFormat="1" ht="13.5" thickBot="1" x14ac:dyDescent="0.25">
      <c r="A45" s="672"/>
      <c r="B45" s="24" t="s">
        <v>8</v>
      </c>
      <c r="C45" s="664"/>
      <c r="D45" s="665"/>
      <c r="E45" s="299"/>
    </row>
    <row r="46" spans="1:5" s="9" customFormat="1" ht="15.95" thickBot="1" x14ac:dyDescent="0.4">
      <c r="A46" s="26"/>
      <c r="B46" s="300"/>
      <c r="C46" s="300"/>
      <c r="D46" s="300"/>
      <c r="E46" s="301"/>
    </row>
    <row r="47" spans="1:5" ht="18.600000000000001" thickBot="1" x14ac:dyDescent="0.25">
      <c r="A47" s="690" t="s">
        <v>13</v>
      </c>
      <c r="B47" s="691"/>
      <c r="C47" s="691"/>
      <c r="D47" s="692"/>
      <c r="E47" s="268"/>
    </row>
    <row r="48" spans="1:5" ht="13.5" thickBot="1" x14ac:dyDescent="0.25">
      <c r="A48" s="702" t="s">
        <v>14</v>
      </c>
      <c r="B48" s="27" t="s">
        <v>15</v>
      </c>
      <c r="C48" s="719"/>
      <c r="D48" s="694"/>
      <c r="E48" s="232" t="str">
        <f>IF(OR(ISNUMBER(C48),C48=""),"","Please enter only the length in miles; do not include any text")</f>
        <v/>
      </c>
    </row>
    <row r="49" spans="1:4" ht="13.5" thickBot="1" x14ac:dyDescent="0.25">
      <c r="A49" s="703"/>
      <c r="B49" s="28" t="s">
        <v>16</v>
      </c>
      <c r="C49" s="717"/>
      <c r="D49" s="718"/>
    </row>
    <row r="50" spans="1:4" ht="13.5" thickBot="1" x14ac:dyDescent="0.25">
      <c r="A50" s="703"/>
      <c r="B50" s="28" t="s">
        <v>17</v>
      </c>
      <c r="C50" s="693"/>
      <c r="D50" s="694"/>
    </row>
    <row r="51" spans="1:4" ht="12.75" x14ac:dyDescent="0.2">
      <c r="A51" s="703"/>
      <c r="B51" s="670" t="s">
        <v>18</v>
      </c>
      <c r="C51" s="668"/>
      <c r="D51" s="669"/>
    </row>
    <row r="52" spans="1:4" ht="12.75" x14ac:dyDescent="0.2">
      <c r="A52" s="703"/>
      <c r="B52" s="671"/>
      <c r="C52" s="662"/>
      <c r="D52" s="663"/>
    </row>
    <row r="53" spans="1:4" ht="12.75" x14ac:dyDescent="0.2">
      <c r="A53" s="703"/>
      <c r="B53" s="671"/>
      <c r="C53" s="662"/>
      <c r="D53" s="663"/>
    </row>
    <row r="54" spans="1:4" ht="12.75" x14ac:dyDescent="0.2">
      <c r="A54" s="703"/>
      <c r="B54" s="671"/>
      <c r="C54" s="662"/>
      <c r="D54" s="663"/>
    </row>
    <row r="55" spans="1:4" ht="12.75" x14ac:dyDescent="0.2">
      <c r="A55" s="703"/>
      <c r="B55" s="671"/>
      <c r="C55" s="662"/>
      <c r="D55" s="663"/>
    </row>
    <row r="56" spans="1:4" ht="12.75" x14ac:dyDescent="0.2">
      <c r="A56" s="703"/>
      <c r="B56" s="671"/>
      <c r="C56" s="662"/>
      <c r="D56" s="663"/>
    </row>
    <row r="57" spans="1:4" ht="12.75" x14ac:dyDescent="0.2">
      <c r="A57" s="703"/>
      <c r="B57" s="671"/>
      <c r="C57" s="662"/>
      <c r="D57" s="663"/>
    </row>
    <row r="58" spans="1:4" ht="12.75" x14ac:dyDescent="0.2">
      <c r="A58" s="703"/>
      <c r="B58" s="671"/>
      <c r="C58" s="662"/>
      <c r="D58" s="663"/>
    </row>
    <row r="59" spans="1:4" ht="12.75" x14ac:dyDescent="0.2">
      <c r="A59" s="703"/>
      <c r="B59" s="671"/>
      <c r="C59" s="662"/>
      <c r="D59" s="663"/>
    </row>
    <row r="60" spans="1:4" ht="12.75" x14ac:dyDescent="0.2">
      <c r="A60" s="703"/>
      <c r="B60" s="671"/>
      <c r="C60" s="662"/>
      <c r="D60" s="663"/>
    </row>
    <row r="61" spans="1:4" ht="12.75" x14ac:dyDescent="0.2">
      <c r="A61" s="703"/>
      <c r="B61" s="671"/>
      <c r="C61" s="662"/>
      <c r="D61" s="663"/>
    </row>
    <row r="62" spans="1:4" ht="12.75" x14ac:dyDescent="0.2">
      <c r="A62" s="703"/>
      <c r="B62" s="671"/>
      <c r="C62" s="662"/>
      <c r="D62" s="663"/>
    </row>
    <row r="63" spans="1:4" ht="12.75" x14ac:dyDescent="0.2">
      <c r="A63" s="703"/>
      <c r="B63" s="671"/>
      <c r="C63" s="662"/>
      <c r="D63" s="663"/>
    </row>
    <row r="64" spans="1:4" ht="12.75" x14ac:dyDescent="0.2">
      <c r="A64" s="703"/>
      <c r="B64" s="671"/>
      <c r="C64" s="662"/>
      <c r="D64" s="663"/>
    </row>
    <row r="65" spans="1:4" ht="12.75" x14ac:dyDescent="0.2">
      <c r="A65" s="703"/>
      <c r="B65" s="671"/>
      <c r="C65" s="662"/>
      <c r="D65" s="663"/>
    </row>
    <row r="66" spans="1:4" ht="12.75" x14ac:dyDescent="0.2">
      <c r="A66" s="703"/>
      <c r="B66" s="671"/>
      <c r="C66" s="662"/>
      <c r="D66" s="663"/>
    </row>
    <row r="67" spans="1:4" ht="12.75" x14ac:dyDescent="0.2">
      <c r="A67" s="703"/>
      <c r="B67" s="671"/>
      <c r="C67" s="662"/>
      <c r="D67" s="663"/>
    </row>
    <row r="68" spans="1:4" ht="12.75" x14ac:dyDescent="0.2">
      <c r="A68" s="703"/>
      <c r="B68" s="671"/>
      <c r="C68" s="662"/>
      <c r="D68" s="663"/>
    </row>
    <row r="69" spans="1:4" ht="12.75" x14ac:dyDescent="0.2">
      <c r="A69" s="703"/>
      <c r="B69" s="671"/>
      <c r="C69" s="662"/>
      <c r="D69" s="663"/>
    </row>
    <row r="70" spans="1:4" ht="13.5" thickBot="1" x14ac:dyDescent="0.25">
      <c r="A70" s="703"/>
      <c r="B70" s="672"/>
      <c r="C70" s="695"/>
      <c r="D70" s="696"/>
    </row>
    <row r="71" spans="1:4" ht="12.75" x14ac:dyDescent="0.2">
      <c r="A71" s="703"/>
      <c r="B71" s="670" t="s">
        <v>19</v>
      </c>
      <c r="C71" s="668"/>
      <c r="D71" s="669"/>
    </row>
    <row r="72" spans="1:4" ht="12.75" x14ac:dyDescent="0.2">
      <c r="A72" s="703"/>
      <c r="B72" s="671"/>
      <c r="C72" s="662"/>
      <c r="D72" s="663"/>
    </row>
    <row r="73" spans="1:4" ht="12.75" x14ac:dyDescent="0.2">
      <c r="A73" s="703"/>
      <c r="B73" s="671"/>
      <c r="C73" s="662"/>
      <c r="D73" s="663"/>
    </row>
    <row r="74" spans="1:4" ht="12.75" x14ac:dyDescent="0.2">
      <c r="A74" s="703"/>
      <c r="B74" s="671"/>
      <c r="C74" s="662"/>
      <c r="D74" s="663"/>
    </row>
    <row r="75" spans="1:4" ht="12.75" x14ac:dyDescent="0.2">
      <c r="A75" s="703"/>
      <c r="B75" s="671"/>
      <c r="C75" s="662"/>
      <c r="D75" s="663"/>
    </row>
    <row r="76" spans="1:4" ht="12.75" x14ac:dyDescent="0.2">
      <c r="A76" s="703"/>
      <c r="B76" s="671"/>
      <c r="C76" s="662"/>
      <c r="D76" s="663"/>
    </row>
    <row r="77" spans="1:4" ht="12.75" x14ac:dyDescent="0.2">
      <c r="A77" s="703"/>
      <c r="B77" s="671"/>
      <c r="C77" s="662"/>
      <c r="D77" s="663"/>
    </row>
    <row r="78" spans="1:4" ht="12.75" x14ac:dyDescent="0.2">
      <c r="A78" s="703"/>
      <c r="B78" s="671"/>
      <c r="C78" s="662"/>
      <c r="D78" s="663"/>
    </row>
    <row r="79" spans="1:4" ht="12.75" x14ac:dyDescent="0.2">
      <c r="A79" s="703"/>
      <c r="B79" s="671"/>
      <c r="C79" s="662"/>
      <c r="D79" s="663"/>
    </row>
    <row r="80" spans="1:4" ht="12.75" x14ac:dyDescent="0.2">
      <c r="A80" s="703"/>
      <c r="B80" s="671"/>
      <c r="C80" s="662"/>
      <c r="D80" s="663"/>
    </row>
    <row r="81" spans="1:5" ht="13.5" thickBot="1" x14ac:dyDescent="0.25">
      <c r="A81" s="703"/>
      <c r="B81" s="672"/>
      <c r="C81" s="695"/>
      <c r="D81" s="696"/>
      <c r="E81" s="268"/>
    </row>
    <row r="82" spans="1:5" ht="13.5" thickBot="1" x14ac:dyDescent="0.25">
      <c r="A82" s="704"/>
      <c r="B82" s="28" t="s">
        <v>20</v>
      </c>
      <c r="C82" s="693"/>
      <c r="D82" s="694"/>
      <c r="E82" s="268"/>
    </row>
    <row r="83" spans="1:5" ht="13.5" thickBot="1" x14ac:dyDescent="0.25">
      <c r="A83" s="683" t="s">
        <v>21</v>
      </c>
      <c r="B83" s="28" t="s">
        <v>22</v>
      </c>
      <c r="C83" s="693"/>
      <c r="D83" s="694"/>
      <c r="E83" s="268"/>
    </row>
    <row r="84" spans="1:5" ht="13.5" thickBot="1" x14ac:dyDescent="0.25">
      <c r="A84" s="684"/>
      <c r="B84" s="28" t="s">
        <v>23</v>
      </c>
      <c r="C84" s="693"/>
      <c r="D84" s="694"/>
      <c r="E84" s="268"/>
    </row>
    <row r="85" spans="1:5" ht="13.5" thickBot="1" x14ac:dyDescent="0.25">
      <c r="A85" s="684"/>
      <c r="B85" s="28" t="s">
        <v>24</v>
      </c>
      <c r="C85" s="693"/>
      <c r="D85" s="694"/>
      <c r="E85" s="268"/>
    </row>
    <row r="86" spans="1:5" ht="13.5" thickBot="1" x14ac:dyDescent="0.25">
      <c r="A86" s="684"/>
      <c r="B86" s="28" t="s">
        <v>25</v>
      </c>
      <c r="C86" s="693"/>
      <c r="D86" s="694"/>
      <c r="E86" s="268"/>
    </row>
    <row r="87" spans="1:5" ht="13.5" thickBot="1" x14ac:dyDescent="0.25">
      <c r="A87" s="685"/>
      <c r="B87" s="28" t="s">
        <v>26</v>
      </c>
      <c r="C87" s="693"/>
      <c r="D87" s="694"/>
      <c r="E87" s="268"/>
    </row>
    <row r="88" spans="1:5" ht="27.75" customHeight="1" thickBot="1" x14ac:dyDescent="0.25">
      <c r="A88" s="702" t="s">
        <v>27</v>
      </c>
      <c r="B88" s="28" t="s">
        <v>28</v>
      </c>
      <c r="C88" s="693"/>
      <c r="D88" s="694"/>
      <c r="E88" s="268"/>
    </row>
    <row r="89" spans="1:5" ht="27.75" customHeight="1" thickBot="1" x14ac:dyDescent="0.25">
      <c r="A89" s="704"/>
      <c r="B89" s="28" t="s">
        <v>29</v>
      </c>
      <c r="C89" s="693"/>
      <c r="D89" s="694"/>
      <c r="E89" s="268"/>
    </row>
    <row r="90" spans="1:5" s="9" customFormat="1" ht="15.95" thickBot="1" x14ac:dyDescent="0.4">
      <c r="A90" s="26"/>
      <c r="B90" s="300"/>
      <c r="C90" s="300"/>
      <c r="D90" s="300"/>
      <c r="E90" s="301"/>
    </row>
    <row r="91" spans="1:5" ht="21.75" customHeight="1" thickBot="1" x14ac:dyDescent="0.25">
      <c r="A91" s="690" t="s">
        <v>30</v>
      </c>
      <c r="B91" s="691"/>
      <c r="C91" s="691"/>
      <c r="D91" s="692"/>
      <c r="E91" s="268"/>
    </row>
    <row r="92" spans="1:5" s="8" customFormat="1" ht="13.5" thickBot="1" x14ac:dyDescent="0.25">
      <c r="A92" s="727" t="s">
        <v>31</v>
      </c>
      <c r="B92" s="728"/>
      <c r="C92" s="693" t="s">
        <v>32</v>
      </c>
      <c r="D92" s="694"/>
      <c r="E92" s="233"/>
    </row>
    <row r="93" spans="1:5" s="8" customFormat="1" ht="13.5" thickBot="1" x14ac:dyDescent="0.35">
      <c r="A93" s="722" t="str">
        <f>IF(C92="Yes","   Specify existing weekday transit trips in the corridor","")</f>
        <v/>
      </c>
      <c r="B93" s="723"/>
      <c r="C93" s="733"/>
      <c r="D93" s="734"/>
      <c r="E93" s="233" t="str">
        <f>IF(E92="To confirm that project qualifies, specify existing weekday transit trips below","and enter the capital cost and 5309 amount in the Finance template","")</f>
        <v/>
      </c>
    </row>
    <row r="94" spans="1:5" s="8" customFormat="1" ht="13.5" thickBot="1" x14ac:dyDescent="0.3">
      <c r="A94" s="92" t="s">
        <v>33</v>
      </c>
      <c r="B94" s="286"/>
      <c r="C94" s="286"/>
      <c r="D94" s="292"/>
      <c r="E94" s="299"/>
    </row>
    <row r="95" spans="1:5" s="8" customFormat="1" ht="27.75" customHeight="1" thickBot="1" x14ac:dyDescent="0.35">
      <c r="A95" s="185" t="s">
        <v>34</v>
      </c>
      <c r="B95" s="186" t="s">
        <v>35</v>
      </c>
      <c r="C95" s="186" t="str">
        <f>IF(C92&lt;&gt;"Yes","Horizon","")</f>
        <v>Horizon</v>
      </c>
      <c r="D95" s="292" t="str">
        <f>IF(C92&lt;&gt;"Yes","Exact Horizon Year"&amp;CHAR(10)&amp;"(e.g., 2045)","")</f>
        <v>Exact Horizon Year
(e.g., 2045)</v>
      </c>
      <c r="E95" s="299"/>
    </row>
    <row r="96" spans="1:5" s="8" customFormat="1" ht="13.5" thickBot="1" x14ac:dyDescent="0.25">
      <c r="A96" s="302"/>
      <c r="B96" s="303"/>
      <c r="C96" s="303" t="s">
        <v>32</v>
      </c>
      <c r="D96" s="304"/>
      <c r="E96" s="299"/>
    </row>
    <row r="97" spans="1:4" s="8" customFormat="1" ht="13.5" thickBot="1" x14ac:dyDescent="0.25">
      <c r="A97" s="702" t="s">
        <v>36</v>
      </c>
      <c r="B97" s="28" t="s">
        <v>447</v>
      </c>
      <c r="C97" s="724">
        <f>+Finance!B4</f>
        <v>0</v>
      </c>
      <c r="D97" s="725"/>
    </row>
    <row r="98" spans="1:4" s="8" customFormat="1" ht="13.5" thickBot="1" x14ac:dyDescent="0.25">
      <c r="A98" s="704"/>
      <c r="B98" s="28" t="s">
        <v>37</v>
      </c>
      <c r="C98" s="724">
        <f>+Finance!E4</f>
        <v>0</v>
      </c>
      <c r="D98" s="725"/>
    </row>
    <row r="99" spans="1:4" s="8" customFormat="1" ht="13.5" thickBot="1" x14ac:dyDescent="0.25">
      <c r="A99" s="702" t="s">
        <v>38</v>
      </c>
      <c r="B99" s="29" t="s">
        <v>39</v>
      </c>
      <c r="C99" s="93" t="s">
        <v>35</v>
      </c>
      <c r="D99" s="291" t="s">
        <v>40</v>
      </c>
    </row>
    <row r="100" spans="1:4" s="8" customFormat="1" ht="12.75" x14ac:dyDescent="0.2">
      <c r="A100" s="703"/>
      <c r="B100" s="30" t="s">
        <v>41</v>
      </c>
      <c r="C100" s="305"/>
      <c r="D100" s="306"/>
    </row>
    <row r="101" spans="1:4" s="8" customFormat="1" ht="12.75" x14ac:dyDescent="0.2">
      <c r="A101" s="703"/>
      <c r="B101" s="30" t="s">
        <v>42</v>
      </c>
      <c r="C101" s="307"/>
      <c r="D101" s="308"/>
    </row>
    <row r="102" spans="1:4" s="8" customFormat="1" ht="12.75" x14ac:dyDescent="0.2">
      <c r="A102" s="703"/>
      <c r="B102" s="30" t="s">
        <v>43</v>
      </c>
      <c r="C102" s="307"/>
      <c r="D102" s="308"/>
    </row>
    <row r="103" spans="1:4" s="8" customFormat="1" ht="13.5" thickBot="1" x14ac:dyDescent="0.25">
      <c r="A103" s="703"/>
      <c r="B103" s="31" t="s">
        <v>44</v>
      </c>
      <c r="C103" s="309"/>
      <c r="D103" s="310"/>
    </row>
    <row r="104" spans="1:4" s="8" customFormat="1" ht="13.5" thickBot="1" x14ac:dyDescent="0.25">
      <c r="A104" s="703"/>
      <c r="B104" s="29" t="s">
        <v>45</v>
      </c>
      <c r="C104" s="93" t="s">
        <v>35</v>
      </c>
      <c r="D104" s="93" t="s">
        <v>40</v>
      </c>
    </row>
    <row r="105" spans="1:4" s="8" customFormat="1" ht="12.75" x14ac:dyDescent="0.2">
      <c r="A105" s="703"/>
      <c r="B105" s="30" t="s">
        <v>46</v>
      </c>
      <c r="C105" s="307"/>
      <c r="D105" s="311"/>
    </row>
    <row r="106" spans="1:4" s="8" customFormat="1" ht="13.5" thickBot="1" x14ac:dyDescent="0.25">
      <c r="A106" s="704"/>
      <c r="B106" s="31" t="s">
        <v>44</v>
      </c>
      <c r="C106" s="309"/>
      <c r="D106" s="310"/>
    </row>
    <row r="107" spans="1:4" s="8" customFormat="1" ht="13.5" thickBot="1" x14ac:dyDescent="0.3">
      <c r="A107" s="700" t="str">
        <f>IF(C92&lt;&gt;"Yes","Type of Model Used for Travel Forecasts","")</f>
        <v>Type of Model Used for Travel Forecasts</v>
      </c>
      <c r="B107" s="701"/>
      <c r="C107" s="717" t="s">
        <v>47</v>
      </c>
      <c r="D107" s="718"/>
    </row>
    <row r="108" spans="1:4" s="8" customFormat="1" ht="14.45" thickBot="1" x14ac:dyDescent="0.3">
      <c r="A108" s="700" t="str">
        <f>IF(C92&lt;&gt;"Yes","Fare Policy Assumptions Used in Travel Forecasts [footnote 1]","")</f>
        <v>Fare Policy Assumptions Used in Travel Forecasts [footnote 1]</v>
      </c>
      <c r="B108" s="726"/>
      <c r="C108" s="715"/>
      <c r="D108" s="716"/>
    </row>
    <row r="109" spans="1:4" s="8" customFormat="1" ht="27.75" customHeight="1" thickBot="1" x14ac:dyDescent="0.35">
      <c r="A109" s="713" t="s">
        <v>48</v>
      </c>
      <c r="B109" s="714"/>
      <c r="C109" s="715"/>
      <c r="D109" s="716"/>
    </row>
    <row r="110" spans="1:4" s="8" customFormat="1" ht="13.5" thickBot="1" x14ac:dyDescent="0.25">
      <c r="A110" s="683" t="s">
        <v>49</v>
      </c>
      <c r="B110" s="697" t="s">
        <v>50</v>
      </c>
      <c r="C110" s="698"/>
      <c r="D110" s="699"/>
    </row>
    <row r="111" spans="1:4" s="8" customFormat="1" ht="13.5" thickBot="1" x14ac:dyDescent="0.25">
      <c r="A111" s="684"/>
      <c r="B111" s="687" t="s">
        <v>51</v>
      </c>
      <c r="C111" s="688"/>
      <c r="D111" s="689"/>
    </row>
    <row r="112" spans="1:4" s="8" customFormat="1" ht="12.75" x14ac:dyDescent="0.2">
      <c r="A112" s="684"/>
      <c r="B112" s="720" t="s">
        <v>52</v>
      </c>
      <c r="C112" s="721"/>
      <c r="D112" s="307" t="s">
        <v>32</v>
      </c>
    </row>
    <row r="113" spans="1:4" s="8" customFormat="1" ht="12.75" x14ac:dyDescent="0.2">
      <c r="A113" s="684"/>
      <c r="B113" s="681" t="s">
        <v>53</v>
      </c>
      <c r="C113" s="682"/>
      <c r="D113" s="148"/>
    </row>
    <row r="114" spans="1:4" s="8" customFormat="1" ht="12.75" x14ac:dyDescent="0.2">
      <c r="A114" s="684"/>
      <c r="B114" s="686" t="str">
        <f>IF(D112="Environmental Impact Statement (EIS)","Notice of Intent",IF(D112="Environmental Assessment (EA)","Finding of No Significant Impact (FONSI)",IF(D112="Categorical Exclusion (CE)","Receipt of CE","(Select NEPA class of action above)")))</f>
        <v>(Select NEPA class of action above)</v>
      </c>
      <c r="C114" s="682"/>
      <c r="D114" s="148"/>
    </row>
    <row r="115" spans="1:4" s="8" customFormat="1" ht="12.75" x14ac:dyDescent="0.2">
      <c r="A115" s="684"/>
      <c r="B115" s="681" t="str">
        <f>IF(D112="Environmental Impact Statement (EIS)","Publication of DEIS","")</f>
        <v/>
      </c>
      <c r="C115" s="682"/>
      <c r="D115" s="148"/>
    </row>
    <row r="116" spans="1:4" s="8" customFormat="1" ht="12.75" x14ac:dyDescent="0.2">
      <c r="A116" s="684"/>
      <c r="B116" s="681" t="str">
        <f>IF(D112="Environmental Impact Statement (EIS)","Publication of FEIS","")</f>
        <v/>
      </c>
      <c r="C116" s="682"/>
      <c r="D116" s="148"/>
    </row>
    <row r="117" spans="1:4" s="8" customFormat="1" ht="12.75" x14ac:dyDescent="0.2">
      <c r="A117" s="684"/>
      <c r="B117" s="681" t="str">
        <f>IF(D112="Environmental Impact Statement (EIS)","Record of Decision","")</f>
        <v/>
      </c>
      <c r="C117" s="682"/>
      <c r="D117" s="148"/>
    </row>
    <row r="118" spans="1:4" s="8" customFormat="1" ht="12.75" x14ac:dyDescent="0.2">
      <c r="A118" s="684"/>
      <c r="B118" s="681" t="s">
        <v>54</v>
      </c>
      <c r="C118" s="682"/>
      <c r="D118" s="148"/>
    </row>
    <row r="119" spans="1:4" s="8" customFormat="1" ht="12.75" x14ac:dyDescent="0.2">
      <c r="A119" s="684"/>
      <c r="B119" s="681" t="s">
        <v>55</v>
      </c>
      <c r="C119" s="682"/>
      <c r="D119" s="148"/>
    </row>
    <row r="120" spans="1:4" s="8" customFormat="1" ht="12.75" x14ac:dyDescent="0.2">
      <c r="A120" s="684"/>
      <c r="B120" s="681" t="s">
        <v>56</v>
      </c>
      <c r="C120" s="682"/>
      <c r="D120" s="148"/>
    </row>
    <row r="121" spans="1:4" s="8" customFormat="1" ht="12.75" x14ac:dyDescent="0.2">
      <c r="A121" s="684"/>
      <c r="B121" s="681" t="s">
        <v>57</v>
      </c>
      <c r="C121" s="682"/>
      <c r="D121" s="148"/>
    </row>
    <row r="122" spans="1:4" s="8" customFormat="1" ht="13.5" thickBot="1" x14ac:dyDescent="0.25">
      <c r="A122" s="685"/>
      <c r="B122" s="679" t="s">
        <v>58</v>
      </c>
      <c r="C122" s="680"/>
      <c r="D122" s="149"/>
    </row>
    <row r="123" spans="1:4" s="8" customFormat="1" ht="13.5" thickBot="1" x14ac:dyDescent="0.3">
      <c r="A123" s="285" t="s">
        <v>59</v>
      </c>
      <c r="B123" s="286"/>
      <c r="C123" s="286"/>
      <c r="D123" s="287"/>
    </row>
    <row r="124" spans="1:4" s="8" customFormat="1" ht="12.75" x14ac:dyDescent="0.2">
      <c r="A124" s="675" t="s">
        <v>60</v>
      </c>
      <c r="B124" s="32" t="s">
        <v>3</v>
      </c>
      <c r="C124" s="668"/>
      <c r="D124" s="669"/>
    </row>
    <row r="125" spans="1:4" s="8" customFormat="1" ht="12.75" x14ac:dyDescent="0.2">
      <c r="A125" s="676"/>
      <c r="B125" s="33" t="s">
        <v>5</v>
      </c>
      <c r="C125" s="662"/>
      <c r="D125" s="663"/>
    </row>
    <row r="126" spans="1:4" s="8" customFormat="1" ht="12.75" x14ac:dyDescent="0.2">
      <c r="A126" s="676"/>
      <c r="B126" s="33" t="s">
        <v>61</v>
      </c>
      <c r="C126" s="662"/>
      <c r="D126" s="663"/>
    </row>
    <row r="127" spans="1:4" s="8" customFormat="1" ht="12.75" x14ac:dyDescent="0.2">
      <c r="A127" s="676"/>
      <c r="B127" s="33" t="s">
        <v>62</v>
      </c>
      <c r="C127" s="662"/>
      <c r="D127" s="663"/>
    </row>
    <row r="128" spans="1:4" s="8" customFormat="1" ht="13.5" thickBot="1" x14ac:dyDescent="0.25">
      <c r="A128" s="677"/>
      <c r="B128" s="34" t="s">
        <v>8</v>
      </c>
      <c r="C128" s="664"/>
      <c r="D128" s="665"/>
    </row>
    <row r="129" spans="1:4" s="8" customFormat="1" ht="12.75" x14ac:dyDescent="0.2">
      <c r="A129" s="675" t="s">
        <v>63</v>
      </c>
      <c r="B129" s="35" t="s">
        <v>3</v>
      </c>
      <c r="C129" s="668"/>
      <c r="D129" s="669"/>
    </row>
    <row r="130" spans="1:4" s="8" customFormat="1" ht="12.75" x14ac:dyDescent="0.2">
      <c r="A130" s="676"/>
      <c r="B130" s="33" t="s">
        <v>5</v>
      </c>
      <c r="C130" s="662"/>
      <c r="D130" s="663"/>
    </row>
    <row r="131" spans="1:4" s="8" customFormat="1" ht="12.75" x14ac:dyDescent="0.2">
      <c r="A131" s="676"/>
      <c r="B131" s="33" t="s">
        <v>61</v>
      </c>
      <c r="C131" s="662"/>
      <c r="D131" s="663"/>
    </row>
    <row r="132" spans="1:4" s="8" customFormat="1" ht="12.75" x14ac:dyDescent="0.2">
      <c r="A132" s="676"/>
      <c r="B132" s="33" t="s">
        <v>62</v>
      </c>
      <c r="C132" s="662"/>
      <c r="D132" s="663"/>
    </row>
    <row r="133" spans="1:4" s="8" customFormat="1" ht="13.5" thickBot="1" x14ac:dyDescent="0.25">
      <c r="A133" s="677"/>
      <c r="B133" s="34" t="s">
        <v>8</v>
      </c>
      <c r="C133" s="664"/>
      <c r="D133" s="665"/>
    </row>
    <row r="134" spans="1:4" s="8" customFormat="1" ht="12.75" x14ac:dyDescent="0.2">
      <c r="A134" s="678" t="s">
        <v>64</v>
      </c>
      <c r="B134" s="35" t="s">
        <v>3</v>
      </c>
      <c r="C134" s="668"/>
      <c r="D134" s="669"/>
    </row>
    <row r="135" spans="1:4" s="8" customFormat="1" ht="12.75" x14ac:dyDescent="0.2">
      <c r="A135" s="676"/>
      <c r="B135" s="33" t="s">
        <v>5</v>
      </c>
      <c r="C135" s="662"/>
      <c r="D135" s="663"/>
    </row>
    <row r="136" spans="1:4" s="8" customFormat="1" ht="12.75" x14ac:dyDescent="0.2">
      <c r="A136" s="676"/>
      <c r="B136" s="33" t="s">
        <v>61</v>
      </c>
      <c r="C136" s="662"/>
      <c r="D136" s="663"/>
    </row>
    <row r="137" spans="1:4" s="8" customFormat="1" ht="12.75" x14ac:dyDescent="0.2">
      <c r="A137" s="676"/>
      <c r="B137" s="33" t="s">
        <v>62</v>
      </c>
      <c r="C137" s="662"/>
      <c r="D137" s="663"/>
    </row>
    <row r="138" spans="1:4" s="8" customFormat="1" ht="13.5" thickBot="1" x14ac:dyDescent="0.25">
      <c r="A138" s="677"/>
      <c r="B138" s="34" t="s">
        <v>8</v>
      </c>
      <c r="C138" s="664"/>
      <c r="D138" s="665"/>
    </row>
    <row r="139" spans="1:4" s="8" customFormat="1" ht="25.5" customHeight="1" x14ac:dyDescent="0.25">
      <c r="A139" s="731" t="s">
        <v>65</v>
      </c>
      <c r="B139" s="732"/>
      <c r="C139" s="732"/>
      <c r="D139" s="732"/>
    </row>
    <row r="140" spans="1:4" s="9" customFormat="1" ht="12.95" thickBot="1" x14ac:dyDescent="0.3">
      <c r="A140" s="312"/>
      <c r="B140" s="312"/>
      <c r="C140" s="312"/>
      <c r="D140" s="312"/>
    </row>
    <row r="141" spans="1:4" ht="18.75" customHeight="1" thickBot="1" x14ac:dyDescent="0.25">
      <c r="A141" s="690" t="s">
        <v>66</v>
      </c>
      <c r="B141" s="691"/>
      <c r="C141" s="691"/>
      <c r="D141" s="692"/>
    </row>
    <row r="142" spans="1:4" s="8" customFormat="1" ht="12.75" x14ac:dyDescent="0.2">
      <c r="A142" s="678" t="s">
        <v>67</v>
      </c>
      <c r="B142" s="35" t="s">
        <v>3</v>
      </c>
      <c r="C142" s="668"/>
      <c r="D142" s="669"/>
    </row>
    <row r="143" spans="1:4" s="8" customFormat="1" ht="12.75" x14ac:dyDescent="0.2">
      <c r="A143" s="729"/>
      <c r="B143" s="33" t="s">
        <v>5</v>
      </c>
      <c r="C143" s="662"/>
      <c r="D143" s="663"/>
    </row>
    <row r="144" spans="1:4" s="8" customFormat="1" ht="12.75" x14ac:dyDescent="0.2">
      <c r="A144" s="729"/>
      <c r="B144" s="33" t="s">
        <v>61</v>
      </c>
      <c r="C144" s="662"/>
      <c r="D144" s="663"/>
    </row>
    <row r="145" spans="1:4" s="8" customFormat="1" ht="12.75" x14ac:dyDescent="0.2">
      <c r="A145" s="729"/>
      <c r="B145" s="33" t="s">
        <v>62</v>
      </c>
      <c r="C145" s="662"/>
      <c r="D145" s="663"/>
    </row>
    <row r="146" spans="1:4" s="8" customFormat="1" ht="13.5" thickBot="1" x14ac:dyDescent="0.25">
      <c r="A146" s="730"/>
      <c r="B146" s="36" t="s">
        <v>8</v>
      </c>
      <c r="C146" s="664"/>
      <c r="D146" s="665"/>
    </row>
    <row r="147" spans="1:4" s="8" customFormat="1" ht="12.95" x14ac:dyDescent="0.25">
      <c r="A147" s="284" t="s">
        <v>68</v>
      </c>
      <c r="B147" s="32" t="s">
        <v>3</v>
      </c>
      <c r="C147" s="668"/>
      <c r="D147" s="669"/>
    </row>
    <row r="148" spans="1:4" s="8" customFormat="1" ht="12.95" x14ac:dyDescent="0.25">
      <c r="A148" s="283" t="s">
        <v>69</v>
      </c>
      <c r="B148" s="33" t="s">
        <v>5</v>
      </c>
      <c r="C148" s="662"/>
      <c r="D148" s="663"/>
    </row>
    <row r="149" spans="1:4" s="8" customFormat="1" ht="12.95" x14ac:dyDescent="0.25">
      <c r="A149" s="313"/>
      <c r="B149" s="33" t="s">
        <v>61</v>
      </c>
      <c r="C149" s="662"/>
      <c r="D149" s="663"/>
    </row>
    <row r="150" spans="1:4" s="8" customFormat="1" ht="12.95" x14ac:dyDescent="0.25">
      <c r="A150" s="313"/>
      <c r="B150" s="33" t="s">
        <v>62</v>
      </c>
      <c r="C150" s="662"/>
      <c r="D150" s="663"/>
    </row>
    <row r="151" spans="1:4" s="8" customFormat="1" ht="13.5" thickBot="1" x14ac:dyDescent="0.3">
      <c r="A151" s="314"/>
      <c r="B151" s="34" t="s">
        <v>8</v>
      </c>
      <c r="C151" s="664"/>
      <c r="D151" s="665"/>
    </row>
    <row r="152" spans="1:4" ht="12.95" x14ac:dyDescent="0.2">
      <c r="A152" s="284" t="s">
        <v>70</v>
      </c>
      <c r="B152" s="32" t="s">
        <v>3</v>
      </c>
      <c r="C152" s="668"/>
      <c r="D152" s="669"/>
    </row>
    <row r="153" spans="1:4" ht="12.95" x14ac:dyDescent="0.2">
      <c r="A153" s="288" t="s">
        <v>71</v>
      </c>
      <c r="B153" s="33" t="s">
        <v>5</v>
      </c>
      <c r="C153" s="662"/>
      <c r="D153" s="663"/>
    </row>
    <row r="154" spans="1:4" ht="12.95" x14ac:dyDescent="0.2">
      <c r="A154" s="283" t="s">
        <v>72</v>
      </c>
      <c r="B154" s="33" t="s">
        <v>61</v>
      </c>
      <c r="C154" s="662"/>
      <c r="D154" s="663"/>
    </row>
    <row r="155" spans="1:4" ht="12.95" x14ac:dyDescent="0.2">
      <c r="A155" s="313"/>
      <c r="B155" s="33" t="s">
        <v>62</v>
      </c>
      <c r="C155" s="662"/>
      <c r="D155" s="663"/>
    </row>
    <row r="156" spans="1:4" ht="13.5" thickBot="1" x14ac:dyDescent="0.25">
      <c r="A156" s="314"/>
      <c r="B156" s="34" t="s">
        <v>8</v>
      </c>
      <c r="C156" s="664"/>
      <c r="D156" s="665"/>
    </row>
    <row r="157" spans="1:4" ht="12.95" x14ac:dyDescent="0.2">
      <c r="A157" s="288" t="s">
        <v>70</v>
      </c>
      <c r="B157" s="35" t="s">
        <v>3</v>
      </c>
      <c r="C157" s="668"/>
      <c r="D157" s="669"/>
    </row>
    <row r="158" spans="1:4" ht="12.95" x14ac:dyDescent="0.2">
      <c r="A158" s="283" t="s">
        <v>73</v>
      </c>
      <c r="B158" s="33" t="s">
        <v>5</v>
      </c>
      <c r="C158" s="662"/>
      <c r="D158" s="663"/>
    </row>
    <row r="159" spans="1:4" ht="12.95" x14ac:dyDescent="0.2">
      <c r="A159" s="313"/>
      <c r="B159" s="33" t="s">
        <v>61</v>
      </c>
      <c r="C159" s="662"/>
      <c r="D159" s="663"/>
    </row>
    <row r="160" spans="1:4" ht="12.95" x14ac:dyDescent="0.2">
      <c r="A160" s="313"/>
      <c r="B160" s="33" t="s">
        <v>62</v>
      </c>
      <c r="C160" s="662"/>
      <c r="D160" s="663"/>
    </row>
    <row r="161" spans="1:4" ht="13.5" thickBot="1" x14ac:dyDescent="0.25">
      <c r="A161" s="314"/>
      <c r="B161" s="34" t="s">
        <v>8</v>
      </c>
      <c r="C161" s="664"/>
      <c r="D161" s="665"/>
    </row>
    <row r="162" spans="1:4" ht="12.95" x14ac:dyDescent="0.2">
      <c r="A162" s="288" t="s">
        <v>70</v>
      </c>
      <c r="B162" s="35" t="s">
        <v>3</v>
      </c>
      <c r="C162" s="668"/>
      <c r="D162" s="669"/>
    </row>
    <row r="163" spans="1:4" ht="12.95" x14ac:dyDescent="0.2">
      <c r="A163" s="283" t="s">
        <v>74</v>
      </c>
      <c r="B163" s="33" t="s">
        <v>5</v>
      </c>
      <c r="C163" s="662"/>
      <c r="D163" s="663"/>
    </row>
    <row r="164" spans="1:4" ht="12.95" x14ac:dyDescent="0.2">
      <c r="A164" s="313"/>
      <c r="B164" s="33" t="s">
        <v>61</v>
      </c>
      <c r="C164" s="662"/>
      <c r="D164" s="663"/>
    </row>
    <row r="165" spans="1:4" ht="12.95" x14ac:dyDescent="0.2">
      <c r="A165" s="313"/>
      <c r="B165" s="33" t="s">
        <v>62</v>
      </c>
      <c r="C165" s="662"/>
      <c r="D165" s="663"/>
    </row>
    <row r="166" spans="1:4" ht="13.5" thickBot="1" x14ac:dyDescent="0.25">
      <c r="A166" s="314"/>
      <c r="B166" s="34" t="s">
        <v>8</v>
      </c>
      <c r="C166" s="664"/>
      <c r="D166" s="665"/>
    </row>
    <row r="167" spans="1:4" ht="12.95" x14ac:dyDescent="0.2">
      <c r="A167" s="288" t="s">
        <v>70</v>
      </c>
      <c r="B167" s="35" t="s">
        <v>3</v>
      </c>
      <c r="C167" s="668"/>
      <c r="D167" s="669"/>
    </row>
    <row r="168" spans="1:4" ht="12.95" x14ac:dyDescent="0.2">
      <c r="A168" s="283" t="s">
        <v>75</v>
      </c>
      <c r="B168" s="33" t="s">
        <v>5</v>
      </c>
      <c r="C168" s="662"/>
      <c r="D168" s="663"/>
    </row>
    <row r="169" spans="1:4" ht="12.95" x14ac:dyDescent="0.2">
      <c r="A169" s="313"/>
      <c r="B169" s="33" t="s">
        <v>61</v>
      </c>
      <c r="C169" s="662"/>
      <c r="D169" s="663"/>
    </row>
    <row r="170" spans="1:4" ht="12.95" x14ac:dyDescent="0.2">
      <c r="A170" s="313"/>
      <c r="B170" s="33" t="s">
        <v>62</v>
      </c>
      <c r="C170" s="662"/>
      <c r="D170" s="663"/>
    </row>
    <row r="171" spans="1:4" ht="13.5" thickBot="1" x14ac:dyDescent="0.25">
      <c r="A171" s="314"/>
      <c r="B171" s="34" t="s">
        <v>8</v>
      </c>
      <c r="C171" s="664"/>
      <c r="D171" s="665"/>
    </row>
    <row r="172" spans="1:4" ht="13.5" thickBot="1" x14ac:dyDescent="0.25">
      <c r="A172" s="37" t="s">
        <v>76</v>
      </c>
      <c r="B172" s="38"/>
      <c r="C172" s="666"/>
      <c r="D172" s="667"/>
    </row>
    <row r="173" spans="1:4" ht="12.75" x14ac:dyDescent="0.2">
      <c r="A173" s="675" t="s">
        <v>77</v>
      </c>
      <c r="B173" s="32" t="s">
        <v>3</v>
      </c>
      <c r="C173" s="668"/>
      <c r="D173" s="669"/>
    </row>
    <row r="174" spans="1:4" ht="12.75" x14ac:dyDescent="0.2">
      <c r="A174" s="676"/>
      <c r="B174" s="33" t="s">
        <v>5</v>
      </c>
      <c r="C174" s="662"/>
      <c r="D174" s="663"/>
    </row>
    <row r="175" spans="1:4" ht="12.75" x14ac:dyDescent="0.2">
      <c r="A175" s="676"/>
      <c r="B175" s="33" t="s">
        <v>61</v>
      </c>
      <c r="C175" s="662"/>
      <c r="D175" s="663"/>
    </row>
    <row r="176" spans="1:4" ht="12.75" x14ac:dyDescent="0.2">
      <c r="A176" s="676"/>
      <c r="B176" s="33" t="s">
        <v>62</v>
      </c>
      <c r="C176" s="662"/>
      <c r="D176" s="663"/>
    </row>
    <row r="177" spans="1:4" ht="13.5" thickBot="1" x14ac:dyDescent="0.25">
      <c r="A177" s="677"/>
      <c r="B177" s="34" t="s">
        <v>8</v>
      </c>
      <c r="C177" s="664"/>
      <c r="D177" s="665"/>
    </row>
    <row r="178" spans="1:4" ht="12.75" x14ac:dyDescent="0.2">
      <c r="A178" s="675" t="s">
        <v>78</v>
      </c>
      <c r="B178" s="35" t="s">
        <v>3</v>
      </c>
      <c r="C178" s="668"/>
      <c r="D178" s="669"/>
    </row>
    <row r="179" spans="1:4" ht="12.75" x14ac:dyDescent="0.2">
      <c r="A179" s="676"/>
      <c r="B179" s="33" t="s">
        <v>5</v>
      </c>
      <c r="C179" s="662"/>
      <c r="D179" s="663"/>
    </row>
    <row r="180" spans="1:4" ht="12.75" x14ac:dyDescent="0.2">
      <c r="A180" s="676"/>
      <c r="B180" s="33" t="s">
        <v>61</v>
      </c>
      <c r="C180" s="662"/>
      <c r="D180" s="663"/>
    </row>
    <row r="181" spans="1:4" ht="12.75" x14ac:dyDescent="0.2">
      <c r="A181" s="676"/>
      <c r="B181" s="33" t="s">
        <v>62</v>
      </c>
      <c r="C181" s="662"/>
      <c r="D181" s="663"/>
    </row>
    <row r="182" spans="1:4" ht="13.5" thickBot="1" x14ac:dyDescent="0.25">
      <c r="A182" s="677"/>
      <c r="B182" s="34" t="s">
        <v>8</v>
      </c>
      <c r="C182" s="664"/>
      <c r="D182" s="665"/>
    </row>
    <row r="183" spans="1:4" ht="12.75" x14ac:dyDescent="0.2">
      <c r="A183" s="678" t="s">
        <v>79</v>
      </c>
      <c r="B183" s="35" t="s">
        <v>3</v>
      </c>
      <c r="C183" s="668"/>
      <c r="D183" s="669"/>
    </row>
    <row r="184" spans="1:4" ht="12.75" x14ac:dyDescent="0.2">
      <c r="A184" s="676"/>
      <c r="B184" s="33" t="s">
        <v>5</v>
      </c>
      <c r="C184" s="662"/>
      <c r="D184" s="663"/>
    </row>
    <row r="185" spans="1:4" ht="12.75" x14ac:dyDescent="0.2">
      <c r="A185" s="676"/>
      <c r="B185" s="33" t="s">
        <v>61</v>
      </c>
      <c r="C185" s="662"/>
      <c r="D185" s="663"/>
    </row>
    <row r="186" spans="1:4" ht="12.75" x14ac:dyDescent="0.2">
      <c r="A186" s="676"/>
      <c r="B186" s="33" t="s">
        <v>62</v>
      </c>
      <c r="C186" s="662"/>
      <c r="D186" s="663"/>
    </row>
    <row r="187" spans="1:4" ht="13.5" thickBot="1" x14ac:dyDescent="0.25">
      <c r="A187" s="677"/>
      <c r="B187" s="34" t="s">
        <v>8</v>
      </c>
      <c r="C187" s="664"/>
      <c r="D187" s="665"/>
    </row>
    <row r="188" spans="1:4" ht="12.75" x14ac:dyDescent="0.2">
      <c r="A188" s="678" t="s">
        <v>80</v>
      </c>
      <c r="B188" s="35" t="s">
        <v>3</v>
      </c>
      <c r="C188" s="668"/>
      <c r="D188" s="669"/>
    </row>
    <row r="189" spans="1:4" ht="12.75" x14ac:dyDescent="0.2">
      <c r="A189" s="676"/>
      <c r="B189" s="33" t="s">
        <v>5</v>
      </c>
      <c r="C189" s="662"/>
      <c r="D189" s="663"/>
    </row>
    <row r="190" spans="1:4" ht="12.75" x14ac:dyDescent="0.2">
      <c r="A190" s="676"/>
      <c r="B190" s="33" t="s">
        <v>61</v>
      </c>
      <c r="C190" s="662"/>
      <c r="D190" s="663"/>
    </row>
    <row r="191" spans="1:4" ht="12.75" x14ac:dyDescent="0.2">
      <c r="A191" s="676"/>
      <c r="B191" s="33" t="s">
        <v>62</v>
      </c>
      <c r="C191" s="662"/>
      <c r="D191" s="663"/>
    </row>
    <row r="192" spans="1:4" ht="13.5" thickBot="1" x14ac:dyDescent="0.25">
      <c r="A192" s="677"/>
      <c r="B192" s="34" t="s">
        <v>8</v>
      </c>
      <c r="C192" s="664"/>
      <c r="D192" s="665"/>
    </row>
    <row r="193" spans="1:4" x14ac:dyDescent="0.2">
      <c r="A193" s="301"/>
      <c r="B193" s="268"/>
      <c r="C193" s="268"/>
      <c r="D193" s="268"/>
    </row>
    <row r="194" spans="1:4" s="8" customFormat="1" ht="26.25" customHeight="1" x14ac:dyDescent="0.2">
      <c r="A194" s="299"/>
      <c r="B194" s="299"/>
      <c r="C194" s="299"/>
      <c r="D194" s="299"/>
    </row>
    <row r="195" spans="1:4" ht="12.75" x14ac:dyDescent="0.2">
      <c r="A195" s="315"/>
      <c r="B195" s="268"/>
      <c r="C195" s="268"/>
      <c r="D195" s="268"/>
    </row>
  </sheetData>
  <sheetProtection algorithmName="SHA-512" hashValue="D5BLr6JcUh/QsZF5nFJmY74FlY31dqjsErlaApS6tVNlTlABssYDY8m9/pAwKuLpT68nHo0hvoEhbHKmHwuztg==" saltValue="dAGjmQWDLnRzdZ8PbC6zhA==" spinCount="100000" sheet="1" formatCells="0" formatColumns="0" formatRows="0" insertColumns="0" insertRows="0" insertHyperlinks="0" selectLockedCells="1"/>
  <customSheetViews>
    <customSheetView guid="{AB5399CE-BEB7-40AA-A66C-46449E135DF8}" showGridLines="0" topLeftCell="A61">
      <selection activeCell="B93" sqref="B93"/>
      <rowBreaks count="3" manualBreakCount="3">
        <brk id="46" max="16383" man="1"/>
        <brk id="90" max="16383" man="1"/>
        <brk id="151" max="16383" man="1"/>
      </rowBreaks>
      <pageMargins left="0" right="0" top="0" bottom="0" header="0" footer="0"/>
      <printOptions horizontalCentered="1"/>
      <pageSetup scale="84" fitToHeight="7" orientation="portrait" r:id="rId1"/>
      <headerFooter alignWithMargins="0"/>
    </customSheetView>
  </customSheetViews>
  <mergeCells count="205">
    <mergeCell ref="C166:D166"/>
    <mergeCell ref="C97:D97"/>
    <mergeCell ref="C98:D98"/>
    <mergeCell ref="C159:D159"/>
    <mergeCell ref="C161:D161"/>
    <mergeCell ref="A108:B108"/>
    <mergeCell ref="C108:D108"/>
    <mergeCell ref="A92:B92"/>
    <mergeCell ref="C92:D92"/>
    <mergeCell ref="A97:A98"/>
    <mergeCell ref="C164:D164"/>
    <mergeCell ref="C153:D153"/>
    <mergeCell ref="C142:D142"/>
    <mergeCell ref="C133:D133"/>
    <mergeCell ref="C132:D132"/>
    <mergeCell ref="C144:D144"/>
    <mergeCell ref="C143:D143"/>
    <mergeCell ref="A142:A146"/>
    <mergeCell ref="A139:D139"/>
    <mergeCell ref="C93:D93"/>
    <mergeCell ref="A91:D91"/>
    <mergeCell ref="C165:D165"/>
    <mergeCell ref="B112:C112"/>
    <mergeCell ref="C157:D157"/>
    <mergeCell ref="C160:D160"/>
    <mergeCell ref="B121:C121"/>
    <mergeCell ref="C135:D135"/>
    <mergeCell ref="C125:D125"/>
    <mergeCell ref="C134:D134"/>
    <mergeCell ref="C158:D158"/>
    <mergeCell ref="C131:D131"/>
    <mergeCell ref="C126:D126"/>
    <mergeCell ref="C148:D148"/>
    <mergeCell ref="C147:D147"/>
    <mergeCell ref="C146:D146"/>
    <mergeCell ref="C145:D145"/>
    <mergeCell ref="B120:C120"/>
    <mergeCell ref="B113:C113"/>
    <mergeCell ref="B119:C119"/>
    <mergeCell ref="C138:D138"/>
    <mergeCell ref="C154:D154"/>
    <mergeCell ref="C155:D155"/>
    <mergeCell ref="C156:D156"/>
    <mergeCell ref="A93:B93"/>
    <mergeCell ref="A16:A21"/>
    <mergeCell ref="A22:A27"/>
    <mergeCell ref="A28:A33"/>
    <mergeCell ref="C28:D28"/>
    <mergeCell ref="C30:D30"/>
    <mergeCell ref="C35:D35"/>
    <mergeCell ref="C32:D32"/>
    <mergeCell ref="C107:D107"/>
    <mergeCell ref="C51:D51"/>
    <mergeCell ref="C71:D71"/>
    <mergeCell ref="A99:A106"/>
    <mergeCell ref="C36:D36"/>
    <mergeCell ref="C37:D37"/>
    <mergeCell ref="C54:D54"/>
    <mergeCell ref="A47:D47"/>
    <mergeCell ref="C48:D48"/>
    <mergeCell ref="C42:D42"/>
    <mergeCell ref="C43:D43"/>
    <mergeCell ref="C31:D31"/>
    <mergeCell ref="C38:D38"/>
    <mergeCell ref="C73:D73"/>
    <mergeCell ref="C66:D66"/>
    <mergeCell ref="C49:D49"/>
    <mergeCell ref="C50:D50"/>
    <mergeCell ref="A88:A89"/>
    <mergeCell ref="A188:A192"/>
    <mergeCell ref="A183:A187"/>
    <mergeCell ref="C45:D45"/>
    <mergeCell ref="C130:D130"/>
    <mergeCell ref="A109:B109"/>
    <mergeCell ref="C109:D109"/>
    <mergeCell ref="C192:D192"/>
    <mergeCell ref="C191:D191"/>
    <mergeCell ref="C190:D190"/>
    <mergeCell ref="C189:D189"/>
    <mergeCell ref="C188:D188"/>
    <mergeCell ref="C152:D152"/>
    <mergeCell ref="C151:D151"/>
    <mergeCell ref="C150:D150"/>
    <mergeCell ref="C149:D149"/>
    <mergeCell ref="C167:D167"/>
    <mergeCell ref="C162:D162"/>
    <mergeCell ref="C163:D163"/>
    <mergeCell ref="C60:D60"/>
    <mergeCell ref="C81:D81"/>
    <mergeCell ref="C86:D86"/>
    <mergeCell ref="C61:D61"/>
    <mergeCell ref="C58:D58"/>
    <mergeCell ref="A1:D1"/>
    <mergeCell ref="A3:D3"/>
    <mergeCell ref="B2:D2"/>
    <mergeCell ref="C7:D7"/>
    <mergeCell ref="C4:D4"/>
    <mergeCell ref="A10:A15"/>
    <mergeCell ref="A4:A9"/>
    <mergeCell ref="C23:D23"/>
    <mergeCell ref="C24:D24"/>
    <mergeCell ref="C9:D9"/>
    <mergeCell ref="C10:D10"/>
    <mergeCell ref="C11:D11"/>
    <mergeCell ref="C5:D5"/>
    <mergeCell ref="C6:D6"/>
    <mergeCell ref="C8:D8"/>
    <mergeCell ref="C17:D17"/>
    <mergeCell ref="C20:D20"/>
    <mergeCell ref="C21:D21"/>
    <mergeCell ref="C13:D13"/>
    <mergeCell ref="C18:D18"/>
    <mergeCell ref="C12:D12"/>
    <mergeCell ref="C19:D19"/>
    <mergeCell ref="C22:D22"/>
    <mergeCell ref="C14:D14"/>
    <mergeCell ref="C15:D15"/>
    <mergeCell ref="C26:D26"/>
    <mergeCell ref="C27:D27"/>
    <mergeCell ref="C29:D29"/>
    <mergeCell ref="C16:D16"/>
    <mergeCell ref="C25:D25"/>
    <mergeCell ref="B110:D110"/>
    <mergeCell ref="C83:D83"/>
    <mergeCell ref="C87:D87"/>
    <mergeCell ref="A107:B107"/>
    <mergeCell ref="C84:D84"/>
    <mergeCell ref="C85:D85"/>
    <mergeCell ref="A83:A87"/>
    <mergeCell ref="C79:D79"/>
    <mergeCell ref="C88:D88"/>
    <mergeCell ref="C89:D89"/>
    <mergeCell ref="C33:D33"/>
    <mergeCell ref="C67:D67"/>
    <mergeCell ref="C34:D34"/>
    <mergeCell ref="C62:D62"/>
    <mergeCell ref="C56:D56"/>
    <mergeCell ref="A34:A39"/>
    <mergeCell ref="A48:A82"/>
    <mergeCell ref="C39:D39"/>
    <mergeCell ref="C65:D65"/>
    <mergeCell ref="C44:D44"/>
    <mergeCell ref="C82:D82"/>
    <mergeCell ref="C69:D69"/>
    <mergeCell ref="C68:D68"/>
    <mergeCell ref="C70:D70"/>
    <mergeCell ref="B51:B70"/>
    <mergeCell ref="C63:D63"/>
    <mergeCell ref="C64:D64"/>
    <mergeCell ref="C52:D52"/>
    <mergeCell ref="B71:B81"/>
    <mergeCell ref="C57:D57"/>
    <mergeCell ref="C59:D59"/>
    <mergeCell ref="C72:D72"/>
    <mergeCell ref="C53:D53"/>
    <mergeCell ref="C55:D55"/>
    <mergeCell ref="C77:D77"/>
    <mergeCell ref="C75:D75"/>
    <mergeCell ref="C76:D76"/>
    <mergeCell ref="C78:D78"/>
    <mergeCell ref="C80:D80"/>
    <mergeCell ref="A40:A45"/>
    <mergeCell ref="C40:D40"/>
    <mergeCell ref="C41:D41"/>
    <mergeCell ref="A173:A177"/>
    <mergeCell ref="A178:A182"/>
    <mergeCell ref="A129:A133"/>
    <mergeCell ref="A134:A138"/>
    <mergeCell ref="C74:D74"/>
    <mergeCell ref="B122:C122"/>
    <mergeCell ref="B118:C118"/>
    <mergeCell ref="A124:A128"/>
    <mergeCell ref="C124:D124"/>
    <mergeCell ref="A110:A122"/>
    <mergeCell ref="B116:C116"/>
    <mergeCell ref="B117:C117"/>
    <mergeCell ref="C127:D127"/>
    <mergeCell ref="C128:D128"/>
    <mergeCell ref="B114:C114"/>
    <mergeCell ref="B115:C115"/>
    <mergeCell ref="B111:D111"/>
    <mergeCell ref="C137:D137"/>
    <mergeCell ref="C136:D136"/>
    <mergeCell ref="C129:D129"/>
    <mergeCell ref="A141:D141"/>
    <mergeCell ref="C186:D186"/>
    <mergeCell ref="C187:D187"/>
    <mergeCell ref="C168:D168"/>
    <mergeCell ref="C175:D175"/>
    <mergeCell ref="C176:D176"/>
    <mergeCell ref="C169:D169"/>
    <mergeCell ref="C170:D170"/>
    <mergeCell ref="C171:D171"/>
    <mergeCell ref="C172:D172"/>
    <mergeCell ref="C183:D183"/>
    <mergeCell ref="C184:D184"/>
    <mergeCell ref="C185:D185"/>
    <mergeCell ref="C181:D181"/>
    <mergeCell ref="C182:D182"/>
    <mergeCell ref="C177:D177"/>
    <mergeCell ref="C178:D178"/>
    <mergeCell ref="C179:D179"/>
    <mergeCell ref="C180:D180"/>
    <mergeCell ref="C173:D173"/>
    <mergeCell ref="C174:D174"/>
  </mergeCells>
  <phoneticPr fontId="0" type="noConversion"/>
  <conditionalFormatting sqref="C93:D93">
    <cfRule type="expression" dxfId="13" priority="1">
      <formula>AND(C92="Yes")</formula>
    </cfRule>
  </conditionalFormatting>
  <conditionalFormatting sqref="C96:D96 C107:D108">
    <cfRule type="expression" dxfId="12" priority="5">
      <formula>AND($C$92="Yes")</formula>
    </cfRule>
  </conditionalFormatting>
  <conditionalFormatting sqref="D100:D103 D105:D106">
    <cfRule type="expression" dxfId="11" priority="8">
      <formula>OR(#REF!="(Select…)",#REF!="n/a")</formula>
    </cfRule>
  </conditionalFormatting>
  <conditionalFormatting sqref="D115:D117">
    <cfRule type="expression" dxfId="10" priority="29">
      <formula>AND(D$112&lt;&gt;"Environmental Impact Statement (EIS)")</formula>
    </cfRule>
  </conditionalFormatting>
  <dataValidations count="4">
    <dataValidation type="list" allowBlank="1" showInputMessage="1" showErrorMessage="1" error="Please select a value from the drop-down list.  (Do not change the list -- otherwise formulas in this workbook will not work correctly.)" sqref="D112" xr:uid="{00000000-0002-0000-0000-000000000000}">
      <formula1>"(Select…),Categorical Exclusion (CE),Environmental Assessment (EA), Environmental Impact Statement (EIS)"</formula1>
    </dataValidation>
    <dataValidation type="list" allowBlank="1" showInputMessage="1" showErrorMessage="1" error="Please select a value from the drop-down list.  (Do not change the list -- otherwise formulas in this workbook will not work correctly.)" sqref="C96" xr:uid="{00000000-0002-0000-0000-000001000000}">
      <formula1>"(Select…),None,10 Years,20 Years"</formula1>
    </dataValidation>
    <dataValidation type="list" allowBlank="1" showInputMessage="1" showErrorMessage="1" error="Please select a value from the drop-down list.  (Do not change the list -- otherwise formulas in this workbook will not work correctly.)" sqref="C107:D107" xr:uid="{00000000-0002-0000-0000-000002000000}">
      <formula1>"(Select...),Local model,FTA Simplified Trips on Projects (STOPS) model,Incremental data-driven method"</formula1>
    </dataValidation>
    <dataValidation type="list" allowBlank="1" showInputMessage="1" showErrorMessage="1" sqref="C92:D92" xr:uid="{00000000-0002-0000-0000-000003000000}">
      <formula1>"(Select…),Yes,No"</formula1>
    </dataValidation>
  </dataValidations>
  <printOptions horizontalCentered="1"/>
  <pageMargins left="0.75" right="0.75" top="1" bottom="1" header="0.5" footer="0.5"/>
  <pageSetup scale="63" fitToHeight="7" orientation="portrait" horizontalDpi="4294967293" verticalDpi="4294967293" r:id="rId2"/>
  <headerFooter alignWithMargins="0"/>
  <rowBreaks count="3" manualBreakCount="3">
    <brk id="46" max="16383" man="1"/>
    <brk id="90" max="16383" man="1"/>
    <brk id="140" max="16383" man="1"/>
  </rowBreaks>
  <ignoredErrors>
    <ignoredError sqref="B114 B115:C117" unlockedFormula="1"/>
  </ignoredErrors>
  <legacyDrawing r:id="rId3"/>
  <extLst>
    <ext xmlns:x14="http://schemas.microsoft.com/office/spreadsheetml/2009/9/main" uri="{78C0D931-6437-407d-A8EE-F0AAD7539E65}">
      <x14:conditionalFormattings>
        <x14:conditionalFormatting xmlns:xm="http://schemas.microsoft.com/office/excel/2006/main">
          <x14:cfRule type="expression" priority="3" id="{FAAFD886-A711-44CB-88C8-0D61ECCE22B5}">
            <xm:f>AND(Lookups!$K$20="No")</xm:f>
            <x14:dxf>
              <font>
                <color rgb="FFFF0000"/>
              </font>
            </x14:dxf>
          </x14:cfRule>
          <x14:cfRule type="expression" priority="4" id="{3B558E67-9E6A-42B3-8FBF-B66DC82D5E63}">
            <xm:f>AND(Lookups!$K$20="Yes")</xm:f>
            <x14:dxf>
              <font>
                <color rgb="FF00B050"/>
              </font>
            </x14:dxf>
          </x14:cfRule>
          <xm:sqref>E92:E93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72477-AAA5-4168-BB2C-F360365EDC7E}">
  <sheetPr codeName="Sheet2">
    <pageSetUpPr fitToPage="1"/>
  </sheetPr>
  <dimension ref="A1:Q42"/>
  <sheetViews>
    <sheetView showGridLines="0" topLeftCell="C11" zoomScaleNormal="100" zoomScaleSheetLayoutView="100" workbookViewId="0">
      <selection activeCell="D25" sqref="D25"/>
    </sheetView>
  </sheetViews>
  <sheetFormatPr defaultColWidth="9.25" defaultRowHeight="15" customHeight="1" x14ac:dyDescent="0.2"/>
  <cols>
    <col min="1" max="1" width="6.5" style="15" customWidth="1"/>
    <col min="2" max="2" width="23.25" style="16" customWidth="1"/>
    <col min="3" max="3" width="28.25" style="15" customWidth="1"/>
    <col min="4" max="8" width="13.5" style="15" customWidth="1"/>
    <col min="9" max="12" width="18.5" style="15" customWidth="1"/>
    <col min="13" max="14" width="16.5" style="15" customWidth="1"/>
    <col min="15" max="16" width="9.25" style="15"/>
    <col min="17" max="17" width="9.25" style="387"/>
    <col min="18" max="16384" width="9.25" style="15"/>
  </cols>
  <sheetData>
    <row r="1" spans="1:17" s="7" customFormat="1" ht="20.25" customHeight="1" thickBot="1" x14ac:dyDescent="0.25">
      <c r="A1" s="690" t="s">
        <v>81</v>
      </c>
      <c r="B1" s="691"/>
      <c r="C1" s="691"/>
      <c r="D1" s="691"/>
      <c r="E1" s="691"/>
      <c r="F1" s="691"/>
      <c r="G1" s="691"/>
      <c r="H1" s="691"/>
      <c r="I1" s="691"/>
      <c r="J1" s="691"/>
      <c r="K1" s="691"/>
      <c r="L1" s="691"/>
      <c r="M1" s="691"/>
      <c r="N1" s="692"/>
      <c r="O1" s="268"/>
      <c r="P1" s="268"/>
      <c r="Q1" s="268"/>
    </row>
    <row r="2" spans="1:17" s="10" customFormat="1" ht="16.5" thickBot="1" x14ac:dyDescent="0.3">
      <c r="A2" s="800" t="s">
        <v>0</v>
      </c>
      <c r="B2" s="801"/>
      <c r="C2" s="801"/>
      <c r="D2" s="800" t="str">
        <f>Finance!B2</f>
        <v/>
      </c>
      <c r="E2" s="801"/>
      <c r="F2" s="801"/>
      <c r="G2" s="801"/>
      <c r="H2" s="801"/>
      <c r="I2" s="801"/>
      <c r="J2" s="801"/>
      <c r="K2" s="801"/>
      <c r="L2" s="801"/>
      <c r="M2" s="801"/>
      <c r="N2" s="802"/>
    </row>
    <row r="3" spans="1:17" s="6" customFormat="1" ht="6" customHeight="1" x14ac:dyDescent="0.25">
      <c r="A3" s="294"/>
      <c r="B3" s="224"/>
      <c r="C3" s="224"/>
      <c r="D3" s="224"/>
      <c r="E3" s="224"/>
      <c r="F3" s="224"/>
      <c r="G3" s="224"/>
      <c r="H3" s="224"/>
      <c r="I3" s="224"/>
      <c r="J3" s="224"/>
      <c r="K3" s="224"/>
      <c r="L3" s="224"/>
      <c r="M3" s="224"/>
      <c r="N3" s="224"/>
    </row>
    <row r="4" spans="1:17" s="396" customFormat="1" ht="15" customHeight="1" x14ac:dyDescent="0.2">
      <c r="A4" s="803" t="str">
        <f>IF('Project Description'!$C$92="Yes","*** Travel forecasts are not required for projects that qualify for warrants.  Complete only the current year transit VMT section (for use in the Env. Ben. measure) below. ***","")</f>
        <v/>
      </c>
      <c r="B4" s="803"/>
      <c r="C4" s="803"/>
      <c r="D4" s="803"/>
      <c r="E4" s="803"/>
      <c r="F4" s="803"/>
      <c r="G4" s="803"/>
      <c r="H4" s="803"/>
      <c r="I4" s="803"/>
      <c r="J4" s="803"/>
      <c r="K4" s="803"/>
      <c r="L4" s="803"/>
      <c r="M4" s="803"/>
      <c r="N4" s="803"/>
      <c r="Q4" s="392"/>
    </row>
    <row r="5" spans="1:17" ht="6" customHeight="1" thickBot="1" x14ac:dyDescent="0.25">
      <c r="A5" s="39"/>
      <c r="B5" s="225"/>
      <c r="C5" s="225"/>
      <c r="D5" s="225"/>
      <c r="E5" s="225"/>
      <c r="F5" s="225"/>
      <c r="G5" s="225"/>
      <c r="H5" s="225"/>
      <c r="I5" s="225"/>
      <c r="J5" s="225"/>
      <c r="K5" s="225"/>
      <c r="L5" s="225"/>
      <c r="M5" s="225"/>
      <c r="N5" s="225"/>
    </row>
    <row r="6" spans="1:17" ht="16.5" thickBot="1" x14ac:dyDescent="0.3">
      <c r="A6" s="757" t="s">
        <v>82</v>
      </c>
      <c r="B6" s="758"/>
      <c r="C6" s="758"/>
      <c r="D6" s="758"/>
      <c r="E6" s="758"/>
      <c r="F6" s="758"/>
      <c r="G6" s="758"/>
      <c r="H6" s="758"/>
      <c r="I6" s="758"/>
      <c r="J6" s="758"/>
      <c r="K6" s="758"/>
      <c r="L6" s="758"/>
      <c r="M6" s="758"/>
      <c r="N6" s="759"/>
    </row>
    <row r="7" spans="1:17" ht="40.5" customHeight="1" x14ac:dyDescent="0.2">
      <c r="A7" s="760" t="s">
        <v>83</v>
      </c>
      <c r="B7" s="811" t="s">
        <v>84</v>
      </c>
      <c r="C7" s="806" t="s">
        <v>85</v>
      </c>
      <c r="D7" s="768" t="s">
        <v>86</v>
      </c>
      <c r="E7" s="770"/>
      <c r="F7" s="760" t="s">
        <v>87</v>
      </c>
      <c r="G7" s="768" t="s">
        <v>88</v>
      </c>
      <c r="H7" s="770"/>
      <c r="I7" s="804" t="s">
        <v>89</v>
      </c>
      <c r="J7" s="805"/>
      <c r="K7" s="805"/>
      <c r="L7" s="805"/>
      <c r="M7" s="805"/>
      <c r="N7" s="806"/>
    </row>
    <row r="8" spans="1:17" s="20" customFormat="1" ht="28.5" customHeight="1" thickBot="1" x14ac:dyDescent="0.25">
      <c r="A8" s="761"/>
      <c r="B8" s="812"/>
      <c r="C8" s="809"/>
      <c r="D8" s="41" t="str">
        <f>CONCATENATE("Current Year (",'Project Description'!A96,")")</f>
        <v>Current Year ()</v>
      </c>
      <c r="E8" s="42" t="str">
        <f>CONCATENATE("Horizon (",IF('Project Description'!$C$92="Yes","N/A",IF('Project Description'!C96="(Select…)","",'Project Description'!C96)),")")</f>
        <v>Horizon ()</v>
      </c>
      <c r="F8" s="771"/>
      <c r="G8" s="41" t="str">
        <f>D8</f>
        <v>Current Year ()</v>
      </c>
      <c r="H8" s="42" t="str">
        <f>E8</f>
        <v>Horizon ()</v>
      </c>
      <c r="I8" s="807"/>
      <c r="J8" s="808"/>
      <c r="K8" s="808"/>
      <c r="L8" s="808"/>
      <c r="M8" s="808"/>
      <c r="N8" s="809"/>
      <c r="Q8" s="388"/>
    </row>
    <row r="9" spans="1:17" ht="14.25" customHeight="1" x14ac:dyDescent="0.2">
      <c r="A9" s="43" t="s">
        <v>90</v>
      </c>
      <c r="B9" s="810" t="s">
        <v>91</v>
      </c>
      <c r="C9" s="435" t="s">
        <v>92</v>
      </c>
      <c r="D9" s="425"/>
      <c r="E9" s="426"/>
      <c r="F9" s="813"/>
      <c r="G9" s="44">
        <f>D9*F9</f>
        <v>0</v>
      </c>
      <c r="H9" s="45" t="str">
        <f>IF('Project Description'!$C$96="(Select…)","-",IF('Project Description'!$C$96="None","---",E9*F9))</f>
        <v>-</v>
      </c>
      <c r="I9" s="814" t="str">
        <f>IF('Project Description'!C107="(Select...)","(Linked from Type of Model Used for Travel Forecasts field of Project Description Template)",'Project Description'!C107)</f>
        <v>(Linked from Type of Model Used for Travel Forecasts field of Project Description Template)</v>
      </c>
      <c r="J9" s="815"/>
      <c r="K9" s="815"/>
      <c r="L9" s="815"/>
      <c r="M9" s="815"/>
      <c r="N9" s="816"/>
      <c r="P9" s="151"/>
    </row>
    <row r="10" spans="1:17" ht="14.25" customHeight="1" x14ac:dyDescent="0.2">
      <c r="A10" s="46" t="s">
        <v>93</v>
      </c>
      <c r="B10" s="795"/>
      <c r="C10" s="436" t="s">
        <v>94</v>
      </c>
      <c r="D10" s="427"/>
      <c r="E10" s="428"/>
      <c r="F10" s="774"/>
      <c r="G10" s="47">
        <f>D10*F9</f>
        <v>0</v>
      </c>
      <c r="H10" s="48" t="str">
        <f>IF(NOT(ISNUMBER(H9)),H9,E10*F9)</f>
        <v>-</v>
      </c>
      <c r="I10" s="817"/>
      <c r="J10" s="818"/>
      <c r="K10" s="818"/>
      <c r="L10" s="818"/>
      <c r="M10" s="818"/>
      <c r="N10" s="819"/>
    </row>
    <row r="11" spans="1:17" ht="14.25" customHeight="1" x14ac:dyDescent="0.2">
      <c r="A11" s="49" t="s">
        <v>95</v>
      </c>
      <c r="B11" s="795" t="s">
        <v>96</v>
      </c>
      <c r="C11" s="437" t="s">
        <v>92</v>
      </c>
      <c r="D11" s="429"/>
      <c r="E11" s="430"/>
      <c r="F11" s="796">
        <f>F9</f>
        <v>0</v>
      </c>
      <c r="G11" s="50">
        <f>D11*F11</f>
        <v>0</v>
      </c>
      <c r="H11" s="51" t="str">
        <f>IF(NOT(ISNUMBER(H9)),H9,E11*F11)</f>
        <v>-</v>
      </c>
      <c r="I11" s="797" t="str">
        <f>IF('Project Description'!C107="(Select...)","(Linked from Type of Model Used for Travel Forecasts field of Project Description Template)",'Project Description'!C107)</f>
        <v>(Linked from Type of Model Used for Travel Forecasts field of Project Description Template)</v>
      </c>
      <c r="J11" s="798"/>
      <c r="K11" s="798"/>
      <c r="L11" s="798"/>
      <c r="M11" s="798"/>
      <c r="N11" s="799"/>
    </row>
    <row r="12" spans="1:17" ht="14.25" customHeight="1" x14ac:dyDescent="0.2">
      <c r="A12" s="46" t="s">
        <v>97</v>
      </c>
      <c r="B12" s="795"/>
      <c r="C12" s="436" t="s">
        <v>94</v>
      </c>
      <c r="D12" s="427"/>
      <c r="E12" s="428"/>
      <c r="F12" s="796"/>
      <c r="G12" s="47">
        <f>D12*F11</f>
        <v>0</v>
      </c>
      <c r="H12" s="48" t="str">
        <f>IF(NOT(ISNUMBER(H9)),H9,E12*F11)</f>
        <v>-</v>
      </c>
      <c r="I12" s="797"/>
      <c r="J12" s="798"/>
      <c r="K12" s="798"/>
      <c r="L12" s="798"/>
      <c r="M12" s="798"/>
      <c r="N12" s="799"/>
    </row>
    <row r="13" spans="1:17" ht="14.25" customHeight="1" x14ac:dyDescent="0.2">
      <c r="A13" s="49" t="s">
        <v>98</v>
      </c>
      <c r="B13" s="772" t="s">
        <v>99</v>
      </c>
      <c r="C13" s="437" t="s">
        <v>92</v>
      </c>
      <c r="D13" s="403"/>
      <c r="E13" s="404"/>
      <c r="F13" s="774"/>
      <c r="G13" s="50">
        <f>D13*F13</f>
        <v>0</v>
      </c>
      <c r="H13" s="51" t="str">
        <f>IF(NOT(ISNUMBER(H9)),H9,E13*F13)</f>
        <v>-</v>
      </c>
      <c r="I13" s="792"/>
      <c r="J13" s="793"/>
      <c r="K13" s="793"/>
      <c r="L13" s="793"/>
      <c r="M13" s="793"/>
      <c r="N13" s="794"/>
    </row>
    <row r="14" spans="1:17" ht="14.25" customHeight="1" x14ac:dyDescent="0.2">
      <c r="A14" s="46" t="s">
        <v>100</v>
      </c>
      <c r="B14" s="772"/>
      <c r="C14" s="436" t="s">
        <v>94</v>
      </c>
      <c r="D14" s="401"/>
      <c r="E14" s="402"/>
      <c r="F14" s="774"/>
      <c r="G14" s="47">
        <f>D14*F13</f>
        <v>0</v>
      </c>
      <c r="H14" s="48" t="str">
        <f>IF(NOT(ISNUMBER(H9)),H9,E14*F13)</f>
        <v>-</v>
      </c>
      <c r="I14" s="792"/>
      <c r="J14" s="793"/>
      <c r="K14" s="793"/>
      <c r="L14" s="793"/>
      <c r="M14" s="793"/>
      <c r="N14" s="794"/>
    </row>
    <row r="15" spans="1:17" ht="14.25" customHeight="1" x14ac:dyDescent="0.2">
      <c r="A15" s="49" t="s">
        <v>101</v>
      </c>
      <c r="B15" s="772" t="s">
        <v>102</v>
      </c>
      <c r="C15" s="437" t="s">
        <v>92</v>
      </c>
      <c r="D15" s="403"/>
      <c r="E15" s="404"/>
      <c r="F15" s="774"/>
      <c r="G15" s="50">
        <f>D15*F15</f>
        <v>0</v>
      </c>
      <c r="H15" s="51" t="str">
        <f>IF(NOT(ISNUMBER(H9)),H9,E15*F15)</f>
        <v>-</v>
      </c>
      <c r="I15" s="792"/>
      <c r="J15" s="793"/>
      <c r="K15" s="793"/>
      <c r="L15" s="793"/>
      <c r="M15" s="793"/>
      <c r="N15" s="794"/>
    </row>
    <row r="16" spans="1:17" ht="14.25" customHeight="1" x14ac:dyDescent="0.2">
      <c r="A16" s="46" t="s">
        <v>103</v>
      </c>
      <c r="B16" s="772"/>
      <c r="C16" s="436" t="s">
        <v>94</v>
      </c>
      <c r="D16" s="401"/>
      <c r="E16" s="402"/>
      <c r="F16" s="774"/>
      <c r="G16" s="47">
        <f>D16*F15</f>
        <v>0</v>
      </c>
      <c r="H16" s="48" t="str">
        <f>IF(NOT(ISNUMBER(H9)),H9,E16*F15)</f>
        <v>-</v>
      </c>
      <c r="I16" s="792"/>
      <c r="J16" s="793"/>
      <c r="K16" s="793"/>
      <c r="L16" s="793"/>
      <c r="M16" s="793"/>
      <c r="N16" s="794"/>
    </row>
    <row r="17" spans="1:17" ht="14.25" customHeight="1" x14ac:dyDescent="0.2">
      <c r="A17" s="49" t="s">
        <v>104</v>
      </c>
      <c r="B17" s="772" t="s">
        <v>105</v>
      </c>
      <c r="C17" s="437" t="s">
        <v>92</v>
      </c>
      <c r="D17" s="403"/>
      <c r="E17" s="404"/>
      <c r="F17" s="774"/>
      <c r="G17" s="50">
        <f>D17*F17</f>
        <v>0</v>
      </c>
      <c r="H17" s="51" t="str">
        <f>IF(NOT(ISNUMBER(H9)),H9,E17*F17)</f>
        <v>-</v>
      </c>
      <c r="I17" s="792"/>
      <c r="J17" s="793"/>
      <c r="K17" s="793"/>
      <c r="L17" s="793"/>
      <c r="M17" s="793"/>
      <c r="N17" s="794"/>
    </row>
    <row r="18" spans="1:17" ht="14.25" customHeight="1" x14ac:dyDescent="0.2">
      <c r="A18" s="46" t="s">
        <v>106</v>
      </c>
      <c r="B18" s="772"/>
      <c r="C18" s="436" t="s">
        <v>94</v>
      </c>
      <c r="D18" s="401"/>
      <c r="E18" s="402"/>
      <c r="F18" s="774"/>
      <c r="G18" s="47">
        <f>D18*F17</f>
        <v>0</v>
      </c>
      <c r="H18" s="48" t="str">
        <f>IF(NOT(ISNUMBER(H9)),H9,E18*F17)</f>
        <v>-</v>
      </c>
      <c r="I18" s="792"/>
      <c r="J18" s="793"/>
      <c r="K18" s="793"/>
      <c r="L18" s="793"/>
      <c r="M18" s="793"/>
      <c r="N18" s="794"/>
    </row>
    <row r="19" spans="1:17" ht="14.25" customHeight="1" x14ac:dyDescent="0.2">
      <c r="A19" s="49" t="s">
        <v>107</v>
      </c>
      <c r="B19" s="772" t="s">
        <v>108</v>
      </c>
      <c r="C19" s="437" t="s">
        <v>92</v>
      </c>
      <c r="D19" s="403"/>
      <c r="E19" s="404"/>
      <c r="F19" s="774"/>
      <c r="G19" s="50">
        <f>D19*F19</f>
        <v>0</v>
      </c>
      <c r="H19" s="51" t="str">
        <f>IF(NOT(ISNUMBER(H9)),H9,E19*F19)</f>
        <v>-</v>
      </c>
      <c r="I19" s="776"/>
      <c r="J19" s="777"/>
      <c r="K19" s="777"/>
      <c r="L19" s="777"/>
      <c r="M19" s="777"/>
      <c r="N19" s="778"/>
    </row>
    <row r="20" spans="1:17" ht="14.25" customHeight="1" thickBot="1" x14ac:dyDescent="0.25">
      <c r="A20" s="52" t="s">
        <v>109</v>
      </c>
      <c r="B20" s="773"/>
      <c r="C20" s="438" t="s">
        <v>94</v>
      </c>
      <c r="D20" s="401"/>
      <c r="E20" s="402"/>
      <c r="F20" s="775"/>
      <c r="G20" s="53">
        <f>D20*F19</f>
        <v>0</v>
      </c>
      <c r="H20" s="54" t="str">
        <f>IF(NOT(ISNUMBER(H9)),H9,E20*F19)</f>
        <v>-</v>
      </c>
      <c r="I20" s="779"/>
      <c r="J20" s="780"/>
      <c r="K20" s="780"/>
      <c r="L20" s="780"/>
      <c r="M20" s="780"/>
      <c r="N20" s="781"/>
    </row>
    <row r="21" spans="1:17" ht="14.25" customHeight="1" x14ac:dyDescent="0.2">
      <c r="A21" s="43" t="s">
        <v>110</v>
      </c>
      <c r="B21" s="782" t="s">
        <v>111</v>
      </c>
      <c r="C21" s="435" t="s">
        <v>92</v>
      </c>
      <c r="D21" s="152" t="s">
        <v>112</v>
      </c>
      <c r="E21" s="153" t="s">
        <v>112</v>
      </c>
      <c r="F21" s="784" t="s">
        <v>112</v>
      </c>
      <c r="G21" s="44">
        <f>G9+G11+G13+G15+G17+G19</f>
        <v>0</v>
      </c>
      <c r="H21" s="45" t="str">
        <f>IF(NOT(ISNUMBER(H9)),H9,H9+H11+H13+H15+H17+H19)</f>
        <v>-</v>
      </c>
      <c r="I21" s="786" t="s">
        <v>112</v>
      </c>
      <c r="J21" s="787"/>
      <c r="K21" s="787"/>
      <c r="L21" s="787"/>
      <c r="M21" s="787"/>
      <c r="N21" s="788"/>
    </row>
    <row r="22" spans="1:17" ht="14.25" customHeight="1" thickBot="1" x14ac:dyDescent="0.25">
      <c r="A22" s="52" t="s">
        <v>113</v>
      </c>
      <c r="B22" s="783"/>
      <c r="C22" s="438" t="s">
        <v>94</v>
      </c>
      <c r="D22" s="154" t="s">
        <v>112</v>
      </c>
      <c r="E22" s="155" t="s">
        <v>112</v>
      </c>
      <c r="F22" s="785"/>
      <c r="G22" s="53">
        <f>G10+G12+G14+G16+G18+G20</f>
        <v>0</v>
      </c>
      <c r="H22" s="54" t="str">
        <f>IF(NOT(ISNUMBER(H9)),H9,H10+H12+H14+H16+H18+H20)</f>
        <v>-</v>
      </c>
      <c r="I22" s="789" t="s">
        <v>112</v>
      </c>
      <c r="J22" s="790"/>
      <c r="K22" s="790"/>
      <c r="L22" s="790"/>
      <c r="M22" s="790"/>
      <c r="N22" s="791"/>
    </row>
    <row r="23" spans="1:17" s="201" customFormat="1" ht="28.5" customHeight="1" thickBot="1" x14ac:dyDescent="0.25">
      <c r="A23" s="204" t="s">
        <v>114</v>
      </c>
      <c r="B23" s="746" t="s">
        <v>115</v>
      </c>
      <c r="C23" s="747"/>
      <c r="D23" s="196" t="s">
        <v>112</v>
      </c>
      <c r="E23" s="197" t="s">
        <v>112</v>
      </c>
      <c r="F23" s="198" t="s">
        <v>112</v>
      </c>
      <c r="G23" s="202">
        <f>G21+G22</f>
        <v>0</v>
      </c>
      <c r="H23" s="203" t="str">
        <f>IF(NOT(ISNUMBER(H9)),H9,H21+H22)</f>
        <v>-</v>
      </c>
      <c r="I23" s="748" t="s">
        <v>112</v>
      </c>
      <c r="J23" s="749"/>
      <c r="K23" s="749"/>
      <c r="L23" s="749"/>
      <c r="M23" s="749"/>
      <c r="N23" s="750"/>
      <c r="Q23" s="389"/>
    </row>
    <row r="24" spans="1:17" s="201" customFormat="1" ht="29.25" customHeight="1" thickBot="1" x14ac:dyDescent="0.25">
      <c r="A24" s="204" t="s">
        <v>116</v>
      </c>
      <c r="B24" s="746" t="s">
        <v>117</v>
      </c>
      <c r="C24" s="747"/>
      <c r="D24" s="405">
        <f>D9+D10+D11+D12</f>
        <v>0</v>
      </c>
      <c r="E24" s="406" t="str">
        <f>IF(NOT(ISNUMBER(E9)),"-",E9+E10+E11+E12)</f>
        <v>-</v>
      </c>
      <c r="F24" s="198"/>
      <c r="G24" s="199"/>
      <c r="H24" s="200"/>
      <c r="I24" s="748"/>
      <c r="J24" s="749"/>
      <c r="K24" s="749"/>
      <c r="L24" s="749"/>
      <c r="M24" s="749"/>
      <c r="N24" s="750"/>
      <c r="Q24" s="389"/>
    </row>
    <row r="25" spans="1:17" s="201" customFormat="1" ht="29.25" customHeight="1" thickBot="1" x14ac:dyDescent="0.25">
      <c r="A25" s="234">
        <v>9</v>
      </c>
      <c r="B25" s="755" t="s">
        <v>118</v>
      </c>
      <c r="C25" s="756"/>
      <c r="D25" s="431"/>
      <c r="E25" s="432"/>
      <c r="F25" s="393"/>
      <c r="G25" s="394"/>
      <c r="H25" s="394"/>
      <c r="I25" s="395"/>
      <c r="J25" s="378"/>
      <c r="K25" s="378"/>
      <c r="L25" s="378"/>
      <c r="M25" s="378"/>
      <c r="N25" s="379"/>
      <c r="Q25" s="389"/>
    </row>
    <row r="26" spans="1:17" ht="13.5" thickBot="1" x14ac:dyDescent="0.25">
      <c r="A26" s="39"/>
      <c r="B26" s="40"/>
      <c r="C26" s="39"/>
      <c r="D26" s="39"/>
      <c r="E26" s="39"/>
      <c r="F26" s="39"/>
      <c r="G26" s="39"/>
      <c r="H26" s="39"/>
      <c r="I26" s="39"/>
      <c r="J26" s="39"/>
      <c r="K26" s="39"/>
      <c r="L26" s="39"/>
      <c r="M26" s="39"/>
      <c r="N26" s="39"/>
    </row>
    <row r="27" spans="1:17" ht="16.5" thickBot="1" x14ac:dyDescent="0.3">
      <c r="A27" s="757" t="s">
        <v>119</v>
      </c>
      <c r="B27" s="758"/>
      <c r="C27" s="758"/>
      <c r="D27" s="758"/>
      <c r="E27" s="758"/>
      <c r="F27" s="758"/>
      <c r="G27" s="758"/>
      <c r="H27" s="758"/>
      <c r="I27" s="758"/>
      <c r="J27" s="758"/>
      <c r="K27" s="758"/>
      <c r="L27" s="758"/>
      <c r="M27" s="758"/>
      <c r="N27" s="759"/>
    </row>
    <row r="28" spans="1:17" ht="41.25" customHeight="1" x14ac:dyDescent="0.2">
      <c r="A28" s="760" t="s">
        <v>83</v>
      </c>
      <c r="B28" s="762" t="s">
        <v>120</v>
      </c>
      <c r="C28" s="763"/>
      <c r="D28" s="768" t="s">
        <v>121</v>
      </c>
      <c r="E28" s="769"/>
      <c r="F28" s="769"/>
      <c r="G28" s="770"/>
      <c r="H28" s="760" t="s">
        <v>87</v>
      </c>
      <c r="I28" s="768" t="s">
        <v>122</v>
      </c>
      <c r="J28" s="769"/>
      <c r="K28" s="769"/>
      <c r="L28" s="770"/>
      <c r="M28" s="768" t="s">
        <v>123</v>
      </c>
      <c r="N28" s="770"/>
    </row>
    <row r="29" spans="1:17" s="20" customFormat="1" ht="12.75" x14ac:dyDescent="0.2">
      <c r="A29" s="761"/>
      <c r="B29" s="764"/>
      <c r="C29" s="765"/>
      <c r="D29" s="740" t="str">
        <f>D8</f>
        <v>Current Year ()</v>
      </c>
      <c r="E29" s="741"/>
      <c r="F29" s="740" t="str">
        <f>E8</f>
        <v>Horizon ()</v>
      </c>
      <c r="G29" s="741"/>
      <c r="H29" s="761"/>
      <c r="I29" s="740" t="str">
        <f>D8</f>
        <v>Current Year ()</v>
      </c>
      <c r="J29" s="741"/>
      <c r="K29" s="740" t="str">
        <f>E8</f>
        <v>Horizon ()</v>
      </c>
      <c r="L29" s="741"/>
      <c r="M29" s="751" t="str">
        <f>D8</f>
        <v>Current Year ()</v>
      </c>
      <c r="N29" s="753" t="str">
        <f>E8</f>
        <v>Horizon ()</v>
      </c>
      <c r="Q29" s="388"/>
    </row>
    <row r="30" spans="1:17" s="20" customFormat="1" ht="13.5" thickBot="1" x14ac:dyDescent="0.25">
      <c r="A30" s="761"/>
      <c r="B30" s="766"/>
      <c r="C30" s="767"/>
      <c r="D30" s="55" t="s">
        <v>124</v>
      </c>
      <c r="E30" s="56" t="s">
        <v>125</v>
      </c>
      <c r="F30" s="55" t="s">
        <v>124</v>
      </c>
      <c r="G30" s="56" t="s">
        <v>125</v>
      </c>
      <c r="H30" s="771"/>
      <c r="I30" s="55" t="s">
        <v>124</v>
      </c>
      <c r="J30" s="56" t="s">
        <v>125</v>
      </c>
      <c r="K30" s="55" t="s">
        <v>124</v>
      </c>
      <c r="L30" s="56" t="s">
        <v>125</v>
      </c>
      <c r="M30" s="752"/>
      <c r="N30" s="754"/>
      <c r="Q30" s="388"/>
    </row>
    <row r="31" spans="1:17" s="19" customFormat="1" ht="13.5" thickBot="1" x14ac:dyDescent="0.25">
      <c r="A31" s="57">
        <v>10</v>
      </c>
      <c r="B31" s="742" t="s">
        <v>126</v>
      </c>
      <c r="C31" s="743"/>
      <c r="D31" s="433"/>
      <c r="E31" s="434"/>
      <c r="F31" s="433"/>
      <c r="G31" s="434"/>
      <c r="H31" s="400">
        <f>F9</f>
        <v>0</v>
      </c>
      <c r="I31" s="58">
        <f>D31*$H31</f>
        <v>0</v>
      </c>
      <c r="J31" s="59">
        <f t="shared" ref="J31" si="0">E31*$H31</f>
        <v>0</v>
      </c>
      <c r="K31" s="58" t="str">
        <f>IF(NOT(ISNUMBER(H9)),H9,F31*$H31)</f>
        <v>-</v>
      </c>
      <c r="L31" s="59" t="str">
        <f>IF(NOT(ISNUMBER(H9)),H9,G31*$H31)</f>
        <v>-</v>
      </c>
      <c r="M31" s="60">
        <f>J31-I31</f>
        <v>0</v>
      </c>
      <c r="N31" s="61" t="str">
        <f>IF(NOT(ISNUMBER(H9)),H9,L31-K31)</f>
        <v>-</v>
      </c>
      <c r="Q31" s="390"/>
    </row>
    <row r="32" spans="1:17" s="19" customFormat="1" ht="14.25" customHeight="1" x14ac:dyDescent="0.2">
      <c r="A32" s="62">
        <v>11</v>
      </c>
      <c r="B32" s="744" t="s">
        <v>127</v>
      </c>
      <c r="C32" s="745"/>
      <c r="D32" s="156" t="s">
        <v>112</v>
      </c>
      <c r="E32" s="157" t="s">
        <v>112</v>
      </c>
      <c r="F32" s="156" t="s">
        <v>112</v>
      </c>
      <c r="G32" s="157" t="s">
        <v>112</v>
      </c>
      <c r="H32" s="422" t="s">
        <v>112</v>
      </c>
      <c r="I32" s="71"/>
      <c r="J32" s="72"/>
      <c r="K32" s="71"/>
      <c r="L32" s="72"/>
      <c r="M32" s="63">
        <f t="shared" ref="M32:M40" si="1">J32-I32</f>
        <v>0</v>
      </c>
      <c r="N32" s="64" t="str">
        <f>IF(NOT(ISNUMBER(H9)),H9,L32-K32)</f>
        <v>-</v>
      </c>
      <c r="Q32" s="390"/>
    </row>
    <row r="33" spans="1:17" s="19" customFormat="1" ht="14.25" customHeight="1" x14ac:dyDescent="0.2">
      <c r="A33" s="65">
        <v>12</v>
      </c>
      <c r="B33" s="735" t="s">
        <v>128</v>
      </c>
      <c r="C33" s="736"/>
      <c r="D33" s="158" t="s">
        <v>112</v>
      </c>
      <c r="E33" s="159" t="s">
        <v>112</v>
      </c>
      <c r="F33" s="158" t="s">
        <v>112</v>
      </c>
      <c r="G33" s="159" t="s">
        <v>112</v>
      </c>
      <c r="H33" s="423" t="s">
        <v>112</v>
      </c>
      <c r="I33" s="73"/>
      <c r="J33" s="74"/>
      <c r="K33" s="73"/>
      <c r="L33" s="74"/>
      <c r="M33" s="66">
        <f t="shared" si="1"/>
        <v>0</v>
      </c>
      <c r="N33" s="67" t="str">
        <f>IF(NOT(ISNUMBER(H9)),H9,L33-K33)</f>
        <v>-</v>
      </c>
      <c r="Q33" s="390"/>
    </row>
    <row r="34" spans="1:17" s="19" customFormat="1" ht="14.25" customHeight="1" x14ac:dyDescent="0.2">
      <c r="A34" s="65">
        <v>13</v>
      </c>
      <c r="B34" s="735" t="s">
        <v>129</v>
      </c>
      <c r="C34" s="736"/>
      <c r="D34" s="158" t="s">
        <v>112</v>
      </c>
      <c r="E34" s="159" t="s">
        <v>112</v>
      </c>
      <c r="F34" s="158" t="s">
        <v>112</v>
      </c>
      <c r="G34" s="159" t="s">
        <v>112</v>
      </c>
      <c r="H34" s="423" t="s">
        <v>112</v>
      </c>
      <c r="I34" s="73"/>
      <c r="J34" s="74"/>
      <c r="K34" s="73"/>
      <c r="L34" s="74"/>
      <c r="M34" s="66">
        <f t="shared" si="1"/>
        <v>0</v>
      </c>
      <c r="N34" s="67" t="str">
        <f>IF(NOT(ISNUMBER(H9)),H9,L34-K34)</f>
        <v>-</v>
      </c>
      <c r="Q34" s="399"/>
    </row>
    <row r="35" spans="1:17" s="19" customFormat="1" ht="14.25" customHeight="1" x14ac:dyDescent="0.2">
      <c r="A35" s="65">
        <v>14</v>
      </c>
      <c r="B35" s="735" t="s">
        <v>130</v>
      </c>
      <c r="C35" s="736"/>
      <c r="D35" s="158" t="s">
        <v>112</v>
      </c>
      <c r="E35" s="159" t="s">
        <v>112</v>
      </c>
      <c r="F35" s="158" t="s">
        <v>112</v>
      </c>
      <c r="G35" s="159" t="s">
        <v>112</v>
      </c>
      <c r="H35" s="423" t="s">
        <v>112</v>
      </c>
      <c r="I35" s="73"/>
      <c r="J35" s="74"/>
      <c r="K35" s="73"/>
      <c r="L35" s="74"/>
      <c r="M35" s="66">
        <f t="shared" si="1"/>
        <v>0</v>
      </c>
      <c r="N35" s="67" t="str">
        <f>IF(NOT(ISNUMBER(H9)),H9,L35-K35)</f>
        <v>-</v>
      </c>
      <c r="Q35" s="399"/>
    </row>
    <row r="36" spans="1:17" s="19" customFormat="1" ht="14.25" customHeight="1" x14ac:dyDescent="0.2">
      <c r="A36" s="65">
        <v>15</v>
      </c>
      <c r="B36" s="735" t="s">
        <v>131</v>
      </c>
      <c r="C36" s="736"/>
      <c r="D36" s="158" t="s">
        <v>112</v>
      </c>
      <c r="E36" s="159" t="s">
        <v>112</v>
      </c>
      <c r="F36" s="158" t="s">
        <v>112</v>
      </c>
      <c r="G36" s="159" t="s">
        <v>112</v>
      </c>
      <c r="H36" s="423" t="s">
        <v>112</v>
      </c>
      <c r="I36" s="73"/>
      <c r="J36" s="74"/>
      <c r="K36" s="73"/>
      <c r="L36" s="74"/>
      <c r="M36" s="66">
        <f t="shared" si="1"/>
        <v>0</v>
      </c>
      <c r="N36" s="67" t="str">
        <f>IF(NOT(ISNUMBER(H9)),H9,L36-K36)</f>
        <v>-</v>
      </c>
      <c r="Q36" s="399"/>
    </row>
    <row r="37" spans="1:17" s="19" customFormat="1" ht="14.25" customHeight="1" x14ac:dyDescent="0.2">
      <c r="A37" s="65">
        <v>16</v>
      </c>
      <c r="B37" s="735" t="s">
        <v>132</v>
      </c>
      <c r="C37" s="736"/>
      <c r="D37" s="158" t="s">
        <v>112</v>
      </c>
      <c r="E37" s="159" t="s">
        <v>112</v>
      </c>
      <c r="F37" s="158" t="s">
        <v>112</v>
      </c>
      <c r="G37" s="159" t="s">
        <v>112</v>
      </c>
      <c r="H37" s="423" t="s">
        <v>112</v>
      </c>
      <c r="I37" s="73"/>
      <c r="J37" s="74"/>
      <c r="K37" s="73"/>
      <c r="L37" s="74"/>
      <c r="M37" s="66">
        <f t="shared" si="1"/>
        <v>0</v>
      </c>
      <c r="N37" s="67" t="str">
        <f>IF(NOT(ISNUMBER(H9)),H9,L37-K37)</f>
        <v>-</v>
      </c>
      <c r="Q37" s="390"/>
    </row>
    <row r="38" spans="1:17" s="19" customFormat="1" ht="14.25" customHeight="1" x14ac:dyDescent="0.2">
      <c r="A38" s="65">
        <v>17</v>
      </c>
      <c r="B38" s="735" t="s">
        <v>133</v>
      </c>
      <c r="C38" s="736"/>
      <c r="D38" s="158" t="s">
        <v>112</v>
      </c>
      <c r="E38" s="159" t="s">
        <v>112</v>
      </c>
      <c r="F38" s="158" t="s">
        <v>112</v>
      </c>
      <c r="G38" s="159" t="s">
        <v>112</v>
      </c>
      <c r="H38" s="423" t="s">
        <v>112</v>
      </c>
      <c r="I38" s="73"/>
      <c r="J38" s="74"/>
      <c r="K38" s="73"/>
      <c r="L38" s="74"/>
      <c r="M38" s="66">
        <f t="shared" si="1"/>
        <v>0</v>
      </c>
      <c r="N38" s="67" t="str">
        <f>IF(NOT(ISNUMBER(H9)),H9,L38-K38)</f>
        <v>-</v>
      </c>
      <c r="Q38" s="390"/>
    </row>
    <row r="39" spans="1:17" s="19" customFormat="1" ht="14.25" customHeight="1" x14ac:dyDescent="0.2">
      <c r="A39" s="65">
        <v>18</v>
      </c>
      <c r="B39" s="735" t="s">
        <v>134</v>
      </c>
      <c r="C39" s="736"/>
      <c r="D39" s="158" t="s">
        <v>112</v>
      </c>
      <c r="E39" s="159" t="s">
        <v>112</v>
      </c>
      <c r="F39" s="158" t="s">
        <v>112</v>
      </c>
      <c r="G39" s="159" t="s">
        <v>112</v>
      </c>
      <c r="H39" s="423" t="s">
        <v>112</v>
      </c>
      <c r="I39" s="73"/>
      <c r="J39" s="74"/>
      <c r="K39" s="73"/>
      <c r="L39" s="74"/>
      <c r="M39" s="66">
        <f t="shared" si="1"/>
        <v>0</v>
      </c>
      <c r="N39" s="67" t="str">
        <f>IF(NOT(ISNUMBER(H9)),H9,L39-K39)</f>
        <v>-</v>
      </c>
      <c r="Q39" s="390"/>
    </row>
    <row r="40" spans="1:17" s="19" customFormat="1" ht="14.25" customHeight="1" thickBot="1" x14ac:dyDescent="0.25">
      <c r="A40" s="68">
        <v>19</v>
      </c>
      <c r="B40" s="737" t="s">
        <v>135</v>
      </c>
      <c r="C40" s="738"/>
      <c r="D40" s="160" t="s">
        <v>112</v>
      </c>
      <c r="E40" s="161" t="s">
        <v>112</v>
      </c>
      <c r="F40" s="160" t="s">
        <v>112</v>
      </c>
      <c r="G40" s="161" t="s">
        <v>112</v>
      </c>
      <c r="H40" s="424" t="s">
        <v>112</v>
      </c>
      <c r="I40" s="75"/>
      <c r="J40" s="76"/>
      <c r="K40" s="75"/>
      <c r="L40" s="76"/>
      <c r="M40" s="69">
        <f t="shared" si="1"/>
        <v>0</v>
      </c>
      <c r="N40" s="70" t="str">
        <f>IF(NOT(ISNUMBER(H9)),H9,L40-K40)</f>
        <v>-</v>
      </c>
      <c r="Q40" s="390"/>
    </row>
    <row r="41" spans="1:17" s="17" customFormat="1" ht="15" customHeight="1" x14ac:dyDescent="0.2">
      <c r="B41" s="18"/>
      <c r="Q41" s="391"/>
    </row>
    <row r="42" spans="1:17" ht="27.75" customHeight="1" x14ac:dyDescent="0.2">
      <c r="B42" s="739" t="s">
        <v>136</v>
      </c>
      <c r="C42" s="739"/>
      <c r="D42" s="739"/>
      <c r="E42" s="739"/>
      <c r="F42" s="739"/>
      <c r="G42" s="739"/>
      <c r="H42" s="739"/>
      <c r="I42" s="739"/>
      <c r="J42" s="739"/>
      <c r="K42" s="739"/>
      <c r="L42" s="739"/>
      <c r="M42" s="739"/>
      <c r="N42" s="739"/>
    </row>
  </sheetData>
  <sheetProtection algorithmName="SHA-512" hashValue="wH+X7TpwrIRV/0v6cvKyC5py8u72gDUCqfkEUyXJvsCkmI6dIh5z1BeVLtVW728+fZSVA6dL2RHDbjTXKbYeCA==" saltValue="9pRh2+ykDf0zA4UGIzi+FA==" spinCount="100000" sheet="1" formatCells="0" formatColumns="0" formatRows="0" insertColumns="0" insertRows="0" insertHyperlinks="0" selectLockedCells="1"/>
  <mergeCells count="63">
    <mergeCell ref="G7:H7"/>
    <mergeCell ref="I7:N8"/>
    <mergeCell ref="B9:B10"/>
    <mergeCell ref="A7:A8"/>
    <mergeCell ref="B7:B8"/>
    <mergeCell ref="C7:C8"/>
    <mergeCell ref="D7:E7"/>
    <mergeCell ref="F7:F8"/>
    <mergeCell ref="F9:F10"/>
    <mergeCell ref="I9:N10"/>
    <mergeCell ref="A1:N1"/>
    <mergeCell ref="A2:C2"/>
    <mergeCell ref="D2:N2"/>
    <mergeCell ref="A4:N4"/>
    <mergeCell ref="A6:N6"/>
    <mergeCell ref="B13:B14"/>
    <mergeCell ref="F13:F14"/>
    <mergeCell ref="I13:N14"/>
    <mergeCell ref="B11:B12"/>
    <mergeCell ref="F11:F12"/>
    <mergeCell ref="I11:N12"/>
    <mergeCell ref="B15:B16"/>
    <mergeCell ref="F15:F16"/>
    <mergeCell ref="I15:N16"/>
    <mergeCell ref="B17:B18"/>
    <mergeCell ref="F17:F18"/>
    <mergeCell ref="I17:N18"/>
    <mergeCell ref="B19:B20"/>
    <mergeCell ref="F19:F20"/>
    <mergeCell ref="I19:N20"/>
    <mergeCell ref="B21:B22"/>
    <mergeCell ref="F21:F22"/>
    <mergeCell ref="I21:N21"/>
    <mergeCell ref="I22:N22"/>
    <mergeCell ref="B23:C23"/>
    <mergeCell ref="I23:N23"/>
    <mergeCell ref="M29:M30"/>
    <mergeCell ref="N29:N30"/>
    <mergeCell ref="B24:C24"/>
    <mergeCell ref="I24:N24"/>
    <mergeCell ref="B25:C25"/>
    <mergeCell ref="A27:N27"/>
    <mergeCell ref="A28:A30"/>
    <mergeCell ref="B28:C30"/>
    <mergeCell ref="D28:G28"/>
    <mergeCell ref="H28:H30"/>
    <mergeCell ref="I28:L28"/>
    <mergeCell ref="M28:N28"/>
    <mergeCell ref="B36:C36"/>
    <mergeCell ref="D29:E29"/>
    <mergeCell ref="F29:G29"/>
    <mergeCell ref="I29:J29"/>
    <mergeCell ref="K29:L29"/>
    <mergeCell ref="B31:C31"/>
    <mergeCell ref="B32:C32"/>
    <mergeCell ref="B33:C33"/>
    <mergeCell ref="B34:C34"/>
    <mergeCell ref="B35:C35"/>
    <mergeCell ref="B37:C37"/>
    <mergeCell ref="B38:C38"/>
    <mergeCell ref="B39:C39"/>
    <mergeCell ref="B40:C40"/>
    <mergeCell ref="B42:N42"/>
  </mergeCells>
  <conditionalFormatting sqref="A4">
    <cfRule type="expression" dxfId="7" priority="1">
      <formula>$A4&lt;&gt;""</formula>
    </cfRule>
  </conditionalFormatting>
  <pageMargins left="0.25" right="0.25" top="0.75" bottom="0.75" header="0.3" footer="0.3"/>
  <pageSetup scale="53" orientation="landscape" horizontalDpi="4294967293" verticalDpi="4294967293" r:id="rId1"/>
  <extLst>
    <ext xmlns:x14="http://schemas.microsoft.com/office/spreadsheetml/2009/9/main" uri="{78C0D931-6437-407d-A8EE-F0AAD7539E65}">
      <x14:conditionalFormattings>
        <x14:conditionalFormatting xmlns:xm="http://schemas.microsoft.com/office/excel/2006/main">
          <x14:cfRule type="expression" priority="11" id="{355350F6-C74F-462E-BFC0-BDBEA782C243}">
            <xm:f>OR('Project Description'!$C$96="(Select…)",'Project Description'!$C$96="None")</xm:f>
            <x14:dxf>
              <fill>
                <patternFill>
                  <bgColor theme="0" tint="-0.14996795556505021"/>
                </patternFill>
              </fill>
            </x14:dxf>
          </x14:cfRule>
          <xm:sqref>E9:E20 E25 F31:G31 K32:L40</xm:sqref>
        </x14:conditionalFormatting>
        <x14:conditionalFormatting xmlns:xm="http://schemas.microsoft.com/office/excel/2006/main">
          <x14:cfRule type="expression" priority="10" id="{16EEBD46-191D-4331-B533-16B36CDD32D3}">
            <xm:f>'Project Description'!$C$92="Yes"</xm:f>
            <x14:dxf>
              <fill>
                <patternFill>
                  <bgColor theme="0" tint="-0.14996795556505021"/>
                </patternFill>
              </fill>
            </x14:dxf>
          </x14:cfRule>
          <xm:sqref>F9:F10 D9:E20 B13:B20 F13:F20 I13:N20 D25:E25 D31:G31 K32:L40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W32"/>
  <sheetViews>
    <sheetView showGridLines="0" zoomScaleNormal="100" zoomScaleSheetLayoutView="100" workbookViewId="0">
      <selection activeCell="C16" sqref="C16"/>
    </sheetView>
  </sheetViews>
  <sheetFormatPr defaultColWidth="9.25" defaultRowHeight="14.25" x14ac:dyDescent="0.2"/>
  <cols>
    <col min="1" max="1" width="5.5" style="2" customWidth="1"/>
    <col min="2" max="2" width="91.25" style="1" customWidth="1"/>
    <col min="3" max="3" width="29.5" style="1" customWidth="1"/>
    <col min="4" max="4" width="26.5" style="2" customWidth="1"/>
    <col min="5" max="5" width="69.75" style="2" customWidth="1"/>
    <col min="6" max="16384" width="9.25" style="1"/>
  </cols>
  <sheetData>
    <row r="1" spans="1:7" s="7" customFormat="1" ht="20.25" customHeight="1" thickBot="1" x14ac:dyDescent="0.25">
      <c r="A1" s="690" t="s">
        <v>137</v>
      </c>
      <c r="B1" s="691"/>
      <c r="C1" s="691"/>
      <c r="D1" s="691"/>
      <c r="E1" s="692"/>
      <c r="F1" s="268"/>
      <c r="G1" s="268"/>
    </row>
    <row r="2" spans="1:7" s="10" customFormat="1" ht="16.5" thickBot="1" x14ac:dyDescent="0.3">
      <c r="A2" s="800" t="s">
        <v>0</v>
      </c>
      <c r="B2" s="802"/>
      <c r="C2" s="800" t="str">
        <f>Finance!B2</f>
        <v/>
      </c>
      <c r="D2" s="801"/>
      <c r="E2" s="802"/>
    </row>
    <row r="3" spans="1:7" s="12" customFormat="1" ht="6" customHeight="1" x14ac:dyDescent="0.2">
      <c r="A3" s="290"/>
      <c r="B3" s="316"/>
      <c r="C3" s="290"/>
      <c r="D3" s="290"/>
      <c r="E3" s="290"/>
      <c r="F3" s="14"/>
      <c r="G3" s="14"/>
    </row>
    <row r="4" spans="1:7" s="12" customFormat="1" ht="12.75" x14ac:dyDescent="0.2">
      <c r="A4" s="833" t="str">
        <f>IF('Project Description'!$C$92="Yes","*** Projects that qualify for warrants receive automatic Medium ratings.  Only enter current year annualized costs (for use in the Env. Ben. measure) in the Cost Effectiveness section. ***",IF('Project Description'!C96="(Select…)","*** To view Mobility Improvements, Cost Effectiveness and Congestion Relief results, specify the horizon year option in the Project Description Template ***",""))</f>
        <v>*** To view Mobility Improvements, Cost Effectiveness and Congestion Relief results, specify the horizon year option in the Project Description Template ***</v>
      </c>
      <c r="B4" s="833"/>
      <c r="C4" s="833"/>
      <c r="D4" s="833"/>
      <c r="E4" s="833"/>
      <c r="F4" s="14"/>
      <c r="G4" s="14"/>
    </row>
    <row r="5" spans="1:7" s="12" customFormat="1" ht="6.75" customHeight="1" thickBot="1" x14ac:dyDescent="0.25">
      <c r="A5" s="290"/>
      <c r="B5" s="77"/>
      <c r="C5" s="290"/>
      <c r="D5" s="290"/>
      <c r="E5" s="290"/>
      <c r="F5" s="14"/>
      <c r="G5" s="14"/>
    </row>
    <row r="6" spans="1:7" s="12" customFormat="1" ht="16.5" thickBot="1" x14ac:dyDescent="0.3">
      <c r="A6" s="824" t="s">
        <v>138</v>
      </c>
      <c r="B6" s="825"/>
      <c r="C6" s="825"/>
      <c r="D6" s="825"/>
      <c r="E6" s="826"/>
      <c r="F6" s="14"/>
      <c r="G6" s="14"/>
    </row>
    <row r="7" spans="1:7" s="12" customFormat="1" ht="12.75" x14ac:dyDescent="0.2">
      <c r="A7" s="827" t="s">
        <v>83</v>
      </c>
      <c r="B7" s="829" t="s">
        <v>139</v>
      </c>
      <c r="C7" s="831" t="s">
        <v>140</v>
      </c>
      <c r="D7" s="832"/>
      <c r="E7" s="827" t="s">
        <v>141</v>
      </c>
      <c r="F7" s="14"/>
      <c r="G7" s="14"/>
    </row>
    <row r="8" spans="1:7" s="12" customFormat="1" ht="13.5" thickBot="1" x14ac:dyDescent="0.25">
      <c r="A8" s="828"/>
      <c r="B8" s="830"/>
      <c r="C8" s="78" t="str">
        <f>'Travel Forecasts'!D8</f>
        <v>Current Year ()</v>
      </c>
      <c r="D8" s="79" t="str">
        <f>'Travel Forecasts'!E8</f>
        <v>Horizon ()</v>
      </c>
      <c r="E8" s="828"/>
      <c r="F8" s="14"/>
      <c r="G8" s="14"/>
    </row>
    <row r="9" spans="1:7" s="12" customFormat="1" ht="27" customHeight="1" x14ac:dyDescent="0.2">
      <c r="A9" s="150">
        <v>1</v>
      </c>
      <c r="B9" s="80" t="s">
        <v>450</v>
      </c>
      <c r="C9" s="317">
        <f>'Travel Forecasts'!G21+5*'Travel Forecasts'!G22</f>
        <v>0</v>
      </c>
      <c r="D9" s="318" t="str">
        <f>IF(NOT(ISNUMBER('Travel Forecasts'!H21)),'Travel Forecasts'!H21,'Travel Forecasts'!H21+5*'Travel Forecasts'!H22)</f>
        <v>-</v>
      </c>
      <c r="E9" s="81" t="s">
        <v>453</v>
      </c>
      <c r="F9" s="14"/>
      <c r="G9" s="14"/>
    </row>
    <row r="10" spans="1:7" s="12" customFormat="1" ht="42" customHeight="1" thickBot="1" x14ac:dyDescent="0.25">
      <c r="A10" s="82">
        <v>2</v>
      </c>
      <c r="B10" s="83" t="s">
        <v>142</v>
      </c>
      <c r="C10" s="822" t="str">
        <f>IF(Lookups!$K$20="Yes","N/A",IF(OR(Lookups!$K$20="No",Lookups!$K$20="Unclear"),"---",IF(D9="-",D9,IF(D9="---",C9,(C9+D9)/2))))</f>
        <v>-</v>
      </c>
      <c r="D10" s="823"/>
      <c r="E10" s="83" t="s">
        <v>143</v>
      </c>
      <c r="F10" s="14"/>
      <c r="G10" s="14"/>
    </row>
    <row r="11" spans="1:7" s="12" customFormat="1" ht="13.5" thickBot="1" x14ac:dyDescent="0.25">
      <c r="A11" s="319"/>
      <c r="B11" s="316"/>
      <c r="C11" s="836" t="str">
        <f>IF(Lookups!$K$20="Yes",warrantedMedium,IF(Lookups!$K$20="No",doesntMeetThresholds,IF(OR(Lookups!$K$20="Unknown",C10="-",C10=0),"",VLOOKUP(C10,Lookups!B23:C27,2))))</f>
        <v/>
      </c>
      <c r="D11" s="837"/>
      <c r="E11" s="316"/>
      <c r="F11" s="14"/>
      <c r="G11" s="14"/>
    </row>
    <row r="12" spans="1:7" s="12" customFormat="1" ht="15" thickBot="1" x14ac:dyDescent="0.25">
      <c r="A12" s="320"/>
      <c r="B12" s="316"/>
      <c r="C12" s="84"/>
      <c r="D12" s="84"/>
      <c r="E12" s="321"/>
      <c r="F12" s="14"/>
      <c r="G12" s="14"/>
    </row>
    <row r="13" spans="1:7" s="12" customFormat="1" ht="16.5" thickBot="1" x14ac:dyDescent="0.3">
      <c r="A13" s="824" t="s">
        <v>144</v>
      </c>
      <c r="B13" s="825"/>
      <c r="C13" s="825"/>
      <c r="D13" s="825"/>
      <c r="E13" s="826"/>
      <c r="F13" s="14"/>
      <c r="G13" s="14"/>
    </row>
    <row r="14" spans="1:7" s="12" customFormat="1" ht="12.75" x14ac:dyDescent="0.2">
      <c r="A14" s="827" t="s">
        <v>83</v>
      </c>
      <c r="B14" s="829" t="s">
        <v>139</v>
      </c>
      <c r="C14" s="831" t="s">
        <v>140</v>
      </c>
      <c r="D14" s="832"/>
      <c r="E14" s="289" t="s">
        <v>141</v>
      </c>
      <c r="F14" s="14"/>
      <c r="G14" s="14"/>
    </row>
    <row r="15" spans="1:7" s="12" customFormat="1" ht="13.5" thickBot="1" x14ac:dyDescent="0.25">
      <c r="A15" s="828"/>
      <c r="B15" s="830"/>
      <c r="C15" s="162" t="str">
        <f>C8</f>
        <v>Current Year ()</v>
      </c>
      <c r="D15" s="163" t="str">
        <f>D8</f>
        <v>Horizon ()</v>
      </c>
      <c r="E15" s="87"/>
      <c r="F15" s="14"/>
      <c r="G15" s="14"/>
    </row>
    <row r="16" spans="1:7" s="12" customFormat="1" ht="12.75" x14ac:dyDescent="0.2">
      <c r="A16" s="85">
        <v>3</v>
      </c>
      <c r="B16" s="205" t="s">
        <v>448</v>
      </c>
      <c r="C16" s="322"/>
      <c r="D16" s="323" t="str">
        <f>IF(NOT(ISNUMBER('Travel Forecasts'!H19)),'Travel Forecasts'!H19,C16)</f>
        <v>-</v>
      </c>
      <c r="E16" s="86" t="s">
        <v>145</v>
      </c>
      <c r="F16" s="14"/>
      <c r="G16" s="14"/>
    </row>
    <row r="17" spans="1:23" s="12" customFormat="1" ht="12.75" x14ac:dyDescent="0.2">
      <c r="A17" s="88">
        <v>4</v>
      </c>
      <c r="B17" s="89" t="s">
        <v>146</v>
      </c>
      <c r="C17" s="324">
        <f>'Travel Forecasts'!G23</f>
        <v>0</v>
      </c>
      <c r="D17" s="325" t="str">
        <f>IF(NOT(ISNUMBER('Travel Forecasts'!H21)),'Travel Forecasts'!H21,'Travel Forecasts'!H23)</f>
        <v>-</v>
      </c>
      <c r="E17" s="90" t="s">
        <v>452</v>
      </c>
      <c r="F17" s="14"/>
      <c r="G17" s="14"/>
      <c r="H17" s="14"/>
      <c r="I17" s="14"/>
      <c r="J17" s="14"/>
      <c r="K17" s="14"/>
      <c r="L17" s="14"/>
      <c r="M17" s="14"/>
      <c r="N17" s="14"/>
      <c r="O17" s="14"/>
      <c r="P17" s="14"/>
      <c r="Q17" s="14"/>
      <c r="R17" s="14"/>
      <c r="S17" s="14"/>
      <c r="T17" s="14"/>
      <c r="U17" s="14"/>
      <c r="V17" s="14"/>
      <c r="W17" s="14"/>
    </row>
    <row r="18" spans="1:23" s="12" customFormat="1" ht="12.75" x14ac:dyDescent="0.2">
      <c r="A18" s="88">
        <v>5</v>
      </c>
      <c r="B18" s="89" t="s">
        <v>147</v>
      </c>
      <c r="C18" s="326">
        <f>IF(C17=0,0,C16/C17)</f>
        <v>0</v>
      </c>
      <c r="D18" s="327" t="str">
        <f>IF(NOT(ISNUMBER(D17)),D17,IF(D17=0,0,D16/D17))</f>
        <v>-</v>
      </c>
      <c r="E18" s="90" t="s">
        <v>148</v>
      </c>
      <c r="F18" s="14"/>
      <c r="G18" s="14"/>
      <c r="H18" s="14"/>
      <c r="I18" s="14"/>
      <c r="J18" s="14"/>
      <c r="K18" s="14"/>
      <c r="L18" s="14"/>
      <c r="M18" s="14"/>
      <c r="N18" s="14"/>
      <c r="O18" s="14"/>
      <c r="P18" s="14"/>
      <c r="Q18" s="14"/>
      <c r="R18" s="14"/>
      <c r="S18" s="14"/>
      <c r="T18" s="14"/>
      <c r="U18" s="14"/>
      <c r="V18" s="14"/>
      <c r="W18" s="14"/>
    </row>
    <row r="19" spans="1:23" s="12" customFormat="1" ht="42.75" customHeight="1" thickBot="1" x14ac:dyDescent="0.25">
      <c r="A19" s="82">
        <v>6</v>
      </c>
      <c r="B19" s="91" t="s">
        <v>142</v>
      </c>
      <c r="C19" s="820" t="str">
        <f>IF(Lookups!$K$20="Yes","N/A",IF(OR(Lookups!$K$20="No",Lookups!$K$20="Unclear"),"---",IF(D18="-",D18,IF(D18="---",C18,(C18+D18)/2))))</f>
        <v>-</v>
      </c>
      <c r="D19" s="821"/>
      <c r="E19" s="91" t="s">
        <v>149</v>
      </c>
      <c r="F19" s="14"/>
      <c r="G19" s="14"/>
      <c r="H19" s="14"/>
      <c r="I19" s="14"/>
      <c r="J19" s="14"/>
      <c r="K19" s="14"/>
      <c r="L19" s="14"/>
      <c r="M19" s="14"/>
      <c r="N19" s="14"/>
      <c r="O19" s="14"/>
      <c r="P19" s="14"/>
      <c r="Q19" s="14"/>
      <c r="R19" s="14"/>
      <c r="S19" s="14"/>
      <c r="T19" s="14"/>
      <c r="U19" s="14"/>
      <c r="V19" s="14"/>
      <c r="W19" s="14"/>
    </row>
    <row r="20" spans="1:23" s="12" customFormat="1" ht="13.5" thickBot="1" x14ac:dyDescent="0.25">
      <c r="A20" s="319"/>
      <c r="B20" s="328"/>
      <c r="C20" s="836" t="str">
        <f>IF(Lookups!$K$20="Yes",warrantedMedium,IF(Lookups!$K$20="No",doesntMeetThresholds,IF(OR(Lookups!$K$20="Unknown",C19=0,C19="-"),"",VLOOKUP(C19,Lookups!B10:C15,2))))</f>
        <v/>
      </c>
      <c r="D20" s="837"/>
      <c r="E20" s="319"/>
      <c r="F20" s="14"/>
      <c r="G20" s="14"/>
      <c r="H20" s="14"/>
      <c r="I20" s="14"/>
      <c r="J20" s="14"/>
      <c r="K20" s="14"/>
      <c r="L20" s="14"/>
      <c r="M20" s="14"/>
      <c r="N20" s="14"/>
      <c r="O20" s="14"/>
      <c r="P20" s="14"/>
      <c r="Q20" s="14"/>
      <c r="R20" s="14"/>
      <c r="S20" s="14"/>
      <c r="T20" s="14"/>
      <c r="U20" s="14"/>
      <c r="V20" s="14"/>
      <c r="W20" s="14"/>
    </row>
    <row r="21" spans="1:23" s="12" customFormat="1" ht="13.5" thickBot="1" x14ac:dyDescent="0.25">
      <c r="A21" s="320"/>
      <c r="B21" s="316"/>
      <c r="C21" s="320"/>
      <c r="D21" s="320"/>
      <c r="E21" s="320"/>
      <c r="F21" s="14"/>
      <c r="G21" s="14"/>
      <c r="H21" s="14"/>
      <c r="I21" s="14"/>
      <c r="J21" s="14"/>
      <c r="K21" s="14"/>
      <c r="L21" s="14"/>
      <c r="M21" s="14"/>
      <c r="N21" s="14"/>
      <c r="O21" s="14"/>
      <c r="P21" s="14"/>
      <c r="Q21" s="14"/>
      <c r="R21" s="14"/>
      <c r="S21" s="14"/>
      <c r="T21" s="14"/>
      <c r="U21" s="14"/>
      <c r="V21" s="14"/>
      <c r="W21" s="14"/>
    </row>
    <row r="22" spans="1:23" ht="16.5" thickBot="1" x14ac:dyDescent="0.3">
      <c r="A22" s="824" t="s">
        <v>150</v>
      </c>
      <c r="B22" s="825"/>
      <c r="C22" s="825"/>
      <c r="D22" s="825"/>
      <c r="E22" s="826"/>
      <c r="G22" s="194"/>
      <c r="H22" s="194"/>
      <c r="I22" s="194"/>
      <c r="J22" s="194"/>
      <c r="K22" s="194"/>
      <c r="L22" s="194"/>
      <c r="M22" s="194"/>
      <c r="N22" s="194"/>
      <c r="O22" s="194"/>
      <c r="P22" s="194"/>
      <c r="Q22" s="194"/>
      <c r="R22" s="194"/>
      <c r="S22" s="194"/>
      <c r="T22" s="194"/>
      <c r="U22" s="194"/>
      <c r="V22" s="194"/>
      <c r="W22" s="194"/>
    </row>
    <row r="23" spans="1:23" ht="10.35" customHeight="1" x14ac:dyDescent="0.2">
      <c r="A23" s="827" t="s">
        <v>83</v>
      </c>
      <c r="B23" s="829" t="s">
        <v>139</v>
      </c>
      <c r="C23" s="831" t="s">
        <v>140</v>
      </c>
      <c r="D23" s="832"/>
      <c r="E23" s="827" t="s">
        <v>141</v>
      </c>
      <c r="F23" s="222"/>
      <c r="G23" s="223"/>
      <c r="H23" s="223"/>
      <c r="I23" s="223"/>
      <c r="J23" s="223"/>
      <c r="K23" s="223"/>
      <c r="L23" s="223"/>
      <c r="M23" s="194"/>
      <c r="N23" s="194"/>
      <c r="O23" s="194"/>
      <c r="P23" s="194"/>
      <c r="Q23" s="194"/>
      <c r="R23" s="194"/>
      <c r="S23" s="194"/>
      <c r="T23" s="194"/>
      <c r="U23" s="194"/>
      <c r="V23" s="194"/>
      <c r="W23" s="194"/>
    </row>
    <row r="24" spans="1:23" ht="15" thickBot="1" x14ac:dyDescent="0.25">
      <c r="A24" s="828"/>
      <c r="B24" s="830"/>
      <c r="C24" s="78" t="str">
        <f>C8</f>
        <v>Current Year ()</v>
      </c>
      <c r="D24" s="79" t="str">
        <f>D8</f>
        <v>Horizon ()</v>
      </c>
      <c r="E24" s="828"/>
      <c r="F24" s="222"/>
      <c r="G24" s="222"/>
      <c r="H24" s="222"/>
      <c r="I24" s="222"/>
      <c r="J24" s="222"/>
      <c r="K24" s="222"/>
      <c r="L24" s="222"/>
    </row>
    <row r="25" spans="1:23" x14ac:dyDescent="0.2">
      <c r="A25" s="85">
        <v>7</v>
      </c>
      <c r="B25" s="205" t="s">
        <v>151</v>
      </c>
      <c r="C25" s="235">
        <f>'Travel Forecasts'!D25</f>
        <v>0</v>
      </c>
      <c r="D25" s="236" t="str">
        <f>IF('Project Description'!$C$96="(Select…)","-",IF('Project Description'!$C$96="None","---",'Travel Forecasts'!E25))</f>
        <v>-</v>
      </c>
      <c r="E25" s="228" t="s">
        <v>451</v>
      </c>
      <c r="F25" s="221"/>
      <c r="G25" s="221"/>
      <c r="H25" s="221"/>
      <c r="I25" s="221"/>
      <c r="J25" s="221"/>
      <c r="K25" s="222"/>
      <c r="L25" s="222"/>
    </row>
    <row r="26" spans="1:23" s="12" customFormat="1" ht="42.75" customHeight="1" thickBot="1" x14ac:dyDescent="0.25">
      <c r="A26" s="226">
        <v>8</v>
      </c>
      <c r="B26" s="227" t="s">
        <v>142</v>
      </c>
      <c r="C26" s="834" t="str">
        <f>IF(Lookups!$K$20="Yes","N/A",IF(OR(Lookups!$K$20="No",Lookups!$K$20="Unclear"),"---",IF(D25="-",D25,IF(D25="---",C25,(C25+D25)/2))))</f>
        <v>-</v>
      </c>
      <c r="D26" s="835"/>
      <c r="E26" s="227" t="s">
        <v>149</v>
      </c>
      <c r="F26" s="14"/>
      <c r="G26" s="14"/>
      <c r="H26" s="14"/>
      <c r="I26" s="14"/>
      <c r="J26" s="14"/>
      <c r="K26" s="14"/>
      <c r="L26" s="14"/>
      <c r="M26" s="14"/>
      <c r="N26" s="14"/>
      <c r="O26" s="14"/>
      <c r="P26" s="14"/>
      <c r="Q26" s="14"/>
      <c r="R26" s="14"/>
      <c r="S26" s="14"/>
      <c r="T26" s="14"/>
      <c r="U26" s="14"/>
      <c r="V26" s="14"/>
      <c r="W26" s="14"/>
    </row>
    <row r="27" spans="1:23" ht="15" thickBot="1" x14ac:dyDescent="0.25">
      <c r="A27" s="219"/>
      <c r="C27" s="836" t="str">
        <f>IF(Lookups!$K$20="Yes",warrantedMedium,IF(Lookups!$K$20="No",doesntMeetThresholds,IF(OR(Lookups!$K$20="Unknown",C26=0,C26="-"),"",VLOOKUP(C26,Lookups!B33:C37,2))))</f>
        <v/>
      </c>
      <c r="D27" s="837"/>
      <c r="E27" s="221"/>
      <c r="F27" s="221"/>
      <c r="G27" s="221"/>
      <c r="H27" s="221"/>
      <c r="I27" s="221"/>
      <c r="J27" s="221"/>
      <c r="K27" s="222"/>
      <c r="L27" s="222"/>
    </row>
    <row r="28" spans="1:23" x14ac:dyDescent="0.2">
      <c r="A28" s="219"/>
      <c r="F28" s="222"/>
      <c r="G28" s="222"/>
      <c r="H28" s="222"/>
      <c r="I28" s="222"/>
      <c r="J28" s="222"/>
      <c r="K28" s="222"/>
      <c r="L28" s="222"/>
    </row>
    <row r="29" spans="1:23" x14ac:dyDescent="0.2">
      <c r="A29" s="219"/>
    </row>
    <row r="30" spans="1:23" x14ac:dyDescent="0.2">
      <c r="A30" s="219"/>
    </row>
    <row r="31" spans="1:23" x14ac:dyDescent="0.2">
      <c r="A31" s="219"/>
    </row>
    <row r="32" spans="1:23" x14ac:dyDescent="0.2">
      <c r="A32" s="220"/>
    </row>
  </sheetData>
  <sheetProtection algorithmName="SHA-512" hashValue="ED1vW6ddhdGwp4g6Hor3JB+FaH7DOPtXxtpFtggllK/SDgKIhEI9NAeCucvkkYcs+JXle9hRaMn3qwonAbFMxA==" saltValue="/VLWpTAbdLr2ThQTPsD7pA==" spinCount="100000" sheet="1" formatCells="0" formatColumns="0" formatRows="0" insertColumns="0" insertRows="0" insertHyperlinks="0" selectLockedCells="1"/>
  <customSheetViews>
    <customSheetView guid="{AB5399CE-BEB7-40AA-A66C-46449E135DF8}" showGridLines="0" fitToPage="1">
      <selection activeCell="D5" sqref="D5"/>
      <pageMargins left="0" right="0" top="0" bottom="0" header="0" footer="0"/>
      <printOptions horizontalCentered="1"/>
      <pageSetup scale="84" orientation="landscape" r:id="rId1"/>
      <headerFooter alignWithMargins="0"/>
    </customSheetView>
  </customSheetViews>
  <mergeCells count="24">
    <mergeCell ref="C26:D26"/>
    <mergeCell ref="C11:D11"/>
    <mergeCell ref="C20:D20"/>
    <mergeCell ref="C27:D27"/>
    <mergeCell ref="B14:B15"/>
    <mergeCell ref="C14:D14"/>
    <mergeCell ref="A22:E22"/>
    <mergeCell ref="A23:A24"/>
    <mergeCell ref="B23:B24"/>
    <mergeCell ref="C23:D23"/>
    <mergeCell ref="E23:E24"/>
    <mergeCell ref="A1:E1"/>
    <mergeCell ref="A2:B2"/>
    <mergeCell ref="C19:D19"/>
    <mergeCell ref="C10:D10"/>
    <mergeCell ref="C2:E2"/>
    <mergeCell ref="A6:E6"/>
    <mergeCell ref="A13:E13"/>
    <mergeCell ref="A7:A8"/>
    <mergeCell ref="B7:B8"/>
    <mergeCell ref="C7:D7"/>
    <mergeCell ref="E7:E8"/>
    <mergeCell ref="A14:A15"/>
    <mergeCell ref="A4:E4"/>
  </mergeCells>
  <phoneticPr fontId="0" type="noConversion"/>
  <conditionalFormatting sqref="A4">
    <cfRule type="expression" dxfId="4" priority="80">
      <formula>AND($A4&lt;&gt;"")</formula>
    </cfRule>
  </conditionalFormatting>
  <printOptions horizontalCentered="1"/>
  <pageMargins left="0.25" right="0.25" top="0.25" bottom="0.25" header="0.05" footer="0.05"/>
  <pageSetup scale="55" orientation="landscape" horizontalDpi="4294967293" verticalDpi="4294967293" r:id="rId2"/>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AB5D5-CCBA-4709-B426-EBB536AEBCD2}">
  <sheetPr codeName="Sheet4">
    <pageSetUpPr autoPageBreaks="0"/>
  </sheetPr>
  <dimension ref="A1:I290"/>
  <sheetViews>
    <sheetView zoomScaleNormal="100" zoomScaleSheetLayoutView="100" workbookViewId="0">
      <selection activeCell="D14" sqref="D14"/>
    </sheetView>
  </sheetViews>
  <sheetFormatPr defaultColWidth="11.875" defaultRowHeight="12.75" x14ac:dyDescent="0.2"/>
  <cols>
    <col min="1" max="1" width="5.625" style="484" customWidth="1"/>
    <col min="2" max="3" width="47.25" style="484" customWidth="1"/>
    <col min="4" max="4" width="33.875" style="484" customWidth="1"/>
    <col min="5" max="6" width="27.25" style="484" customWidth="1"/>
    <col min="7" max="7" width="11.875" style="484" hidden="1" customWidth="1"/>
    <col min="8" max="16384" width="11.875" style="484"/>
  </cols>
  <sheetData>
    <row r="1" spans="1:9" s="477" customFormat="1" ht="18.399999999999999" customHeight="1" thickBot="1" x14ac:dyDescent="0.25">
      <c r="A1" s="850" t="s">
        <v>505</v>
      </c>
      <c r="B1" s="851"/>
      <c r="C1" s="851"/>
      <c r="D1" s="851"/>
      <c r="E1" s="851"/>
      <c r="F1" s="852"/>
      <c r="H1" s="478"/>
      <c r="I1" s="478"/>
    </row>
    <row r="2" spans="1:9" s="479" customFormat="1" ht="16.5" thickBot="1" x14ac:dyDescent="0.3">
      <c r="A2" s="853" t="s">
        <v>0</v>
      </c>
      <c r="B2" s="854"/>
      <c r="C2" s="853" t="str">
        <f>Finance!B2</f>
        <v/>
      </c>
      <c r="D2" s="855"/>
      <c r="E2" s="855"/>
      <c r="F2" s="854"/>
      <c r="H2" s="478"/>
      <c r="I2" s="478"/>
    </row>
    <row r="3" spans="1:9" ht="15" thickBot="1" x14ac:dyDescent="0.25">
      <c r="A3" s="480"/>
      <c r="B3" s="481"/>
      <c r="C3" s="482"/>
      <c r="D3" s="482"/>
      <c r="E3" s="482"/>
      <c r="F3" s="483"/>
      <c r="H3" s="478"/>
      <c r="I3" s="478"/>
    </row>
    <row r="4" spans="1:9" s="485" customFormat="1" ht="18.399999999999999" customHeight="1" thickBot="1" x14ac:dyDescent="0.3">
      <c r="A4" s="856" t="s">
        <v>506</v>
      </c>
      <c r="B4" s="857"/>
      <c r="C4" s="857"/>
      <c r="D4" s="857"/>
      <c r="E4" s="857"/>
      <c r="F4" s="858"/>
      <c r="H4" s="478"/>
      <c r="I4" s="478"/>
    </row>
    <row r="5" spans="1:9" ht="15" thickBot="1" x14ac:dyDescent="0.25">
      <c r="B5" s="486"/>
      <c r="D5" s="487"/>
      <c r="E5" s="487"/>
      <c r="F5" s="488"/>
      <c r="H5" s="478"/>
      <c r="I5" s="478"/>
    </row>
    <row r="6" spans="1:9" s="482" customFormat="1" ht="13.5" thickBot="1" x14ac:dyDescent="0.25">
      <c r="A6" s="489" t="s">
        <v>83</v>
      </c>
      <c r="B6" s="859" t="s">
        <v>457</v>
      </c>
      <c r="C6" s="860"/>
      <c r="D6" s="490" t="str">
        <f>'Travel Forecasts'!D8&amp;" Values"</f>
        <v>Current Year () Values</v>
      </c>
      <c r="E6" s="861" t="s">
        <v>141</v>
      </c>
      <c r="F6" s="862"/>
    </row>
    <row r="7" spans="1:9" x14ac:dyDescent="0.2">
      <c r="A7" s="491">
        <v>1</v>
      </c>
      <c r="B7" s="838" t="s">
        <v>154</v>
      </c>
      <c r="C7" s="839"/>
      <c r="D7" s="492">
        <f>D81+D91+D101+D111+D121+D131+D141+D154+D164+D174+D184+D194+D204+D214+D224+D234+D247+D257+D267+D277</f>
        <v>0</v>
      </c>
      <c r="E7" s="840" t="s">
        <v>458</v>
      </c>
      <c r="F7" s="841"/>
    </row>
    <row r="8" spans="1:9" x14ac:dyDescent="0.2">
      <c r="A8" s="493">
        <v>2</v>
      </c>
      <c r="B8" s="842" t="s">
        <v>156</v>
      </c>
      <c r="C8" s="843"/>
      <c r="D8" s="494">
        <f>D83+D93+D103+D113+D123+D133+D143+D156+D166+D176+D186+D196+D206+D216+D226+D236+D249+D259+D269+D279</f>
        <v>0</v>
      </c>
      <c r="E8" s="844" t="s">
        <v>459</v>
      </c>
      <c r="F8" s="845"/>
    </row>
    <row r="9" spans="1:9" ht="13.5" thickBot="1" x14ac:dyDescent="0.25">
      <c r="A9" s="495">
        <v>3</v>
      </c>
      <c r="B9" s="846" t="s">
        <v>460</v>
      </c>
      <c r="C9" s="847"/>
      <c r="D9" s="496">
        <f>IF(D$8&lt;&gt;0,D7/D$8,0)</f>
        <v>0</v>
      </c>
      <c r="E9" s="848" t="s">
        <v>461</v>
      </c>
      <c r="F9" s="849"/>
    </row>
    <row r="10" spans="1:9" ht="13.5" thickBot="1" x14ac:dyDescent="0.25">
      <c r="B10" s="497"/>
      <c r="C10" s="498"/>
      <c r="D10" s="490" t="str">
        <f>IFERROR(VLOOKUP(D9,Lookups!$B$38:$C$42,2),"")</f>
        <v/>
      </c>
      <c r="E10" s="595"/>
      <c r="F10" s="499"/>
    </row>
    <row r="11" spans="1:9" ht="13.5" thickBot="1" x14ac:dyDescent="0.25">
      <c r="B11" s="500"/>
      <c r="C11" s="498"/>
      <c r="D11" s="501"/>
      <c r="E11" s="487"/>
      <c r="F11" s="499"/>
    </row>
    <row r="12" spans="1:9" s="482" customFormat="1" ht="13.5" thickBot="1" x14ac:dyDescent="0.25">
      <c r="A12" s="489" t="s">
        <v>83</v>
      </c>
      <c r="B12" s="859" t="s">
        <v>462</v>
      </c>
      <c r="C12" s="860"/>
      <c r="D12" s="490" t="str">
        <f>D6</f>
        <v>Current Year () Values</v>
      </c>
      <c r="E12" s="861" t="s">
        <v>141</v>
      </c>
      <c r="F12" s="862"/>
    </row>
    <row r="13" spans="1:9" x14ac:dyDescent="0.2">
      <c r="A13" s="491">
        <v>4</v>
      </c>
      <c r="B13" s="871" t="s">
        <v>155</v>
      </c>
      <c r="C13" s="872"/>
      <c r="D13" s="502">
        <f>D82+D92+D102+D112+D122+D132+D142+D155+D165+D175+D185+D195+D205+D215+D225+D235+D248+D258+D268+D278</f>
        <v>0</v>
      </c>
      <c r="E13" s="840" t="s">
        <v>463</v>
      </c>
      <c r="F13" s="841"/>
    </row>
    <row r="14" spans="1:9" x14ac:dyDescent="0.2">
      <c r="A14" s="493">
        <v>5</v>
      </c>
      <c r="B14" s="873" t="s">
        <v>464</v>
      </c>
      <c r="C14" s="874"/>
      <c r="D14" s="503"/>
      <c r="E14" s="844" t="s">
        <v>197</v>
      </c>
      <c r="F14" s="845"/>
    </row>
    <row r="15" spans="1:9" ht="13.5" thickBot="1" x14ac:dyDescent="0.25">
      <c r="A15" s="495">
        <v>6</v>
      </c>
      <c r="B15" s="863" t="s">
        <v>460</v>
      </c>
      <c r="C15" s="864"/>
      <c r="D15" s="504">
        <f>SUM(D13:D14)</f>
        <v>0</v>
      </c>
      <c r="E15" s="865" t="s">
        <v>465</v>
      </c>
      <c r="F15" s="866"/>
    </row>
    <row r="16" spans="1:9" s="482" customFormat="1" ht="13.5" thickBot="1" x14ac:dyDescent="0.25">
      <c r="B16" s="481"/>
      <c r="D16" s="505" t="str">
        <f>IFERROR(VLOOKUP(D15,Lookups!$B$43:$C$47,2),"")</f>
        <v/>
      </c>
      <c r="F16" s="483"/>
    </row>
    <row r="17" spans="1:6" s="482" customFormat="1" ht="13.5" thickBot="1" x14ac:dyDescent="0.25">
      <c r="B17" s="506"/>
      <c r="D17" s="501"/>
      <c r="F17" s="483"/>
    </row>
    <row r="18" spans="1:6" ht="13.5" thickBot="1" x14ac:dyDescent="0.25">
      <c r="A18" s="489" t="s">
        <v>83</v>
      </c>
      <c r="B18" s="859" t="s">
        <v>466</v>
      </c>
      <c r="C18" s="860"/>
      <c r="D18" s="490" t="str">
        <f>D6</f>
        <v>Current Year () Values</v>
      </c>
      <c r="E18" s="861" t="s">
        <v>141</v>
      </c>
      <c r="F18" s="862"/>
    </row>
    <row r="19" spans="1:6" x14ac:dyDescent="0.2">
      <c r="A19" s="507"/>
      <c r="B19" s="867" t="s">
        <v>467</v>
      </c>
      <c r="C19" s="868"/>
      <c r="D19" s="508" t="s">
        <v>112</v>
      </c>
      <c r="E19" s="869" t="s">
        <v>112</v>
      </c>
      <c r="F19" s="870"/>
    </row>
    <row r="20" spans="1:6" ht="25.5" customHeight="1" x14ac:dyDescent="0.2">
      <c r="A20" s="509">
        <v>7</v>
      </c>
      <c r="B20" s="842" t="s">
        <v>152</v>
      </c>
      <c r="C20" s="879"/>
      <c r="D20" s="510">
        <f>D84+D94+D104+D114+D124+D134+D144+D157+D167+D177+D187+D197+D207+D217+D227+D237+D250+D260+D270+D280</f>
        <v>0</v>
      </c>
      <c r="E20" s="880" t="s">
        <v>468</v>
      </c>
      <c r="F20" s="881"/>
    </row>
    <row r="21" spans="1:6" ht="25.5" customHeight="1" x14ac:dyDescent="0.2">
      <c r="A21" s="509">
        <v>8</v>
      </c>
      <c r="B21" s="842" t="s">
        <v>153</v>
      </c>
      <c r="C21" s="879"/>
      <c r="D21" s="510">
        <f>D85+D95+D105+D115+D125+D135+D145+D158+D168+D178+D188+D198+D208+D218+D228+D238+D251+D261+D271+D281</f>
        <v>0</v>
      </c>
      <c r="E21" s="880" t="s">
        <v>469</v>
      </c>
      <c r="F21" s="881"/>
    </row>
    <row r="22" spans="1:6" x14ac:dyDescent="0.2">
      <c r="A22" s="509">
        <v>9</v>
      </c>
      <c r="B22" s="842" t="s">
        <v>157</v>
      </c>
      <c r="C22" s="879"/>
      <c r="D22" s="511">
        <f>IF(D20=0,0,D21/D20)</f>
        <v>0</v>
      </c>
      <c r="E22" s="844" t="s">
        <v>470</v>
      </c>
      <c r="F22" s="845"/>
    </row>
    <row r="23" spans="1:6" x14ac:dyDescent="0.2">
      <c r="A23" s="509"/>
      <c r="B23" s="875" t="s">
        <v>471</v>
      </c>
      <c r="C23" s="876"/>
      <c r="D23" s="512" t="s">
        <v>112</v>
      </c>
      <c r="E23" s="877" t="s">
        <v>112</v>
      </c>
      <c r="F23" s="878"/>
    </row>
    <row r="24" spans="1:6" ht="25.5" customHeight="1" x14ac:dyDescent="0.2">
      <c r="A24" s="509">
        <v>10</v>
      </c>
      <c r="B24" s="842" t="s">
        <v>152</v>
      </c>
      <c r="C24" s="879"/>
      <c r="D24" s="510">
        <f>D58+D62+D66+D70+D74</f>
        <v>0</v>
      </c>
      <c r="E24" s="880" t="s">
        <v>472</v>
      </c>
      <c r="F24" s="881"/>
    </row>
    <row r="25" spans="1:6" ht="25.5" customHeight="1" x14ac:dyDescent="0.2">
      <c r="A25" s="509">
        <v>11</v>
      </c>
      <c r="B25" s="842" t="s">
        <v>153</v>
      </c>
      <c r="C25" s="879"/>
      <c r="D25" s="510">
        <f>D59+D63+D67+D71+D75</f>
        <v>0</v>
      </c>
      <c r="E25" s="880" t="s">
        <v>473</v>
      </c>
      <c r="F25" s="881"/>
    </row>
    <row r="26" spans="1:6" x14ac:dyDescent="0.2">
      <c r="A26" s="509">
        <v>12</v>
      </c>
      <c r="B26" s="842" t="s">
        <v>158</v>
      </c>
      <c r="C26" s="879"/>
      <c r="D26" s="511">
        <f>IF(D24=0,0,D25/D24)</f>
        <v>0</v>
      </c>
      <c r="E26" s="844" t="s">
        <v>474</v>
      </c>
      <c r="F26" s="845"/>
    </row>
    <row r="27" spans="1:6" x14ac:dyDescent="0.2">
      <c r="A27" s="509">
        <v>13</v>
      </c>
      <c r="B27" s="889" t="s">
        <v>460</v>
      </c>
      <c r="C27" s="879"/>
      <c r="D27" s="513">
        <f>IF(D26=0,0,D22/D26)</f>
        <v>0</v>
      </c>
      <c r="E27" s="844" t="s">
        <v>475</v>
      </c>
      <c r="F27" s="845"/>
    </row>
    <row r="28" spans="1:6" x14ac:dyDescent="0.2">
      <c r="A28" s="514">
        <v>14</v>
      </c>
      <c r="B28" s="890" t="s">
        <v>476</v>
      </c>
      <c r="C28" s="891"/>
      <c r="D28" s="515" t="str">
        <f>IFERROR(VLOOKUP(D27,Lookups!$B$48:$C$52,2),"")</f>
        <v/>
      </c>
      <c r="E28" s="892" t="s">
        <v>477</v>
      </c>
      <c r="F28" s="845"/>
    </row>
    <row r="29" spans="1:6" ht="25.9" customHeight="1" thickBot="1" x14ac:dyDescent="0.25">
      <c r="A29" s="516">
        <v>15</v>
      </c>
      <c r="B29" s="882" t="s">
        <v>478</v>
      </c>
      <c r="C29" s="883"/>
      <c r="D29" s="517" t="str">
        <f>IF(D26&gt;0.05,"+1 RATING LEVEL",IF(D26=0,"","N/A"))</f>
        <v/>
      </c>
      <c r="E29" s="884" t="s">
        <v>479</v>
      </c>
      <c r="F29" s="885"/>
    </row>
    <row r="30" spans="1:6" ht="13.5" thickBot="1" x14ac:dyDescent="0.25">
      <c r="D30" s="505" t="str">
        <f>IFERROR(IF(D29="+1 Rating Level",VLOOKUP(D27,Lookups!$B$48:$D$52,3),D28),"")</f>
        <v/>
      </c>
      <c r="F30" s="518"/>
    </row>
    <row r="31" spans="1:6" ht="13.5" thickBot="1" x14ac:dyDescent="0.25">
      <c r="B31" s="519"/>
      <c r="D31" s="501"/>
      <c r="F31" s="518"/>
    </row>
    <row r="32" spans="1:6" s="482" customFormat="1" ht="13.5" thickBot="1" x14ac:dyDescent="0.25">
      <c r="A32" s="489" t="s">
        <v>83</v>
      </c>
      <c r="B32" s="859" t="s">
        <v>480</v>
      </c>
      <c r="C32" s="860"/>
      <c r="D32" s="490" t="str">
        <f>D6</f>
        <v>Current Year () Values</v>
      </c>
      <c r="E32" s="861" t="s">
        <v>141</v>
      </c>
      <c r="F32" s="862"/>
    </row>
    <row r="33" spans="1:7" s="482" customFormat="1" x14ac:dyDescent="0.2">
      <c r="A33" s="520">
        <v>16</v>
      </c>
      <c r="B33" s="886" t="s">
        <v>481</v>
      </c>
      <c r="C33" s="887"/>
      <c r="D33" s="521"/>
      <c r="E33" s="888" t="s">
        <v>197</v>
      </c>
      <c r="F33" s="887"/>
    </row>
    <row r="34" spans="1:7" ht="25.5" customHeight="1" x14ac:dyDescent="0.2">
      <c r="A34" s="493">
        <v>17</v>
      </c>
      <c r="B34" s="842" t="s">
        <v>482</v>
      </c>
      <c r="C34" s="843"/>
      <c r="D34" s="510">
        <f>D86+D96+D106+D116+D126+D136+D146+D159+D169+D179+D189+D199+D209+D219+D229+D239+D252+D262+D272+D282</f>
        <v>0</v>
      </c>
      <c r="E34" s="880" t="s">
        <v>483</v>
      </c>
      <c r="F34" s="881"/>
    </row>
    <row r="35" spans="1:7" ht="25.5" customHeight="1" x14ac:dyDescent="0.2">
      <c r="A35" s="493">
        <v>18</v>
      </c>
      <c r="B35" s="842" t="s">
        <v>484</v>
      </c>
      <c r="C35" s="843"/>
      <c r="D35" s="510">
        <f>D87+D97+D107+D117+D127+D137+D147+D160+D170+D180+D190+D200+D210+D220+D230+D240+D253+D263+D273+D283</f>
        <v>0</v>
      </c>
      <c r="E35" s="880" t="s">
        <v>483</v>
      </c>
      <c r="F35" s="881"/>
      <c r="G35" s="522"/>
    </row>
    <row r="36" spans="1:7" ht="13.5" thickBot="1" x14ac:dyDescent="0.25">
      <c r="A36" s="495">
        <v>19</v>
      </c>
      <c r="B36" s="846" t="s">
        <v>460</v>
      </c>
      <c r="C36" s="847"/>
      <c r="D36" s="523">
        <f>IF(D35=0,0,D34/D35)</f>
        <v>0</v>
      </c>
      <c r="E36" s="865" t="s">
        <v>485</v>
      </c>
      <c r="F36" s="866"/>
      <c r="G36" s="522"/>
    </row>
    <row r="37" spans="1:7" s="482" customFormat="1" ht="13.5" thickBot="1" x14ac:dyDescent="0.25">
      <c r="B37" s="481"/>
      <c r="D37" s="524" t="str">
        <f>IFERROR(VLOOKUP(D36,Lookups!$B$53:$C$57,2),"")</f>
        <v/>
      </c>
      <c r="F37" s="483"/>
    </row>
    <row r="38" spans="1:7" s="482" customFormat="1" ht="13.5" thickBot="1" x14ac:dyDescent="0.25">
      <c r="D38" s="525"/>
      <c r="F38" s="483"/>
    </row>
    <row r="39" spans="1:7" s="482" customFormat="1" ht="13.5" thickBot="1" x14ac:dyDescent="0.25">
      <c r="A39" s="526" t="s">
        <v>83</v>
      </c>
      <c r="B39" s="859" t="s">
        <v>486</v>
      </c>
      <c r="C39" s="860"/>
      <c r="D39" s="490" t="str">
        <f>D6</f>
        <v>Current Year () Values</v>
      </c>
      <c r="E39" s="861" t="s">
        <v>141</v>
      </c>
      <c r="F39" s="862"/>
    </row>
    <row r="40" spans="1:7" ht="25.5" customHeight="1" x14ac:dyDescent="0.2">
      <c r="A40" s="507">
        <v>20</v>
      </c>
      <c r="B40" s="893" t="s">
        <v>487</v>
      </c>
      <c r="C40" s="894"/>
      <c r="D40" s="527">
        <f>D88+D98+D108+D118+D128+D138+D148+D161+D171+D181+D191+D201+D211+D221+D231+D241+D254+D264+D274+D284</f>
        <v>0</v>
      </c>
      <c r="E40" s="895" t="s">
        <v>488</v>
      </c>
      <c r="F40" s="896"/>
    </row>
    <row r="41" spans="1:7" x14ac:dyDescent="0.2">
      <c r="A41" s="509">
        <v>21</v>
      </c>
      <c r="B41" s="897" t="s">
        <v>489</v>
      </c>
      <c r="C41" s="898"/>
      <c r="D41" s="528"/>
      <c r="E41" s="899" t="s">
        <v>197</v>
      </c>
      <c r="F41" s="900"/>
    </row>
    <row r="42" spans="1:7" ht="13.5" thickBot="1" x14ac:dyDescent="0.25">
      <c r="A42" s="529">
        <v>22</v>
      </c>
      <c r="B42" s="846" t="s">
        <v>460</v>
      </c>
      <c r="C42" s="847"/>
      <c r="D42" s="530" t="str">
        <f>IFERROR(D40/D41,"")</f>
        <v/>
      </c>
      <c r="E42" s="865" t="s">
        <v>490</v>
      </c>
      <c r="F42" s="866"/>
    </row>
    <row r="43" spans="1:7" ht="13.5" thickBot="1" x14ac:dyDescent="0.25">
      <c r="B43" s="531"/>
      <c r="C43" s="532"/>
      <c r="D43" s="490" t="str">
        <f>IFERROR(VLOOKUP(D42,Lookups!$B$58:$C$62,2),"")</f>
        <v/>
      </c>
      <c r="E43" s="532"/>
      <c r="F43" s="533"/>
    </row>
    <row r="44" spans="1:7" ht="13.5" thickBot="1" x14ac:dyDescent="0.25">
      <c r="B44" s="534"/>
      <c r="C44" s="487"/>
      <c r="D44" s="501"/>
      <c r="E44" s="487"/>
      <c r="F44" s="488"/>
    </row>
    <row r="45" spans="1:7" s="485" customFormat="1" ht="18.75" thickBot="1" x14ac:dyDescent="0.3">
      <c r="B45" s="856" t="s">
        <v>491</v>
      </c>
      <c r="C45" s="858"/>
      <c r="D45" s="535" t="str">
        <f>IF(G45="","",VLOOKUP(G45,Lookups!$B$16:$C$22,2))</f>
        <v/>
      </c>
      <c r="E45" s="908" t="s">
        <v>492</v>
      </c>
      <c r="F45" s="909"/>
      <c r="G45" s="485" t="str">
        <f>IF(COUNTBLANK(G46:G50)&gt;0,"",ROUND(AVERAGE(G46:G50),0))</f>
        <v/>
      </c>
    </row>
    <row r="46" spans="1:7" hidden="1" x14ac:dyDescent="0.2">
      <c r="B46" s="902" t="str">
        <f>B6</f>
        <v>Average Existing Population Density (persons per square mile) Across All Station Areas</v>
      </c>
      <c r="C46" s="902"/>
      <c r="D46" s="536" t="str">
        <f>D10</f>
        <v/>
      </c>
      <c r="E46" s="537"/>
      <c r="F46" s="537"/>
      <c r="G46" s="538" t="str">
        <f>VLOOKUP(IF(D10="","-",D10),Lookups!$G$24:$H$29,2,FALSE)</f>
        <v/>
      </c>
    </row>
    <row r="47" spans="1:7" hidden="1" x14ac:dyDescent="0.2">
      <c r="B47" s="902" t="str">
        <f>B12</f>
        <v>Total Existing Employment Served by the Project</v>
      </c>
      <c r="C47" s="902"/>
      <c r="D47" s="539" t="str">
        <f>D16</f>
        <v/>
      </c>
      <c r="E47" s="537"/>
      <c r="F47" s="537"/>
      <c r="G47" s="538" t="str">
        <f>VLOOKUP(IF(D16="","-",D16),Lookups!$G$24:$H$29,2,FALSE)</f>
        <v/>
      </c>
    </row>
    <row r="48" spans="1:7" hidden="1" x14ac:dyDescent="0.2">
      <c r="B48" s="901" t="str">
        <f>B18</f>
        <v>Legally Binding Affordability Restricted (LBAR) Housing Unit Ratio</v>
      </c>
      <c r="C48" s="901"/>
      <c r="D48" s="540" t="str">
        <f>D30</f>
        <v/>
      </c>
      <c r="E48" s="537"/>
      <c r="F48" s="537"/>
      <c r="G48" s="538" t="str">
        <f>VLOOKUP(IF(D30="","-",D30),Lookups!$G$24:$H$29,2,FALSE)</f>
        <v/>
      </c>
    </row>
    <row r="49" spans="2:7" hidden="1" x14ac:dyDescent="0.2">
      <c r="B49" s="902" t="str">
        <f>B32</f>
        <v>Community Risk</v>
      </c>
      <c r="C49" s="902"/>
      <c r="D49" s="541" t="str">
        <f>D37</f>
        <v/>
      </c>
      <c r="E49" s="537"/>
      <c r="F49" s="537"/>
      <c r="G49" s="538" t="str">
        <f>VLOOKUP(IF(D37="","-",D37),Lookups!$G$24:$H$29,2,FALSE)</f>
        <v/>
      </c>
    </row>
    <row r="50" spans="2:7" hidden="1" x14ac:dyDescent="0.2">
      <c r="B50" s="902" t="str">
        <f>B39</f>
        <v>Essential Services</v>
      </c>
      <c r="C50" s="902"/>
      <c r="D50" s="537" t="str">
        <f>D43</f>
        <v/>
      </c>
      <c r="E50" s="537"/>
      <c r="F50" s="537"/>
      <c r="G50" s="538" t="str">
        <f>VLOOKUP(IF(D43="","-",D43),Lookups!$G$24:$H$29,2,FALSE)</f>
        <v/>
      </c>
    </row>
    <row r="51" spans="2:7" ht="13.5" thickBot="1" x14ac:dyDescent="0.25">
      <c r="B51" s="542"/>
      <c r="C51" s="542"/>
      <c r="D51" s="487"/>
      <c r="E51" s="543"/>
      <c r="F51" s="543"/>
    </row>
    <row r="52" spans="2:7" s="477" customFormat="1" ht="18.75" customHeight="1" thickBot="1" x14ac:dyDescent="0.25">
      <c r="B52" s="850" t="s">
        <v>493</v>
      </c>
      <c r="C52" s="851"/>
      <c r="D52" s="852"/>
      <c r="E52" s="544"/>
      <c r="F52" s="544"/>
    </row>
    <row r="53" spans="2:7" ht="13.5" thickBot="1" x14ac:dyDescent="0.25">
      <c r="B53" s="543"/>
      <c r="C53" s="543"/>
      <c r="D53" s="543"/>
      <c r="E53" s="543"/>
      <c r="F53" s="543"/>
    </row>
    <row r="54" spans="2:7" ht="13.5" customHeight="1" thickBot="1" x14ac:dyDescent="0.25">
      <c r="B54" s="903" t="s">
        <v>494</v>
      </c>
      <c r="C54" s="904"/>
      <c r="D54" s="905"/>
      <c r="E54" s="545"/>
      <c r="F54" s="545"/>
    </row>
    <row r="55" spans="2:7" ht="13.5" customHeight="1" thickBot="1" x14ac:dyDescent="0.25">
      <c r="B55" s="546"/>
      <c r="C55" s="547"/>
      <c r="D55" s="490" t="str">
        <f>D6</f>
        <v>Current Year () Values</v>
      </c>
      <c r="E55" s="548"/>
      <c r="F55" s="548"/>
    </row>
    <row r="56" spans="2:7" ht="13.5" thickBot="1" x14ac:dyDescent="0.25">
      <c r="B56" s="549"/>
      <c r="C56" s="550"/>
      <c r="D56" s="551"/>
      <c r="E56" s="545"/>
      <c r="F56" s="545"/>
    </row>
    <row r="57" spans="2:7" s="482" customFormat="1" ht="14.25" customHeight="1" x14ac:dyDescent="0.2">
      <c r="B57" s="552" t="s">
        <v>495</v>
      </c>
      <c r="C57" s="553" t="s">
        <v>159</v>
      </c>
      <c r="D57" s="554"/>
      <c r="E57" s="555"/>
      <c r="F57" s="555"/>
    </row>
    <row r="58" spans="2:7" x14ac:dyDescent="0.2">
      <c r="B58" s="906" t="s">
        <v>152</v>
      </c>
      <c r="C58" s="907"/>
      <c r="D58" s="556"/>
      <c r="E58" s="557"/>
      <c r="F58" s="557"/>
    </row>
    <row r="59" spans="2:7" ht="13.5" thickBot="1" x14ac:dyDescent="0.25">
      <c r="B59" s="910" t="s">
        <v>153</v>
      </c>
      <c r="C59" s="911"/>
      <c r="D59" s="558"/>
      <c r="E59" s="557"/>
      <c r="F59" s="557"/>
    </row>
    <row r="60" spans="2:7" ht="13.5" thickBot="1" x14ac:dyDescent="0.25">
      <c r="B60" s="559"/>
      <c r="C60" s="560"/>
      <c r="D60" s="561"/>
      <c r="E60" s="560"/>
      <c r="F60" s="560"/>
    </row>
    <row r="61" spans="2:7" s="482" customFormat="1" ht="14.25" customHeight="1" x14ac:dyDescent="0.2">
      <c r="B61" s="552" t="s">
        <v>160</v>
      </c>
      <c r="C61" s="553" t="s">
        <v>159</v>
      </c>
      <c r="D61" s="554"/>
      <c r="E61" s="555"/>
      <c r="F61" s="555"/>
    </row>
    <row r="62" spans="2:7" x14ac:dyDescent="0.2">
      <c r="B62" s="906" t="s">
        <v>152</v>
      </c>
      <c r="C62" s="907"/>
      <c r="D62" s="556"/>
      <c r="E62" s="557"/>
      <c r="F62" s="557"/>
    </row>
    <row r="63" spans="2:7" ht="13.5" thickBot="1" x14ac:dyDescent="0.25">
      <c r="B63" s="910" t="s">
        <v>153</v>
      </c>
      <c r="C63" s="911"/>
      <c r="D63" s="558"/>
      <c r="E63" s="557"/>
      <c r="F63" s="557"/>
    </row>
    <row r="64" spans="2:7" ht="13.5" thickBot="1" x14ac:dyDescent="0.25">
      <c r="B64" s="559"/>
      <c r="C64" s="560"/>
      <c r="D64" s="561"/>
      <c r="E64" s="560"/>
      <c r="F64" s="560"/>
    </row>
    <row r="65" spans="2:6" s="482" customFormat="1" ht="14.25" customHeight="1" x14ac:dyDescent="0.2">
      <c r="B65" s="552" t="s">
        <v>161</v>
      </c>
      <c r="C65" s="553" t="s">
        <v>159</v>
      </c>
      <c r="D65" s="554"/>
      <c r="E65" s="555"/>
      <c r="F65" s="555"/>
    </row>
    <row r="66" spans="2:6" x14ac:dyDescent="0.2">
      <c r="B66" s="906" t="s">
        <v>152</v>
      </c>
      <c r="C66" s="907"/>
      <c r="D66" s="556"/>
      <c r="E66" s="557"/>
      <c r="F66" s="557"/>
    </row>
    <row r="67" spans="2:6" ht="13.5" thickBot="1" x14ac:dyDescent="0.25">
      <c r="B67" s="910" t="s">
        <v>153</v>
      </c>
      <c r="C67" s="911"/>
      <c r="D67" s="558"/>
      <c r="E67" s="557"/>
      <c r="F67" s="557"/>
    </row>
    <row r="68" spans="2:6" ht="13.5" thickBot="1" x14ac:dyDescent="0.25">
      <c r="B68" s="559"/>
      <c r="C68" s="560"/>
      <c r="D68" s="561"/>
      <c r="E68" s="560"/>
      <c r="F68" s="560"/>
    </row>
    <row r="69" spans="2:6" s="482" customFormat="1" ht="14.25" customHeight="1" x14ac:dyDescent="0.2">
      <c r="B69" s="552" t="s">
        <v>162</v>
      </c>
      <c r="C69" s="553" t="s">
        <v>159</v>
      </c>
      <c r="D69" s="554"/>
      <c r="E69" s="555"/>
      <c r="F69" s="555"/>
    </row>
    <row r="70" spans="2:6" x14ac:dyDescent="0.2">
      <c r="B70" s="906" t="s">
        <v>152</v>
      </c>
      <c r="C70" s="907"/>
      <c r="D70" s="556"/>
      <c r="E70" s="557"/>
      <c r="F70" s="557"/>
    </row>
    <row r="71" spans="2:6" ht="13.5" thickBot="1" x14ac:dyDescent="0.25">
      <c r="B71" s="910" t="s">
        <v>153</v>
      </c>
      <c r="C71" s="911"/>
      <c r="D71" s="558"/>
      <c r="E71" s="557"/>
      <c r="F71" s="557"/>
    </row>
    <row r="72" spans="2:6" ht="13.5" thickBot="1" x14ac:dyDescent="0.25">
      <c r="B72" s="559"/>
      <c r="C72" s="560"/>
      <c r="D72" s="561"/>
      <c r="E72" s="560"/>
      <c r="F72" s="560"/>
    </row>
    <row r="73" spans="2:6" s="482" customFormat="1" ht="14.25" customHeight="1" x14ac:dyDescent="0.2">
      <c r="B73" s="552" t="s">
        <v>163</v>
      </c>
      <c r="C73" s="553" t="s">
        <v>159</v>
      </c>
      <c r="D73" s="554"/>
      <c r="E73" s="555"/>
      <c r="F73" s="555"/>
    </row>
    <row r="74" spans="2:6" x14ac:dyDescent="0.2">
      <c r="B74" s="906" t="s">
        <v>152</v>
      </c>
      <c r="C74" s="907"/>
      <c r="D74" s="556"/>
      <c r="E74" s="557"/>
      <c r="F74" s="557"/>
    </row>
    <row r="75" spans="2:6" ht="13.5" thickBot="1" x14ac:dyDescent="0.25">
      <c r="B75" s="910" t="s">
        <v>153</v>
      </c>
      <c r="C75" s="911"/>
      <c r="D75" s="558"/>
      <c r="E75" s="912"/>
      <c r="F75" s="912"/>
    </row>
    <row r="76" spans="2:6" s="563" customFormat="1" ht="14.65" customHeight="1" thickBot="1" x14ac:dyDescent="0.25">
      <c r="B76" s="913"/>
      <c r="C76" s="913"/>
      <c r="D76" s="913"/>
      <c r="E76" s="562"/>
      <c r="F76" s="562"/>
    </row>
    <row r="77" spans="2:6" s="564" customFormat="1" ht="27" customHeight="1" thickBot="1" x14ac:dyDescent="0.25">
      <c r="B77" s="914" t="s">
        <v>496</v>
      </c>
      <c r="C77" s="915"/>
      <c r="D77" s="916"/>
      <c r="E77" s="555"/>
      <c r="F77" s="555"/>
    </row>
    <row r="78" spans="2:6" ht="13.5" customHeight="1" thickBot="1" x14ac:dyDescent="0.25">
      <c r="B78" s="546"/>
      <c r="C78" s="547"/>
      <c r="D78" s="565" t="str">
        <f>D6</f>
        <v>Current Year () Values</v>
      </c>
      <c r="E78" s="548"/>
      <c r="F78" s="548"/>
    </row>
    <row r="79" spans="2:6" ht="13.5" thickBot="1" x14ac:dyDescent="0.25">
      <c r="B79" s="559"/>
      <c r="C79" s="560"/>
      <c r="D79" s="561"/>
      <c r="E79" s="560"/>
      <c r="F79" s="560"/>
    </row>
    <row r="80" spans="2:6" x14ac:dyDescent="0.2">
      <c r="B80" s="566" t="s">
        <v>497</v>
      </c>
      <c r="C80" s="567" t="s">
        <v>164</v>
      </c>
      <c r="D80" s="568"/>
      <c r="E80" s="482"/>
      <c r="F80" s="482"/>
    </row>
    <row r="81" spans="2:6" x14ac:dyDescent="0.2">
      <c r="B81" s="917" t="s">
        <v>154</v>
      </c>
      <c r="C81" s="918"/>
      <c r="D81" s="569"/>
      <c r="E81" s="570"/>
      <c r="F81" s="571"/>
    </row>
    <row r="82" spans="2:6" x14ac:dyDescent="0.2">
      <c r="B82" s="917" t="s">
        <v>165</v>
      </c>
      <c r="C82" s="918"/>
      <c r="D82" s="572"/>
      <c r="E82" s="570"/>
      <c r="F82" s="571"/>
    </row>
    <row r="83" spans="2:6" x14ac:dyDescent="0.2">
      <c r="B83" s="919" t="s">
        <v>166</v>
      </c>
      <c r="C83" s="918"/>
      <c r="D83" s="573"/>
      <c r="E83" s="574"/>
      <c r="F83" s="575"/>
    </row>
    <row r="84" spans="2:6" x14ac:dyDescent="0.2">
      <c r="B84" s="917" t="s">
        <v>152</v>
      </c>
      <c r="C84" s="918"/>
      <c r="D84" s="569"/>
      <c r="E84" s="574"/>
      <c r="F84" s="575"/>
    </row>
    <row r="85" spans="2:6" x14ac:dyDescent="0.2">
      <c r="B85" s="917" t="s">
        <v>153</v>
      </c>
      <c r="C85" s="918"/>
      <c r="D85" s="569"/>
      <c r="E85" s="574"/>
      <c r="F85" s="575"/>
    </row>
    <row r="86" spans="2:6" x14ac:dyDescent="0.2">
      <c r="B86" s="917" t="s">
        <v>482</v>
      </c>
      <c r="C86" s="918"/>
      <c r="D86" s="576"/>
      <c r="E86" s="574"/>
      <c r="F86" s="575"/>
    </row>
    <row r="87" spans="2:6" x14ac:dyDescent="0.2">
      <c r="B87" s="917" t="s">
        <v>484</v>
      </c>
      <c r="C87" s="918"/>
      <c r="D87" s="576"/>
      <c r="E87" s="574"/>
      <c r="F87" s="575"/>
    </row>
    <row r="88" spans="2:6" ht="13.5" thickBot="1" x14ac:dyDescent="0.25">
      <c r="B88" s="917" t="s">
        <v>498</v>
      </c>
      <c r="C88" s="918"/>
      <c r="D88" s="577"/>
      <c r="E88" s="574"/>
      <c r="F88" s="575"/>
    </row>
    <row r="89" spans="2:6" ht="13.5" thickBot="1" x14ac:dyDescent="0.25">
      <c r="B89" s="578"/>
      <c r="C89" s="579"/>
      <c r="D89" s="580"/>
      <c r="E89" s="555"/>
      <c r="F89" s="555"/>
    </row>
    <row r="90" spans="2:6" x14ac:dyDescent="0.2">
      <c r="B90" s="566" t="s">
        <v>167</v>
      </c>
      <c r="C90" s="567" t="s">
        <v>164</v>
      </c>
      <c r="D90" s="568"/>
      <c r="E90" s="482"/>
      <c r="F90" s="482"/>
    </row>
    <row r="91" spans="2:6" x14ac:dyDescent="0.2">
      <c r="B91" s="917" t="s">
        <v>154</v>
      </c>
      <c r="C91" s="918"/>
      <c r="D91" s="569"/>
      <c r="E91" s="570"/>
      <c r="F91" s="571"/>
    </row>
    <row r="92" spans="2:6" x14ac:dyDescent="0.2">
      <c r="B92" s="917" t="s">
        <v>165</v>
      </c>
      <c r="C92" s="918"/>
      <c r="D92" s="572"/>
      <c r="E92" s="570"/>
      <c r="F92" s="571"/>
    </row>
    <row r="93" spans="2:6" x14ac:dyDescent="0.2">
      <c r="B93" s="919" t="s">
        <v>166</v>
      </c>
      <c r="C93" s="918"/>
      <c r="D93" s="573"/>
      <c r="E93" s="574"/>
      <c r="F93" s="575"/>
    </row>
    <row r="94" spans="2:6" x14ac:dyDescent="0.2">
      <c r="B94" s="917" t="s">
        <v>152</v>
      </c>
      <c r="C94" s="918"/>
      <c r="D94" s="569"/>
      <c r="E94" s="574"/>
      <c r="F94" s="575"/>
    </row>
    <row r="95" spans="2:6" x14ac:dyDescent="0.2">
      <c r="B95" s="917" t="s">
        <v>153</v>
      </c>
      <c r="C95" s="918"/>
      <c r="D95" s="569"/>
      <c r="E95" s="574"/>
      <c r="F95" s="575"/>
    </row>
    <row r="96" spans="2:6" x14ac:dyDescent="0.2">
      <c r="B96" s="917" t="s">
        <v>482</v>
      </c>
      <c r="C96" s="918"/>
      <c r="D96" s="576"/>
      <c r="E96" s="574"/>
      <c r="F96" s="575"/>
    </row>
    <row r="97" spans="2:6" x14ac:dyDescent="0.2">
      <c r="B97" s="917" t="s">
        <v>484</v>
      </c>
      <c r="C97" s="918"/>
      <c r="D97" s="576"/>
      <c r="E97" s="574"/>
      <c r="F97" s="575"/>
    </row>
    <row r="98" spans="2:6" ht="13.5" thickBot="1" x14ac:dyDescent="0.25">
      <c r="B98" s="917" t="s">
        <v>498</v>
      </c>
      <c r="C98" s="918"/>
      <c r="D98" s="577"/>
      <c r="E98" s="574"/>
      <c r="F98" s="575"/>
    </row>
    <row r="99" spans="2:6" ht="13.5" thickBot="1" x14ac:dyDescent="0.25">
      <c r="B99" s="578"/>
      <c r="C99" s="579"/>
      <c r="D99" s="580"/>
      <c r="E99" s="555"/>
      <c r="F99" s="555"/>
    </row>
    <row r="100" spans="2:6" x14ac:dyDescent="0.2">
      <c r="B100" s="566" t="s">
        <v>168</v>
      </c>
      <c r="C100" s="567" t="s">
        <v>164</v>
      </c>
      <c r="D100" s="568"/>
      <c r="E100" s="482"/>
      <c r="F100" s="482"/>
    </row>
    <row r="101" spans="2:6" x14ac:dyDescent="0.2">
      <c r="B101" s="917" t="s">
        <v>154</v>
      </c>
      <c r="C101" s="918"/>
      <c r="D101" s="569"/>
      <c r="E101" s="570"/>
      <c r="F101" s="571"/>
    </row>
    <row r="102" spans="2:6" x14ac:dyDescent="0.2">
      <c r="B102" s="917" t="s">
        <v>165</v>
      </c>
      <c r="C102" s="918"/>
      <c r="D102" s="572"/>
      <c r="E102" s="570"/>
      <c r="F102" s="571"/>
    </row>
    <row r="103" spans="2:6" x14ac:dyDescent="0.2">
      <c r="B103" s="919" t="s">
        <v>166</v>
      </c>
      <c r="C103" s="918"/>
      <c r="D103" s="573"/>
      <c r="E103" s="574"/>
      <c r="F103" s="575"/>
    </row>
    <row r="104" spans="2:6" x14ac:dyDescent="0.2">
      <c r="B104" s="917" t="s">
        <v>152</v>
      </c>
      <c r="C104" s="918"/>
      <c r="D104" s="569"/>
      <c r="E104" s="574"/>
      <c r="F104" s="575"/>
    </row>
    <row r="105" spans="2:6" x14ac:dyDescent="0.2">
      <c r="B105" s="917" t="s">
        <v>153</v>
      </c>
      <c r="C105" s="918"/>
      <c r="D105" s="569"/>
      <c r="E105" s="574"/>
      <c r="F105" s="575"/>
    </row>
    <row r="106" spans="2:6" x14ac:dyDescent="0.2">
      <c r="B106" s="917" t="s">
        <v>482</v>
      </c>
      <c r="C106" s="918"/>
      <c r="D106" s="576"/>
      <c r="E106" s="574"/>
      <c r="F106" s="575"/>
    </row>
    <row r="107" spans="2:6" x14ac:dyDescent="0.2">
      <c r="B107" s="917" t="s">
        <v>484</v>
      </c>
      <c r="C107" s="918"/>
      <c r="D107" s="576"/>
      <c r="E107" s="574"/>
      <c r="F107" s="575"/>
    </row>
    <row r="108" spans="2:6" ht="13.5" thickBot="1" x14ac:dyDescent="0.25">
      <c r="B108" s="920" t="s">
        <v>498</v>
      </c>
      <c r="C108" s="921"/>
      <c r="D108" s="577"/>
      <c r="E108" s="574"/>
      <c r="F108" s="575"/>
    </row>
    <row r="109" spans="2:6" ht="13.5" thickBot="1" x14ac:dyDescent="0.25">
      <c r="B109" s="581"/>
      <c r="C109" s="582"/>
      <c r="D109" s="583"/>
      <c r="E109" s="555"/>
      <c r="F109" s="555"/>
    </row>
    <row r="110" spans="2:6" x14ac:dyDescent="0.2">
      <c r="B110" s="566" t="s">
        <v>169</v>
      </c>
      <c r="C110" s="567" t="s">
        <v>164</v>
      </c>
      <c r="D110" s="568"/>
      <c r="E110" s="482"/>
      <c r="F110" s="482"/>
    </row>
    <row r="111" spans="2:6" x14ac:dyDescent="0.2">
      <c r="B111" s="917" t="s">
        <v>154</v>
      </c>
      <c r="C111" s="918"/>
      <c r="D111" s="569"/>
      <c r="E111" s="570"/>
      <c r="F111" s="571"/>
    </row>
    <row r="112" spans="2:6" x14ac:dyDescent="0.2">
      <c r="B112" s="917" t="s">
        <v>165</v>
      </c>
      <c r="C112" s="918"/>
      <c r="D112" s="572"/>
      <c r="E112" s="570"/>
      <c r="F112" s="571"/>
    </row>
    <row r="113" spans="2:6" x14ac:dyDescent="0.2">
      <c r="B113" s="919" t="s">
        <v>166</v>
      </c>
      <c r="C113" s="918"/>
      <c r="D113" s="573"/>
      <c r="E113" s="574"/>
      <c r="F113" s="575"/>
    </row>
    <row r="114" spans="2:6" x14ac:dyDescent="0.2">
      <c r="B114" s="917" t="s">
        <v>152</v>
      </c>
      <c r="C114" s="918"/>
      <c r="D114" s="569"/>
      <c r="E114" s="574"/>
      <c r="F114" s="575"/>
    </row>
    <row r="115" spans="2:6" x14ac:dyDescent="0.2">
      <c r="B115" s="917" t="s">
        <v>153</v>
      </c>
      <c r="C115" s="918"/>
      <c r="D115" s="569"/>
      <c r="E115" s="574"/>
      <c r="F115" s="575"/>
    </row>
    <row r="116" spans="2:6" x14ac:dyDescent="0.2">
      <c r="B116" s="917" t="s">
        <v>482</v>
      </c>
      <c r="C116" s="918"/>
      <c r="D116" s="576"/>
      <c r="E116" s="574"/>
      <c r="F116" s="575"/>
    </row>
    <row r="117" spans="2:6" x14ac:dyDescent="0.2">
      <c r="B117" s="917" t="s">
        <v>484</v>
      </c>
      <c r="C117" s="918"/>
      <c r="D117" s="576"/>
      <c r="E117" s="574"/>
      <c r="F117" s="575"/>
    </row>
    <row r="118" spans="2:6" ht="13.5" thickBot="1" x14ac:dyDescent="0.25">
      <c r="B118" s="920" t="s">
        <v>498</v>
      </c>
      <c r="C118" s="921"/>
      <c r="D118" s="577"/>
      <c r="E118" s="574"/>
      <c r="F118" s="575"/>
    </row>
    <row r="119" spans="2:6" ht="13.5" thickBot="1" x14ac:dyDescent="0.25">
      <c r="B119" s="581"/>
      <c r="C119" s="582"/>
      <c r="D119" s="583"/>
      <c r="E119" s="555"/>
      <c r="F119" s="555"/>
    </row>
    <row r="120" spans="2:6" x14ac:dyDescent="0.2">
      <c r="B120" s="566" t="s">
        <v>170</v>
      </c>
      <c r="C120" s="567" t="s">
        <v>164</v>
      </c>
      <c r="D120" s="568"/>
      <c r="E120" s="482"/>
      <c r="F120" s="482"/>
    </row>
    <row r="121" spans="2:6" x14ac:dyDescent="0.2">
      <c r="B121" s="917" t="s">
        <v>154</v>
      </c>
      <c r="C121" s="918"/>
      <c r="D121" s="569"/>
      <c r="E121" s="570"/>
      <c r="F121" s="571"/>
    </row>
    <row r="122" spans="2:6" x14ac:dyDescent="0.2">
      <c r="B122" s="917" t="s">
        <v>165</v>
      </c>
      <c r="C122" s="918"/>
      <c r="D122" s="572"/>
      <c r="E122" s="570"/>
      <c r="F122" s="571"/>
    </row>
    <row r="123" spans="2:6" x14ac:dyDescent="0.2">
      <c r="B123" s="919" t="s">
        <v>166</v>
      </c>
      <c r="C123" s="918"/>
      <c r="D123" s="573"/>
      <c r="E123" s="574"/>
      <c r="F123" s="575"/>
    </row>
    <row r="124" spans="2:6" x14ac:dyDescent="0.2">
      <c r="B124" s="917" t="s">
        <v>152</v>
      </c>
      <c r="C124" s="918"/>
      <c r="D124" s="569"/>
      <c r="E124" s="574"/>
      <c r="F124" s="575"/>
    </row>
    <row r="125" spans="2:6" x14ac:dyDescent="0.2">
      <c r="B125" s="917" t="s">
        <v>153</v>
      </c>
      <c r="C125" s="918"/>
      <c r="D125" s="569"/>
      <c r="E125" s="574"/>
      <c r="F125" s="575"/>
    </row>
    <row r="126" spans="2:6" x14ac:dyDescent="0.2">
      <c r="B126" s="917" t="s">
        <v>482</v>
      </c>
      <c r="C126" s="918"/>
      <c r="D126" s="576"/>
      <c r="E126" s="574"/>
      <c r="F126" s="575"/>
    </row>
    <row r="127" spans="2:6" x14ac:dyDescent="0.2">
      <c r="B127" s="917" t="s">
        <v>484</v>
      </c>
      <c r="C127" s="918"/>
      <c r="D127" s="576"/>
      <c r="E127" s="574"/>
      <c r="F127" s="575"/>
    </row>
    <row r="128" spans="2:6" ht="13.5" thickBot="1" x14ac:dyDescent="0.25">
      <c r="B128" s="920" t="s">
        <v>498</v>
      </c>
      <c r="C128" s="921"/>
      <c r="D128" s="577"/>
      <c r="E128" s="574"/>
      <c r="F128" s="575"/>
    </row>
    <row r="129" spans="2:6" ht="13.5" thickBot="1" x14ac:dyDescent="0.25">
      <c r="B129" s="584"/>
      <c r="C129" s="585"/>
      <c r="D129" s="586"/>
      <c r="E129" s="587"/>
      <c r="F129" s="575"/>
    </row>
    <row r="130" spans="2:6" x14ac:dyDescent="0.2">
      <c r="B130" s="566" t="s">
        <v>171</v>
      </c>
      <c r="C130" s="567" t="s">
        <v>164</v>
      </c>
      <c r="D130" s="568"/>
      <c r="E130" s="482"/>
      <c r="F130" s="482"/>
    </row>
    <row r="131" spans="2:6" x14ac:dyDescent="0.2">
      <c r="B131" s="917" t="s">
        <v>154</v>
      </c>
      <c r="C131" s="918"/>
      <c r="D131" s="569"/>
      <c r="E131" s="570"/>
      <c r="F131" s="571"/>
    </row>
    <row r="132" spans="2:6" x14ac:dyDescent="0.2">
      <c r="B132" s="917" t="s">
        <v>165</v>
      </c>
      <c r="C132" s="918"/>
      <c r="D132" s="572"/>
      <c r="E132" s="570"/>
      <c r="F132" s="571"/>
    </row>
    <row r="133" spans="2:6" x14ac:dyDescent="0.2">
      <c r="B133" s="919" t="s">
        <v>166</v>
      </c>
      <c r="C133" s="918"/>
      <c r="D133" s="573"/>
      <c r="E133" s="574"/>
      <c r="F133" s="575"/>
    </row>
    <row r="134" spans="2:6" x14ac:dyDescent="0.2">
      <c r="B134" s="917" t="s">
        <v>152</v>
      </c>
      <c r="C134" s="918"/>
      <c r="D134" s="569"/>
      <c r="E134" s="574"/>
      <c r="F134" s="575"/>
    </row>
    <row r="135" spans="2:6" x14ac:dyDescent="0.2">
      <c r="B135" s="917" t="s">
        <v>153</v>
      </c>
      <c r="C135" s="918"/>
      <c r="D135" s="569"/>
      <c r="E135" s="574"/>
      <c r="F135" s="575"/>
    </row>
    <row r="136" spans="2:6" x14ac:dyDescent="0.2">
      <c r="B136" s="917" t="s">
        <v>482</v>
      </c>
      <c r="C136" s="918"/>
      <c r="D136" s="576"/>
      <c r="E136" s="574"/>
      <c r="F136" s="575"/>
    </row>
    <row r="137" spans="2:6" x14ac:dyDescent="0.2">
      <c r="B137" s="917" t="s">
        <v>484</v>
      </c>
      <c r="C137" s="918"/>
      <c r="D137" s="576"/>
      <c r="E137" s="574"/>
      <c r="F137" s="575"/>
    </row>
    <row r="138" spans="2:6" ht="13.5" thickBot="1" x14ac:dyDescent="0.25">
      <c r="B138" s="920" t="s">
        <v>498</v>
      </c>
      <c r="C138" s="921"/>
      <c r="D138" s="577"/>
      <c r="E138" s="574"/>
      <c r="F138" s="575"/>
    </row>
    <row r="139" spans="2:6" ht="13.5" thickBot="1" x14ac:dyDescent="0.25">
      <c r="B139" s="581"/>
      <c r="C139" s="582"/>
      <c r="D139" s="583"/>
      <c r="E139" s="555"/>
      <c r="F139" s="555"/>
    </row>
    <row r="140" spans="2:6" x14ac:dyDescent="0.2">
      <c r="B140" s="566" t="s">
        <v>172</v>
      </c>
      <c r="C140" s="567" t="s">
        <v>164</v>
      </c>
      <c r="D140" s="568"/>
      <c r="E140" s="482"/>
      <c r="F140" s="482"/>
    </row>
    <row r="141" spans="2:6" x14ac:dyDescent="0.2">
      <c r="B141" s="917" t="s">
        <v>154</v>
      </c>
      <c r="C141" s="918"/>
      <c r="D141" s="569"/>
      <c r="E141" s="570"/>
      <c r="F141" s="571"/>
    </row>
    <row r="142" spans="2:6" x14ac:dyDescent="0.2">
      <c r="B142" s="917" t="s">
        <v>165</v>
      </c>
      <c r="C142" s="918"/>
      <c r="D142" s="572"/>
      <c r="E142" s="570"/>
      <c r="F142" s="571"/>
    </row>
    <row r="143" spans="2:6" x14ac:dyDescent="0.2">
      <c r="B143" s="919" t="s">
        <v>166</v>
      </c>
      <c r="C143" s="918"/>
      <c r="D143" s="573"/>
      <c r="E143" s="574"/>
      <c r="F143" s="575"/>
    </row>
    <row r="144" spans="2:6" x14ac:dyDescent="0.2">
      <c r="B144" s="917" t="s">
        <v>152</v>
      </c>
      <c r="C144" s="918"/>
      <c r="D144" s="569"/>
      <c r="E144" s="574"/>
      <c r="F144" s="575"/>
    </row>
    <row r="145" spans="2:6" x14ac:dyDescent="0.2">
      <c r="B145" s="917" t="s">
        <v>153</v>
      </c>
      <c r="C145" s="918"/>
      <c r="D145" s="569"/>
      <c r="E145" s="574"/>
      <c r="F145" s="575"/>
    </row>
    <row r="146" spans="2:6" x14ac:dyDescent="0.2">
      <c r="B146" s="917" t="s">
        <v>482</v>
      </c>
      <c r="C146" s="918"/>
      <c r="D146" s="576"/>
      <c r="E146" s="574"/>
      <c r="F146" s="575"/>
    </row>
    <row r="147" spans="2:6" x14ac:dyDescent="0.2">
      <c r="B147" s="917" t="s">
        <v>484</v>
      </c>
      <c r="C147" s="918"/>
      <c r="D147" s="576"/>
      <c r="E147" s="574"/>
      <c r="F147" s="575"/>
    </row>
    <row r="148" spans="2:6" ht="13.5" thickBot="1" x14ac:dyDescent="0.25">
      <c r="B148" s="920" t="s">
        <v>498</v>
      </c>
      <c r="C148" s="921"/>
      <c r="D148" s="577"/>
      <c r="E148" s="574"/>
      <c r="F148" s="575"/>
    </row>
    <row r="149" spans="2:6" ht="13.5" thickBot="1" x14ac:dyDescent="0.25">
      <c r="B149" s="555"/>
      <c r="C149" s="555"/>
      <c r="D149" s="555"/>
      <c r="E149" s="555"/>
      <c r="F149" s="555"/>
    </row>
    <row r="150" spans="2:6" s="477" customFormat="1" ht="18.75" customHeight="1" thickBot="1" x14ac:dyDescent="0.25">
      <c r="B150" s="850" t="s">
        <v>499</v>
      </c>
      <c r="C150" s="851"/>
      <c r="D150" s="852"/>
      <c r="E150" s="544"/>
      <c r="F150" s="544"/>
    </row>
    <row r="151" spans="2:6" ht="13.5" customHeight="1" thickBot="1" x14ac:dyDescent="0.25">
      <c r="B151" s="546"/>
      <c r="C151" s="547"/>
      <c r="D151" s="565" t="str">
        <f>D6</f>
        <v>Current Year () Values</v>
      </c>
      <c r="E151" s="548"/>
      <c r="F151" s="548"/>
    </row>
    <row r="152" spans="2:6" ht="13.5" thickBot="1" x14ac:dyDescent="0.25">
      <c r="B152" s="549"/>
      <c r="C152" s="550"/>
      <c r="D152" s="588"/>
      <c r="E152" s="545"/>
      <c r="F152" s="545"/>
    </row>
    <row r="153" spans="2:6" ht="14.25" customHeight="1" x14ac:dyDescent="0.2">
      <c r="B153" s="566" t="s">
        <v>173</v>
      </c>
      <c r="C153" s="567" t="s">
        <v>164</v>
      </c>
      <c r="D153" s="568"/>
      <c r="E153" s="482"/>
      <c r="F153" s="482"/>
    </row>
    <row r="154" spans="2:6" x14ac:dyDescent="0.2">
      <c r="B154" s="917" t="s">
        <v>154</v>
      </c>
      <c r="C154" s="918"/>
      <c r="D154" s="569"/>
      <c r="E154" s="570"/>
      <c r="F154" s="571"/>
    </row>
    <row r="155" spans="2:6" x14ac:dyDescent="0.2">
      <c r="B155" s="917" t="s">
        <v>165</v>
      </c>
      <c r="C155" s="918"/>
      <c r="D155" s="572"/>
      <c r="E155" s="570"/>
      <c r="F155" s="571"/>
    </row>
    <row r="156" spans="2:6" x14ac:dyDescent="0.2">
      <c r="B156" s="919" t="s">
        <v>166</v>
      </c>
      <c r="C156" s="918"/>
      <c r="D156" s="573"/>
      <c r="E156" s="574"/>
      <c r="F156" s="575"/>
    </row>
    <row r="157" spans="2:6" x14ac:dyDescent="0.2">
      <c r="B157" s="917" t="s">
        <v>152</v>
      </c>
      <c r="C157" s="918"/>
      <c r="D157" s="569"/>
      <c r="E157" s="574"/>
      <c r="F157" s="575"/>
    </row>
    <row r="158" spans="2:6" x14ac:dyDescent="0.2">
      <c r="B158" s="917" t="s">
        <v>153</v>
      </c>
      <c r="C158" s="918"/>
      <c r="D158" s="569"/>
      <c r="E158" s="574"/>
      <c r="F158" s="575"/>
    </row>
    <row r="159" spans="2:6" x14ac:dyDescent="0.2">
      <c r="B159" s="917" t="s">
        <v>482</v>
      </c>
      <c r="C159" s="918"/>
      <c r="D159" s="576"/>
      <c r="E159" s="574"/>
      <c r="F159" s="575"/>
    </row>
    <row r="160" spans="2:6" x14ac:dyDescent="0.2">
      <c r="B160" s="917" t="s">
        <v>484</v>
      </c>
      <c r="C160" s="918"/>
      <c r="D160" s="576"/>
      <c r="E160" s="574"/>
      <c r="F160" s="575"/>
    </row>
    <row r="161" spans="2:6" ht="13.5" thickBot="1" x14ac:dyDescent="0.25">
      <c r="B161" s="920" t="s">
        <v>498</v>
      </c>
      <c r="C161" s="921"/>
      <c r="D161" s="577"/>
      <c r="E161" s="574"/>
      <c r="F161" s="575"/>
    </row>
    <row r="162" spans="2:6" ht="13.5" thickBot="1" x14ac:dyDescent="0.25">
      <c r="B162" s="581"/>
      <c r="C162" s="582"/>
      <c r="D162" s="583"/>
      <c r="E162" s="555"/>
      <c r="F162" s="555"/>
    </row>
    <row r="163" spans="2:6" ht="14.25" customHeight="1" x14ac:dyDescent="0.2">
      <c r="B163" s="566" t="s">
        <v>174</v>
      </c>
      <c r="C163" s="567" t="s">
        <v>164</v>
      </c>
      <c r="D163" s="568"/>
      <c r="E163" s="482"/>
      <c r="F163" s="482"/>
    </row>
    <row r="164" spans="2:6" x14ac:dyDescent="0.2">
      <c r="B164" s="917" t="s">
        <v>154</v>
      </c>
      <c r="C164" s="918"/>
      <c r="D164" s="569"/>
      <c r="E164" s="570"/>
      <c r="F164" s="571"/>
    </row>
    <row r="165" spans="2:6" x14ac:dyDescent="0.2">
      <c r="B165" s="917" t="s">
        <v>165</v>
      </c>
      <c r="C165" s="918"/>
      <c r="D165" s="572"/>
      <c r="E165" s="570"/>
      <c r="F165" s="571"/>
    </row>
    <row r="166" spans="2:6" x14ac:dyDescent="0.2">
      <c r="B166" s="919" t="s">
        <v>166</v>
      </c>
      <c r="C166" s="918"/>
      <c r="D166" s="573"/>
      <c r="E166" s="574"/>
      <c r="F166" s="575"/>
    </row>
    <row r="167" spans="2:6" x14ac:dyDescent="0.2">
      <c r="B167" s="917" t="s">
        <v>152</v>
      </c>
      <c r="C167" s="918"/>
      <c r="D167" s="569"/>
      <c r="E167" s="574"/>
      <c r="F167" s="575"/>
    </row>
    <row r="168" spans="2:6" x14ac:dyDescent="0.2">
      <c r="B168" s="917" t="s">
        <v>153</v>
      </c>
      <c r="C168" s="918"/>
      <c r="D168" s="569"/>
      <c r="E168" s="574"/>
      <c r="F168" s="575"/>
    </row>
    <row r="169" spans="2:6" x14ac:dyDescent="0.2">
      <c r="B169" s="917" t="s">
        <v>482</v>
      </c>
      <c r="C169" s="918"/>
      <c r="D169" s="576"/>
      <c r="E169" s="574"/>
      <c r="F169" s="575"/>
    </row>
    <row r="170" spans="2:6" x14ac:dyDescent="0.2">
      <c r="B170" s="917" t="s">
        <v>484</v>
      </c>
      <c r="C170" s="918"/>
      <c r="D170" s="576"/>
      <c r="E170" s="574"/>
      <c r="F170" s="575"/>
    </row>
    <row r="171" spans="2:6" ht="13.5" thickBot="1" x14ac:dyDescent="0.25">
      <c r="B171" s="920" t="s">
        <v>498</v>
      </c>
      <c r="C171" s="921"/>
      <c r="D171" s="577"/>
      <c r="E171" s="574"/>
      <c r="F171" s="575"/>
    </row>
    <row r="172" spans="2:6" ht="13.5" thickBot="1" x14ac:dyDescent="0.25">
      <c r="B172" s="581"/>
      <c r="C172" s="582"/>
      <c r="D172" s="583"/>
      <c r="E172" s="555"/>
      <c r="F172" s="555"/>
    </row>
    <row r="173" spans="2:6" ht="14.25" customHeight="1" x14ac:dyDescent="0.2">
      <c r="B173" s="566" t="s">
        <v>175</v>
      </c>
      <c r="C173" s="567" t="s">
        <v>164</v>
      </c>
      <c r="D173" s="568"/>
      <c r="E173" s="482"/>
      <c r="F173" s="482"/>
    </row>
    <row r="174" spans="2:6" x14ac:dyDescent="0.2">
      <c r="B174" s="917" t="s">
        <v>154</v>
      </c>
      <c r="C174" s="918"/>
      <c r="D174" s="569"/>
      <c r="E174" s="570"/>
      <c r="F174" s="571"/>
    </row>
    <row r="175" spans="2:6" x14ac:dyDescent="0.2">
      <c r="B175" s="917" t="s">
        <v>165</v>
      </c>
      <c r="C175" s="918"/>
      <c r="D175" s="572"/>
      <c r="E175" s="570"/>
      <c r="F175" s="571"/>
    </row>
    <row r="176" spans="2:6" x14ac:dyDescent="0.2">
      <c r="B176" s="919" t="s">
        <v>166</v>
      </c>
      <c r="C176" s="918"/>
      <c r="D176" s="573"/>
      <c r="E176" s="574"/>
      <c r="F176" s="575"/>
    </row>
    <row r="177" spans="2:6" x14ac:dyDescent="0.2">
      <c r="B177" s="917" t="s">
        <v>152</v>
      </c>
      <c r="C177" s="918"/>
      <c r="D177" s="569"/>
      <c r="E177" s="574"/>
      <c r="F177" s="575"/>
    </row>
    <row r="178" spans="2:6" x14ac:dyDescent="0.2">
      <c r="B178" s="917" t="s">
        <v>153</v>
      </c>
      <c r="C178" s="918"/>
      <c r="D178" s="569"/>
      <c r="E178" s="574"/>
      <c r="F178" s="575"/>
    </row>
    <row r="179" spans="2:6" x14ac:dyDescent="0.2">
      <c r="B179" s="917" t="s">
        <v>482</v>
      </c>
      <c r="C179" s="918"/>
      <c r="D179" s="576"/>
      <c r="E179" s="574"/>
      <c r="F179" s="575"/>
    </row>
    <row r="180" spans="2:6" x14ac:dyDescent="0.2">
      <c r="B180" s="917" t="s">
        <v>484</v>
      </c>
      <c r="C180" s="918"/>
      <c r="D180" s="576"/>
      <c r="E180" s="574"/>
      <c r="F180" s="575"/>
    </row>
    <row r="181" spans="2:6" ht="13.5" thickBot="1" x14ac:dyDescent="0.25">
      <c r="B181" s="920" t="s">
        <v>498</v>
      </c>
      <c r="C181" s="921"/>
      <c r="D181" s="577"/>
      <c r="E181" s="574"/>
      <c r="F181" s="575"/>
    </row>
    <row r="182" spans="2:6" ht="13.5" thickBot="1" x14ac:dyDescent="0.25">
      <c r="B182" s="581"/>
      <c r="C182" s="582"/>
      <c r="D182" s="583"/>
      <c r="E182" s="555"/>
      <c r="F182" s="555"/>
    </row>
    <row r="183" spans="2:6" ht="14.25" customHeight="1" x14ac:dyDescent="0.2">
      <c r="B183" s="566" t="s">
        <v>176</v>
      </c>
      <c r="C183" s="567" t="s">
        <v>164</v>
      </c>
      <c r="D183" s="568"/>
      <c r="E183" s="482"/>
      <c r="F183" s="482"/>
    </row>
    <row r="184" spans="2:6" x14ac:dyDescent="0.2">
      <c r="B184" s="917" t="s">
        <v>154</v>
      </c>
      <c r="C184" s="918"/>
      <c r="D184" s="569"/>
      <c r="E184" s="570"/>
      <c r="F184" s="571"/>
    </row>
    <row r="185" spans="2:6" x14ac:dyDescent="0.2">
      <c r="B185" s="917" t="s">
        <v>165</v>
      </c>
      <c r="C185" s="918"/>
      <c r="D185" s="572"/>
      <c r="E185" s="570"/>
      <c r="F185" s="571"/>
    </row>
    <row r="186" spans="2:6" x14ac:dyDescent="0.2">
      <c r="B186" s="919" t="s">
        <v>166</v>
      </c>
      <c r="C186" s="918"/>
      <c r="D186" s="573"/>
      <c r="E186" s="574"/>
      <c r="F186" s="575"/>
    </row>
    <row r="187" spans="2:6" x14ac:dyDescent="0.2">
      <c r="B187" s="917" t="s">
        <v>152</v>
      </c>
      <c r="C187" s="918"/>
      <c r="D187" s="569"/>
      <c r="E187" s="574"/>
      <c r="F187" s="575"/>
    </row>
    <row r="188" spans="2:6" x14ac:dyDescent="0.2">
      <c r="B188" s="917" t="s">
        <v>153</v>
      </c>
      <c r="C188" s="918"/>
      <c r="D188" s="569"/>
      <c r="E188" s="574"/>
      <c r="F188" s="575"/>
    </row>
    <row r="189" spans="2:6" x14ac:dyDescent="0.2">
      <c r="B189" s="917" t="s">
        <v>482</v>
      </c>
      <c r="C189" s="918"/>
      <c r="D189" s="576"/>
      <c r="E189" s="574"/>
      <c r="F189" s="575"/>
    </row>
    <row r="190" spans="2:6" x14ac:dyDescent="0.2">
      <c r="B190" s="917" t="s">
        <v>484</v>
      </c>
      <c r="C190" s="918"/>
      <c r="D190" s="576"/>
      <c r="E190" s="574"/>
      <c r="F190" s="575"/>
    </row>
    <row r="191" spans="2:6" ht="13.5" thickBot="1" x14ac:dyDescent="0.25">
      <c r="B191" s="920" t="s">
        <v>498</v>
      </c>
      <c r="C191" s="921"/>
      <c r="D191" s="577"/>
      <c r="E191" s="574"/>
      <c r="F191" s="575"/>
    </row>
    <row r="192" spans="2:6" ht="13.5" thickBot="1" x14ac:dyDescent="0.25">
      <c r="B192" s="581"/>
      <c r="C192" s="582"/>
      <c r="D192" s="583"/>
      <c r="E192" s="555"/>
      <c r="F192" s="555"/>
    </row>
    <row r="193" spans="2:6" ht="14.25" customHeight="1" x14ac:dyDescent="0.2">
      <c r="B193" s="566" t="s">
        <v>177</v>
      </c>
      <c r="C193" s="567" t="s">
        <v>164</v>
      </c>
      <c r="D193" s="568"/>
      <c r="E193" s="482"/>
      <c r="F193" s="482"/>
    </row>
    <row r="194" spans="2:6" x14ac:dyDescent="0.2">
      <c r="B194" s="917" t="s">
        <v>154</v>
      </c>
      <c r="C194" s="918"/>
      <c r="D194" s="569"/>
      <c r="E194" s="570"/>
      <c r="F194" s="571"/>
    </row>
    <row r="195" spans="2:6" x14ac:dyDescent="0.2">
      <c r="B195" s="917" t="s">
        <v>165</v>
      </c>
      <c r="C195" s="918"/>
      <c r="D195" s="572"/>
      <c r="E195" s="570"/>
      <c r="F195" s="571"/>
    </row>
    <row r="196" spans="2:6" x14ac:dyDescent="0.2">
      <c r="B196" s="919" t="s">
        <v>166</v>
      </c>
      <c r="C196" s="918"/>
      <c r="D196" s="573"/>
      <c r="E196" s="574"/>
      <c r="F196" s="575"/>
    </row>
    <row r="197" spans="2:6" x14ac:dyDescent="0.2">
      <c r="B197" s="917" t="s">
        <v>152</v>
      </c>
      <c r="C197" s="918"/>
      <c r="D197" s="569"/>
      <c r="E197" s="574"/>
      <c r="F197" s="575"/>
    </row>
    <row r="198" spans="2:6" x14ac:dyDescent="0.2">
      <c r="B198" s="917" t="s">
        <v>153</v>
      </c>
      <c r="C198" s="918"/>
      <c r="D198" s="569"/>
      <c r="E198" s="574"/>
      <c r="F198" s="575"/>
    </row>
    <row r="199" spans="2:6" x14ac:dyDescent="0.2">
      <c r="B199" s="917" t="s">
        <v>482</v>
      </c>
      <c r="C199" s="918"/>
      <c r="D199" s="576"/>
      <c r="E199" s="574"/>
      <c r="F199" s="575"/>
    </row>
    <row r="200" spans="2:6" x14ac:dyDescent="0.2">
      <c r="B200" s="917" t="s">
        <v>484</v>
      </c>
      <c r="C200" s="918"/>
      <c r="D200" s="576"/>
      <c r="E200" s="574"/>
      <c r="F200" s="575"/>
    </row>
    <row r="201" spans="2:6" ht="13.5" thickBot="1" x14ac:dyDescent="0.25">
      <c r="B201" s="920" t="s">
        <v>498</v>
      </c>
      <c r="C201" s="921"/>
      <c r="D201" s="577"/>
      <c r="E201" s="574"/>
      <c r="F201" s="575"/>
    </row>
    <row r="202" spans="2:6" ht="13.5" thickBot="1" x14ac:dyDescent="0.25">
      <c r="B202" s="584"/>
      <c r="C202" s="585"/>
      <c r="D202" s="586"/>
      <c r="E202" s="587"/>
      <c r="F202" s="575"/>
    </row>
    <row r="203" spans="2:6" ht="14.25" customHeight="1" x14ac:dyDescent="0.2">
      <c r="B203" s="566" t="s">
        <v>178</v>
      </c>
      <c r="C203" s="567" t="s">
        <v>164</v>
      </c>
      <c r="D203" s="568"/>
      <c r="E203" s="482"/>
      <c r="F203" s="482"/>
    </row>
    <row r="204" spans="2:6" x14ac:dyDescent="0.2">
      <c r="B204" s="917" t="s">
        <v>154</v>
      </c>
      <c r="C204" s="918"/>
      <c r="D204" s="569"/>
      <c r="E204" s="570"/>
      <c r="F204" s="571"/>
    </row>
    <row r="205" spans="2:6" x14ac:dyDescent="0.2">
      <c r="B205" s="917" t="s">
        <v>165</v>
      </c>
      <c r="C205" s="918"/>
      <c r="D205" s="572"/>
      <c r="E205" s="570"/>
      <c r="F205" s="571"/>
    </row>
    <row r="206" spans="2:6" x14ac:dyDescent="0.2">
      <c r="B206" s="919" t="s">
        <v>166</v>
      </c>
      <c r="C206" s="918"/>
      <c r="D206" s="573"/>
      <c r="E206" s="574"/>
      <c r="F206" s="575"/>
    </row>
    <row r="207" spans="2:6" x14ac:dyDescent="0.2">
      <c r="B207" s="917" t="s">
        <v>152</v>
      </c>
      <c r="C207" s="918"/>
      <c r="D207" s="569"/>
      <c r="E207" s="574"/>
      <c r="F207" s="575"/>
    </row>
    <row r="208" spans="2:6" x14ac:dyDescent="0.2">
      <c r="B208" s="917" t="s">
        <v>153</v>
      </c>
      <c r="C208" s="918"/>
      <c r="D208" s="569"/>
      <c r="E208" s="574"/>
      <c r="F208" s="575"/>
    </row>
    <row r="209" spans="2:6" x14ac:dyDescent="0.2">
      <c r="B209" s="917" t="s">
        <v>482</v>
      </c>
      <c r="C209" s="918"/>
      <c r="D209" s="576"/>
      <c r="E209" s="574"/>
      <c r="F209" s="575"/>
    </row>
    <row r="210" spans="2:6" x14ac:dyDescent="0.2">
      <c r="B210" s="917" t="s">
        <v>484</v>
      </c>
      <c r="C210" s="918"/>
      <c r="D210" s="576"/>
      <c r="E210" s="574"/>
      <c r="F210" s="575"/>
    </row>
    <row r="211" spans="2:6" ht="13.5" thickBot="1" x14ac:dyDescent="0.25">
      <c r="B211" s="920" t="s">
        <v>498</v>
      </c>
      <c r="C211" s="921"/>
      <c r="D211" s="577"/>
      <c r="E211" s="574"/>
      <c r="F211" s="575"/>
    </row>
    <row r="212" spans="2:6" ht="13.5" thickBot="1" x14ac:dyDescent="0.25">
      <c r="B212" s="584"/>
      <c r="C212" s="585"/>
      <c r="D212" s="586"/>
      <c r="E212" s="587"/>
      <c r="F212" s="575"/>
    </row>
    <row r="213" spans="2:6" ht="14.25" customHeight="1" x14ac:dyDescent="0.2">
      <c r="B213" s="566" t="s">
        <v>179</v>
      </c>
      <c r="C213" s="567" t="s">
        <v>164</v>
      </c>
      <c r="D213" s="568"/>
      <c r="E213" s="482"/>
      <c r="F213" s="482"/>
    </row>
    <row r="214" spans="2:6" x14ac:dyDescent="0.2">
      <c r="B214" s="917" t="s">
        <v>154</v>
      </c>
      <c r="C214" s="918"/>
      <c r="D214" s="569"/>
      <c r="E214" s="570"/>
      <c r="F214" s="571"/>
    </row>
    <row r="215" spans="2:6" x14ac:dyDescent="0.2">
      <c r="B215" s="917" t="s">
        <v>165</v>
      </c>
      <c r="C215" s="918"/>
      <c r="D215" s="572"/>
      <c r="E215" s="570"/>
      <c r="F215" s="571"/>
    </row>
    <row r="216" spans="2:6" x14ac:dyDescent="0.2">
      <c r="B216" s="919" t="s">
        <v>166</v>
      </c>
      <c r="C216" s="918"/>
      <c r="D216" s="573"/>
      <c r="E216" s="574"/>
      <c r="F216" s="575"/>
    </row>
    <row r="217" spans="2:6" x14ac:dyDescent="0.2">
      <c r="B217" s="917" t="s">
        <v>152</v>
      </c>
      <c r="C217" s="918"/>
      <c r="D217" s="569"/>
      <c r="E217" s="574"/>
      <c r="F217" s="575"/>
    </row>
    <row r="218" spans="2:6" x14ac:dyDescent="0.2">
      <c r="B218" s="917" t="s">
        <v>153</v>
      </c>
      <c r="C218" s="918"/>
      <c r="D218" s="569"/>
      <c r="E218" s="574"/>
      <c r="F218" s="575"/>
    </row>
    <row r="219" spans="2:6" x14ac:dyDescent="0.2">
      <c r="B219" s="917" t="s">
        <v>482</v>
      </c>
      <c r="C219" s="918"/>
      <c r="D219" s="576"/>
      <c r="E219" s="574"/>
      <c r="F219" s="575"/>
    </row>
    <row r="220" spans="2:6" x14ac:dyDescent="0.2">
      <c r="B220" s="917" t="s">
        <v>484</v>
      </c>
      <c r="C220" s="918"/>
      <c r="D220" s="576"/>
      <c r="E220" s="574"/>
      <c r="F220" s="575"/>
    </row>
    <row r="221" spans="2:6" ht="13.5" thickBot="1" x14ac:dyDescent="0.25">
      <c r="B221" s="920" t="s">
        <v>498</v>
      </c>
      <c r="C221" s="921"/>
      <c r="D221" s="577"/>
      <c r="E221" s="574"/>
      <c r="F221" s="575"/>
    </row>
    <row r="222" spans="2:6" ht="13.5" thickBot="1" x14ac:dyDescent="0.25">
      <c r="B222" s="589"/>
      <c r="C222" s="555"/>
      <c r="D222" s="561"/>
      <c r="E222" s="555"/>
      <c r="F222" s="555"/>
    </row>
    <row r="223" spans="2:6" ht="14.25" customHeight="1" x14ac:dyDescent="0.2">
      <c r="B223" s="566" t="s">
        <v>180</v>
      </c>
      <c r="C223" s="567" t="s">
        <v>164</v>
      </c>
      <c r="D223" s="568"/>
      <c r="E223" s="482"/>
      <c r="F223" s="482"/>
    </row>
    <row r="224" spans="2:6" x14ac:dyDescent="0.2">
      <c r="B224" s="917" t="s">
        <v>154</v>
      </c>
      <c r="C224" s="918"/>
      <c r="D224" s="569"/>
      <c r="E224" s="570"/>
      <c r="F224" s="571"/>
    </row>
    <row r="225" spans="2:6" x14ac:dyDescent="0.2">
      <c r="B225" s="917" t="s">
        <v>165</v>
      </c>
      <c r="C225" s="918"/>
      <c r="D225" s="572"/>
      <c r="E225" s="570"/>
      <c r="F225" s="571"/>
    </row>
    <row r="226" spans="2:6" x14ac:dyDescent="0.2">
      <c r="B226" s="919" t="s">
        <v>166</v>
      </c>
      <c r="C226" s="918"/>
      <c r="D226" s="573"/>
      <c r="E226" s="574"/>
      <c r="F226" s="575"/>
    </row>
    <row r="227" spans="2:6" x14ac:dyDescent="0.2">
      <c r="B227" s="917" t="s">
        <v>152</v>
      </c>
      <c r="C227" s="918"/>
      <c r="D227" s="569"/>
      <c r="E227" s="574"/>
      <c r="F227" s="575"/>
    </row>
    <row r="228" spans="2:6" x14ac:dyDescent="0.2">
      <c r="B228" s="917" t="s">
        <v>153</v>
      </c>
      <c r="C228" s="918"/>
      <c r="D228" s="569"/>
      <c r="E228" s="574"/>
      <c r="F228" s="575"/>
    </row>
    <row r="229" spans="2:6" x14ac:dyDescent="0.2">
      <c r="B229" s="917" t="s">
        <v>482</v>
      </c>
      <c r="C229" s="918"/>
      <c r="D229" s="576"/>
      <c r="E229" s="574"/>
      <c r="F229" s="575"/>
    </row>
    <row r="230" spans="2:6" x14ac:dyDescent="0.2">
      <c r="B230" s="917" t="s">
        <v>484</v>
      </c>
      <c r="C230" s="918"/>
      <c r="D230" s="576"/>
      <c r="E230" s="574"/>
      <c r="F230" s="575"/>
    </row>
    <row r="231" spans="2:6" ht="13.5" thickBot="1" x14ac:dyDescent="0.25">
      <c r="B231" s="920" t="s">
        <v>498</v>
      </c>
      <c r="C231" s="921"/>
      <c r="D231" s="577"/>
      <c r="E231" s="574"/>
      <c r="F231" s="575"/>
    </row>
    <row r="232" spans="2:6" ht="13.5" thickBot="1" x14ac:dyDescent="0.25">
      <c r="B232" s="581"/>
      <c r="C232" s="582"/>
      <c r="D232" s="583"/>
      <c r="E232" s="555"/>
      <c r="F232" s="555"/>
    </row>
    <row r="233" spans="2:6" ht="14.25" customHeight="1" x14ac:dyDescent="0.2">
      <c r="B233" s="566" t="s">
        <v>181</v>
      </c>
      <c r="C233" s="567" t="s">
        <v>164</v>
      </c>
      <c r="D233" s="568"/>
      <c r="E233" s="482"/>
      <c r="F233" s="482"/>
    </row>
    <row r="234" spans="2:6" x14ac:dyDescent="0.2">
      <c r="B234" s="917" t="s">
        <v>154</v>
      </c>
      <c r="C234" s="918"/>
      <c r="D234" s="569"/>
      <c r="E234" s="570"/>
      <c r="F234" s="571"/>
    </row>
    <row r="235" spans="2:6" x14ac:dyDescent="0.2">
      <c r="B235" s="917" t="s">
        <v>165</v>
      </c>
      <c r="C235" s="918"/>
      <c r="D235" s="572"/>
      <c r="E235" s="570"/>
      <c r="F235" s="571"/>
    </row>
    <row r="236" spans="2:6" x14ac:dyDescent="0.2">
      <c r="B236" s="919" t="s">
        <v>166</v>
      </c>
      <c r="C236" s="918"/>
      <c r="D236" s="573"/>
      <c r="E236" s="574"/>
      <c r="F236" s="575"/>
    </row>
    <row r="237" spans="2:6" x14ac:dyDescent="0.2">
      <c r="B237" s="917" t="s">
        <v>152</v>
      </c>
      <c r="C237" s="918"/>
      <c r="D237" s="569"/>
      <c r="E237" s="574"/>
      <c r="F237" s="575"/>
    </row>
    <row r="238" spans="2:6" x14ac:dyDescent="0.2">
      <c r="B238" s="917" t="s">
        <v>153</v>
      </c>
      <c r="C238" s="918"/>
      <c r="D238" s="569"/>
      <c r="E238" s="574"/>
      <c r="F238" s="575"/>
    </row>
    <row r="239" spans="2:6" x14ac:dyDescent="0.2">
      <c r="B239" s="917" t="s">
        <v>482</v>
      </c>
      <c r="C239" s="918"/>
      <c r="D239" s="576"/>
      <c r="E239" s="574"/>
      <c r="F239" s="575"/>
    </row>
    <row r="240" spans="2:6" x14ac:dyDescent="0.2">
      <c r="B240" s="917" t="s">
        <v>484</v>
      </c>
      <c r="C240" s="918"/>
      <c r="D240" s="576"/>
      <c r="E240" s="574"/>
      <c r="F240" s="575"/>
    </row>
    <row r="241" spans="2:6" ht="13.5" thickBot="1" x14ac:dyDescent="0.25">
      <c r="B241" s="920" t="s">
        <v>498</v>
      </c>
      <c r="C241" s="921"/>
      <c r="D241" s="577"/>
      <c r="E241" s="574"/>
      <c r="F241" s="575"/>
    </row>
    <row r="242" spans="2:6" ht="13.5" thickBot="1" x14ac:dyDescent="0.25">
      <c r="B242" s="555"/>
      <c r="C242" s="555"/>
      <c r="D242" s="555"/>
      <c r="E242" s="555"/>
      <c r="F242" s="555"/>
    </row>
    <row r="243" spans="2:6" s="477" customFormat="1" ht="18.75" customHeight="1" thickBot="1" x14ac:dyDescent="0.25">
      <c r="B243" s="850" t="s">
        <v>500</v>
      </c>
      <c r="C243" s="851"/>
      <c r="D243" s="852"/>
      <c r="E243" s="590"/>
      <c r="F243" s="590"/>
    </row>
    <row r="244" spans="2:6" ht="13.5" customHeight="1" thickBot="1" x14ac:dyDescent="0.25">
      <c r="B244" s="591"/>
      <c r="C244" s="592"/>
      <c r="D244" s="565" t="str">
        <f>D6</f>
        <v>Current Year () Values</v>
      </c>
      <c r="E244" s="560"/>
      <c r="F244" s="560"/>
    </row>
    <row r="245" spans="2:6" ht="13.5" thickBot="1" x14ac:dyDescent="0.25">
      <c r="B245" s="578"/>
      <c r="C245" s="579"/>
      <c r="D245" s="580"/>
      <c r="E245" s="555"/>
      <c r="F245" s="555"/>
    </row>
    <row r="246" spans="2:6" ht="14.25" customHeight="1" x14ac:dyDescent="0.2">
      <c r="B246" s="566" t="s">
        <v>182</v>
      </c>
      <c r="C246" s="567" t="s">
        <v>164</v>
      </c>
      <c r="D246" s="568"/>
      <c r="E246" s="482"/>
      <c r="F246" s="482"/>
    </row>
    <row r="247" spans="2:6" x14ac:dyDescent="0.2">
      <c r="B247" s="917" t="s">
        <v>154</v>
      </c>
      <c r="C247" s="918"/>
      <c r="D247" s="569"/>
      <c r="E247" s="570"/>
      <c r="F247" s="571"/>
    </row>
    <row r="248" spans="2:6" x14ac:dyDescent="0.2">
      <c r="B248" s="917" t="s">
        <v>165</v>
      </c>
      <c r="C248" s="918"/>
      <c r="D248" s="572"/>
      <c r="E248" s="570"/>
      <c r="F248" s="571"/>
    </row>
    <row r="249" spans="2:6" x14ac:dyDescent="0.2">
      <c r="B249" s="919" t="s">
        <v>166</v>
      </c>
      <c r="C249" s="918"/>
      <c r="D249" s="573"/>
      <c r="E249" s="574"/>
      <c r="F249" s="575"/>
    </row>
    <row r="250" spans="2:6" x14ac:dyDescent="0.2">
      <c r="B250" s="917" t="s">
        <v>152</v>
      </c>
      <c r="C250" s="918"/>
      <c r="D250" s="569"/>
      <c r="E250" s="574"/>
      <c r="F250" s="575"/>
    </row>
    <row r="251" spans="2:6" x14ac:dyDescent="0.2">
      <c r="B251" s="917" t="s">
        <v>153</v>
      </c>
      <c r="C251" s="918"/>
      <c r="D251" s="569"/>
      <c r="E251" s="574"/>
      <c r="F251" s="575"/>
    </row>
    <row r="252" spans="2:6" x14ac:dyDescent="0.2">
      <c r="B252" s="917" t="s">
        <v>482</v>
      </c>
      <c r="C252" s="918"/>
      <c r="D252" s="576"/>
      <c r="E252" s="574"/>
      <c r="F252" s="575"/>
    </row>
    <row r="253" spans="2:6" x14ac:dyDescent="0.2">
      <c r="B253" s="917" t="s">
        <v>484</v>
      </c>
      <c r="C253" s="918"/>
      <c r="D253" s="576"/>
      <c r="E253" s="574"/>
      <c r="F253" s="575"/>
    </row>
    <row r="254" spans="2:6" ht="13.5" thickBot="1" x14ac:dyDescent="0.25">
      <c r="B254" s="920" t="s">
        <v>498</v>
      </c>
      <c r="C254" s="921"/>
      <c r="D254" s="577"/>
      <c r="E254" s="574"/>
      <c r="F254" s="575"/>
    </row>
    <row r="255" spans="2:6" ht="13.5" thickBot="1" x14ac:dyDescent="0.25">
      <c r="B255" s="581"/>
      <c r="C255" s="582"/>
      <c r="D255" s="583"/>
      <c r="E255" s="555"/>
      <c r="F255" s="555"/>
    </row>
    <row r="256" spans="2:6" ht="14.25" customHeight="1" x14ac:dyDescent="0.2">
      <c r="B256" s="566" t="s">
        <v>183</v>
      </c>
      <c r="C256" s="567" t="s">
        <v>164</v>
      </c>
      <c r="D256" s="568"/>
      <c r="E256" s="482"/>
      <c r="F256" s="482"/>
    </row>
    <row r="257" spans="2:6" x14ac:dyDescent="0.2">
      <c r="B257" s="917" t="s">
        <v>154</v>
      </c>
      <c r="C257" s="918"/>
      <c r="D257" s="569"/>
      <c r="E257" s="570"/>
      <c r="F257" s="571"/>
    </row>
    <row r="258" spans="2:6" x14ac:dyDescent="0.2">
      <c r="B258" s="917" t="s">
        <v>165</v>
      </c>
      <c r="C258" s="918"/>
      <c r="D258" s="572"/>
      <c r="E258" s="570"/>
      <c r="F258" s="571"/>
    </row>
    <row r="259" spans="2:6" x14ac:dyDescent="0.2">
      <c r="B259" s="919" t="s">
        <v>166</v>
      </c>
      <c r="C259" s="918"/>
      <c r="D259" s="573"/>
      <c r="E259" s="574"/>
      <c r="F259" s="575"/>
    </row>
    <row r="260" spans="2:6" x14ac:dyDescent="0.2">
      <c r="B260" s="917" t="s">
        <v>152</v>
      </c>
      <c r="C260" s="918"/>
      <c r="D260" s="569"/>
      <c r="E260" s="574"/>
      <c r="F260" s="575"/>
    </row>
    <row r="261" spans="2:6" x14ac:dyDescent="0.2">
      <c r="B261" s="917" t="s">
        <v>153</v>
      </c>
      <c r="C261" s="918"/>
      <c r="D261" s="569"/>
      <c r="E261" s="574"/>
      <c r="F261" s="575"/>
    </row>
    <row r="262" spans="2:6" x14ac:dyDescent="0.2">
      <c r="B262" s="917" t="s">
        <v>482</v>
      </c>
      <c r="C262" s="918"/>
      <c r="D262" s="576"/>
      <c r="E262" s="574"/>
      <c r="F262" s="575"/>
    </row>
    <row r="263" spans="2:6" x14ac:dyDescent="0.2">
      <c r="B263" s="917" t="s">
        <v>484</v>
      </c>
      <c r="C263" s="918"/>
      <c r="D263" s="576"/>
      <c r="E263" s="574"/>
      <c r="F263" s="575"/>
    </row>
    <row r="264" spans="2:6" ht="13.5" thickBot="1" x14ac:dyDescent="0.25">
      <c r="B264" s="920" t="s">
        <v>498</v>
      </c>
      <c r="C264" s="921"/>
      <c r="D264" s="577"/>
      <c r="E264" s="574"/>
      <c r="F264" s="575"/>
    </row>
    <row r="265" spans="2:6" ht="13.5" thickBot="1" x14ac:dyDescent="0.25">
      <c r="B265" s="581"/>
      <c r="C265" s="582"/>
      <c r="D265" s="583"/>
      <c r="E265" s="555"/>
      <c r="F265" s="555"/>
    </row>
    <row r="266" spans="2:6" ht="14.25" customHeight="1" x14ac:dyDescent="0.2">
      <c r="B266" s="566" t="s">
        <v>184</v>
      </c>
      <c r="C266" s="567" t="s">
        <v>164</v>
      </c>
      <c r="D266" s="568"/>
      <c r="E266" s="482"/>
      <c r="F266" s="482"/>
    </row>
    <row r="267" spans="2:6" x14ac:dyDescent="0.2">
      <c r="B267" s="917" t="s">
        <v>154</v>
      </c>
      <c r="C267" s="918"/>
      <c r="D267" s="569"/>
      <c r="E267" s="570"/>
      <c r="F267" s="571"/>
    </row>
    <row r="268" spans="2:6" x14ac:dyDescent="0.2">
      <c r="B268" s="917" t="s">
        <v>165</v>
      </c>
      <c r="C268" s="918"/>
      <c r="D268" s="572"/>
      <c r="E268" s="570"/>
      <c r="F268" s="571"/>
    </row>
    <row r="269" spans="2:6" x14ac:dyDescent="0.2">
      <c r="B269" s="919" t="s">
        <v>166</v>
      </c>
      <c r="C269" s="918"/>
      <c r="D269" s="573"/>
      <c r="E269" s="574"/>
      <c r="F269" s="575"/>
    </row>
    <row r="270" spans="2:6" x14ac:dyDescent="0.2">
      <c r="B270" s="917" t="s">
        <v>152</v>
      </c>
      <c r="C270" s="918"/>
      <c r="D270" s="569"/>
      <c r="E270" s="574"/>
      <c r="F270" s="575"/>
    </row>
    <row r="271" spans="2:6" x14ac:dyDescent="0.2">
      <c r="B271" s="917" t="s">
        <v>153</v>
      </c>
      <c r="C271" s="918"/>
      <c r="D271" s="569"/>
      <c r="E271" s="574"/>
      <c r="F271" s="575"/>
    </row>
    <row r="272" spans="2:6" x14ac:dyDescent="0.2">
      <c r="B272" s="917" t="s">
        <v>482</v>
      </c>
      <c r="C272" s="918"/>
      <c r="D272" s="576"/>
      <c r="E272" s="574"/>
      <c r="F272" s="575"/>
    </row>
    <row r="273" spans="2:6" x14ac:dyDescent="0.2">
      <c r="B273" s="917" t="s">
        <v>484</v>
      </c>
      <c r="C273" s="918"/>
      <c r="D273" s="576"/>
      <c r="E273" s="574"/>
      <c r="F273" s="575"/>
    </row>
    <row r="274" spans="2:6" ht="13.5" thickBot="1" x14ac:dyDescent="0.25">
      <c r="B274" s="920" t="s">
        <v>498</v>
      </c>
      <c r="C274" s="921"/>
      <c r="D274" s="577"/>
      <c r="E274" s="574"/>
      <c r="F274" s="575"/>
    </row>
    <row r="275" spans="2:6" ht="13.5" thickBot="1" x14ac:dyDescent="0.25">
      <c r="B275" s="581"/>
      <c r="C275" s="582"/>
      <c r="D275" s="583"/>
      <c r="E275" s="555"/>
      <c r="F275" s="555"/>
    </row>
    <row r="276" spans="2:6" ht="14.25" customHeight="1" x14ac:dyDescent="0.2">
      <c r="B276" s="566" t="s">
        <v>185</v>
      </c>
      <c r="C276" s="567" t="s">
        <v>164</v>
      </c>
      <c r="D276" s="568"/>
      <c r="E276" s="482"/>
      <c r="F276" s="482"/>
    </row>
    <row r="277" spans="2:6" x14ac:dyDescent="0.2">
      <c r="B277" s="917" t="s">
        <v>154</v>
      </c>
      <c r="C277" s="918"/>
      <c r="D277" s="569"/>
      <c r="E277" s="570"/>
      <c r="F277" s="571"/>
    </row>
    <row r="278" spans="2:6" x14ac:dyDescent="0.2">
      <c r="B278" s="917" t="s">
        <v>165</v>
      </c>
      <c r="C278" s="918"/>
      <c r="D278" s="572"/>
      <c r="E278" s="570"/>
      <c r="F278" s="571"/>
    </row>
    <row r="279" spans="2:6" x14ac:dyDescent="0.2">
      <c r="B279" s="919" t="s">
        <v>166</v>
      </c>
      <c r="C279" s="918"/>
      <c r="D279" s="573"/>
      <c r="E279" s="574"/>
      <c r="F279" s="575"/>
    </row>
    <row r="280" spans="2:6" x14ac:dyDescent="0.2">
      <c r="B280" s="917" t="s">
        <v>152</v>
      </c>
      <c r="C280" s="918"/>
      <c r="D280" s="569"/>
      <c r="E280" s="574"/>
      <c r="F280" s="575"/>
    </row>
    <row r="281" spans="2:6" x14ac:dyDescent="0.2">
      <c r="B281" s="917" t="s">
        <v>153</v>
      </c>
      <c r="C281" s="918"/>
      <c r="D281" s="569"/>
      <c r="E281" s="574"/>
      <c r="F281" s="575"/>
    </row>
    <row r="282" spans="2:6" x14ac:dyDescent="0.2">
      <c r="B282" s="917" t="s">
        <v>482</v>
      </c>
      <c r="C282" s="918"/>
      <c r="D282" s="576"/>
      <c r="E282" s="574"/>
      <c r="F282" s="575"/>
    </row>
    <row r="283" spans="2:6" x14ac:dyDescent="0.2">
      <c r="B283" s="917" t="s">
        <v>484</v>
      </c>
      <c r="C283" s="918"/>
      <c r="D283" s="576"/>
      <c r="E283" s="574"/>
      <c r="F283" s="575"/>
    </row>
    <row r="284" spans="2:6" ht="13.5" thickBot="1" x14ac:dyDescent="0.25">
      <c r="B284" s="920" t="s">
        <v>498</v>
      </c>
      <c r="C284" s="921"/>
      <c r="D284" s="577"/>
      <c r="E284" s="574"/>
      <c r="F284" s="575"/>
    </row>
    <row r="285" spans="2:6" s="563" customFormat="1" x14ac:dyDescent="0.2">
      <c r="B285" s="922"/>
      <c r="C285" s="922"/>
      <c r="D285" s="922"/>
    </row>
    <row r="286" spans="2:6" ht="45" customHeight="1" x14ac:dyDescent="0.2">
      <c r="B286" s="923" t="s">
        <v>501</v>
      </c>
      <c r="C286" s="923"/>
      <c r="D286" s="923"/>
      <c r="F286" s="593"/>
    </row>
    <row r="287" spans="2:6" ht="45" customHeight="1" x14ac:dyDescent="0.2">
      <c r="B287" s="924" t="s">
        <v>502</v>
      </c>
      <c r="C287" s="924"/>
      <c r="D287" s="924"/>
      <c r="E287" s="593"/>
      <c r="F287" s="593"/>
    </row>
    <row r="288" spans="2:6" ht="15" customHeight="1" x14ac:dyDescent="0.2">
      <c r="B288" s="923" t="s">
        <v>503</v>
      </c>
      <c r="C288" s="923"/>
      <c r="D288" s="923"/>
      <c r="E288" s="594"/>
      <c r="F288" s="594"/>
    </row>
    <row r="289" spans="2:6" s="564" customFormat="1" ht="30" customHeight="1" x14ac:dyDescent="0.2">
      <c r="B289" s="924" t="s">
        <v>186</v>
      </c>
      <c r="C289" s="924"/>
      <c r="D289" s="924"/>
      <c r="E289" s="593"/>
      <c r="F289" s="593"/>
    </row>
    <row r="290" spans="2:6" ht="30" customHeight="1" x14ac:dyDescent="0.2">
      <c r="B290" s="925" t="s">
        <v>504</v>
      </c>
      <c r="C290" s="925"/>
      <c r="D290" s="925"/>
      <c r="E290" s="593"/>
      <c r="F290" s="593"/>
    </row>
  </sheetData>
  <sheetProtection algorithmName="SHA-512" hashValue="3tLt5YutFmeVt/Iv5080kF7c7h8At8EpFN5eCRXYNB0XW1Uj7AAjTzWW1TjdU+njOnZs5wBCv+dXM6rQBp6yFw==" saltValue="EzONZT/m+eRGEPCAgj1duA==" spinCount="100000" sheet="1" formatCells="0" formatColumns="0" formatRows="0" insertColumns="0" insertRows="0" insertHyperlinks="0" selectLockedCells="1"/>
  <mergeCells count="252">
    <mergeCell ref="B285:D285"/>
    <mergeCell ref="B286:D286"/>
    <mergeCell ref="B287:D287"/>
    <mergeCell ref="B288:D288"/>
    <mergeCell ref="B289:D289"/>
    <mergeCell ref="B290:D290"/>
    <mergeCell ref="B279:C279"/>
    <mergeCell ref="B280:C280"/>
    <mergeCell ref="B281:C281"/>
    <mergeCell ref="B282:C282"/>
    <mergeCell ref="B283:C283"/>
    <mergeCell ref="B284:C284"/>
    <mergeCell ref="B271:C271"/>
    <mergeCell ref="B272:C272"/>
    <mergeCell ref="B273:C273"/>
    <mergeCell ref="B274:C274"/>
    <mergeCell ref="B277:C277"/>
    <mergeCell ref="B278:C278"/>
    <mergeCell ref="B263:C263"/>
    <mergeCell ref="B264:C264"/>
    <mergeCell ref="B267:C267"/>
    <mergeCell ref="B268:C268"/>
    <mergeCell ref="B269:C269"/>
    <mergeCell ref="B270:C270"/>
    <mergeCell ref="B257:C257"/>
    <mergeCell ref="B258:C258"/>
    <mergeCell ref="B259:C259"/>
    <mergeCell ref="B260:C260"/>
    <mergeCell ref="B261:C261"/>
    <mergeCell ref="B262:C262"/>
    <mergeCell ref="B249:C249"/>
    <mergeCell ref="B250:C250"/>
    <mergeCell ref="B251:C251"/>
    <mergeCell ref="B252:C252"/>
    <mergeCell ref="B253:C253"/>
    <mergeCell ref="B254:C254"/>
    <mergeCell ref="B239:C239"/>
    <mergeCell ref="B240:C240"/>
    <mergeCell ref="B241:C241"/>
    <mergeCell ref="B243:D243"/>
    <mergeCell ref="B247:C247"/>
    <mergeCell ref="B248:C248"/>
    <mergeCell ref="B231:C231"/>
    <mergeCell ref="B234:C234"/>
    <mergeCell ref="B235:C235"/>
    <mergeCell ref="B236:C236"/>
    <mergeCell ref="B237:C237"/>
    <mergeCell ref="B238:C238"/>
    <mergeCell ref="B225:C225"/>
    <mergeCell ref="B226:C226"/>
    <mergeCell ref="B227:C227"/>
    <mergeCell ref="B228:C228"/>
    <mergeCell ref="B229:C229"/>
    <mergeCell ref="B230:C230"/>
    <mergeCell ref="B217:C217"/>
    <mergeCell ref="B218:C218"/>
    <mergeCell ref="B219:C219"/>
    <mergeCell ref="B220:C220"/>
    <mergeCell ref="B221:C221"/>
    <mergeCell ref="B224:C224"/>
    <mergeCell ref="B209:C209"/>
    <mergeCell ref="B210:C210"/>
    <mergeCell ref="B211:C211"/>
    <mergeCell ref="B214:C214"/>
    <mergeCell ref="B215:C215"/>
    <mergeCell ref="B216:C216"/>
    <mergeCell ref="B201:C201"/>
    <mergeCell ref="B204:C204"/>
    <mergeCell ref="B205:C205"/>
    <mergeCell ref="B206:C206"/>
    <mergeCell ref="B207:C207"/>
    <mergeCell ref="B208:C208"/>
    <mergeCell ref="B195:C195"/>
    <mergeCell ref="B196:C196"/>
    <mergeCell ref="B197:C197"/>
    <mergeCell ref="B198:C198"/>
    <mergeCell ref="B199:C199"/>
    <mergeCell ref="B200:C200"/>
    <mergeCell ref="B187:C187"/>
    <mergeCell ref="B188:C188"/>
    <mergeCell ref="B189:C189"/>
    <mergeCell ref="B190:C190"/>
    <mergeCell ref="B191:C191"/>
    <mergeCell ref="B194:C194"/>
    <mergeCell ref="B179:C179"/>
    <mergeCell ref="B180:C180"/>
    <mergeCell ref="B181:C181"/>
    <mergeCell ref="B184:C184"/>
    <mergeCell ref="B185:C185"/>
    <mergeCell ref="B186:C186"/>
    <mergeCell ref="B171:C171"/>
    <mergeCell ref="B174:C174"/>
    <mergeCell ref="B175:C175"/>
    <mergeCell ref="B176:C176"/>
    <mergeCell ref="B177:C177"/>
    <mergeCell ref="B178:C178"/>
    <mergeCell ref="B165:C165"/>
    <mergeCell ref="B166:C166"/>
    <mergeCell ref="B167:C167"/>
    <mergeCell ref="B168:C168"/>
    <mergeCell ref="B169:C169"/>
    <mergeCell ref="B170:C170"/>
    <mergeCell ref="B157:C157"/>
    <mergeCell ref="B158:C158"/>
    <mergeCell ref="B159:C159"/>
    <mergeCell ref="B160:C160"/>
    <mergeCell ref="B161:C161"/>
    <mergeCell ref="B164:C164"/>
    <mergeCell ref="B147:C147"/>
    <mergeCell ref="B148:C148"/>
    <mergeCell ref="B150:D150"/>
    <mergeCell ref="B154:C154"/>
    <mergeCell ref="B155:C155"/>
    <mergeCell ref="B156:C156"/>
    <mergeCell ref="B141:C141"/>
    <mergeCell ref="B142:C142"/>
    <mergeCell ref="B143:C143"/>
    <mergeCell ref="B144:C144"/>
    <mergeCell ref="B145:C145"/>
    <mergeCell ref="B146:C146"/>
    <mergeCell ref="B133:C133"/>
    <mergeCell ref="B134:C134"/>
    <mergeCell ref="B135:C135"/>
    <mergeCell ref="B136:C136"/>
    <mergeCell ref="B137:C137"/>
    <mergeCell ref="B138:C138"/>
    <mergeCell ref="B125:C125"/>
    <mergeCell ref="B126:C126"/>
    <mergeCell ref="B127:C127"/>
    <mergeCell ref="B128:C128"/>
    <mergeCell ref="B131:C131"/>
    <mergeCell ref="B132:C132"/>
    <mergeCell ref="B117:C117"/>
    <mergeCell ref="B118:C118"/>
    <mergeCell ref="B121:C121"/>
    <mergeCell ref="B122:C122"/>
    <mergeCell ref="B123:C123"/>
    <mergeCell ref="B124:C124"/>
    <mergeCell ref="B111:C111"/>
    <mergeCell ref="B112:C112"/>
    <mergeCell ref="B113:C113"/>
    <mergeCell ref="B114:C114"/>
    <mergeCell ref="B115:C115"/>
    <mergeCell ref="B116:C116"/>
    <mergeCell ref="B103:C103"/>
    <mergeCell ref="B104:C104"/>
    <mergeCell ref="B105:C105"/>
    <mergeCell ref="B106:C106"/>
    <mergeCell ref="B107:C107"/>
    <mergeCell ref="B108:C108"/>
    <mergeCell ref="B95:C95"/>
    <mergeCell ref="B96:C96"/>
    <mergeCell ref="B97:C97"/>
    <mergeCell ref="B98:C98"/>
    <mergeCell ref="B101:C101"/>
    <mergeCell ref="B102:C102"/>
    <mergeCell ref="B87:C87"/>
    <mergeCell ref="B88:C88"/>
    <mergeCell ref="B91:C91"/>
    <mergeCell ref="B92:C92"/>
    <mergeCell ref="B93:C93"/>
    <mergeCell ref="B94:C94"/>
    <mergeCell ref="B81:C81"/>
    <mergeCell ref="B82:C82"/>
    <mergeCell ref="B83:C83"/>
    <mergeCell ref="B84:C84"/>
    <mergeCell ref="B85:C85"/>
    <mergeCell ref="B86:C86"/>
    <mergeCell ref="B71:C71"/>
    <mergeCell ref="B74:C74"/>
    <mergeCell ref="B75:C75"/>
    <mergeCell ref="E75:F75"/>
    <mergeCell ref="B76:D76"/>
    <mergeCell ref="B77:D77"/>
    <mergeCell ref="B59:C59"/>
    <mergeCell ref="B62:C62"/>
    <mergeCell ref="B63:C63"/>
    <mergeCell ref="B66:C66"/>
    <mergeCell ref="B67:C67"/>
    <mergeCell ref="B70:C70"/>
    <mergeCell ref="B48:C48"/>
    <mergeCell ref="B49:C49"/>
    <mergeCell ref="B50:C50"/>
    <mergeCell ref="B52:D52"/>
    <mergeCell ref="B54:D54"/>
    <mergeCell ref="B58:C58"/>
    <mergeCell ref="B42:C42"/>
    <mergeCell ref="E42:F42"/>
    <mergeCell ref="B45:C45"/>
    <mergeCell ref="E45:F45"/>
    <mergeCell ref="B46:C46"/>
    <mergeCell ref="B47:C47"/>
    <mergeCell ref="B39:C39"/>
    <mergeCell ref="E39:F39"/>
    <mergeCell ref="B40:C40"/>
    <mergeCell ref="E40:F40"/>
    <mergeCell ref="B41:C41"/>
    <mergeCell ref="E41:F41"/>
    <mergeCell ref="B34:C34"/>
    <mergeCell ref="E34:F34"/>
    <mergeCell ref="B35:C35"/>
    <mergeCell ref="E35:F35"/>
    <mergeCell ref="B36:C36"/>
    <mergeCell ref="E36:F36"/>
    <mergeCell ref="B29:C29"/>
    <mergeCell ref="E29:F29"/>
    <mergeCell ref="B32:C32"/>
    <mergeCell ref="E32:F32"/>
    <mergeCell ref="B33:C33"/>
    <mergeCell ref="E33:F33"/>
    <mergeCell ref="B26:C26"/>
    <mergeCell ref="E26:F26"/>
    <mergeCell ref="B27:C27"/>
    <mergeCell ref="E27:F27"/>
    <mergeCell ref="B28:C28"/>
    <mergeCell ref="E28:F28"/>
    <mergeCell ref="B23:C23"/>
    <mergeCell ref="E23:F23"/>
    <mergeCell ref="B24:C24"/>
    <mergeCell ref="E24:F24"/>
    <mergeCell ref="B25:C25"/>
    <mergeCell ref="E25:F25"/>
    <mergeCell ref="B20:C20"/>
    <mergeCell ref="E20:F20"/>
    <mergeCell ref="B21:C21"/>
    <mergeCell ref="E21:F21"/>
    <mergeCell ref="B22:C22"/>
    <mergeCell ref="E22:F22"/>
    <mergeCell ref="B15:C15"/>
    <mergeCell ref="E15:F15"/>
    <mergeCell ref="B18:C18"/>
    <mergeCell ref="E18:F18"/>
    <mergeCell ref="B19:C19"/>
    <mergeCell ref="E19:F19"/>
    <mergeCell ref="B12:C12"/>
    <mergeCell ref="E12:F12"/>
    <mergeCell ref="B13:C13"/>
    <mergeCell ref="E13:F13"/>
    <mergeCell ref="B14:C14"/>
    <mergeCell ref="E14:F14"/>
    <mergeCell ref="B7:C7"/>
    <mergeCell ref="E7:F7"/>
    <mergeCell ref="B8:C8"/>
    <mergeCell ref="E8:F8"/>
    <mergeCell ref="B9:C9"/>
    <mergeCell ref="E9:F9"/>
    <mergeCell ref="A1:F1"/>
    <mergeCell ref="A2:B2"/>
    <mergeCell ref="C2:F2"/>
    <mergeCell ref="A4:F4"/>
    <mergeCell ref="B6:C6"/>
    <mergeCell ref="E6:F6"/>
  </mergeCells>
  <printOptions horizontalCentered="1"/>
  <pageMargins left="0.75" right="0.75" top="0.5" bottom="0.5" header="0.5" footer="0.5"/>
  <pageSetup scale="44" fitToHeight="6" orientation="portrait" r:id="rId1"/>
  <headerFooter alignWithMargins="0"/>
  <rowBreaks count="3" manualBreakCount="3">
    <brk id="51" max="5" man="1"/>
    <brk id="149" max="5" man="1"/>
    <brk id="242" max="5"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R168"/>
  <sheetViews>
    <sheetView showGridLines="0" topLeftCell="A4" zoomScaleNormal="100" zoomScaleSheetLayoutView="100" workbookViewId="0">
      <selection activeCell="H11" sqref="H11:K11"/>
    </sheetView>
  </sheetViews>
  <sheetFormatPr defaultColWidth="8.5" defaultRowHeight="14.25" x14ac:dyDescent="0.2"/>
  <cols>
    <col min="1" max="1" width="5.25" style="112" customWidth="1"/>
    <col min="2" max="2" width="36.5" style="112" customWidth="1"/>
    <col min="3" max="3" width="13.25" style="112" customWidth="1"/>
    <col min="4" max="4" width="15.25" style="112" customWidth="1"/>
    <col min="5" max="5" width="13.5" style="112" customWidth="1"/>
    <col min="6" max="6" width="14.25" style="112" customWidth="1"/>
    <col min="7" max="7" width="17.5" style="112" customWidth="1"/>
    <col min="8" max="8" width="13.25" style="112" customWidth="1"/>
    <col min="9" max="9" width="16.25" style="112" customWidth="1"/>
    <col min="10" max="11" width="13.5" style="112" customWidth="1"/>
    <col min="12" max="12" width="17.5" style="112" customWidth="1"/>
    <col min="13" max="13" width="13.5" style="112" customWidth="1"/>
    <col min="14" max="14" width="18.25" style="112" customWidth="1"/>
    <col min="15" max="16" width="13.5" style="112" customWidth="1"/>
    <col min="17" max="17" width="17.5" style="112" customWidth="1"/>
    <col min="18" max="18" width="11.5" style="112" customWidth="1"/>
    <col min="19" max="16384" width="8.5" style="112"/>
  </cols>
  <sheetData>
    <row r="1" spans="1:18" ht="18.75" customHeight="1" thickBot="1" x14ac:dyDescent="0.25">
      <c r="A1" s="985" t="s">
        <v>187</v>
      </c>
      <c r="B1" s="986"/>
      <c r="C1" s="986"/>
      <c r="D1" s="986"/>
      <c r="E1" s="986"/>
      <c r="F1" s="986"/>
      <c r="G1" s="986"/>
      <c r="H1" s="986"/>
      <c r="I1" s="986"/>
      <c r="J1" s="986"/>
      <c r="K1" s="986"/>
      <c r="L1" s="986"/>
      <c r="M1" s="986"/>
      <c r="N1" s="986"/>
      <c r="O1" s="986"/>
      <c r="P1" s="986"/>
      <c r="Q1" s="987"/>
      <c r="R1" s="407"/>
    </row>
    <row r="2" spans="1:18" ht="16.5" thickBot="1" x14ac:dyDescent="0.3">
      <c r="A2" s="963" t="s">
        <v>0</v>
      </c>
      <c r="B2" s="964"/>
      <c r="C2" s="964"/>
      <c r="D2" s="964"/>
      <c r="E2" s="965"/>
      <c r="F2" s="963" t="str">
        <f>Finance!B2</f>
        <v/>
      </c>
      <c r="G2" s="964"/>
      <c r="H2" s="964"/>
      <c r="I2" s="964"/>
      <c r="J2" s="964"/>
      <c r="K2" s="964"/>
      <c r="L2" s="964"/>
      <c r="M2" s="964"/>
      <c r="N2" s="964"/>
      <c r="O2" s="964"/>
      <c r="P2" s="964"/>
      <c r="Q2" s="965"/>
      <c r="R2" s="192"/>
    </row>
    <row r="3" spans="1:18" s="408" customFormat="1" ht="6" customHeight="1" x14ac:dyDescent="0.2">
      <c r="A3" s="183"/>
      <c r="B3" s="380"/>
      <c r="C3" s="380"/>
      <c r="D3" s="380"/>
      <c r="E3" s="380"/>
      <c r="F3" s="380"/>
      <c r="G3" s="380"/>
      <c r="H3" s="380"/>
      <c r="I3" s="380"/>
      <c r="J3" s="380"/>
      <c r="K3" s="380"/>
      <c r="L3" s="380"/>
      <c r="M3" s="380"/>
      <c r="N3" s="380"/>
      <c r="O3" s="380"/>
      <c r="P3" s="380"/>
      <c r="Q3" s="380"/>
      <c r="R3" s="380"/>
    </row>
    <row r="4" spans="1:18" s="409" customFormat="1" ht="15" customHeight="1" x14ac:dyDescent="0.2">
      <c r="A4" s="984" t="str">
        <f>IF(OR('Project Description'!C96="(Select…)",H8="(Select…)",H9="(Select…)",H10="(Select…)",H11="(Select…)"),CONCATENATE("*** To view Environmental Benefits results, specify ",IF('Project Description'!C92&lt;&gt;"Yes","the horizon year option in the Project Description Template and ",""),"the regional air quality attainment status for each criteria pollutant",IF('Project Description'!C92="Yes"," and enter additional requested information","")," below ***"),"")</f>
        <v>*** To view Environmental Benefits results, specify the horizon year option in the Project Description Template and the regional air quality attainment status for each criteria pollutant below ***</v>
      </c>
      <c r="B4" s="984"/>
      <c r="C4" s="984"/>
      <c r="D4" s="984"/>
      <c r="E4" s="984"/>
      <c r="F4" s="984"/>
      <c r="G4" s="984"/>
      <c r="H4" s="984"/>
      <c r="I4" s="984"/>
      <c r="J4" s="984"/>
      <c r="K4" s="984"/>
      <c r="L4" s="984"/>
      <c r="M4" s="984"/>
      <c r="N4" s="984"/>
      <c r="O4" s="984"/>
      <c r="P4" s="984"/>
      <c r="Q4" s="984"/>
      <c r="R4" s="219"/>
    </row>
    <row r="5" spans="1:18" s="408" customFormat="1" ht="6" customHeight="1" thickBot="1" x14ac:dyDescent="0.25">
      <c r="A5" s="184"/>
      <c r="B5" s="380"/>
      <c r="C5" s="380"/>
      <c r="D5" s="380"/>
      <c r="E5" s="380"/>
      <c r="F5" s="380"/>
      <c r="G5" s="380"/>
      <c r="H5" s="380"/>
      <c r="I5" s="380"/>
      <c r="J5" s="380"/>
      <c r="K5" s="380"/>
      <c r="L5" s="380"/>
      <c r="M5" s="380"/>
      <c r="N5" s="380"/>
      <c r="O5" s="380"/>
      <c r="P5" s="380"/>
      <c r="Q5" s="380"/>
      <c r="R5" s="380"/>
    </row>
    <row r="6" spans="1:18" ht="16.5" thickBot="1" x14ac:dyDescent="0.3">
      <c r="A6" s="824" t="s">
        <v>188</v>
      </c>
      <c r="B6" s="825"/>
      <c r="C6" s="825"/>
      <c r="D6" s="825"/>
      <c r="E6" s="825"/>
      <c r="F6" s="825"/>
      <c r="G6" s="825"/>
      <c r="H6" s="825"/>
      <c r="I6" s="825"/>
      <c r="J6" s="825"/>
      <c r="K6" s="825"/>
      <c r="L6" s="825"/>
      <c r="M6" s="825"/>
      <c r="N6" s="825"/>
      <c r="O6" s="825"/>
      <c r="P6" s="825"/>
      <c r="Q6" s="826"/>
      <c r="R6" s="192"/>
    </row>
    <row r="7" spans="1:18" s="410" customFormat="1" ht="15" x14ac:dyDescent="0.25">
      <c r="A7" s="106" t="s">
        <v>83</v>
      </c>
      <c r="B7" s="998" t="s">
        <v>139</v>
      </c>
      <c r="C7" s="999"/>
      <c r="D7" s="999"/>
      <c r="E7" s="999"/>
      <c r="F7" s="999"/>
      <c r="G7" s="1000"/>
      <c r="H7" s="954" t="s">
        <v>140</v>
      </c>
      <c r="I7" s="955"/>
      <c r="J7" s="955"/>
      <c r="K7" s="956"/>
      <c r="L7" s="381" t="s">
        <v>141</v>
      </c>
      <c r="M7" s="382"/>
      <c r="N7" s="382"/>
      <c r="O7" s="382"/>
      <c r="P7" s="382"/>
      <c r="Q7" s="383"/>
    </row>
    <row r="8" spans="1:18" ht="15" x14ac:dyDescent="0.2">
      <c r="A8" s="107">
        <v>1</v>
      </c>
      <c r="B8" s="941" t="s">
        <v>189</v>
      </c>
      <c r="C8" s="942"/>
      <c r="D8" s="942"/>
      <c r="E8" s="942"/>
      <c r="F8" s="942"/>
      <c r="G8" s="943"/>
      <c r="H8" s="966" t="s">
        <v>32</v>
      </c>
      <c r="I8" s="967"/>
      <c r="J8" s="967"/>
      <c r="K8" s="968"/>
      <c r="L8" s="975" t="s">
        <v>190</v>
      </c>
      <c r="M8" s="976"/>
      <c r="N8" s="976"/>
      <c r="O8" s="976"/>
      <c r="P8" s="976"/>
      <c r="Q8" s="977"/>
    </row>
    <row r="9" spans="1:18" ht="15" x14ac:dyDescent="0.2">
      <c r="A9" s="107">
        <f>A8+1</f>
        <v>2</v>
      </c>
      <c r="B9" s="941" t="s">
        <v>191</v>
      </c>
      <c r="C9" s="942"/>
      <c r="D9" s="942"/>
      <c r="E9" s="942"/>
      <c r="F9" s="942"/>
      <c r="G9" s="943"/>
      <c r="H9" s="966" t="s">
        <v>32</v>
      </c>
      <c r="I9" s="967"/>
      <c r="J9" s="967"/>
      <c r="K9" s="968"/>
      <c r="L9" s="978"/>
      <c r="M9" s="979"/>
      <c r="N9" s="979"/>
      <c r="O9" s="979"/>
      <c r="P9" s="979"/>
      <c r="Q9" s="980"/>
    </row>
    <row r="10" spans="1:18" ht="15" x14ac:dyDescent="0.2">
      <c r="A10" s="107">
        <f t="shared" ref="A10:A11" si="0">A9+1</f>
        <v>3</v>
      </c>
      <c r="B10" s="941" t="s">
        <v>192</v>
      </c>
      <c r="C10" s="942"/>
      <c r="D10" s="942"/>
      <c r="E10" s="942"/>
      <c r="F10" s="942"/>
      <c r="G10" s="943"/>
      <c r="H10" s="966" t="s">
        <v>32</v>
      </c>
      <c r="I10" s="967"/>
      <c r="J10" s="967"/>
      <c r="K10" s="968"/>
      <c r="L10" s="978"/>
      <c r="M10" s="979"/>
      <c r="N10" s="979"/>
      <c r="O10" s="979"/>
      <c r="P10" s="979"/>
      <c r="Q10" s="980"/>
    </row>
    <row r="11" spans="1:18" ht="15.75" thickBot="1" x14ac:dyDescent="0.25">
      <c r="A11" s="229">
        <f t="shared" si="0"/>
        <v>4</v>
      </c>
      <c r="B11" s="969" t="s">
        <v>193</v>
      </c>
      <c r="C11" s="970"/>
      <c r="D11" s="970"/>
      <c r="E11" s="970"/>
      <c r="F11" s="970"/>
      <c r="G11" s="971"/>
      <c r="H11" s="972" t="s">
        <v>32</v>
      </c>
      <c r="I11" s="973"/>
      <c r="J11" s="973"/>
      <c r="K11" s="974"/>
      <c r="L11" s="981"/>
      <c r="M11" s="982"/>
      <c r="N11" s="982"/>
      <c r="O11" s="982"/>
      <c r="P11" s="982"/>
      <c r="Q11" s="983"/>
    </row>
    <row r="12" spans="1:18" s="413" customFormat="1" ht="15.75" thickBot="1" x14ac:dyDescent="0.25">
      <c r="A12" s="230"/>
      <c r="B12" s="231"/>
      <c r="C12" s="231"/>
      <c r="D12" s="231"/>
      <c r="E12" s="231"/>
      <c r="F12" s="231"/>
      <c r="G12" s="231"/>
      <c r="H12" s="411"/>
      <c r="I12" s="411"/>
      <c r="J12" s="411"/>
      <c r="K12" s="411"/>
      <c r="L12" s="412"/>
      <c r="M12" s="412"/>
      <c r="N12" s="412"/>
      <c r="O12" s="412"/>
      <c r="P12" s="412"/>
      <c r="Q12" s="412"/>
    </row>
    <row r="13" spans="1:18" ht="16.5" thickBot="1" x14ac:dyDescent="0.3">
      <c r="A13" s="824" t="s">
        <v>194</v>
      </c>
      <c r="B13" s="825"/>
      <c r="C13" s="825"/>
      <c r="D13" s="825"/>
      <c r="E13" s="825"/>
      <c r="F13" s="825"/>
      <c r="G13" s="825"/>
      <c r="H13" s="825"/>
      <c r="I13" s="825"/>
      <c r="J13" s="825"/>
      <c r="K13" s="825"/>
      <c r="L13" s="825"/>
      <c r="M13" s="825"/>
      <c r="N13" s="825"/>
      <c r="O13" s="825"/>
      <c r="P13" s="825"/>
      <c r="Q13" s="826"/>
    </row>
    <row r="14" spans="1:18" ht="14.1" customHeight="1" x14ac:dyDescent="0.25">
      <c r="A14" s="414" t="s">
        <v>83</v>
      </c>
      <c r="B14" s="951"/>
      <c r="C14" s="952"/>
      <c r="D14" s="952"/>
      <c r="E14" s="952"/>
      <c r="F14" s="952"/>
      <c r="G14" s="953"/>
      <c r="H14" s="954" t="s">
        <v>140</v>
      </c>
      <c r="I14" s="955"/>
      <c r="J14" s="955"/>
      <c r="K14" s="956"/>
      <c r="L14" s="415" t="s">
        <v>141</v>
      </c>
      <c r="M14" s="210"/>
      <c r="N14" s="210"/>
      <c r="O14" s="210"/>
      <c r="P14" s="210"/>
      <c r="Q14" s="211"/>
    </row>
    <row r="15" spans="1:18" ht="18" customHeight="1" x14ac:dyDescent="0.2">
      <c r="A15" s="107" t="s">
        <v>195</v>
      </c>
      <c r="B15" s="926" t="s">
        <v>196</v>
      </c>
      <c r="C15" s="927"/>
      <c r="D15" s="927"/>
      <c r="E15" s="927"/>
      <c r="F15" s="927"/>
      <c r="G15" s="928"/>
      <c r="H15" s="957"/>
      <c r="I15" s="958"/>
      <c r="J15" s="958"/>
      <c r="K15" s="959"/>
      <c r="L15" s="926" t="s">
        <v>197</v>
      </c>
      <c r="M15" s="927"/>
      <c r="N15" s="927"/>
      <c r="O15" s="927"/>
      <c r="P15" s="927"/>
      <c r="Q15" s="928"/>
    </row>
    <row r="16" spans="1:18" ht="33" customHeight="1" x14ac:dyDescent="0.2">
      <c r="A16" s="107" t="s">
        <v>198</v>
      </c>
      <c r="B16" s="938" t="s">
        <v>199</v>
      </c>
      <c r="C16" s="939"/>
      <c r="D16" s="939"/>
      <c r="E16" s="939"/>
      <c r="F16" s="939"/>
      <c r="G16" s="940"/>
      <c r="H16" s="960"/>
      <c r="I16" s="961"/>
      <c r="J16" s="961"/>
      <c r="K16" s="962"/>
      <c r="L16" s="926" t="s">
        <v>197</v>
      </c>
      <c r="M16" s="927"/>
      <c r="N16" s="927"/>
      <c r="O16" s="927"/>
      <c r="P16" s="927"/>
      <c r="Q16" s="928"/>
    </row>
    <row r="17" spans="1:17" ht="33.6" customHeight="1" x14ac:dyDescent="0.2">
      <c r="A17" s="107" t="s">
        <v>200</v>
      </c>
      <c r="B17" s="926" t="s">
        <v>201</v>
      </c>
      <c r="C17" s="927"/>
      <c r="D17" s="927"/>
      <c r="E17" s="927"/>
      <c r="F17" s="927"/>
      <c r="G17" s="928"/>
      <c r="H17" s="947">
        <v>0.5</v>
      </c>
      <c r="I17" s="948"/>
      <c r="J17" s="948"/>
      <c r="K17" s="949"/>
      <c r="L17" s="938" t="s">
        <v>202</v>
      </c>
      <c r="M17" s="939"/>
      <c r="N17" s="939"/>
      <c r="O17" s="939"/>
      <c r="P17" s="939"/>
      <c r="Q17" s="940"/>
    </row>
    <row r="18" spans="1:17" ht="18" customHeight="1" x14ac:dyDescent="0.2">
      <c r="A18" s="107" t="s">
        <v>203</v>
      </c>
      <c r="B18" s="926" t="s">
        <v>204</v>
      </c>
      <c r="C18" s="927"/>
      <c r="D18" s="927"/>
      <c r="E18" s="927"/>
      <c r="F18" s="927"/>
      <c r="G18" s="928"/>
      <c r="H18" s="944">
        <f>+H17*H16*H15</f>
        <v>0</v>
      </c>
      <c r="I18" s="945"/>
      <c r="J18" s="945"/>
      <c r="K18" s="946"/>
      <c r="L18" s="926" t="s">
        <v>205</v>
      </c>
      <c r="M18" s="927"/>
      <c r="N18" s="927"/>
      <c r="O18" s="927"/>
      <c r="P18" s="927"/>
      <c r="Q18" s="928"/>
    </row>
    <row r="19" spans="1:17" ht="18" customHeight="1" x14ac:dyDescent="0.2">
      <c r="A19" s="107" t="s">
        <v>206</v>
      </c>
      <c r="B19" s="926" t="s">
        <v>207</v>
      </c>
      <c r="C19" s="927"/>
      <c r="D19" s="927"/>
      <c r="E19" s="927"/>
      <c r="F19" s="927"/>
      <c r="G19" s="928"/>
      <c r="H19" s="932">
        <v>0.2</v>
      </c>
      <c r="I19" s="933"/>
      <c r="J19" s="933"/>
      <c r="K19" s="934"/>
      <c r="L19" s="926" t="s">
        <v>208</v>
      </c>
      <c r="M19" s="927"/>
      <c r="N19" s="927"/>
      <c r="O19" s="927"/>
      <c r="P19" s="927"/>
      <c r="Q19" s="928"/>
    </row>
    <row r="20" spans="1:17" ht="18" customHeight="1" x14ac:dyDescent="0.2">
      <c r="A20" s="107" t="s">
        <v>209</v>
      </c>
      <c r="B20" s="926" t="s">
        <v>210</v>
      </c>
      <c r="C20" s="927"/>
      <c r="D20" s="927"/>
      <c r="E20" s="927"/>
      <c r="F20" s="927"/>
      <c r="G20" s="928"/>
      <c r="H20" s="944">
        <f>+H19*H18</f>
        <v>0</v>
      </c>
      <c r="I20" s="945"/>
      <c r="J20" s="945"/>
      <c r="K20" s="946"/>
      <c r="L20" s="926" t="s">
        <v>211</v>
      </c>
      <c r="M20" s="927"/>
      <c r="N20" s="927"/>
      <c r="O20" s="927"/>
      <c r="P20" s="927"/>
      <c r="Q20" s="928"/>
    </row>
    <row r="21" spans="1:17" ht="33" customHeight="1" x14ac:dyDescent="0.2">
      <c r="A21" s="107" t="s">
        <v>212</v>
      </c>
      <c r="B21" s="926" t="s">
        <v>213</v>
      </c>
      <c r="C21" s="927"/>
      <c r="D21" s="927"/>
      <c r="E21" s="927"/>
      <c r="F21" s="927"/>
      <c r="G21" s="928"/>
      <c r="H21" s="947">
        <v>1.1499999999999999</v>
      </c>
      <c r="I21" s="948"/>
      <c r="J21" s="948"/>
      <c r="K21" s="949"/>
      <c r="L21" s="941" t="s">
        <v>214</v>
      </c>
      <c r="M21" s="942"/>
      <c r="N21" s="942"/>
      <c r="O21" s="942"/>
      <c r="P21" s="942"/>
      <c r="Q21" s="943"/>
    </row>
    <row r="22" spans="1:17" ht="18" customHeight="1" x14ac:dyDescent="0.2">
      <c r="A22" s="107" t="s">
        <v>215</v>
      </c>
      <c r="B22" s="926" t="s">
        <v>216</v>
      </c>
      <c r="C22" s="927"/>
      <c r="D22" s="927"/>
      <c r="E22" s="927"/>
      <c r="F22" s="927"/>
      <c r="G22" s="928"/>
      <c r="H22" s="944">
        <f>H20/H21</f>
        <v>0</v>
      </c>
      <c r="I22" s="945"/>
      <c r="J22" s="945"/>
      <c r="K22" s="946"/>
      <c r="L22" s="926" t="s">
        <v>217</v>
      </c>
      <c r="M22" s="927"/>
      <c r="N22" s="927"/>
      <c r="O22" s="927"/>
      <c r="P22" s="927"/>
      <c r="Q22" s="928"/>
    </row>
    <row r="23" spans="1:17" ht="18" customHeight="1" x14ac:dyDescent="0.2">
      <c r="A23" s="107" t="s">
        <v>218</v>
      </c>
      <c r="B23" s="926" t="s">
        <v>219</v>
      </c>
      <c r="C23" s="927"/>
      <c r="D23" s="927"/>
      <c r="E23" s="927"/>
      <c r="F23" s="927"/>
      <c r="G23" s="928"/>
      <c r="H23" s="950">
        <f>IF('Project Description'!C48="",0,IF(NOT(ISNUMBER('Project Description'!C48)),"Correct entry in row 48 of the Proj. Descr. Template",'Project Description'!C48))</f>
        <v>0</v>
      </c>
      <c r="I23" s="950"/>
      <c r="J23" s="950"/>
      <c r="K23" s="950"/>
      <c r="L23" s="926" t="s">
        <v>220</v>
      </c>
      <c r="M23" s="927"/>
      <c r="N23" s="927"/>
      <c r="O23" s="927"/>
      <c r="P23" s="927"/>
      <c r="Q23" s="928"/>
    </row>
    <row r="24" spans="1:17" ht="18" customHeight="1" x14ac:dyDescent="0.2">
      <c r="A24" s="107" t="s">
        <v>221</v>
      </c>
      <c r="B24" s="926" t="s">
        <v>222</v>
      </c>
      <c r="C24" s="927"/>
      <c r="D24" s="927"/>
      <c r="E24" s="927"/>
      <c r="F24" s="927"/>
      <c r="G24" s="928"/>
      <c r="H24" s="932">
        <v>0.5</v>
      </c>
      <c r="I24" s="933"/>
      <c r="J24" s="933"/>
      <c r="K24" s="934"/>
      <c r="L24" s="926" t="s">
        <v>208</v>
      </c>
      <c r="M24" s="927"/>
      <c r="N24" s="927"/>
      <c r="O24" s="927"/>
      <c r="P24" s="927"/>
      <c r="Q24" s="928"/>
    </row>
    <row r="25" spans="1:17" ht="18" customHeight="1" thickBot="1" x14ac:dyDescent="0.25">
      <c r="A25" s="229" t="s">
        <v>223</v>
      </c>
      <c r="B25" s="929" t="s">
        <v>224</v>
      </c>
      <c r="C25" s="930"/>
      <c r="D25" s="930"/>
      <c r="E25" s="930"/>
      <c r="F25" s="930"/>
      <c r="G25" s="931"/>
      <c r="H25" s="935">
        <f>IF(NOT(ISNUMBER('Project Description'!C48)),0,H22*H23*H24)</f>
        <v>0</v>
      </c>
      <c r="I25" s="936"/>
      <c r="J25" s="936"/>
      <c r="K25" s="937"/>
      <c r="L25" s="929" t="s">
        <v>225</v>
      </c>
      <c r="M25" s="930"/>
      <c r="N25" s="930"/>
      <c r="O25" s="930"/>
      <c r="P25" s="930"/>
      <c r="Q25" s="931"/>
    </row>
    <row r="26" spans="1:17" s="418" customFormat="1" ht="15.75" thickBot="1" x14ac:dyDescent="0.25">
      <c r="A26" s="207"/>
      <c r="B26" s="208"/>
      <c r="C26" s="208"/>
      <c r="D26" s="208"/>
      <c r="E26" s="208"/>
      <c r="F26" s="208"/>
      <c r="G26" s="208"/>
      <c r="H26" s="416"/>
      <c r="I26" s="416"/>
      <c r="J26" s="416"/>
      <c r="K26" s="416"/>
      <c r="L26" s="417"/>
      <c r="M26" s="417"/>
      <c r="N26" s="417"/>
      <c r="O26" s="417"/>
      <c r="P26" s="417"/>
      <c r="Q26" s="417"/>
    </row>
    <row r="27" spans="1:17" s="413" customFormat="1" ht="16.5" thickBot="1" x14ac:dyDescent="0.3">
      <c r="A27" s="824" t="s">
        <v>226</v>
      </c>
      <c r="B27" s="825"/>
      <c r="C27" s="825"/>
      <c r="D27" s="825"/>
      <c r="E27" s="825"/>
      <c r="F27" s="825"/>
      <c r="G27" s="825"/>
      <c r="H27" s="825"/>
      <c r="I27" s="825"/>
      <c r="J27" s="825"/>
      <c r="K27" s="825"/>
      <c r="L27" s="825"/>
      <c r="M27" s="825"/>
      <c r="N27" s="825"/>
      <c r="O27" s="825"/>
      <c r="P27" s="825"/>
      <c r="Q27" s="826"/>
    </row>
    <row r="28" spans="1:17" ht="24.75" customHeight="1" x14ac:dyDescent="0.25">
      <c r="A28" s="107"/>
      <c r="B28" s="384"/>
      <c r="C28" s="385"/>
      <c r="D28" s="385"/>
      <c r="E28" s="385"/>
      <c r="F28" s="385"/>
      <c r="G28" s="386"/>
      <c r="H28" s="1007" t="str">
        <f>'Travel Forecasts'!D8</f>
        <v>Current Year ()</v>
      </c>
      <c r="I28" s="1008"/>
      <c r="J28" s="1030" t="str">
        <f>'Travel Forecasts'!E8</f>
        <v>Horizon ()</v>
      </c>
      <c r="K28" s="1031"/>
      <c r="L28" s="108"/>
      <c r="M28" s="109"/>
      <c r="N28" s="109"/>
      <c r="O28" s="109"/>
      <c r="P28" s="109"/>
      <c r="Q28" s="110"/>
    </row>
    <row r="29" spans="1:17" ht="15" x14ac:dyDescent="0.25">
      <c r="A29" s="107">
        <f>A11+1</f>
        <v>5</v>
      </c>
      <c r="B29" s="1001" t="s">
        <v>227</v>
      </c>
      <c r="C29" s="1002"/>
      <c r="D29" s="1002"/>
      <c r="E29" s="1002"/>
      <c r="F29" s="1002"/>
      <c r="G29" s="1003"/>
      <c r="H29" s="1009" t="str">
        <f>IF(OR(H8="(Select…)",H9="(Select…)",H10="(Select…)",H11="(Select…)"),"-",G51+G67+G85+G101+G118+G134+G151+G166)</f>
        <v>-</v>
      </c>
      <c r="I29" s="1010"/>
      <c r="J29" s="1011" t="str">
        <f>IF(H29="-",H29,IF(OR('Project Description'!C96="None",'Project Description'!$C$92="Yes"),"---",IF('Project Description'!C96="10 Years",L51+L67+L85+L101+L118+L134+L151+L166,IF('Project Description'!C96="20 Years",Q51+Q67+Q85+Q101+Q118+Q134+Q151+Q166,"-"))))</f>
        <v>-</v>
      </c>
      <c r="K29" s="1012"/>
      <c r="L29" s="1016" t="s">
        <v>228</v>
      </c>
      <c r="M29" s="1017"/>
      <c r="N29" s="1017"/>
      <c r="O29" s="1017"/>
      <c r="P29" s="1017"/>
      <c r="Q29" s="1018"/>
    </row>
    <row r="30" spans="1:17" ht="15" x14ac:dyDescent="0.25">
      <c r="A30" s="107">
        <f>A29+1</f>
        <v>6</v>
      </c>
      <c r="B30" s="1001" t="s">
        <v>229</v>
      </c>
      <c r="C30" s="1002"/>
      <c r="D30" s="1002"/>
      <c r="E30" s="1002"/>
      <c r="F30" s="1002"/>
      <c r="G30" s="1003"/>
      <c r="H30" s="1009" t="str">
        <f>IF(H29="-",H29,'Mobility Cost Eff &amp; Cong Relief'!C16)</f>
        <v>-</v>
      </c>
      <c r="I30" s="1010"/>
      <c r="J30" s="1011" t="str">
        <f>IF('Project Description'!$C$92="Yes","---",IF(H29="-",H29,'Mobility Cost Eff &amp; Cong Relief'!D16))</f>
        <v>-</v>
      </c>
      <c r="K30" s="1012"/>
      <c r="L30" s="108" t="s">
        <v>230</v>
      </c>
      <c r="M30" s="109"/>
      <c r="N30" s="109"/>
      <c r="O30" s="109"/>
      <c r="P30" s="109"/>
      <c r="Q30" s="110"/>
    </row>
    <row r="31" spans="1:17" ht="15" x14ac:dyDescent="0.25">
      <c r="A31" s="107">
        <f t="shared" ref="A31:A32" si="1">A30+1</f>
        <v>7</v>
      </c>
      <c r="B31" s="1001" t="s">
        <v>231</v>
      </c>
      <c r="C31" s="1002"/>
      <c r="D31" s="1002"/>
      <c r="E31" s="1002"/>
      <c r="F31" s="1002"/>
      <c r="G31" s="1003"/>
      <c r="H31" s="1019" t="str">
        <f>IF(H29="-",H29,IF(H30=0,0,H29/H30))</f>
        <v>-</v>
      </c>
      <c r="I31" s="1020"/>
      <c r="J31" s="1021" t="str">
        <f>IF('Project Description'!$C$92="Yes","---",IF(OR(H29="-",'Project Description'!C96="(Select…)"),"-",IF(J30=0,0,IF('Project Description'!C96="None","---",J29/J30))))</f>
        <v>-</v>
      </c>
      <c r="K31" s="1022"/>
      <c r="L31" s="108" t="s">
        <v>232</v>
      </c>
      <c r="M31" s="109"/>
      <c r="N31" s="109"/>
      <c r="O31" s="109"/>
      <c r="P31" s="109"/>
      <c r="Q31" s="110"/>
    </row>
    <row r="32" spans="1:17" ht="51.75" customHeight="1" thickBot="1" x14ac:dyDescent="0.25">
      <c r="A32" s="111">
        <f t="shared" si="1"/>
        <v>8</v>
      </c>
      <c r="B32" s="1004" t="s">
        <v>142</v>
      </c>
      <c r="C32" s="1005"/>
      <c r="D32" s="1005"/>
      <c r="E32" s="1005"/>
      <c r="F32" s="1005"/>
      <c r="G32" s="1006"/>
      <c r="H32" s="1027" t="str">
        <f>IF(OR(H29="-",J29="-"),"-",IF(AND(H31=0,J31=0),0,IF(OR('Project Description'!C96="10 Years",'Project Description'!C96="20 Years"),AVERAGE(H31,J31),H31)))</f>
        <v>-</v>
      </c>
      <c r="I32" s="1028"/>
      <c r="J32" s="1028"/>
      <c r="K32" s="1029"/>
      <c r="L32" s="969" t="s">
        <v>233</v>
      </c>
      <c r="M32" s="970"/>
      <c r="N32" s="970"/>
      <c r="O32" s="970"/>
      <c r="P32" s="970"/>
      <c r="Q32" s="971"/>
    </row>
    <row r="33" spans="1:18" ht="14.1" customHeight="1" thickBot="1" x14ac:dyDescent="0.25">
      <c r="A33" s="207"/>
      <c r="B33" s="208"/>
      <c r="C33" s="208"/>
      <c r="D33" s="208"/>
      <c r="E33" s="208"/>
      <c r="F33" s="208"/>
      <c r="G33" s="208"/>
      <c r="H33" s="1013" t="str">
        <f>IF(Lookups!$K$20="No",doesntMeetThresholds,IF(OR(Lookups!$K$20="Unknown",H32=0,H32="-"),"",VLOOKUP(H32,Lookups!B28:C32,2)))</f>
        <v/>
      </c>
      <c r="I33" s="1014"/>
      <c r="J33" s="1014"/>
      <c r="K33" s="1015"/>
      <c r="L33" s="208"/>
      <c r="M33" s="208"/>
      <c r="N33" s="208"/>
      <c r="O33" s="208"/>
      <c r="P33" s="208"/>
      <c r="Q33" s="208"/>
    </row>
    <row r="34" spans="1:18" s="413" customFormat="1" ht="14.1" customHeight="1" thickBot="1" x14ac:dyDescent="0.25">
      <c r="A34" s="207"/>
      <c r="B34" s="208"/>
      <c r="C34" s="208"/>
      <c r="D34" s="208"/>
      <c r="E34" s="208"/>
      <c r="F34" s="208"/>
      <c r="G34" s="208"/>
      <c r="H34" s="209"/>
      <c r="I34" s="209"/>
      <c r="J34" s="209"/>
      <c r="K34" s="209"/>
      <c r="L34" s="208"/>
      <c r="M34" s="208"/>
      <c r="N34" s="208"/>
      <c r="O34" s="208"/>
      <c r="P34" s="208"/>
      <c r="Q34" s="208"/>
    </row>
    <row r="35" spans="1:18" ht="20.25" customHeight="1" thickBot="1" x14ac:dyDescent="0.25">
      <c r="A35" s="985" t="s">
        <v>234</v>
      </c>
      <c r="B35" s="986"/>
      <c r="C35" s="986"/>
      <c r="D35" s="986"/>
      <c r="E35" s="986"/>
      <c r="F35" s="986"/>
      <c r="G35" s="986"/>
      <c r="H35" s="986"/>
      <c r="I35" s="986"/>
      <c r="J35" s="986"/>
      <c r="K35" s="986"/>
      <c r="L35" s="986"/>
      <c r="M35" s="986"/>
      <c r="N35" s="986"/>
      <c r="O35" s="986"/>
      <c r="P35" s="986"/>
      <c r="Q35" s="987"/>
    </row>
    <row r="36" spans="1:18" ht="16.5" thickBot="1" x14ac:dyDescent="0.3">
      <c r="A36" s="1023" t="s">
        <v>235</v>
      </c>
      <c r="B36" s="1024"/>
      <c r="C36" s="1024"/>
      <c r="D36" s="1024"/>
      <c r="E36" s="1024"/>
      <c r="F36" s="1024"/>
      <c r="G36" s="1024"/>
      <c r="H36" s="1024"/>
      <c r="I36" s="1024"/>
      <c r="J36" s="1024"/>
      <c r="K36" s="1024"/>
      <c r="L36" s="1024"/>
      <c r="M36" s="1024"/>
      <c r="N36" s="1024"/>
      <c r="O36" s="1024"/>
      <c r="P36" s="1024"/>
      <c r="Q36" s="1025"/>
      <c r="R36" s="192"/>
    </row>
    <row r="37" spans="1:18" s="94" customFormat="1" ht="16.5" thickBot="1" x14ac:dyDescent="0.3">
      <c r="A37" s="1026"/>
      <c r="B37" s="1026"/>
      <c r="C37" s="1026"/>
      <c r="D37" s="1026"/>
      <c r="E37" s="1026"/>
      <c r="F37" s="1026"/>
      <c r="G37" s="1026"/>
      <c r="H37" s="1026"/>
      <c r="I37" s="1026"/>
      <c r="J37" s="1026"/>
      <c r="K37" s="1026"/>
      <c r="L37" s="1026"/>
      <c r="M37" s="192"/>
      <c r="N37" s="192"/>
      <c r="O37" s="192"/>
      <c r="P37" s="192"/>
      <c r="Q37" s="192"/>
      <c r="R37" s="192"/>
    </row>
    <row r="38" spans="1:18" ht="19.5" customHeight="1" thickBot="1" x14ac:dyDescent="0.3">
      <c r="A38" s="988" t="s">
        <v>236</v>
      </c>
      <c r="B38" s="989"/>
      <c r="C38" s="989"/>
      <c r="D38" s="989"/>
      <c r="E38" s="989"/>
      <c r="F38" s="989"/>
      <c r="G38" s="989"/>
      <c r="H38" s="989"/>
      <c r="I38" s="989"/>
      <c r="J38" s="989"/>
      <c r="K38" s="989"/>
      <c r="L38" s="989"/>
      <c r="M38" s="989"/>
      <c r="N38" s="989"/>
      <c r="O38" s="989"/>
      <c r="P38" s="989"/>
      <c r="Q38" s="990"/>
      <c r="R38" s="192"/>
    </row>
    <row r="39" spans="1:18" s="419" customFormat="1" ht="15.75" x14ac:dyDescent="0.25">
      <c r="A39" s="991" t="s">
        <v>83</v>
      </c>
      <c r="B39" s="993" t="s">
        <v>237</v>
      </c>
      <c r="C39" s="995" t="s">
        <v>34</v>
      </c>
      <c r="D39" s="996"/>
      <c r="E39" s="996"/>
      <c r="F39" s="996"/>
      <c r="G39" s="997"/>
      <c r="H39" s="996" t="s">
        <v>238</v>
      </c>
      <c r="I39" s="996"/>
      <c r="J39" s="996"/>
      <c r="K39" s="996"/>
      <c r="L39" s="996"/>
      <c r="M39" s="995" t="s">
        <v>239</v>
      </c>
      <c r="N39" s="996"/>
      <c r="O39" s="996"/>
      <c r="P39" s="996"/>
      <c r="Q39" s="997"/>
      <c r="R39" s="331"/>
    </row>
    <row r="40" spans="1:18" s="419" customFormat="1" ht="60" customHeight="1" x14ac:dyDescent="0.2">
      <c r="A40" s="992"/>
      <c r="B40" s="994"/>
      <c r="C40" s="113" t="s">
        <v>240</v>
      </c>
      <c r="D40" s="114" t="s">
        <v>241</v>
      </c>
      <c r="E40" s="114" t="s">
        <v>242</v>
      </c>
      <c r="F40" s="115" t="s">
        <v>243</v>
      </c>
      <c r="G40" s="116" t="s">
        <v>244</v>
      </c>
      <c r="H40" s="117" t="s">
        <v>240</v>
      </c>
      <c r="I40" s="114" t="s">
        <v>241</v>
      </c>
      <c r="J40" s="114" t="s">
        <v>242</v>
      </c>
      <c r="K40" s="115" t="s">
        <v>243</v>
      </c>
      <c r="L40" s="116" t="s">
        <v>244</v>
      </c>
      <c r="M40" s="113" t="s">
        <v>240</v>
      </c>
      <c r="N40" s="114" t="s">
        <v>241</v>
      </c>
      <c r="O40" s="114" t="s">
        <v>242</v>
      </c>
      <c r="P40" s="115" t="s">
        <v>243</v>
      </c>
      <c r="Q40" s="116" t="s">
        <v>244</v>
      </c>
      <c r="R40" s="331"/>
    </row>
    <row r="41" spans="1:18" s="419" customFormat="1" ht="18" customHeight="1" x14ac:dyDescent="0.2">
      <c r="A41" s="118">
        <f>A32+1</f>
        <v>9</v>
      </c>
      <c r="B41" s="119" t="s">
        <v>126</v>
      </c>
      <c r="C41" s="120">
        <f>IF('Project Description'!$C$92="Yes",H25,-'Travel Forecasts'!M31)</f>
        <v>0</v>
      </c>
      <c r="D41" s="440">
        <v>3.3426578569999998E-3</v>
      </c>
      <c r="E41" s="441">
        <f>C41*D41</f>
        <v>0</v>
      </c>
      <c r="F41" s="442" t="str">
        <f>IF($H$8="Attainment",0.08,IF($H$8="Maintenance",0.1,IF($H$8="Nonattainment",0.12,"-")))</f>
        <v>-</v>
      </c>
      <c r="G41" s="122" t="str">
        <f t="shared" ref="G41:G50" si="2">IF($H$8="(Select…)","-",E41*F41)</f>
        <v>-</v>
      </c>
      <c r="H41" s="123" t="str">
        <f>IF('Project Description'!$C$96="10 Years",-'Travel Forecasts'!N31,"---")</f>
        <v>---</v>
      </c>
      <c r="I41" s="448">
        <v>1.9807305260000001E-3</v>
      </c>
      <c r="J41" s="441" t="str">
        <f>IF('Project Description'!$C$96="10 Years",H41*I41,"---")</f>
        <v>---</v>
      </c>
      <c r="K41" s="442" t="str">
        <f t="shared" ref="K41:K50" si="3">IF($H$8="Attainment",0.08,IF($H$8="Maintenance",0.1,IF($H$8="Nonattainment",0.12,"-")))</f>
        <v>-</v>
      </c>
      <c r="L41" s="122" t="str">
        <f>IF($H$8="(Select…)","-",IF('Project Description'!$C$96="10 Years",J41*K41,"---"))</f>
        <v>-</v>
      </c>
      <c r="M41" s="120" t="str">
        <f>IF('Project Description'!$C$96="20 Years",-'Travel Forecasts'!N31,"---")</f>
        <v>---</v>
      </c>
      <c r="N41" s="448">
        <v>1.2049044000000001E-3</v>
      </c>
      <c r="O41" s="441" t="str">
        <f>IF('Project Description'!$C$96="20 Years",M41*N41,"---")</f>
        <v>---</v>
      </c>
      <c r="P41" s="450" t="str">
        <f t="shared" ref="P41:P50" si="4">IF($H$8="Attainment",0.08,IF($H$8="Maintenance",0.1,IF($H$8="Nonattainment",0.12,"-")))</f>
        <v>-</v>
      </c>
      <c r="Q41" s="122" t="str">
        <f>IF($H$8="(Select…)","-",IF('Project Description'!$C$96="20 Years",O41*P41,"---"))</f>
        <v>-</v>
      </c>
      <c r="R41" s="331"/>
    </row>
    <row r="42" spans="1:18" s="419" customFormat="1" ht="18" customHeight="1" x14ac:dyDescent="0.2">
      <c r="A42" s="124">
        <f>A41+1</f>
        <v>10</v>
      </c>
      <c r="B42" s="125" t="s">
        <v>245</v>
      </c>
      <c r="C42" s="126">
        <f>-'Travel Forecasts'!M32</f>
        <v>0</v>
      </c>
      <c r="D42" s="443">
        <v>2.1782944899999997E-3</v>
      </c>
      <c r="E42" s="444">
        <f>C42*D42</f>
        <v>0</v>
      </c>
      <c r="F42" s="445" t="str">
        <f t="shared" ref="F42:F50" si="5">IF($H$8="Attainment",0.08,IF($H$8="Maintenance",0.1,IF($H$8="Nonattainment",0.12,"-")))</f>
        <v>-</v>
      </c>
      <c r="G42" s="128" t="str">
        <f t="shared" si="2"/>
        <v>-</v>
      </c>
      <c r="H42" s="129" t="str">
        <f>IF('Project Description'!$C$96="10 Years",-'Travel Forecasts'!N32,"---")</f>
        <v>---</v>
      </c>
      <c r="I42" s="449">
        <v>1.8879846080000001E-3</v>
      </c>
      <c r="J42" s="444" t="str">
        <f>IF('Project Description'!$C$96="10 Years",H42*I42,"---")</f>
        <v>---</v>
      </c>
      <c r="K42" s="445" t="str">
        <f t="shared" si="3"/>
        <v>-</v>
      </c>
      <c r="L42" s="128" t="str">
        <f>IF($H$8="(Select…)","-",IF('Project Description'!$C$96="10 Years",J42*K42,"---"))</f>
        <v>-</v>
      </c>
      <c r="M42" s="126" t="str">
        <f>IF('Project Description'!$C$96="20 Years",-'Travel Forecasts'!N32,"---")</f>
        <v>---</v>
      </c>
      <c r="N42" s="449">
        <v>1.7743636490000002E-3</v>
      </c>
      <c r="O42" s="444" t="str">
        <f>IF('Project Description'!$C$96="20 Years",M42*N42,"---")</f>
        <v>---</v>
      </c>
      <c r="P42" s="451" t="str">
        <f t="shared" si="4"/>
        <v>-</v>
      </c>
      <c r="Q42" s="130" t="str">
        <f>IF($H$8="(Select…)","-",IF('Project Description'!$C$96="20 Years",O42*P42,"---"))</f>
        <v>-</v>
      </c>
      <c r="R42" s="331"/>
    </row>
    <row r="43" spans="1:18" s="419" customFormat="1" ht="18" customHeight="1" x14ac:dyDescent="0.2">
      <c r="A43" s="124">
        <f t="shared" ref="A43:A51" si="6">A42+1</f>
        <v>11</v>
      </c>
      <c r="B43" s="125" t="s">
        <v>246</v>
      </c>
      <c r="C43" s="126">
        <f>-'Travel Forecasts'!M33</f>
        <v>0</v>
      </c>
      <c r="D43" s="443">
        <v>2.1782944899999997E-3</v>
      </c>
      <c r="E43" s="444">
        <f t="shared" ref="E43:E50" si="7">C43*D43</f>
        <v>0</v>
      </c>
      <c r="F43" s="445" t="str">
        <f t="shared" si="5"/>
        <v>-</v>
      </c>
      <c r="G43" s="128" t="str">
        <f t="shared" si="2"/>
        <v>-</v>
      </c>
      <c r="H43" s="129" t="str">
        <f>IF('Project Description'!$C$96="10 Years",-'Travel Forecasts'!N33,"---")</f>
        <v>---</v>
      </c>
      <c r="I43" s="449">
        <v>1.8879846080000001E-3</v>
      </c>
      <c r="J43" s="444" t="str">
        <f>IF('Project Description'!$C$96="10 Years",H43*I43,"---")</f>
        <v>---</v>
      </c>
      <c r="K43" s="445" t="str">
        <f t="shared" si="3"/>
        <v>-</v>
      </c>
      <c r="L43" s="128" t="str">
        <f>IF($H$8="(Select…)","-",IF('Project Description'!$C$96="10 Years",J43*K43,"---"))</f>
        <v>-</v>
      </c>
      <c r="M43" s="126" t="str">
        <f>IF('Project Description'!$C$96="20 Years",-'Travel Forecasts'!N33,"---")</f>
        <v>---</v>
      </c>
      <c r="N43" s="449">
        <v>1.7743636490000002E-3</v>
      </c>
      <c r="O43" s="444" t="str">
        <f>IF('Project Description'!$C$96="20 Years",M43*N43,"---")</f>
        <v>---</v>
      </c>
      <c r="P43" s="451" t="str">
        <f t="shared" si="4"/>
        <v>-</v>
      </c>
      <c r="Q43" s="130" t="str">
        <f>IF($H$8="(Select…)","-",IF('Project Description'!$C$96="20 Years",O43*P43,"---"))</f>
        <v>-</v>
      </c>
      <c r="R43" s="331"/>
    </row>
    <row r="44" spans="1:18" s="419" customFormat="1" ht="18" customHeight="1" x14ac:dyDescent="0.2">
      <c r="A44" s="124">
        <f t="shared" si="6"/>
        <v>12</v>
      </c>
      <c r="B44" s="125" t="s">
        <v>247</v>
      </c>
      <c r="C44" s="126">
        <f>-'Travel Forecasts'!M34</f>
        <v>0</v>
      </c>
      <c r="D44" s="443">
        <v>2.4963670270000002E-2</v>
      </c>
      <c r="E44" s="444">
        <f t="shared" si="7"/>
        <v>0</v>
      </c>
      <c r="F44" s="445" t="str">
        <f t="shared" si="5"/>
        <v>-</v>
      </c>
      <c r="G44" s="128" t="str">
        <f t="shared" si="2"/>
        <v>-</v>
      </c>
      <c r="H44" s="129" t="str">
        <f>IF('Project Description'!$C$96="10 Years",-'Travel Forecasts'!N34,"---")</f>
        <v>---</v>
      </c>
      <c r="I44" s="449">
        <v>3.140719854E-2</v>
      </c>
      <c r="J44" s="444" t="str">
        <f>IF('Project Description'!$C$96="10 Years",H44*I44,"---")</f>
        <v>---</v>
      </c>
      <c r="K44" s="445" t="str">
        <f t="shared" si="3"/>
        <v>-</v>
      </c>
      <c r="L44" s="128" t="str">
        <f>IF($H$8="(Select…)","-",IF('Project Description'!$C$96="10 Years",J44*K44,"---"))</f>
        <v>-</v>
      </c>
      <c r="M44" s="126" t="str">
        <f>IF('Project Description'!$C$96="20 Years",-'Travel Forecasts'!N34,"---")</f>
        <v>---</v>
      </c>
      <c r="N44" s="449">
        <v>3.2918603439999999E-2</v>
      </c>
      <c r="O44" s="444" t="str">
        <f>IF('Project Description'!$C$96="20 Years",M44*N44,"---")</f>
        <v>---</v>
      </c>
      <c r="P44" s="451" t="str">
        <f t="shared" si="4"/>
        <v>-</v>
      </c>
      <c r="Q44" s="130" t="str">
        <f>IF($H$8="(Select…)","-",IF('Project Description'!$C$96="20 Years",O44*P44,"---"))</f>
        <v>-</v>
      </c>
      <c r="R44" s="331"/>
    </row>
    <row r="45" spans="1:18" s="419" customFormat="1" ht="18" customHeight="1" x14ac:dyDescent="0.2">
      <c r="A45" s="124">
        <f t="shared" si="6"/>
        <v>13</v>
      </c>
      <c r="B45" s="125" t="s">
        <v>248</v>
      </c>
      <c r="C45" s="126">
        <f>-'Travel Forecasts'!M35</f>
        <v>0</v>
      </c>
      <c r="D45" s="443">
        <v>4.0227999999999998E-4</v>
      </c>
      <c r="E45" s="444">
        <f t="shared" si="7"/>
        <v>0</v>
      </c>
      <c r="F45" s="445" t="str">
        <f t="shared" si="5"/>
        <v>-</v>
      </c>
      <c r="G45" s="128" t="str">
        <f t="shared" si="2"/>
        <v>-</v>
      </c>
      <c r="H45" s="129" t="str">
        <f>IF('Project Description'!$C$96="10 Years",-'Travel Forecasts'!N35,"---")</f>
        <v>---</v>
      </c>
      <c r="I45" s="449">
        <v>2.7229000000000001E-4</v>
      </c>
      <c r="J45" s="444" t="str">
        <f>IF('Project Description'!$C$96="10 Years",H45*I45,"---")</f>
        <v>---</v>
      </c>
      <c r="K45" s="445" t="str">
        <f t="shared" si="3"/>
        <v>-</v>
      </c>
      <c r="L45" s="128" t="str">
        <f>IF($H$8="(Select…)","-",IF('Project Description'!$C$96="10 Years",J45*K45,"---"))</f>
        <v>-</v>
      </c>
      <c r="M45" s="126" t="str">
        <f>IF('Project Description'!$C$96="20 Years",-'Travel Forecasts'!N35,"---")</f>
        <v>---</v>
      </c>
      <c r="N45" s="449">
        <v>2.3685000000000001E-4</v>
      </c>
      <c r="O45" s="444" t="str">
        <f>IF('Project Description'!$C$96="20 Years",M45*N45,"---")</f>
        <v>---</v>
      </c>
      <c r="P45" s="451" t="str">
        <f t="shared" si="4"/>
        <v>-</v>
      </c>
      <c r="Q45" s="130" t="str">
        <f>IF($H$8="(Select…)","-",IF('Project Description'!$C$96="20 Years",O45*P45,"---"))</f>
        <v>-</v>
      </c>
      <c r="R45" s="331"/>
    </row>
    <row r="46" spans="1:18" s="419" customFormat="1" ht="18" customHeight="1" x14ac:dyDescent="0.2">
      <c r="A46" s="124">
        <f t="shared" si="6"/>
        <v>14</v>
      </c>
      <c r="B46" s="125" t="s">
        <v>249</v>
      </c>
      <c r="C46" s="126">
        <f>-'Travel Forecasts'!M36</f>
        <v>0</v>
      </c>
      <c r="D46" s="443">
        <v>6.550166666666667E-6</v>
      </c>
      <c r="E46" s="444">
        <f t="shared" si="7"/>
        <v>0</v>
      </c>
      <c r="F46" s="445" t="str">
        <f t="shared" si="5"/>
        <v>-</v>
      </c>
      <c r="G46" s="128" t="str">
        <f t="shared" si="2"/>
        <v>-</v>
      </c>
      <c r="H46" s="129" t="str">
        <f>IF('Project Description'!$C$96="10 Years",-'Travel Forecasts'!N36,"---")</f>
        <v>---</v>
      </c>
      <c r="I46" s="449">
        <v>5.5078333333333334E-6</v>
      </c>
      <c r="J46" s="444" t="str">
        <f>IF('Project Description'!$C$96="10 Years",H46*I46,"---")</f>
        <v>---</v>
      </c>
      <c r="K46" s="445" t="str">
        <f t="shared" si="3"/>
        <v>-</v>
      </c>
      <c r="L46" s="128" t="str">
        <f>IF($H$8="(Select…)","-",IF('Project Description'!$C$96="10 Years",J46*K46,"---"))</f>
        <v>-</v>
      </c>
      <c r="M46" s="126" t="str">
        <f>IF('Project Description'!$C$96="20 Years",-'Travel Forecasts'!N36,"---")</f>
        <v>---</v>
      </c>
      <c r="N46" s="449">
        <v>5.141833333333333E-6</v>
      </c>
      <c r="O46" s="444" t="str">
        <f>IF('Project Description'!$C$96="20 Years",M46*N46,"---")</f>
        <v>---</v>
      </c>
      <c r="P46" s="451" t="str">
        <f t="shared" si="4"/>
        <v>-</v>
      </c>
      <c r="Q46" s="130" t="str">
        <f>IF($H$8="(Select…)","-",IF('Project Description'!$C$96="20 Years",O46*P46,"---"))</f>
        <v>-</v>
      </c>
      <c r="R46" s="331"/>
    </row>
    <row r="47" spans="1:18" s="419" customFormat="1" ht="18" customHeight="1" x14ac:dyDescent="0.2">
      <c r="A47" s="124">
        <f t="shared" si="6"/>
        <v>15</v>
      </c>
      <c r="B47" s="125" t="s">
        <v>250</v>
      </c>
      <c r="C47" s="126">
        <f>-'Travel Forecasts'!M37</f>
        <v>0</v>
      </c>
      <c r="D47" s="443">
        <v>3.0105853658536591E-5</v>
      </c>
      <c r="E47" s="444">
        <f t="shared" si="7"/>
        <v>0</v>
      </c>
      <c r="F47" s="445" t="str">
        <f t="shared" si="5"/>
        <v>-</v>
      </c>
      <c r="G47" s="128" t="str">
        <f t="shared" si="2"/>
        <v>-</v>
      </c>
      <c r="H47" s="129" t="str">
        <f>IF('Project Description'!$C$96="10 Years",-'Travel Forecasts'!N37,"---")</f>
        <v>---</v>
      </c>
      <c r="I47" s="449">
        <v>2.5314634146341462E-5</v>
      </c>
      <c r="J47" s="444" t="str">
        <f>IF('Project Description'!$C$96="10 Years",H47*I47,"---")</f>
        <v>---</v>
      </c>
      <c r="K47" s="445" t="str">
        <f t="shared" si="3"/>
        <v>-</v>
      </c>
      <c r="L47" s="128" t="str">
        <f>IF($H$8="(Select…)","-",IF('Project Description'!$C$96="10 Years",J47*K47,"---"))</f>
        <v>-</v>
      </c>
      <c r="M47" s="126" t="str">
        <f>IF('Project Description'!$C$96="20 Years",-'Travel Forecasts'!N37,"---")</f>
        <v>---</v>
      </c>
      <c r="N47" s="449">
        <v>2.3632195121951223E-5</v>
      </c>
      <c r="O47" s="444" t="str">
        <f>IF('Project Description'!$C$96="20 Years",M47*N47,"---")</f>
        <v>---</v>
      </c>
      <c r="P47" s="451" t="str">
        <f t="shared" si="4"/>
        <v>-</v>
      </c>
      <c r="Q47" s="130" t="str">
        <f>IF($H$8="(Select…)","-",IF('Project Description'!$C$96="20 Years",O47*P47,"---"))</f>
        <v>-</v>
      </c>
      <c r="R47" s="331"/>
    </row>
    <row r="48" spans="1:18" s="419" customFormat="1" ht="25.5" x14ac:dyDescent="0.2">
      <c r="A48" s="124">
        <f t="shared" si="6"/>
        <v>16</v>
      </c>
      <c r="B48" s="125" t="s">
        <v>251</v>
      </c>
      <c r="C48" s="126">
        <f>-'Travel Forecasts'!M38</f>
        <v>0</v>
      </c>
      <c r="D48" s="443">
        <v>2.026E-2</v>
      </c>
      <c r="E48" s="444">
        <f t="shared" si="7"/>
        <v>0</v>
      </c>
      <c r="F48" s="445" t="str">
        <f t="shared" si="5"/>
        <v>-</v>
      </c>
      <c r="G48" s="128" t="str">
        <f t="shared" si="2"/>
        <v>-</v>
      </c>
      <c r="H48" s="129" t="str">
        <f>IF('Project Description'!$C$96="10 Years",-'Travel Forecasts'!N38,"---")</f>
        <v>---</v>
      </c>
      <c r="I48" s="449">
        <v>2.026E-2</v>
      </c>
      <c r="J48" s="444" t="str">
        <f>IF('Project Description'!$C$96="10 Years",H48*I48,"---")</f>
        <v>---</v>
      </c>
      <c r="K48" s="445" t="str">
        <f t="shared" si="3"/>
        <v>-</v>
      </c>
      <c r="L48" s="128" t="str">
        <f>IF($H$8="(Select…)","-",IF('Project Description'!$C$96="10 Years",J48*K48,"---"))</f>
        <v>-</v>
      </c>
      <c r="M48" s="126" t="str">
        <f>IF('Project Description'!$C$96="20 Years",-'Travel Forecasts'!N38,"---")</f>
        <v>---</v>
      </c>
      <c r="N48" s="449">
        <v>2.026E-2</v>
      </c>
      <c r="O48" s="444" t="str">
        <f>IF('Project Description'!$C$96="20 Years",M48*N48,"---")</f>
        <v>---</v>
      </c>
      <c r="P48" s="451" t="str">
        <f t="shared" si="4"/>
        <v>-</v>
      </c>
      <c r="Q48" s="130" t="str">
        <f>IF($H$8="(Select…)","-",IF('Project Description'!$C$96="20 Years",O48*P48,"---"))</f>
        <v>-</v>
      </c>
      <c r="R48" s="331"/>
    </row>
    <row r="49" spans="1:18" s="419" customFormat="1" ht="12.75" x14ac:dyDescent="0.2">
      <c r="A49" s="124">
        <f t="shared" si="6"/>
        <v>17</v>
      </c>
      <c r="B49" s="125" t="s">
        <v>252</v>
      </c>
      <c r="C49" s="126">
        <f>-'Travel Forecasts'!M39</f>
        <v>0</v>
      </c>
      <c r="D49" s="443">
        <v>2.026E-2</v>
      </c>
      <c r="E49" s="444">
        <f t="shared" si="7"/>
        <v>0</v>
      </c>
      <c r="F49" s="445" t="str">
        <f t="shared" si="5"/>
        <v>-</v>
      </c>
      <c r="G49" s="128" t="str">
        <f t="shared" si="2"/>
        <v>-</v>
      </c>
      <c r="H49" s="129" t="str">
        <f>IF('Project Description'!$C$96="10 Years",-'Travel Forecasts'!N39,"---")</f>
        <v>---</v>
      </c>
      <c r="I49" s="449">
        <v>2.026E-2</v>
      </c>
      <c r="J49" s="444" t="str">
        <f>IF('Project Description'!$C$96="10 Years",H49*I49,"---")</f>
        <v>---</v>
      </c>
      <c r="K49" s="445" t="str">
        <f t="shared" si="3"/>
        <v>-</v>
      </c>
      <c r="L49" s="128" t="str">
        <f>IF($H$8="(Select…)","-",IF('Project Description'!$C$96="10 Years",J49*K49,"---"))</f>
        <v>-</v>
      </c>
      <c r="M49" s="126" t="str">
        <f>IF('Project Description'!$C$96="20 Years",-'Travel Forecasts'!N39,"---")</f>
        <v>---</v>
      </c>
      <c r="N49" s="449">
        <v>2.026E-2</v>
      </c>
      <c r="O49" s="444" t="str">
        <f>IF('Project Description'!$C$96="20 Years",M49*N49,"---")</f>
        <v>---</v>
      </c>
      <c r="P49" s="451" t="str">
        <f t="shared" si="4"/>
        <v>-</v>
      </c>
      <c r="Q49" s="130" t="str">
        <f>IF($H$8="(Select…)","-",IF('Project Description'!$C$96="20 Years",O49*P49,"---"))</f>
        <v>-</v>
      </c>
      <c r="R49" s="331"/>
    </row>
    <row r="50" spans="1:18" s="419" customFormat="1" ht="18" customHeight="1" x14ac:dyDescent="0.2">
      <c r="A50" s="131">
        <f t="shared" si="6"/>
        <v>18</v>
      </c>
      <c r="B50" s="132" t="s">
        <v>253</v>
      </c>
      <c r="C50" s="126">
        <f>-'Travel Forecasts'!M40</f>
        <v>0</v>
      </c>
      <c r="D50" s="443">
        <v>2.9011142061281339E-5</v>
      </c>
      <c r="E50" s="446">
        <f t="shared" si="7"/>
        <v>0</v>
      </c>
      <c r="F50" s="447" t="str">
        <f t="shared" si="5"/>
        <v>-</v>
      </c>
      <c r="G50" s="135" t="str">
        <f t="shared" si="2"/>
        <v>-</v>
      </c>
      <c r="H50" s="129" t="str">
        <f>IF('Project Description'!$C$96="10 Years",-'Travel Forecasts'!N40,"---")</f>
        <v>---</v>
      </c>
      <c r="I50" s="449">
        <v>2.4393314763231198E-5</v>
      </c>
      <c r="J50" s="444" t="str">
        <f>IF('Project Description'!$C$96="10 Years",H50*I50,"---")</f>
        <v>---</v>
      </c>
      <c r="K50" s="447" t="str">
        <f t="shared" si="3"/>
        <v>-</v>
      </c>
      <c r="L50" s="135" t="str">
        <f>IF($H$8="(Select…)","-",IF('Project Description'!$C$96="10 Years",J50*K50,"---"))</f>
        <v>-</v>
      </c>
      <c r="M50" s="126" t="str">
        <f>IF('Project Description'!$C$96="20 Years",-'Travel Forecasts'!N40,"---")</f>
        <v>---</v>
      </c>
      <c r="N50" s="449">
        <v>2.2772144846796658E-5</v>
      </c>
      <c r="O50" s="444" t="str">
        <f>IF('Project Description'!$C$96="20 Years",M50*N50,"---")</f>
        <v>---</v>
      </c>
      <c r="P50" s="452" t="str">
        <f t="shared" si="4"/>
        <v>-</v>
      </c>
      <c r="Q50" s="136" t="str">
        <f>IF($H$8="(Select…)","-",IF('Project Description'!$C$96="20 Years",O50*P50,"---"))</f>
        <v>-</v>
      </c>
      <c r="R50" s="331"/>
    </row>
    <row r="51" spans="1:18" ht="16.5" thickBot="1" x14ac:dyDescent="0.25">
      <c r="A51" s="137">
        <f t="shared" si="6"/>
        <v>19</v>
      </c>
      <c r="B51" s="138" t="s">
        <v>254</v>
      </c>
      <c r="C51" s="139">
        <f>SUM(C41:C50)</f>
        <v>0</v>
      </c>
      <c r="D51" s="140" t="s">
        <v>112</v>
      </c>
      <c r="E51" s="141">
        <f>SUM(E41:E50)</f>
        <v>0</v>
      </c>
      <c r="F51" s="142" t="s">
        <v>112</v>
      </c>
      <c r="G51" s="143">
        <f>SUM(G41:G50)</f>
        <v>0</v>
      </c>
      <c r="H51" s="144" t="str">
        <f>IF('Project Description'!$C$96="10 Years",SUM(H41:H50),"---")</f>
        <v>---</v>
      </c>
      <c r="I51" s="145" t="s">
        <v>112</v>
      </c>
      <c r="J51" s="141" t="str">
        <f>IF('Project Description'!$C$96="10 Years",SUM(J41:J50),"---")</f>
        <v>---</v>
      </c>
      <c r="K51" s="146" t="s">
        <v>112</v>
      </c>
      <c r="L51" s="143" t="str">
        <f>IF('Project Description'!$C$96="10 Years",SUM(L41:L50),"---")</f>
        <v>---</v>
      </c>
      <c r="M51" s="139" t="str">
        <f>IF('Project Description'!$C$96="20 Years",SUM(M41:M50),"---")</f>
        <v>---</v>
      </c>
      <c r="N51" s="145" t="s">
        <v>112</v>
      </c>
      <c r="O51" s="141" t="str">
        <f>IF('Project Description'!$C$96="20 Years",SUM(O41:O50),"---")</f>
        <v>---</v>
      </c>
      <c r="P51" s="146" t="s">
        <v>112</v>
      </c>
      <c r="Q51" s="143" t="str">
        <f>IF('Project Description'!$C$96="20 Years",SUM(Q41:Q50),"---")</f>
        <v>---</v>
      </c>
    </row>
    <row r="52" spans="1:18" s="189" customFormat="1" ht="12.75" x14ac:dyDescent="0.2">
      <c r="C52" s="190"/>
      <c r="D52" s="190"/>
      <c r="E52" s="191"/>
      <c r="F52" s="191"/>
      <c r="G52" s="191"/>
      <c r="H52" s="191"/>
    </row>
    <row r="53" spans="1:18" s="94" customFormat="1" ht="15.75" thickBot="1" x14ac:dyDescent="0.25">
      <c r="C53" s="187"/>
      <c r="D53" s="187"/>
      <c r="E53" s="188"/>
      <c r="F53" s="188"/>
      <c r="G53" s="188"/>
      <c r="H53" s="188"/>
    </row>
    <row r="54" spans="1:18" ht="19.5" thickBot="1" x14ac:dyDescent="0.3">
      <c r="A54" s="988" t="s">
        <v>255</v>
      </c>
      <c r="B54" s="989"/>
      <c r="C54" s="989"/>
      <c r="D54" s="989"/>
      <c r="E54" s="989"/>
      <c r="F54" s="989"/>
      <c r="G54" s="989"/>
      <c r="H54" s="989"/>
      <c r="I54" s="989"/>
      <c r="J54" s="989"/>
      <c r="K54" s="989"/>
      <c r="L54" s="989"/>
      <c r="M54" s="989"/>
      <c r="N54" s="989"/>
      <c r="O54" s="989"/>
      <c r="P54" s="989"/>
      <c r="Q54" s="990"/>
      <c r="R54" s="192"/>
    </row>
    <row r="55" spans="1:18" s="419" customFormat="1" ht="15.75" x14ac:dyDescent="0.25">
      <c r="A55" s="991" t="s">
        <v>83</v>
      </c>
      <c r="B55" s="993" t="s">
        <v>237</v>
      </c>
      <c r="C55" s="995" t="s">
        <v>34</v>
      </c>
      <c r="D55" s="996"/>
      <c r="E55" s="996"/>
      <c r="F55" s="996"/>
      <c r="G55" s="997"/>
      <c r="H55" s="996" t="s">
        <v>238</v>
      </c>
      <c r="I55" s="996"/>
      <c r="J55" s="996"/>
      <c r="K55" s="996"/>
      <c r="L55" s="996"/>
      <c r="M55" s="995" t="s">
        <v>239</v>
      </c>
      <c r="N55" s="996"/>
      <c r="O55" s="996"/>
      <c r="P55" s="996"/>
      <c r="Q55" s="997"/>
      <c r="R55" s="331"/>
    </row>
    <row r="56" spans="1:18" s="419" customFormat="1" ht="60" customHeight="1" x14ac:dyDescent="0.2">
      <c r="A56" s="992"/>
      <c r="B56" s="994"/>
      <c r="C56" s="113" t="s">
        <v>240</v>
      </c>
      <c r="D56" s="114" t="s">
        <v>241</v>
      </c>
      <c r="E56" s="114" t="s">
        <v>242</v>
      </c>
      <c r="F56" s="115" t="s">
        <v>243</v>
      </c>
      <c r="G56" s="116" t="s">
        <v>244</v>
      </c>
      <c r="H56" s="117" t="s">
        <v>240</v>
      </c>
      <c r="I56" s="114" t="s">
        <v>241</v>
      </c>
      <c r="J56" s="114" t="s">
        <v>242</v>
      </c>
      <c r="K56" s="115" t="s">
        <v>243</v>
      </c>
      <c r="L56" s="116" t="s">
        <v>244</v>
      </c>
      <c r="M56" s="113" t="s">
        <v>240</v>
      </c>
      <c r="N56" s="114" t="s">
        <v>241</v>
      </c>
      <c r="O56" s="114" t="s">
        <v>242</v>
      </c>
      <c r="P56" s="115" t="s">
        <v>243</v>
      </c>
      <c r="Q56" s="116" t="s">
        <v>244</v>
      </c>
      <c r="R56" s="331"/>
    </row>
    <row r="57" spans="1:18" s="419" customFormat="1" ht="18" customHeight="1" x14ac:dyDescent="0.2">
      <c r="A57" s="118">
        <f>A51+1</f>
        <v>20</v>
      </c>
      <c r="B57" s="119" t="s">
        <v>126</v>
      </c>
      <c r="C57" s="120">
        <f>IF('Project Description'!$C$92="Yes",H25,-'Travel Forecasts'!M31)</f>
        <v>0</v>
      </c>
      <c r="D57" s="453">
        <v>2.2129509999999999E-4</v>
      </c>
      <c r="E57" s="441">
        <f>C57*D57</f>
        <v>0</v>
      </c>
      <c r="F57" s="442" t="str">
        <f>IF($H$9="Attainment",7.09,IF($H$9="Maintenance",8.86,IF($H$9="Nonattainment",10.64,"-")))</f>
        <v>-</v>
      </c>
      <c r="G57" s="122" t="str">
        <f>IF($H$9="(Select…)","-",E57*F57)</f>
        <v>-</v>
      </c>
      <c r="H57" s="123" t="str">
        <f>IF('Project Description'!$C$96="10 Years",-'Travel Forecasts'!N31,"---")</f>
        <v>---</v>
      </c>
      <c r="I57" s="458">
        <v>4.7268567999999996E-5</v>
      </c>
      <c r="J57" s="441" t="str">
        <f>IF('Project Description'!$C$96="10 Years",H57*I57,"---")</f>
        <v>---</v>
      </c>
      <c r="K57" s="442" t="str">
        <f>IF($H$9="Attainment",7.09,IF($H$9="Maintenance",8.86,IF($H$9="Nonattainment",10.64,"-")))</f>
        <v>-</v>
      </c>
      <c r="L57" s="122" t="str">
        <f>IF($H$9="(Select…)","-",IF('Project Description'!$C$96="10 Years",J57*K57,"---"))</f>
        <v>-</v>
      </c>
      <c r="M57" s="120" t="str">
        <f>IF('Project Description'!$C$96="20 Years",-'Travel Forecasts'!N31,"---")</f>
        <v>---</v>
      </c>
      <c r="N57" s="458">
        <v>1.0057452E-5</v>
      </c>
      <c r="O57" s="441" t="str">
        <f>IF('Project Description'!$C$96="20 Years",M57*N57,"---")</f>
        <v>---</v>
      </c>
      <c r="P57" s="442" t="str">
        <f>IF($H$9="Attainment",7.09,IF($H$9="Maintenance",8.86,IF($H$9="Nonattainment",10.64,"-")))</f>
        <v>-</v>
      </c>
      <c r="Q57" s="122" t="str">
        <f>IF($H$9="(Select…)","-",IF('Project Description'!$C$96="20 Years",O57*P57,"---"))</f>
        <v>-</v>
      </c>
      <c r="R57" s="331"/>
    </row>
    <row r="58" spans="1:18" s="419" customFormat="1" ht="18" customHeight="1" x14ac:dyDescent="0.2">
      <c r="A58" s="124">
        <f>A57+1</f>
        <v>21</v>
      </c>
      <c r="B58" s="125" t="s">
        <v>245</v>
      </c>
      <c r="C58" s="126">
        <f>-'Travel Forecasts'!M32</f>
        <v>0</v>
      </c>
      <c r="D58" s="454">
        <v>3.7828199930000001E-3</v>
      </c>
      <c r="E58" s="444">
        <f t="shared" ref="E58:E66" si="8">C58*D58</f>
        <v>0</v>
      </c>
      <c r="F58" s="445" t="str">
        <f>IF($H$9="Attainment",6.72,IF($H$9="Maintenance",8.4,IF($H$9="Nonattainment",10.08,"-")))</f>
        <v>-</v>
      </c>
      <c r="G58" s="128" t="str">
        <f t="shared" ref="G58:G66" si="9">IF($H$9="(Select…)","-",E58*F58)</f>
        <v>-</v>
      </c>
      <c r="H58" s="129" t="str">
        <f>IF('Project Description'!$C$96="10 Years",-'Travel Forecasts'!N32,"---")</f>
        <v>---</v>
      </c>
      <c r="I58" s="454">
        <v>2.7971828269999998E-3</v>
      </c>
      <c r="J58" s="444" t="str">
        <f>IF('Project Description'!$C$96="10 Years",H58*I58,"---")</f>
        <v>---</v>
      </c>
      <c r="K58" s="445" t="str">
        <f>IF($H$9="Attainment",6.72,IF($H$9="Maintenance",8.4,IF($H$9="Nonattainment",10.08,"-")))</f>
        <v>-</v>
      </c>
      <c r="L58" s="128" t="str">
        <f>IF($H$9="(Select…)","-",IF('Project Description'!$C$96="10 Years",J58*K58,"---"))</f>
        <v>-</v>
      </c>
      <c r="M58" s="126" t="str">
        <f>IF('Project Description'!$C$96="20 Years",-'Travel Forecasts'!N32,"---")</f>
        <v>---</v>
      </c>
      <c r="N58" s="454">
        <v>2.416855304E-3</v>
      </c>
      <c r="O58" s="444" t="str">
        <f>IF('Project Description'!$C$96="20 Years",M58*N58,"---")</f>
        <v>---</v>
      </c>
      <c r="P58" s="451" t="str">
        <f>IF($H$9="Attainment",6.72,IF($H$9="Maintenance",8.4,IF($H$9="Nonattainment",10.08,"-")))</f>
        <v>-</v>
      </c>
      <c r="Q58" s="130" t="str">
        <f>IF($H$9="(Select…)","-",IF('Project Description'!$C$96="20 Years",O58*P58,"---"))</f>
        <v>-</v>
      </c>
      <c r="R58" s="331"/>
    </row>
    <row r="59" spans="1:18" s="419" customFormat="1" ht="18" customHeight="1" x14ac:dyDescent="0.2">
      <c r="A59" s="124">
        <f t="shared" ref="A59:A67" si="10">A58+1</f>
        <v>22</v>
      </c>
      <c r="B59" s="125" t="s">
        <v>246</v>
      </c>
      <c r="C59" s="126">
        <f>-'Travel Forecasts'!M33</f>
        <v>0</v>
      </c>
      <c r="D59" s="454">
        <v>3.7828199930000001E-3</v>
      </c>
      <c r="E59" s="444">
        <f t="shared" si="8"/>
        <v>0</v>
      </c>
      <c r="F59" s="445" t="str">
        <f>IF($H$9="Attainment",6.72,IF($H$9="Maintenance",8.4,IF($H$9="Nonattainment",10.08,"-")))</f>
        <v>-</v>
      </c>
      <c r="G59" s="128" t="str">
        <f t="shared" si="9"/>
        <v>-</v>
      </c>
      <c r="H59" s="129" t="str">
        <f>IF('Project Description'!$C$96="10 Years",-'Travel Forecasts'!N33,"---")</f>
        <v>---</v>
      </c>
      <c r="I59" s="454">
        <v>2.7971828269999998E-3</v>
      </c>
      <c r="J59" s="444" t="str">
        <f>IF('Project Description'!$C$96="10 Years",H59*I59,"---")</f>
        <v>---</v>
      </c>
      <c r="K59" s="445" t="str">
        <f>IF($H$9="Attainment",6.72,IF($H$9="Maintenance",8.4,IF($H$9="Nonattainment",10.08,"-")))</f>
        <v>-</v>
      </c>
      <c r="L59" s="128" t="str">
        <f>IF($H$9="(Select…)","-",IF('Project Description'!$C$96="10 Years",J59*K59,"---"))</f>
        <v>-</v>
      </c>
      <c r="M59" s="126" t="str">
        <f>IF('Project Description'!$C$96="20 Years",-'Travel Forecasts'!N33,"---")</f>
        <v>---</v>
      </c>
      <c r="N59" s="454">
        <v>2.416855304E-3</v>
      </c>
      <c r="O59" s="444" t="str">
        <f>IF('Project Description'!$C$96="20 Years",M59*N59,"---")</f>
        <v>---</v>
      </c>
      <c r="P59" s="451" t="str">
        <f>IF($H$9="Attainment",6.72,IF($H$9="Maintenance",8.4,IF($H$9="Nonattainment",10.08,"-")))</f>
        <v>-</v>
      </c>
      <c r="Q59" s="130" t="str">
        <f>IF($H$9="(Select…)","-",IF('Project Description'!$C$96="20 Years",O59*P59,"---"))</f>
        <v>-</v>
      </c>
      <c r="R59" s="331"/>
    </row>
    <row r="60" spans="1:18" s="419" customFormat="1" ht="18" customHeight="1" x14ac:dyDescent="0.2">
      <c r="A60" s="124">
        <f t="shared" si="10"/>
        <v>23</v>
      </c>
      <c r="B60" s="125" t="s">
        <v>247</v>
      </c>
      <c r="C60" s="126">
        <f>-'Travel Forecasts'!M34</f>
        <v>0</v>
      </c>
      <c r="D60" s="455">
        <v>2.0504913309999998E-3</v>
      </c>
      <c r="E60" s="444">
        <f t="shared" si="8"/>
        <v>0</v>
      </c>
      <c r="F60" s="445" t="str">
        <f>IF($H$9="Attainment",6.72,IF($H$9="Maintenance",8.4,IF($H$9="Nonattainment",10.08,"-")))</f>
        <v>-</v>
      </c>
      <c r="G60" s="128" t="str">
        <f t="shared" si="9"/>
        <v>-</v>
      </c>
      <c r="H60" s="129" t="str">
        <f>IF('Project Description'!$C$96="10 Years",-'Travel Forecasts'!N34,"---")</f>
        <v>---</v>
      </c>
      <c r="I60" s="454">
        <v>1.11576172E-3</v>
      </c>
      <c r="J60" s="444" t="str">
        <f>IF('Project Description'!$C$96="10 Years",H60*I60,"---")</f>
        <v>---</v>
      </c>
      <c r="K60" s="445" t="str">
        <f>IF($H$9="Attainment",6.72,IF($H$9="Maintenance",8.4,IF($H$9="Nonattainment",10.08,"-")))</f>
        <v>-</v>
      </c>
      <c r="L60" s="128" t="str">
        <f>IF($H$9="(Select…)","-",IF('Project Description'!$C$96="10 Years",J60*K60,"---"))</f>
        <v>-</v>
      </c>
      <c r="M60" s="126" t="str">
        <f>IF('Project Description'!$C$96="20 Years",-'Travel Forecasts'!N34,"---")</f>
        <v>---</v>
      </c>
      <c r="N60" s="454">
        <v>7.4730695800000007E-4</v>
      </c>
      <c r="O60" s="444" t="str">
        <f>IF('Project Description'!$C$96="20 Years",M60*N60,"---")</f>
        <v>---</v>
      </c>
      <c r="P60" s="451" t="str">
        <f>IF($H$9="Attainment",6.72,IF($H$9="Maintenance",8.4,IF($H$9="Nonattainment",10.08,"-")))</f>
        <v>-</v>
      </c>
      <c r="Q60" s="130" t="str">
        <f>IF($H$9="(Select…)","-",IF('Project Description'!$C$96="20 Years",O60*P60,"---"))</f>
        <v>-</v>
      </c>
      <c r="R60" s="331"/>
    </row>
    <row r="61" spans="1:18" s="419" customFormat="1" ht="18" customHeight="1" x14ac:dyDescent="0.2">
      <c r="A61" s="124">
        <f t="shared" si="10"/>
        <v>24</v>
      </c>
      <c r="B61" s="125" t="s">
        <v>248</v>
      </c>
      <c r="C61" s="126">
        <f>-'Travel Forecasts'!M35</f>
        <v>0</v>
      </c>
      <c r="D61" s="456">
        <v>7.205E-4</v>
      </c>
      <c r="E61" s="444">
        <f t="shared" si="8"/>
        <v>0</v>
      </c>
      <c r="F61" s="445" t="str">
        <f>IF($H$9="Attainment",7.05,IF($H$9="Maintenance",8.81,IF($H$9="Nonattainment",10.58,"-")))</f>
        <v>-</v>
      </c>
      <c r="G61" s="128" t="str">
        <f t="shared" si="9"/>
        <v>-</v>
      </c>
      <c r="H61" s="129" t="str">
        <f>IF('Project Description'!$C$96="10 Years",-'Travel Forecasts'!N35,"---")</f>
        <v>---</v>
      </c>
      <c r="I61" s="454">
        <v>4.7776999999999997E-4</v>
      </c>
      <c r="J61" s="444" t="str">
        <f>IF('Project Description'!$C$96="10 Years",H61*I61,"---")</f>
        <v>---</v>
      </c>
      <c r="K61" s="445" t="str">
        <f>IF($H$9="Attainment",7.83,IF($H$9="Maintenance",9.79,IF($H$9="Nonattainment",11.75,"-")))</f>
        <v>-</v>
      </c>
      <c r="L61" s="128" t="str">
        <f>IF($H$9="(Select…)","-",IF('Project Description'!$C$96="10 Years",J61*K61,"---"))</f>
        <v>-</v>
      </c>
      <c r="M61" s="126" t="str">
        <f>IF('Project Description'!$C$96="20 Years",-'Travel Forecasts'!N35,"---")</f>
        <v>---</v>
      </c>
      <c r="N61" s="454">
        <v>4.0241000000000007E-4</v>
      </c>
      <c r="O61" s="444" t="str">
        <f>IF('Project Description'!$C$96="20 Years",M61*N61,"---")</f>
        <v>---</v>
      </c>
      <c r="P61" s="451" t="str">
        <f>IF($H$9="Attainment",8.65,IF($H$9="Maintenance",10.81,IF($H$9="Nonattainment",12.98,"-")))</f>
        <v>-</v>
      </c>
      <c r="Q61" s="130" t="str">
        <f>IF($H$9="(Select…)","-",IF('Project Description'!$C$96="20 Years",O61*P61,"---"))</f>
        <v>-</v>
      </c>
      <c r="R61" s="331"/>
    </row>
    <row r="62" spans="1:18" s="419" customFormat="1" ht="18" customHeight="1" x14ac:dyDescent="0.2">
      <c r="A62" s="124">
        <f t="shared" si="10"/>
        <v>25</v>
      </c>
      <c r="B62" s="125" t="s">
        <v>249</v>
      </c>
      <c r="C62" s="126">
        <f>-'Travel Forecasts'!M36</f>
        <v>0</v>
      </c>
      <c r="D62" s="454">
        <v>1.1731833333333332E-5</v>
      </c>
      <c r="E62" s="444">
        <f t="shared" si="8"/>
        <v>0</v>
      </c>
      <c r="F62" s="445" t="str">
        <f>IF($H$9="Attainment",7.05,IF($H$9="Maintenance",8.81,IF($H$9="Nonattainment",10.58,"-")))</f>
        <v>-</v>
      </c>
      <c r="G62" s="128" t="str">
        <f t="shared" si="9"/>
        <v>-</v>
      </c>
      <c r="H62" s="129" t="str">
        <f>IF('Project Description'!$C$96="10 Years",-'Travel Forecasts'!N36,"---")</f>
        <v>---</v>
      </c>
      <c r="I62" s="454">
        <v>9.6643333333333317E-6</v>
      </c>
      <c r="J62" s="444" t="str">
        <f>IF('Project Description'!$C$96="10 Years",H62*I62,"---")</f>
        <v>---</v>
      </c>
      <c r="K62" s="445" t="str">
        <f>IF($H$9="Attainment",7.83,IF($H$9="Maintenance",9.79,IF($H$9="Nonattainment",11.75,"-")))</f>
        <v>-</v>
      </c>
      <c r="L62" s="128" t="str">
        <f>IF($H$9="(Select…)","-",IF('Project Description'!$C$96="10 Years",J62*K62,"---"))</f>
        <v>-</v>
      </c>
      <c r="M62" s="126" t="str">
        <f>IF('Project Description'!$C$96="20 Years",-'Travel Forecasts'!N36,"---")</f>
        <v>---</v>
      </c>
      <c r="N62" s="454">
        <v>8.7360000000000007E-6</v>
      </c>
      <c r="O62" s="444" t="str">
        <f>IF('Project Description'!$C$96="20 Years",M62*N62,"---")</f>
        <v>---</v>
      </c>
      <c r="P62" s="451" t="str">
        <f>IF($H$9="Attainment",8.65,IF($H$9="Maintenance",10.81,IF($H$9="Nonattainment",12.98,"-")))</f>
        <v>-</v>
      </c>
      <c r="Q62" s="130" t="str">
        <f>IF($H$9="(Select…)","-",IF('Project Description'!$C$96="20 Years",O62*P62,"---"))</f>
        <v>-</v>
      </c>
      <c r="R62" s="331"/>
    </row>
    <row r="63" spans="1:18" s="419" customFormat="1" ht="18" customHeight="1" x14ac:dyDescent="0.2">
      <c r="A63" s="124">
        <f t="shared" si="10"/>
        <v>26</v>
      </c>
      <c r="B63" s="125" t="s">
        <v>250</v>
      </c>
      <c r="C63" s="126">
        <f>-'Travel Forecasts'!M37</f>
        <v>0</v>
      </c>
      <c r="D63" s="456">
        <v>5.3921951219512202E-5</v>
      </c>
      <c r="E63" s="444">
        <f t="shared" si="8"/>
        <v>0</v>
      </c>
      <c r="F63" s="445" t="str">
        <f>IF($H$9="Attainment",7.05,IF($H$9="Maintenance",8.81,IF($H$9="Nonattainment",10.58,"-")))</f>
        <v>-</v>
      </c>
      <c r="G63" s="128" t="str">
        <f t="shared" si="9"/>
        <v>-</v>
      </c>
      <c r="H63" s="129" t="str">
        <f>IF('Project Description'!$C$96="10 Years",-'Travel Forecasts'!N37,"---")</f>
        <v>---</v>
      </c>
      <c r="I63" s="454">
        <v>4.4418536585365856E-5</v>
      </c>
      <c r="J63" s="444" t="str">
        <f>IF('Project Description'!$C$96="10 Years",H63*I63,"---")</f>
        <v>---</v>
      </c>
      <c r="K63" s="445" t="str">
        <f>IF($H$9="Attainment",7.83,IF($H$9="Maintenance",9.79,IF($H$9="Nonattainment",11.75,"-")))</f>
        <v>-</v>
      </c>
      <c r="L63" s="128" t="str">
        <f>IF($H$9="(Select…)","-",IF('Project Description'!$C$96="10 Years",J63*K63,"---"))</f>
        <v>-</v>
      </c>
      <c r="M63" s="126" t="str">
        <f>IF('Project Description'!$C$96="20 Years",-'Travel Forecasts'!N37,"---")</f>
        <v>---</v>
      </c>
      <c r="N63" s="454">
        <v>4.015170731707318E-5</v>
      </c>
      <c r="O63" s="444" t="str">
        <f>IF('Project Description'!$C$96="20 Years",M63*N63,"---")</f>
        <v>---</v>
      </c>
      <c r="P63" s="451" t="str">
        <f>IF($H$9="Attainment",8.65,IF($H$9="Maintenance",10.81,IF($H$9="Nonattainment",12.98,"-")))</f>
        <v>-</v>
      </c>
      <c r="Q63" s="130" t="str">
        <f>IF($H$9="(Select…)","-",IF('Project Description'!$C$96="20 Years",O63*P63,"---"))</f>
        <v>-</v>
      </c>
      <c r="R63" s="331"/>
    </row>
    <row r="64" spans="1:18" s="419" customFormat="1" ht="25.5" x14ac:dyDescent="0.2">
      <c r="A64" s="124">
        <f t="shared" si="10"/>
        <v>27</v>
      </c>
      <c r="B64" s="125" t="s">
        <v>251</v>
      </c>
      <c r="C64" s="126">
        <f>-'Travel Forecasts'!M38</f>
        <v>0</v>
      </c>
      <c r="D64" s="454">
        <v>1.583E-2</v>
      </c>
      <c r="E64" s="444">
        <f t="shared" si="8"/>
        <v>0</v>
      </c>
      <c r="F64" s="445" t="str">
        <f>IF($H$9="Attainment",6.83,IF($H$9="Maintenance",8.54,IF($H$9="Nonattainment",10.25,"-")))</f>
        <v>-</v>
      </c>
      <c r="G64" s="128" t="str">
        <f t="shared" si="9"/>
        <v>-</v>
      </c>
      <c r="H64" s="129" t="str">
        <f>IF('Project Description'!$C$96="10 Years",-'Travel Forecasts'!N38,"---")</f>
        <v>---</v>
      </c>
      <c r="I64" s="454">
        <v>1.583E-2</v>
      </c>
      <c r="J64" s="444" t="str">
        <f>IF('Project Description'!$C$96="10 Years",H64*I64,"---")</f>
        <v>---</v>
      </c>
      <c r="K64" s="445" t="str">
        <f>IF($H$9="Attainment",6.83,IF($H$9="Maintenance",8.54,IF($H$9="Nonattainment",10.25,"-")))</f>
        <v>-</v>
      </c>
      <c r="L64" s="128" t="str">
        <f>IF($H$9="(Select…)","-",IF('Project Description'!$C$96="10 Years",J64*K64,"---"))</f>
        <v>-</v>
      </c>
      <c r="M64" s="126" t="str">
        <f>IF('Project Description'!$C$96="20 Years",-'Travel Forecasts'!N38,"---")</f>
        <v>---</v>
      </c>
      <c r="N64" s="454">
        <v>1.583E-2</v>
      </c>
      <c r="O64" s="444" t="str">
        <f>IF('Project Description'!$C$96="20 Years",M64*N64,"---")</f>
        <v>---</v>
      </c>
      <c r="P64" s="451" t="str">
        <f>IF($H$9="Attainment",6.83,IF($H$9="Maintenance",8.54,IF($H$9="Nonattainment",10.25,"-")))</f>
        <v>-</v>
      </c>
      <c r="Q64" s="130" t="str">
        <f>IF($H$9="(Select…)","-",IF('Project Description'!$C$96="20 Years",O64*P64,"---"))</f>
        <v>-</v>
      </c>
      <c r="R64" s="331"/>
    </row>
    <row r="65" spans="1:18" s="419" customFormat="1" ht="12.75" x14ac:dyDescent="0.2">
      <c r="A65" s="124">
        <f t="shared" si="10"/>
        <v>28</v>
      </c>
      <c r="B65" s="125" t="s">
        <v>252</v>
      </c>
      <c r="C65" s="126">
        <f>-'Travel Forecasts'!M39</f>
        <v>0</v>
      </c>
      <c r="D65" s="455">
        <v>9.962E-2</v>
      </c>
      <c r="E65" s="444">
        <f t="shared" si="8"/>
        <v>0</v>
      </c>
      <c r="F65" s="445" t="str">
        <f>IF($H$9="Attainment",6.83,IF($H$9="Maintenance",8.54,IF($H$9="Nonattainment",10.25,"-")))</f>
        <v>-</v>
      </c>
      <c r="G65" s="128" t="str">
        <f t="shared" si="9"/>
        <v>-</v>
      </c>
      <c r="H65" s="129" t="str">
        <f>IF('Project Description'!$C$96="10 Years",-'Travel Forecasts'!N39,"---")</f>
        <v>---</v>
      </c>
      <c r="I65" s="454">
        <v>9.962E-2</v>
      </c>
      <c r="J65" s="444" t="str">
        <f>IF('Project Description'!$C$96="10 Years",H65*I65,"---")</f>
        <v>---</v>
      </c>
      <c r="K65" s="445" t="str">
        <f>IF($H$9="Attainment",6.83,IF($H$9="Maintenance",8.54,IF($H$9="Nonattainment",10.25,"-")))</f>
        <v>-</v>
      </c>
      <c r="L65" s="128" t="str">
        <f>IF($H$9="(Select…)","-",IF('Project Description'!$C$96="10 Years",J65*K65,"---"))</f>
        <v>-</v>
      </c>
      <c r="M65" s="126" t="str">
        <f>IF('Project Description'!$C$96="20 Years",-'Travel Forecasts'!N39,"---")</f>
        <v>---</v>
      </c>
      <c r="N65" s="454">
        <v>9.962E-2</v>
      </c>
      <c r="O65" s="444" t="str">
        <f>IF('Project Description'!$C$96="20 Years",M65*N65,"---")</f>
        <v>---</v>
      </c>
      <c r="P65" s="451" t="str">
        <f>IF($H$9="Attainment",6.83,IF($H$9="Maintenance",8.54,IF($H$9="Nonattainment",10.25,"-")))</f>
        <v>-</v>
      </c>
      <c r="Q65" s="130" t="str">
        <f>IF($H$9="(Select…)","-",IF('Project Description'!$C$96="20 Years",O65*P65,"---"))</f>
        <v>-</v>
      </c>
      <c r="R65" s="331"/>
    </row>
    <row r="66" spans="1:18" s="419" customFormat="1" ht="18" customHeight="1" x14ac:dyDescent="0.2">
      <c r="A66" s="131">
        <f t="shared" si="10"/>
        <v>29</v>
      </c>
      <c r="B66" s="132" t="s">
        <v>253</v>
      </c>
      <c r="C66" s="126">
        <f>-'Travel Forecasts'!M40</f>
        <v>0</v>
      </c>
      <c r="D66" s="457">
        <v>5.1958217270194985E-5</v>
      </c>
      <c r="E66" s="446">
        <f t="shared" si="8"/>
        <v>0</v>
      </c>
      <c r="F66" s="447" t="str">
        <f>IF($H$9="Attainment",7.05,IF($H$9="Maintenance",8.81,IF($H$9="Nonattainment",10.58,"-")))</f>
        <v>-</v>
      </c>
      <c r="G66" s="135" t="str">
        <f t="shared" si="9"/>
        <v>-</v>
      </c>
      <c r="H66" s="129" t="str">
        <f>IF('Project Description'!$C$96="10 Years",-'Travel Forecasts'!N40,"---")</f>
        <v>---</v>
      </c>
      <c r="I66" s="454">
        <v>4.2802228412256267E-5</v>
      </c>
      <c r="J66" s="444" t="str">
        <f>IF('Project Description'!$C$96="10 Years",H66*I66,"---")</f>
        <v>---</v>
      </c>
      <c r="K66" s="447" t="str">
        <f>IF($H$9="Attainment",7.83,IF($H$9="Maintenance",9.79,IF($H$9="Nonattainment",11.75,"-")))</f>
        <v>-</v>
      </c>
      <c r="L66" s="135" t="str">
        <f>IF($H$9="(Select…)","-",IF('Project Description'!$C$96="10 Years",J66*K66,"---"))</f>
        <v>-</v>
      </c>
      <c r="M66" s="126" t="str">
        <f>IF('Project Description'!$C$96="20 Years",-'Travel Forecasts'!N40,"---")</f>
        <v>---</v>
      </c>
      <c r="N66" s="454">
        <v>3.8690807799442894E-5</v>
      </c>
      <c r="O66" s="444" t="str">
        <f>IF('Project Description'!$C$96="20 Years",M66*N66,"---")</f>
        <v>---</v>
      </c>
      <c r="P66" s="452" t="str">
        <f>IF($H$9="Attainment",8.65,IF($H$9="Maintenance",10.81,IF($H$9="Nonattainment",12.98,"-")))</f>
        <v>-</v>
      </c>
      <c r="Q66" s="136" t="str">
        <f>IF($H$9="(Select…)","-",IF('Project Description'!$C$96="20 Years",O66*P66,"---"))</f>
        <v>-</v>
      </c>
      <c r="R66" s="331"/>
    </row>
    <row r="67" spans="1:18" ht="16.5" thickBot="1" x14ac:dyDescent="0.25">
      <c r="A67" s="137">
        <f t="shared" si="10"/>
        <v>30</v>
      </c>
      <c r="B67" s="138" t="s">
        <v>254</v>
      </c>
      <c r="C67" s="139">
        <f>SUM(C57:C66)</f>
        <v>0</v>
      </c>
      <c r="D67" s="140" t="s">
        <v>112</v>
      </c>
      <c r="E67" s="141">
        <f>SUM(E57:E66)</f>
        <v>0</v>
      </c>
      <c r="F67" s="142" t="s">
        <v>112</v>
      </c>
      <c r="G67" s="143">
        <f>SUM(G57:G66)</f>
        <v>0</v>
      </c>
      <c r="H67" s="144" t="str">
        <f>IF('Project Description'!$C$96="10 Years",SUM(H57:H66),"---")</f>
        <v>---</v>
      </c>
      <c r="I67" s="145" t="s">
        <v>112</v>
      </c>
      <c r="J67" s="141" t="str">
        <f>IF('Project Description'!$C$96="10 Years",SUM(J57:J66),"---")</f>
        <v>---</v>
      </c>
      <c r="K67" s="146" t="s">
        <v>112</v>
      </c>
      <c r="L67" s="143" t="str">
        <f>IF('Project Description'!$C$96="10 Years",SUM(L57:L66),"---")</f>
        <v>---</v>
      </c>
      <c r="M67" s="139" t="str">
        <f>IF('Project Description'!$C$96="20 Years",SUM(M57:M66),"---")</f>
        <v>---</v>
      </c>
      <c r="N67" s="145" t="s">
        <v>112</v>
      </c>
      <c r="O67" s="141" t="str">
        <f>IF('Project Description'!$C$96="20 Years",SUM(O57:O66),"---")</f>
        <v>---</v>
      </c>
      <c r="P67" s="146" t="s">
        <v>112</v>
      </c>
      <c r="Q67" s="143" t="str">
        <f>IF('Project Description'!$C$96="20 Years",SUM(Q57:Q66),"---")</f>
        <v>---</v>
      </c>
    </row>
    <row r="68" spans="1:18" ht="15.75" x14ac:dyDescent="0.2">
      <c r="A68" s="212"/>
      <c r="B68" s="213"/>
      <c r="C68" s="214"/>
      <c r="D68" s="215"/>
      <c r="E68" s="216"/>
      <c r="F68" s="215"/>
      <c r="G68" s="217"/>
      <c r="H68" s="214"/>
      <c r="I68" s="218"/>
      <c r="J68" s="216"/>
      <c r="K68" s="218"/>
      <c r="L68" s="217"/>
      <c r="M68" s="214"/>
      <c r="N68" s="218"/>
      <c r="O68" s="216"/>
      <c r="P68" s="218"/>
      <c r="Q68" s="217"/>
      <c r="R68" s="413"/>
    </row>
    <row r="69" spans="1:18" ht="16.5" thickBot="1" x14ac:dyDescent="0.25">
      <c r="A69" s="212"/>
      <c r="B69" s="213"/>
      <c r="C69" s="214"/>
      <c r="D69" s="215"/>
      <c r="E69" s="216"/>
      <c r="F69" s="215"/>
      <c r="G69" s="217"/>
      <c r="H69" s="214"/>
      <c r="I69" s="218"/>
      <c r="J69" s="216"/>
      <c r="K69" s="218"/>
      <c r="L69" s="217"/>
      <c r="M69" s="214"/>
      <c r="N69" s="218"/>
      <c r="O69" s="216"/>
      <c r="P69" s="218"/>
      <c r="Q69" s="217"/>
      <c r="R69" s="413"/>
    </row>
    <row r="70" spans="1:18" ht="18.75" customHeight="1" thickBot="1" x14ac:dyDescent="0.25">
      <c r="A70" s="985" t="s">
        <v>256</v>
      </c>
      <c r="B70" s="986"/>
      <c r="C70" s="986"/>
      <c r="D70" s="986"/>
      <c r="E70" s="986"/>
      <c r="F70" s="986"/>
      <c r="G70" s="986"/>
      <c r="H70" s="986"/>
      <c r="I70" s="986"/>
      <c r="J70" s="986"/>
      <c r="K70" s="986"/>
      <c r="L70" s="986"/>
      <c r="M70" s="986"/>
      <c r="N70" s="986"/>
      <c r="O70" s="986"/>
      <c r="P70" s="986"/>
      <c r="Q70" s="987"/>
      <c r="R70" s="407"/>
    </row>
    <row r="71" spans="1:18" s="94" customFormat="1" ht="15.75" thickBot="1" x14ac:dyDescent="0.25">
      <c r="C71" s="187"/>
      <c r="D71" s="187"/>
      <c r="E71" s="188"/>
      <c r="F71" s="188"/>
      <c r="G71" s="188"/>
      <c r="H71" s="188"/>
    </row>
    <row r="72" spans="1:18" ht="19.5" customHeight="1" thickBot="1" x14ac:dyDescent="0.3">
      <c r="A72" s="988" t="s">
        <v>257</v>
      </c>
      <c r="B72" s="989"/>
      <c r="C72" s="989"/>
      <c r="D72" s="989"/>
      <c r="E72" s="989"/>
      <c r="F72" s="989"/>
      <c r="G72" s="989"/>
      <c r="H72" s="989"/>
      <c r="I72" s="989"/>
      <c r="J72" s="989"/>
      <c r="K72" s="989"/>
      <c r="L72" s="989"/>
      <c r="M72" s="989"/>
      <c r="N72" s="989"/>
      <c r="O72" s="989"/>
      <c r="P72" s="989"/>
      <c r="Q72" s="990"/>
      <c r="R72" s="192"/>
    </row>
    <row r="73" spans="1:18" s="419" customFormat="1" ht="15.75" x14ac:dyDescent="0.25">
      <c r="A73" s="991" t="s">
        <v>83</v>
      </c>
      <c r="B73" s="993" t="s">
        <v>237</v>
      </c>
      <c r="C73" s="995" t="s">
        <v>34</v>
      </c>
      <c r="D73" s="996"/>
      <c r="E73" s="996"/>
      <c r="F73" s="996"/>
      <c r="G73" s="997"/>
      <c r="H73" s="996" t="s">
        <v>238</v>
      </c>
      <c r="I73" s="996"/>
      <c r="J73" s="996"/>
      <c r="K73" s="996"/>
      <c r="L73" s="996"/>
      <c r="M73" s="995" t="s">
        <v>239</v>
      </c>
      <c r="N73" s="996"/>
      <c r="O73" s="996"/>
      <c r="P73" s="996"/>
      <c r="Q73" s="997"/>
      <c r="R73" s="331"/>
    </row>
    <row r="74" spans="1:18" s="419" customFormat="1" ht="60" customHeight="1" x14ac:dyDescent="0.2">
      <c r="A74" s="992"/>
      <c r="B74" s="994"/>
      <c r="C74" s="113" t="s">
        <v>240</v>
      </c>
      <c r="D74" s="114" t="s">
        <v>241</v>
      </c>
      <c r="E74" s="114" t="s">
        <v>242</v>
      </c>
      <c r="F74" s="115" t="s">
        <v>243</v>
      </c>
      <c r="G74" s="116" t="s">
        <v>244</v>
      </c>
      <c r="H74" s="117" t="s">
        <v>240</v>
      </c>
      <c r="I74" s="114" t="s">
        <v>241</v>
      </c>
      <c r="J74" s="114" t="s">
        <v>242</v>
      </c>
      <c r="K74" s="115" t="s">
        <v>243</v>
      </c>
      <c r="L74" s="116" t="s">
        <v>244</v>
      </c>
      <c r="M74" s="113" t="s">
        <v>240</v>
      </c>
      <c r="N74" s="114" t="s">
        <v>241</v>
      </c>
      <c r="O74" s="114" t="s">
        <v>242</v>
      </c>
      <c r="P74" s="115" t="s">
        <v>243</v>
      </c>
      <c r="Q74" s="116" t="s">
        <v>244</v>
      </c>
      <c r="R74" s="331"/>
    </row>
    <row r="75" spans="1:18" s="419" customFormat="1" ht="18" customHeight="1" x14ac:dyDescent="0.2">
      <c r="A75" s="118">
        <f>A67+1</f>
        <v>31</v>
      </c>
      <c r="B75" s="119" t="s">
        <v>126</v>
      </c>
      <c r="C75" s="120">
        <f>IF('Project Description'!$C$92="Yes",H25,-'Travel Forecasts'!M31)</f>
        <v>0</v>
      </c>
      <c r="D75" s="458">
        <v>4.9406911E-5</v>
      </c>
      <c r="E75" s="441">
        <f>C75*D75</f>
        <v>0</v>
      </c>
      <c r="F75" s="442" t="str">
        <f>IF($H$10="Attainment",9.38,IF($H$10="Maintenance",11.73,IF($H$10="Nonattainment",14.07,"-")))</f>
        <v>-</v>
      </c>
      <c r="G75" s="122" t="str">
        <f>IF($H$10="(Select…)","-",E75*F75)</f>
        <v>-</v>
      </c>
      <c r="H75" s="123" t="str">
        <f>IF('Project Description'!$C$96="10 Years",-'Travel Forecasts'!N31,"---")</f>
        <v>---</v>
      </c>
      <c r="I75" s="458">
        <v>1.2812096E-5</v>
      </c>
      <c r="J75" s="441" t="str">
        <f>IF('Project Description'!$C$96="10 Years",H75*I75,"---")</f>
        <v>---</v>
      </c>
      <c r="K75" s="442" t="str">
        <f>IF($H$10="Attainment",10.43,IF($H$10="Maintenance",13.03,IF($H$10="Nonattainment",15.64,"-")))</f>
        <v>-</v>
      </c>
      <c r="L75" s="122" t="str">
        <f>IF($H$10="(Select…)","-",IF('Project Description'!$C$96="10 Years",J75*K75,"---"))</f>
        <v>-</v>
      </c>
      <c r="M75" s="120" t="str">
        <f>IF('Project Description'!$C$96="20 Years",-'Travel Forecasts'!N31,"---")</f>
        <v>---</v>
      </c>
      <c r="N75" s="458">
        <v>6.7465279999999996E-6</v>
      </c>
      <c r="O75" s="441" t="str">
        <f>IF('Project Description'!$C$96="20 Years",M75*N75,"---")</f>
        <v>---</v>
      </c>
      <c r="P75" s="442" t="str">
        <f>IF($H$10="Attainment",12.57,IF($H$10="Maintenance",15.71,IF($H$10="Nonattainment",18.85,"-")))</f>
        <v>-</v>
      </c>
      <c r="Q75" s="122" t="str">
        <f>IF($H$10="(Select…)","-",IF('Project Description'!$C$96="20 Years",O75*P75,"---"))</f>
        <v>-</v>
      </c>
      <c r="R75" s="331"/>
    </row>
    <row r="76" spans="1:18" s="419" customFormat="1" ht="18" customHeight="1" x14ac:dyDescent="0.2">
      <c r="A76" s="124">
        <f>A75+1</f>
        <v>32</v>
      </c>
      <c r="B76" s="125" t="s">
        <v>245</v>
      </c>
      <c r="C76" s="126">
        <f>-'Travel Forecasts'!M32</f>
        <v>0</v>
      </c>
      <c r="D76" s="454">
        <v>1.7553222800000001E-4</v>
      </c>
      <c r="E76" s="444">
        <f t="shared" ref="E76:E84" si="11">C76*D76</f>
        <v>0</v>
      </c>
      <c r="F76" s="445" t="str">
        <f>IF($H$10="Attainment",9.38,IF($H$10="Maintenance",11.73,IF($H$10="Nonattainment",14.07,"-")))</f>
        <v>-</v>
      </c>
      <c r="G76" s="128" t="str">
        <f t="shared" ref="G76:G84" si="12">IF($H$10="(Select…)","-",E76*F76)</f>
        <v>-</v>
      </c>
      <c r="H76" s="129" t="str">
        <f>IF('Project Description'!$C$96="10 Years",-'Travel Forecasts'!N32,"---")</f>
        <v>---</v>
      </c>
      <c r="I76" s="454">
        <v>6.7660810000000002E-5</v>
      </c>
      <c r="J76" s="444" t="str">
        <f>IF('Project Description'!$C$96="10 Years",H76*I76,"---")</f>
        <v>---</v>
      </c>
      <c r="K76" s="445" t="str">
        <f>IF($H$10="Attainment",10.43,IF($H$10="Maintenance",13.03,IF($H$10="Nonattainment",15.64,"-")))</f>
        <v>-</v>
      </c>
      <c r="L76" s="128" t="str">
        <f>IF($H$10="(Select…)","-",IF('Project Description'!$C$96="10 Years",J76*K76,"---"))</f>
        <v>-</v>
      </c>
      <c r="M76" s="126" t="str">
        <f>IF('Project Description'!$C$96="20 Years",-'Travel Forecasts'!N32,"---")</f>
        <v>---</v>
      </c>
      <c r="N76" s="454">
        <v>3.2123569E-5</v>
      </c>
      <c r="O76" s="444" t="str">
        <f>IF('Project Description'!$C$96="20 Years",M76*N76,"---")</f>
        <v>---</v>
      </c>
      <c r="P76" s="451" t="str">
        <f>IF($H$10="Attainment",12.57,IF($H$10="Maintenance",15.71,IF($H$10="Nonattainment",18.85,"-")))</f>
        <v>-</v>
      </c>
      <c r="Q76" s="130" t="str">
        <f>IF($H$10="(Select…)","-",IF('Project Description'!$C$96="20 Years",O76*P76,"---"))</f>
        <v>-</v>
      </c>
      <c r="R76" s="331"/>
    </row>
    <row r="77" spans="1:18" s="419" customFormat="1" ht="18" customHeight="1" x14ac:dyDescent="0.2">
      <c r="A77" s="124">
        <f t="shared" ref="A77:A85" si="13">A76+1</f>
        <v>33</v>
      </c>
      <c r="B77" s="125" t="s">
        <v>246</v>
      </c>
      <c r="C77" s="126">
        <f>-'Travel Forecasts'!M33</f>
        <v>0</v>
      </c>
      <c r="D77" s="454">
        <v>1.7553222800000001E-4</v>
      </c>
      <c r="E77" s="444">
        <f t="shared" si="11"/>
        <v>0</v>
      </c>
      <c r="F77" s="445" t="str">
        <f>IF($H$10="Attainment",9.38,IF($H$10="Maintenance",11.73,IF($H$10="Nonattainment",14.07,"-")))</f>
        <v>-</v>
      </c>
      <c r="G77" s="128" t="str">
        <f t="shared" si="12"/>
        <v>-</v>
      </c>
      <c r="H77" s="129" t="str">
        <f>IF('Project Description'!$C$96="10 Years",-'Travel Forecasts'!N33,"---")</f>
        <v>---</v>
      </c>
      <c r="I77" s="454">
        <v>6.7660810000000002E-5</v>
      </c>
      <c r="J77" s="444" t="str">
        <f>IF('Project Description'!$C$96="10 Years",H77*I77,"---")</f>
        <v>---</v>
      </c>
      <c r="K77" s="445" t="str">
        <f>IF($H$10="Attainment",10.43,IF($H$10="Maintenance",13.03,IF($H$10="Nonattainment",15.64,"-")))</f>
        <v>-</v>
      </c>
      <c r="L77" s="128" t="str">
        <f>IF($H$10="(Select…)","-",IF('Project Description'!$C$96="10 Years",J77*K77,"---"))</f>
        <v>-</v>
      </c>
      <c r="M77" s="126" t="str">
        <f>IF('Project Description'!$C$96="20 Years",-'Travel Forecasts'!N33,"---")</f>
        <v>---</v>
      </c>
      <c r="N77" s="454">
        <v>3.2123569E-5</v>
      </c>
      <c r="O77" s="444" t="str">
        <f>IF('Project Description'!$C$96="20 Years",M77*N77,"---")</f>
        <v>---</v>
      </c>
      <c r="P77" s="451" t="str">
        <f>IF($H$10="Attainment",12.57,IF($H$10="Maintenance",15.71,IF($H$10="Nonattainment",18.85,"-")))</f>
        <v>-</v>
      </c>
      <c r="Q77" s="130" t="str">
        <f>IF($H$10="(Select…)","-",IF('Project Description'!$C$96="20 Years",O77*P77,"---"))</f>
        <v>-</v>
      </c>
      <c r="R77" s="331"/>
    </row>
    <row r="78" spans="1:18" s="419" customFormat="1" ht="18" customHeight="1" x14ac:dyDescent="0.2">
      <c r="A78" s="124">
        <f t="shared" si="13"/>
        <v>34</v>
      </c>
      <c r="B78" s="125" t="s">
        <v>247</v>
      </c>
      <c r="C78" s="126">
        <f>-'Travel Forecasts'!M34</f>
        <v>0</v>
      </c>
      <c r="D78" s="454">
        <v>7.2628081499999993E-4</v>
      </c>
      <c r="E78" s="444">
        <f t="shared" si="11"/>
        <v>0</v>
      </c>
      <c r="F78" s="445" t="str">
        <f>IF($H$10="Attainment",9.38,IF($H$10="Maintenance",11.73,IF($H$10="Nonattainment",14.07,"-")))</f>
        <v>-</v>
      </c>
      <c r="G78" s="128" t="str">
        <f t="shared" si="12"/>
        <v>-</v>
      </c>
      <c r="H78" s="129" t="str">
        <f>IF('Project Description'!$C$96="10 Years",-'Travel Forecasts'!N34,"---")</f>
        <v>---</v>
      </c>
      <c r="I78" s="454">
        <v>7.631374319999999E-4</v>
      </c>
      <c r="J78" s="444" t="str">
        <f>IF('Project Description'!$C$96="10 Years",H78*I78,"---")</f>
        <v>---</v>
      </c>
      <c r="K78" s="445" t="str">
        <f>IF($H$10="Attainment",10.43,IF($H$10="Maintenance",13.03,IF($H$10="Nonattainment",15.64,"-")))</f>
        <v>-</v>
      </c>
      <c r="L78" s="128" t="str">
        <f>IF($H$10="(Select…)","-",IF('Project Description'!$C$96="10 Years",J78*K78,"---"))</f>
        <v>-</v>
      </c>
      <c r="M78" s="126" t="str">
        <f>IF('Project Description'!$C$96="20 Years",-'Travel Forecasts'!N34,"---")</f>
        <v>---</v>
      </c>
      <c r="N78" s="454">
        <v>7.6463581700000004E-4</v>
      </c>
      <c r="O78" s="444" t="str">
        <f>IF('Project Description'!$C$96="20 Years",M78*N78,"---")</f>
        <v>---</v>
      </c>
      <c r="P78" s="451" t="str">
        <f>IF($H$10="Attainment",12.57,IF($H$10="Maintenance",15.71,IF($H$10="Nonattainment",18.85,"-")))</f>
        <v>-</v>
      </c>
      <c r="Q78" s="130" t="str">
        <f>IF($H$10="(Select…)","-",IF('Project Description'!$C$96="20 Years",O78*P78,"---"))</f>
        <v>-</v>
      </c>
      <c r="R78" s="331"/>
    </row>
    <row r="79" spans="1:18" s="419" customFormat="1" ht="18" customHeight="1" x14ac:dyDescent="0.2">
      <c r="A79" s="124">
        <f t="shared" si="13"/>
        <v>35</v>
      </c>
      <c r="B79" s="125" t="s">
        <v>248</v>
      </c>
      <c r="C79" s="126">
        <f>-'Travel Forecasts'!M35</f>
        <v>0</v>
      </c>
      <c r="D79" s="454">
        <v>1.1438E-4</v>
      </c>
      <c r="E79" s="444">
        <f t="shared" si="11"/>
        <v>0</v>
      </c>
      <c r="F79" s="445" t="str">
        <f>IF($H$10="Attainment",14.55,IF($H$10="Maintenance",18.19,IF($H$10="Nonattainment",21.83,"-")))</f>
        <v>-</v>
      </c>
      <c r="G79" s="128" t="str">
        <f t="shared" si="12"/>
        <v>-</v>
      </c>
      <c r="H79" s="129" t="str">
        <f>IF('Project Description'!$C$96="10 Years",-'Travel Forecasts'!N35,"---")</f>
        <v>---</v>
      </c>
      <c r="I79" s="454">
        <v>7.7527000000000005E-5</v>
      </c>
      <c r="J79" s="444" t="str">
        <f>IF('Project Description'!$C$96="10 Years",H79*I79,"---")</f>
        <v>---</v>
      </c>
      <c r="K79" s="445" t="str">
        <f>IF($H$10="Attainment",16.09,IF($H$10="Maintenance",20.12,IF($H$10="Nonattainment",24.14,"-")))</f>
        <v>-</v>
      </c>
      <c r="L79" s="128" t="str">
        <f>IF($H$10="(Select…)","-",IF('Project Description'!$C$96="10 Years",J79*K79,"---"))</f>
        <v>-</v>
      </c>
      <c r="M79" s="126" t="str">
        <f>IF('Project Description'!$C$96="20 Years",-'Travel Forecasts'!N35,"---")</f>
        <v>---</v>
      </c>
      <c r="N79" s="454">
        <v>6.7779000000000003E-5</v>
      </c>
      <c r="O79" s="444" t="str">
        <f>IF('Project Description'!$C$96="20 Years",M79*N79,"---")</f>
        <v>---</v>
      </c>
      <c r="P79" s="451" t="str">
        <f>IF($H$10="Attainment",19.51,IF($H$10="Maintenance",24.39,IF($H$10="Nonattainment",29.27,"-")))</f>
        <v>-</v>
      </c>
      <c r="Q79" s="130" t="str">
        <f>IF($H$10="(Select…)","-",IF('Project Description'!$C$96="20 Years",O79*P79,"---"))</f>
        <v>-</v>
      </c>
      <c r="R79" s="331"/>
    </row>
    <row r="80" spans="1:18" s="419" customFormat="1" ht="18" customHeight="1" x14ac:dyDescent="0.2">
      <c r="A80" s="124">
        <f t="shared" si="13"/>
        <v>36</v>
      </c>
      <c r="B80" s="125" t="s">
        <v>249</v>
      </c>
      <c r="C80" s="126">
        <f>-'Travel Forecasts'!M36</f>
        <v>0</v>
      </c>
      <c r="D80" s="459">
        <v>1.8625000000000002E-6</v>
      </c>
      <c r="E80" s="444">
        <f t="shared" si="11"/>
        <v>0</v>
      </c>
      <c r="F80" s="445" t="str">
        <f>IF($H$10="Attainment",14.55,IF($H$10="Maintenance",18.19,IF($H$10="Nonattainment",21.83,"-")))</f>
        <v>-</v>
      </c>
      <c r="G80" s="128" t="str">
        <f t="shared" si="12"/>
        <v>-</v>
      </c>
      <c r="H80" s="129" t="str">
        <f>IF('Project Description'!$C$96="10 Years",-'Travel Forecasts'!N36,"---")</f>
        <v>---</v>
      </c>
      <c r="I80" s="454">
        <v>1.5681999999999999E-6</v>
      </c>
      <c r="J80" s="444" t="str">
        <f>IF('Project Description'!$C$96="10 Years",H80*I80,"---")</f>
        <v>---</v>
      </c>
      <c r="K80" s="445" t="str">
        <f>IF($H$10="Attainment",16.09,IF($H$10="Maintenance",20.12,IF($H$10="Nonattainment",24.14,"-")))</f>
        <v>-</v>
      </c>
      <c r="L80" s="128" t="str">
        <f>IF($H$10="(Select…)","-",IF('Project Description'!$C$96="10 Years",J80*K80,"---"))</f>
        <v>-</v>
      </c>
      <c r="M80" s="126" t="str">
        <f>IF('Project Description'!$C$96="20 Years",-'Travel Forecasts'!N36,"---")</f>
        <v>---</v>
      </c>
      <c r="N80" s="454">
        <v>1.4714166666666667E-6</v>
      </c>
      <c r="O80" s="444" t="str">
        <f>IF('Project Description'!$C$96="20 Years",M80*N80,"---")</f>
        <v>---</v>
      </c>
      <c r="P80" s="451" t="str">
        <f>IF($H$10="Attainment",12.57,IF($H$10="Maintenance",15.71,IF($H$10="Nonattainment",18.85,"-")))</f>
        <v>-</v>
      </c>
      <c r="Q80" s="130" t="str">
        <f>IF($H$10="(Select…)","-",IF('Project Description'!$C$96="20 Years",O80*P80,"---"))</f>
        <v>-</v>
      </c>
      <c r="R80" s="331"/>
    </row>
    <row r="81" spans="1:18" s="419" customFormat="1" ht="18" customHeight="1" x14ac:dyDescent="0.2">
      <c r="A81" s="124">
        <f t="shared" si="13"/>
        <v>37</v>
      </c>
      <c r="B81" s="125" t="s">
        <v>250</v>
      </c>
      <c r="C81" s="126">
        <f>-'Travel Forecasts'!M37</f>
        <v>0</v>
      </c>
      <c r="D81" s="454">
        <v>8.5599999999999994E-6</v>
      </c>
      <c r="E81" s="444">
        <f t="shared" si="11"/>
        <v>0</v>
      </c>
      <c r="F81" s="445" t="str">
        <f>IF($H$10="Attainment",14.55,IF($H$10="Maintenance",18.19,IF($H$10="Nonattainment",21.83,"-")))</f>
        <v>-</v>
      </c>
      <c r="G81" s="128" t="str">
        <f t="shared" si="12"/>
        <v>-</v>
      </c>
      <c r="H81" s="129" t="str">
        <f>IF('Project Description'!$C$96="10 Years",-'Travel Forecasts'!N37,"---")</f>
        <v>---</v>
      </c>
      <c r="I81" s="454">
        <v>7.2078048780487814E-6</v>
      </c>
      <c r="J81" s="444" t="str">
        <f>IF('Project Description'!$C$96="10 Years",H81*I81,"---")</f>
        <v>---</v>
      </c>
      <c r="K81" s="445" t="str">
        <f>IF($H$10="Attainment",16.09,IF($H$10="Maintenance",20.12,IF($H$10="Nonattainment",24.14,"-")))</f>
        <v>-</v>
      </c>
      <c r="L81" s="128" t="str">
        <f>IF($H$10="(Select…)","-",IF('Project Description'!$C$96="10 Years",J81*K81,"---"))</f>
        <v>-</v>
      </c>
      <c r="M81" s="126" t="str">
        <f>IF('Project Description'!$C$96="20 Years",-'Travel Forecasts'!N37,"---")</f>
        <v>---</v>
      </c>
      <c r="N81" s="454">
        <v>6.7629268292682925E-6</v>
      </c>
      <c r="O81" s="444" t="str">
        <f>IF('Project Description'!$C$96="20 Years",M81*N81,"---")</f>
        <v>---</v>
      </c>
      <c r="P81" s="451" t="str">
        <f>IF($H$10="Attainment",12.57,IF($H$10="Maintenance",15.71,IF($H$10="Nonattainment",18.85,"-")))</f>
        <v>-</v>
      </c>
      <c r="Q81" s="130" t="str">
        <f>IF($H$10="(Select…)","-",IF('Project Description'!$C$96="20 Years",O81*P81,"---"))</f>
        <v>-</v>
      </c>
      <c r="R81" s="331"/>
    </row>
    <row r="82" spans="1:18" s="419" customFormat="1" ht="25.5" x14ac:dyDescent="0.2">
      <c r="A82" s="124">
        <f t="shared" si="13"/>
        <v>38</v>
      </c>
      <c r="B82" s="125" t="s">
        <v>251</v>
      </c>
      <c r="C82" s="126">
        <f>-'Travel Forecasts'!M38</f>
        <v>0</v>
      </c>
      <c r="D82" s="454">
        <v>5.9999999999999995E-4</v>
      </c>
      <c r="E82" s="444">
        <f t="shared" si="11"/>
        <v>0</v>
      </c>
      <c r="F82" s="445" t="str">
        <f>IF($H$10="Attainment",9.38,IF($H$10="Maintenance",11.73,IF($H$10="Nonattainment",14.07,"-")))</f>
        <v>-</v>
      </c>
      <c r="G82" s="128" t="str">
        <f t="shared" si="12"/>
        <v>-</v>
      </c>
      <c r="H82" s="129" t="str">
        <f>IF('Project Description'!$C$96="10 Years",-'Travel Forecasts'!N38,"---")</f>
        <v>---</v>
      </c>
      <c r="I82" s="454">
        <v>5.9999999999999995E-4</v>
      </c>
      <c r="J82" s="444" t="str">
        <f>IF('Project Description'!$C$96="10 Years",H82*I82,"---")</f>
        <v>---</v>
      </c>
      <c r="K82" s="445" t="str">
        <f>IF($H$10="Attainment",10.43,IF($H$10="Maintenance",13.03,IF($H$10="Nonattainment",15.64,"-")))</f>
        <v>-</v>
      </c>
      <c r="L82" s="128" t="str">
        <f>IF($H$10="(Select…)","-",IF('Project Description'!$C$96="10 Years",J82*K82,"---"))</f>
        <v>-</v>
      </c>
      <c r="M82" s="126" t="str">
        <f>IF('Project Description'!$C$96="20 Years",-'Travel Forecasts'!N38,"---")</f>
        <v>---</v>
      </c>
      <c r="N82" s="454">
        <v>5.9999999999999995E-4</v>
      </c>
      <c r="O82" s="444" t="str">
        <f>IF('Project Description'!$C$96="20 Years",M82*N82,"---")</f>
        <v>---</v>
      </c>
      <c r="P82" s="451" t="str">
        <f>IF($H$10="Attainment",12.57,IF($H$10="Maintenance",15.71,IF($H$10="Nonattainment",18.85,"-")))</f>
        <v>-</v>
      </c>
      <c r="Q82" s="130" t="str">
        <f>IF($H$10="(Select…)","-",IF('Project Description'!$C$96="20 Years",O82*P82,"---"))</f>
        <v>-</v>
      </c>
      <c r="R82" s="331"/>
    </row>
    <row r="83" spans="1:18" s="419" customFormat="1" ht="12.75" x14ac:dyDescent="0.2">
      <c r="A83" s="124">
        <f t="shared" si="13"/>
        <v>39</v>
      </c>
      <c r="B83" s="125" t="s">
        <v>252</v>
      </c>
      <c r="C83" s="126">
        <f>-'Travel Forecasts'!M39</f>
        <v>0</v>
      </c>
      <c r="D83" s="454">
        <v>4.4200000000000003E-3</v>
      </c>
      <c r="E83" s="444">
        <f t="shared" si="11"/>
        <v>0</v>
      </c>
      <c r="F83" s="445" t="str">
        <f>IF($H$10="Attainment",9.38,IF($H$10="Maintenance",11.73,IF($H$10="Nonattainment",14.07,"-")))</f>
        <v>-</v>
      </c>
      <c r="G83" s="128" t="str">
        <f t="shared" si="12"/>
        <v>-</v>
      </c>
      <c r="H83" s="129" t="str">
        <f>IF('Project Description'!$C$96="10 Years",-'Travel Forecasts'!N39,"---")</f>
        <v>---</v>
      </c>
      <c r="I83" s="454">
        <v>4.4200000000000003E-3</v>
      </c>
      <c r="J83" s="444" t="str">
        <f>IF('Project Description'!$C$96="10 Years",H83*I83,"---")</f>
        <v>---</v>
      </c>
      <c r="K83" s="445" t="str">
        <f>IF($H$10="Attainment",10.43,IF($H$10="Maintenance",13.03,IF($H$10="Nonattainment",15.64,"-")))</f>
        <v>-</v>
      </c>
      <c r="L83" s="128" t="str">
        <f>IF($H$10="(Select…)","-",IF('Project Description'!$C$96="10 Years",J83*K83,"---"))</f>
        <v>-</v>
      </c>
      <c r="M83" s="126" t="str">
        <f>IF('Project Description'!$C$96="20 Years",-'Travel Forecasts'!N39,"---")</f>
        <v>---</v>
      </c>
      <c r="N83" s="454">
        <v>4.4200000000000003E-3</v>
      </c>
      <c r="O83" s="444" t="str">
        <f>IF('Project Description'!$C$96="20 Years",M83*N83,"---")</f>
        <v>---</v>
      </c>
      <c r="P83" s="451" t="str">
        <f>IF($H$10="Attainment",12.57,IF($H$10="Maintenance",15.71,IF($H$10="Nonattainment",18.85,"-")))</f>
        <v>-</v>
      </c>
      <c r="Q83" s="130" t="str">
        <f>IF($H$10="(Select…)","-",IF('Project Description'!$C$96="20 Years",O83*P83,"---"))</f>
        <v>-</v>
      </c>
      <c r="R83" s="331"/>
    </row>
    <row r="84" spans="1:18" s="419" customFormat="1" ht="18" customHeight="1" x14ac:dyDescent="0.2">
      <c r="A84" s="131">
        <f t="shared" si="13"/>
        <v>40</v>
      </c>
      <c r="B84" s="132" t="s">
        <v>253</v>
      </c>
      <c r="C84" s="126">
        <f>-'Travel Forecasts'!M40</f>
        <v>0</v>
      </c>
      <c r="D84" s="454">
        <v>8.2484679665738199E-6</v>
      </c>
      <c r="E84" s="446">
        <f t="shared" si="11"/>
        <v>0</v>
      </c>
      <c r="F84" s="447" t="str">
        <f>IF($H$10="Attainment",14.55,IF($H$10="Maintenance",18.19,IF($H$10="Nonattainment",21.83,"-")))</f>
        <v>-</v>
      </c>
      <c r="G84" s="135" t="str">
        <f t="shared" si="12"/>
        <v>-</v>
      </c>
      <c r="H84" s="129" t="str">
        <f>IF('Project Description'!$C$96="10 Years",-'Travel Forecasts'!N40,"---")</f>
        <v>---</v>
      </c>
      <c r="I84" s="454">
        <v>6.9454038997214488E-6</v>
      </c>
      <c r="J84" s="444" t="str">
        <f>IF('Project Description'!$C$96="10 Years",H84*I84,"---")</f>
        <v>---</v>
      </c>
      <c r="K84" s="447" t="str">
        <f>IF($H$10="Attainment",16.09,IF($H$10="Maintenance",20.12,IF($H$10="Nonattainment",24.14,"-")))</f>
        <v>-</v>
      </c>
      <c r="L84" s="135" t="str">
        <f>IF($H$10="(Select…)","-",IF('Project Description'!$C$96="10 Years",J84*K84,"---"))</f>
        <v>-</v>
      </c>
      <c r="M84" s="126" t="str">
        <f>IF('Project Description'!$C$96="20 Years",-'Travel Forecasts'!N40,"---")</f>
        <v>---</v>
      </c>
      <c r="N84" s="454">
        <v>6.5167130919220063E-6</v>
      </c>
      <c r="O84" s="444" t="str">
        <f>IF('Project Description'!$C$96="20 Years",M84*N84,"---")</f>
        <v>---</v>
      </c>
      <c r="P84" s="452" t="str">
        <f>IF($H$10="Attainment",19.51,IF($H$10="Maintenance",24.39,IF($H$10="Nonattainment",29.27,"-")))</f>
        <v>-</v>
      </c>
      <c r="Q84" s="136" t="str">
        <f>IF($H$10="(Select…)","-",IF('Project Description'!$C$96="20 Years",O84*P84,"---"))</f>
        <v>-</v>
      </c>
      <c r="R84" s="331"/>
    </row>
    <row r="85" spans="1:18" ht="16.5" thickBot="1" x14ac:dyDescent="0.25">
      <c r="A85" s="137">
        <f t="shared" si="13"/>
        <v>41</v>
      </c>
      <c r="B85" s="138" t="s">
        <v>254</v>
      </c>
      <c r="C85" s="139">
        <f>SUM(C75:C84)</f>
        <v>0</v>
      </c>
      <c r="D85" s="140" t="s">
        <v>112</v>
      </c>
      <c r="E85" s="141">
        <f>SUM(E75:E84)</f>
        <v>0</v>
      </c>
      <c r="F85" s="142" t="s">
        <v>112</v>
      </c>
      <c r="G85" s="143">
        <f>SUM(G75:G84)</f>
        <v>0</v>
      </c>
      <c r="H85" s="144" t="str">
        <f>IF('Project Description'!$C$96="10 Years",SUM(H75:H84),"---")</f>
        <v>---</v>
      </c>
      <c r="I85" s="145" t="s">
        <v>112</v>
      </c>
      <c r="J85" s="141" t="str">
        <f>IF('Project Description'!$C$96="10 Years",SUM(J75:J84),"---")</f>
        <v>---</v>
      </c>
      <c r="K85" s="146" t="s">
        <v>112</v>
      </c>
      <c r="L85" s="143" t="str">
        <f>IF('Project Description'!$C$96="10 Years",SUM(L75:L84),"---")</f>
        <v>---</v>
      </c>
      <c r="M85" s="139" t="str">
        <f>IF('Project Description'!$C$96="20 Years",SUM(M75:M84),"---")</f>
        <v>---</v>
      </c>
      <c r="N85" s="145" t="s">
        <v>112</v>
      </c>
      <c r="O85" s="141" t="str">
        <f>IF('Project Description'!$C$96="20 Years",SUM(O75:O84),"---")</f>
        <v>---</v>
      </c>
      <c r="P85" s="146" t="s">
        <v>112</v>
      </c>
      <c r="Q85" s="143" t="str">
        <f>IF('Project Description'!$C$96="20 Years",SUM(Q75:Q84),"---")</f>
        <v>---</v>
      </c>
    </row>
    <row r="86" spans="1:18" s="189" customFormat="1" ht="12.75" x14ac:dyDescent="0.2">
      <c r="C86" s="190"/>
      <c r="D86" s="190"/>
      <c r="E86" s="191"/>
      <c r="F86" s="191"/>
      <c r="G86" s="191"/>
      <c r="H86" s="191"/>
    </row>
    <row r="87" spans="1:18" s="94" customFormat="1" ht="15.75" thickBot="1" x14ac:dyDescent="0.25">
      <c r="C87" s="187"/>
      <c r="D87" s="187"/>
      <c r="E87" s="188"/>
      <c r="F87" s="188"/>
      <c r="G87" s="188"/>
      <c r="H87" s="188"/>
    </row>
    <row r="88" spans="1:18" ht="19.5" thickBot="1" x14ac:dyDescent="0.3">
      <c r="A88" s="988" t="s">
        <v>258</v>
      </c>
      <c r="B88" s="989"/>
      <c r="C88" s="989"/>
      <c r="D88" s="989"/>
      <c r="E88" s="989"/>
      <c r="F88" s="989"/>
      <c r="G88" s="989"/>
      <c r="H88" s="989"/>
      <c r="I88" s="989"/>
      <c r="J88" s="989"/>
      <c r="K88" s="989"/>
      <c r="L88" s="989"/>
      <c r="M88" s="989"/>
      <c r="N88" s="989"/>
      <c r="O88" s="989"/>
      <c r="P88" s="989"/>
      <c r="Q88" s="990"/>
      <c r="R88" s="192"/>
    </row>
    <row r="89" spans="1:18" s="419" customFormat="1" ht="15.75" x14ac:dyDescent="0.25">
      <c r="A89" s="991" t="s">
        <v>83</v>
      </c>
      <c r="B89" s="993" t="s">
        <v>237</v>
      </c>
      <c r="C89" s="995" t="s">
        <v>34</v>
      </c>
      <c r="D89" s="996"/>
      <c r="E89" s="996"/>
      <c r="F89" s="996"/>
      <c r="G89" s="997"/>
      <c r="H89" s="996" t="s">
        <v>238</v>
      </c>
      <c r="I89" s="996"/>
      <c r="J89" s="996"/>
      <c r="K89" s="996"/>
      <c r="L89" s="996"/>
      <c r="M89" s="995" t="s">
        <v>239</v>
      </c>
      <c r="N89" s="996"/>
      <c r="O89" s="996"/>
      <c r="P89" s="996"/>
      <c r="Q89" s="997"/>
      <c r="R89" s="331"/>
    </row>
    <row r="90" spans="1:18" s="419" customFormat="1" ht="60" customHeight="1" x14ac:dyDescent="0.2">
      <c r="A90" s="992"/>
      <c r="B90" s="994"/>
      <c r="C90" s="113" t="s">
        <v>240</v>
      </c>
      <c r="D90" s="114" t="s">
        <v>241</v>
      </c>
      <c r="E90" s="114" t="s">
        <v>242</v>
      </c>
      <c r="F90" s="115" t="s">
        <v>243</v>
      </c>
      <c r="G90" s="116" t="s">
        <v>244</v>
      </c>
      <c r="H90" s="117" t="s">
        <v>240</v>
      </c>
      <c r="I90" s="114" t="s">
        <v>241</v>
      </c>
      <c r="J90" s="114" t="s">
        <v>242</v>
      </c>
      <c r="K90" s="115" t="s">
        <v>243</v>
      </c>
      <c r="L90" s="116" t="s">
        <v>244</v>
      </c>
      <c r="M90" s="113" t="s">
        <v>240</v>
      </c>
      <c r="N90" s="114" t="s">
        <v>241</v>
      </c>
      <c r="O90" s="114" t="s">
        <v>242</v>
      </c>
      <c r="P90" s="115" t="s">
        <v>243</v>
      </c>
      <c r="Q90" s="116" t="s">
        <v>244</v>
      </c>
      <c r="R90" s="331"/>
    </row>
    <row r="91" spans="1:18" s="419" customFormat="1" ht="18" customHeight="1" x14ac:dyDescent="0.2">
      <c r="A91" s="118">
        <f>A85+1</f>
        <v>42</v>
      </c>
      <c r="B91" s="119" t="s">
        <v>126</v>
      </c>
      <c r="C91" s="120">
        <f>IF('Project Description'!$C$92="Yes",H25,-'Travel Forecasts'!M31)</f>
        <v>0</v>
      </c>
      <c r="D91" s="460">
        <v>8.7109389999999999E-6</v>
      </c>
      <c r="E91" s="441">
        <f>C91*D91</f>
        <v>0</v>
      </c>
      <c r="F91" s="442" t="str">
        <f>IF($H$11="Attainment",650.36,IF($H$11="Maintenance",812.95,IF($H$11="Nonattainment",975.55,"-")))</f>
        <v>-</v>
      </c>
      <c r="G91" s="122" t="str">
        <f>IF($H$11="(Select…)","-",E91*F91)</f>
        <v>-</v>
      </c>
      <c r="H91" s="123" t="str">
        <f>IF('Project Description'!$C$96="10 Years",-'Travel Forecasts'!N31,"---")</f>
        <v>---</v>
      </c>
      <c r="I91" s="460">
        <v>6.8604390000000004E-6</v>
      </c>
      <c r="J91" s="441" t="str">
        <f>IF('Project Description'!$C$96="10 Years",H91*I91,"---")</f>
        <v>---</v>
      </c>
      <c r="K91" s="442" t="str">
        <f>IF($H$11="Attainment",650.36,IF($H$11="Maintenance",812.95,IF($H$11="Nonattainment",975.55,"-")))</f>
        <v>-</v>
      </c>
      <c r="L91" s="122" t="str">
        <f>IF($H$11="(Select…)","-",IF('Project Description'!$C$96="10 Years",J91*K91,"---"))</f>
        <v>-</v>
      </c>
      <c r="M91" s="120" t="str">
        <f>IF('Project Description'!$C$96="20 Years",-'Travel Forecasts'!N31,"---")</f>
        <v>---</v>
      </c>
      <c r="N91" s="460">
        <v>6.1365739999999995E-6</v>
      </c>
      <c r="O91" s="441" t="str">
        <f>IF('Project Description'!$C$96="20 Years",M91*N91,"---")</f>
        <v>---</v>
      </c>
      <c r="P91" s="442" t="str">
        <f>IF($H$11="Attainment",650.36,IF($H$11="Maintenance",812.95,IF($H$11="Nonattainment",975.55,"-")))</f>
        <v>-</v>
      </c>
      <c r="Q91" s="122" t="str">
        <f>IF($H$11="(Select…)","-",IF('Project Description'!$C$96="20 Years",O91*P91,"---"))</f>
        <v>-</v>
      </c>
      <c r="R91" s="331"/>
    </row>
    <row r="92" spans="1:18" s="419" customFormat="1" ht="18" customHeight="1" x14ac:dyDescent="0.2">
      <c r="A92" s="124">
        <f>A91+1</f>
        <v>43</v>
      </c>
      <c r="B92" s="125" t="s">
        <v>245</v>
      </c>
      <c r="C92" s="126">
        <f>-'Travel Forecasts'!M32</f>
        <v>0</v>
      </c>
      <c r="D92" s="459">
        <v>6.3794164000000001E-5</v>
      </c>
      <c r="E92" s="444">
        <f t="shared" ref="E92:E100" si="14">C92*D92</f>
        <v>0</v>
      </c>
      <c r="F92" s="445" t="str">
        <f>IF($H$11="Attainment",451.95,IF($H$11="Maintenance",564.93,IF($H$11="Nonattainment",677.92,"-")))</f>
        <v>-</v>
      </c>
      <c r="G92" s="128" t="str">
        <f t="shared" ref="G92:G100" si="15">IF($H$11="(Select…)","-",E92*F92)</f>
        <v>-</v>
      </c>
      <c r="H92" s="129" t="str">
        <f>IF('Project Description'!$C$96="10 Years",-'Travel Forecasts'!N32,"---")</f>
        <v>---</v>
      </c>
      <c r="I92" s="459">
        <v>3.1377680999999997E-5</v>
      </c>
      <c r="J92" s="444" t="str">
        <f>IF('Project Description'!$C$96="10 Years",H92*I92,"---")</f>
        <v>---</v>
      </c>
      <c r="K92" s="445" t="str">
        <f>IF($H$11="Attainment",451.95,IF($H$11="Maintenance",564.93,IF($H$11="Nonattainment",677.92,"-")))</f>
        <v>-</v>
      </c>
      <c r="L92" s="128" t="str">
        <f>IF($H$11="(Select…)","-",IF('Project Description'!$C$96="10 Years",J92*K92,"---"))</f>
        <v>-</v>
      </c>
      <c r="M92" s="126" t="str">
        <f>IF('Project Description'!$C$96="20 Years",-'Travel Forecasts'!N32,"---")</f>
        <v>---</v>
      </c>
      <c r="N92" s="459">
        <v>2.0538060999999999E-5</v>
      </c>
      <c r="O92" s="444" t="str">
        <f>IF('Project Description'!$C$96="20 Years",M92*N92,"---")</f>
        <v>---</v>
      </c>
      <c r="P92" s="451" t="str">
        <f>IF($H$11="Attainment",451.95,IF($H$11="Maintenance",564.93,IF($H$11="Nonattainment",677.92,"-")))</f>
        <v>-</v>
      </c>
      <c r="Q92" s="130" t="str">
        <f>IF($H$11="(Select…)","-",IF('Project Description'!$C$96="20 Years",O92*P92,"---"))</f>
        <v>-</v>
      </c>
      <c r="R92" s="331"/>
    </row>
    <row r="93" spans="1:18" s="419" customFormat="1" ht="18" customHeight="1" x14ac:dyDescent="0.2">
      <c r="A93" s="124">
        <f t="shared" ref="A93:A101" si="16">A92+1</f>
        <v>44</v>
      </c>
      <c r="B93" s="125" t="s">
        <v>246</v>
      </c>
      <c r="C93" s="126">
        <f>-'Travel Forecasts'!M33</f>
        <v>0</v>
      </c>
      <c r="D93" s="459">
        <v>6.3794164000000001E-5</v>
      </c>
      <c r="E93" s="444">
        <f t="shared" si="14"/>
        <v>0</v>
      </c>
      <c r="F93" s="445" t="str">
        <f>IF($H$11="Attainment",595.25,IF($H$11="Maintenance",744.06,IF($H$11="Nonattainment",892.87,"-")))</f>
        <v>-</v>
      </c>
      <c r="G93" s="128" t="str">
        <f t="shared" si="15"/>
        <v>-</v>
      </c>
      <c r="H93" s="129" t="str">
        <f>IF('Project Description'!$C$96="10 Years",-'Travel Forecasts'!N33,"---")</f>
        <v>---</v>
      </c>
      <c r="I93" s="459">
        <v>3.1377680999999997E-5</v>
      </c>
      <c r="J93" s="444" t="str">
        <f>IF('Project Description'!$C$96="10 Years",H93*I93,"---")</f>
        <v>---</v>
      </c>
      <c r="K93" s="445" t="str">
        <f>IF($H$11="Attainment",595.25,IF($H$11="Maintenance",744.06,IF($H$11="Nonattainment",892.87,"-")))</f>
        <v>-</v>
      </c>
      <c r="L93" s="128" t="str">
        <f>IF($H$11="(Select…)","-",IF('Project Description'!$C$96="10 Years",J93*K93,"---"))</f>
        <v>-</v>
      </c>
      <c r="M93" s="126" t="str">
        <f>IF('Project Description'!$C$96="20 Years",-'Travel Forecasts'!N33,"---")</f>
        <v>---</v>
      </c>
      <c r="N93" s="459">
        <v>2.0538060999999999E-5</v>
      </c>
      <c r="O93" s="444" t="str">
        <f>IF('Project Description'!$C$96="20 Years",M93*N93,"---")</f>
        <v>---</v>
      </c>
      <c r="P93" s="451" t="str">
        <f>IF($H$11="Attainment",595.25,IF($H$11="Maintenance",744.06,IF($H$11="Nonattainment",892.87,"-")))</f>
        <v>-</v>
      </c>
      <c r="Q93" s="130" t="str">
        <f>IF($H$11="(Select…)","-",IF('Project Description'!$C$96="20 Years",O93*P93,"---"))</f>
        <v>-</v>
      </c>
      <c r="R93" s="331"/>
    </row>
    <row r="94" spans="1:18" s="419" customFormat="1" ht="18" customHeight="1" x14ac:dyDescent="0.2">
      <c r="A94" s="124">
        <f t="shared" si="16"/>
        <v>45</v>
      </c>
      <c r="B94" s="125" t="s">
        <v>247</v>
      </c>
      <c r="C94" s="126">
        <f>-'Travel Forecasts'!M34</f>
        <v>0</v>
      </c>
      <c r="D94" s="459">
        <v>3.4568956999999996E-5</v>
      </c>
      <c r="E94" s="444">
        <f t="shared" si="14"/>
        <v>0</v>
      </c>
      <c r="F94" s="445" t="str">
        <f>IF($H$11="Attainment",595.25,IF($H$11="Maintenance",744.06,IF($H$11="Nonattainment",892.87,"-")))</f>
        <v>-</v>
      </c>
      <c r="G94" s="128" t="str">
        <f t="shared" si="15"/>
        <v>-</v>
      </c>
      <c r="H94" s="129" t="str">
        <f>IF('Project Description'!$C$96="10 Years",-'Travel Forecasts'!N34,"---")</f>
        <v>---</v>
      </c>
      <c r="I94" s="459">
        <v>2.6792032000000001E-5</v>
      </c>
      <c r="J94" s="444" t="str">
        <f>IF('Project Description'!$C$96="10 Years",H94*I94,"---")</f>
        <v>---</v>
      </c>
      <c r="K94" s="445" t="str">
        <f>IF($H$11="Attainment",595.25,IF($H$11="Maintenance",744.06,IF($H$11="Nonattainment",892.87,"-")))</f>
        <v>-</v>
      </c>
      <c r="L94" s="128" t="str">
        <f>IF($H$11="(Select…)","-",IF('Project Description'!$C$96="10 Years",J94*K94,"---"))</f>
        <v>-</v>
      </c>
      <c r="M94" s="126" t="str">
        <f>IF('Project Description'!$C$96="20 Years",-'Travel Forecasts'!N34,"---")</f>
        <v>---</v>
      </c>
      <c r="N94" s="459">
        <v>2.4135118000000001E-5</v>
      </c>
      <c r="O94" s="444" t="str">
        <f>IF('Project Description'!$C$96="20 Years",M94*N94,"---")</f>
        <v>---</v>
      </c>
      <c r="P94" s="451" t="str">
        <f>IF($H$11="Attainment",595.25,IF($H$11="Maintenance",744.06,IF($H$11="Nonattainment",892.87,"-")))</f>
        <v>-</v>
      </c>
      <c r="Q94" s="130" t="str">
        <f>IF($H$11="(Select…)","-",IF('Project Description'!$C$96="20 Years",O94*P94,"---"))</f>
        <v>-</v>
      </c>
      <c r="R94" s="331"/>
    </row>
    <row r="95" spans="1:18" s="419" customFormat="1" ht="18" customHeight="1" x14ac:dyDescent="0.2">
      <c r="A95" s="124">
        <f t="shared" si="16"/>
        <v>46</v>
      </c>
      <c r="B95" s="125" t="s">
        <v>248</v>
      </c>
      <c r="C95" s="126">
        <f>-'Travel Forecasts'!M35</f>
        <v>0</v>
      </c>
      <c r="D95" s="459">
        <v>7.0690622752228884E-5</v>
      </c>
      <c r="E95" s="444">
        <f t="shared" si="14"/>
        <v>0</v>
      </c>
      <c r="F95" s="445" t="str">
        <f>IF($H$11="Attainment",151.02,IF($H$11="Maintenance",188.77,IF($H$11="Nonattainment",226.52,"-")))</f>
        <v>-</v>
      </c>
      <c r="G95" s="128" t="str">
        <f t="shared" si="15"/>
        <v>-</v>
      </c>
      <c r="H95" s="129" t="str">
        <f>IF('Project Description'!$C$96="10 Years",-'Travel Forecasts'!N35,"---")</f>
        <v>---</v>
      </c>
      <c r="I95" s="459">
        <v>5.0453641530559395E-5</v>
      </c>
      <c r="J95" s="444" t="str">
        <f>IF('Project Description'!$C$96="10 Years",H95*I95,"---")</f>
        <v>---</v>
      </c>
      <c r="K95" s="445" t="str">
        <f>IF($H$11="Attainment",169.76,IF($H$11="Maintenance",212.19,IF($H$11="Nonattainment",254.63,"-")))</f>
        <v>-</v>
      </c>
      <c r="L95" s="128" t="str">
        <f>IF($H$11="(Select…)","-",IF('Project Description'!$C$96="10 Years",J95*K95,"---"))</f>
        <v>-</v>
      </c>
      <c r="M95" s="126" t="str">
        <f>IF('Project Description'!$C$96="20 Years",-'Travel Forecasts'!N35,"---")</f>
        <v>---</v>
      </c>
      <c r="N95" s="459">
        <v>4.3859411816071107E-5</v>
      </c>
      <c r="O95" s="444" t="str">
        <f>IF('Project Description'!$C$96="20 Years",M95*N95,"---")</f>
        <v>---</v>
      </c>
      <c r="P95" s="451" t="str">
        <f>IF($H$11="Attainment",196.21,IF($H$11="Maintenance",245.26,IF($H$11="Nonattainment",294.32,"-")))</f>
        <v>-</v>
      </c>
      <c r="Q95" s="130" t="str">
        <f>IF($H$11="(Select…)","-",IF('Project Description'!$C$96="20 Years",O95*P95,"---"))</f>
        <v>-</v>
      </c>
      <c r="R95" s="331"/>
    </row>
    <row r="96" spans="1:18" s="419" customFormat="1" ht="18" customHeight="1" x14ac:dyDescent="0.2">
      <c r="A96" s="124">
        <f t="shared" si="16"/>
        <v>47</v>
      </c>
      <c r="B96" s="125" t="s">
        <v>249</v>
      </c>
      <c r="C96" s="126">
        <f>-'Travel Forecasts'!M36</f>
        <v>0</v>
      </c>
      <c r="D96" s="459">
        <v>9.9296666666666666E-7</v>
      </c>
      <c r="E96" s="444">
        <f t="shared" si="14"/>
        <v>0</v>
      </c>
      <c r="F96" s="445" t="str">
        <f>IF($H$11="Attainment",151.02,IF($H$11="Maintenance",188.77,IF($H$11="Nonattainment",226.52,"-")))</f>
        <v>-</v>
      </c>
      <c r="G96" s="128" t="str">
        <f t="shared" si="15"/>
        <v>-</v>
      </c>
      <c r="H96" s="129" t="str">
        <f>IF('Project Description'!$C$96="10 Years",-'Travel Forecasts'!N36,"---")</f>
        <v>---</v>
      </c>
      <c r="I96" s="459">
        <v>8.2184999999999991E-7</v>
      </c>
      <c r="J96" s="444" t="str">
        <f>IF('Project Description'!$C$96="10 Years",H96*I96,"---")</f>
        <v>---</v>
      </c>
      <c r="K96" s="445" t="str">
        <f>IF($H$11="Attainment",169.76,IF($H$11="Maintenance",212.19,IF($H$11="Nonattainment",254.63,"-")))</f>
        <v>-</v>
      </c>
      <c r="L96" s="128" t="str">
        <f>IF($H$11="(Select…)","-",IF('Project Description'!$C$96="10 Years",J96*K96,"---"))</f>
        <v>-</v>
      </c>
      <c r="M96" s="126" t="str">
        <f>IF('Project Description'!$C$96="20 Years",-'Travel Forecasts'!N36,"---")</f>
        <v>---</v>
      </c>
      <c r="N96" s="459">
        <v>7.3725000000000001E-7</v>
      </c>
      <c r="O96" s="444" t="str">
        <f>IF('Project Description'!$C$96="20 Years",M96*N96,"---")</f>
        <v>---</v>
      </c>
      <c r="P96" s="451" t="str">
        <f>IF($H$11="Attainment",196.21,IF($H$11="Maintenance",245.26,IF($H$11="Nonattainment",294.32,"-")))</f>
        <v>-</v>
      </c>
      <c r="Q96" s="130" t="str">
        <f>IF($H$11="(Select…)","-",IF('Project Description'!$C$96="20 Years",O96*P96,"---"))</f>
        <v>-</v>
      </c>
      <c r="R96" s="331"/>
    </row>
    <row r="97" spans="1:18" s="419" customFormat="1" ht="18" customHeight="1" x14ac:dyDescent="0.2">
      <c r="A97" s="124">
        <f t="shared" si="16"/>
        <v>48</v>
      </c>
      <c r="B97" s="125" t="s">
        <v>250</v>
      </c>
      <c r="C97" s="126">
        <f>-'Travel Forecasts'!M37</f>
        <v>0</v>
      </c>
      <c r="D97" s="459">
        <v>4.563804878048781E-6</v>
      </c>
      <c r="E97" s="444">
        <f t="shared" si="14"/>
        <v>0</v>
      </c>
      <c r="F97" s="445" t="str">
        <f>IF($H$11="Attainment",151.02,IF($H$11="Maintenance",188.77,IF($H$11="Nonattainment",226.52,"-")))</f>
        <v>-</v>
      </c>
      <c r="G97" s="128" t="str">
        <f t="shared" si="15"/>
        <v>-</v>
      </c>
      <c r="H97" s="129" t="str">
        <f>IF('Project Description'!$C$96="10 Years",-'Travel Forecasts'!N37,"---")</f>
        <v>---</v>
      </c>
      <c r="I97" s="459">
        <v>3.7773170731707316E-6</v>
      </c>
      <c r="J97" s="444" t="str">
        <f>IF('Project Description'!$C$96="10 Years",H97*I97,"---")</f>
        <v>---</v>
      </c>
      <c r="K97" s="445" t="str">
        <f>IF($H$11="Attainment",169.76,IF($H$11="Maintenance",212.19,IF($H$11="Nonattainment",254.63,"-")))</f>
        <v>-</v>
      </c>
      <c r="L97" s="128" t="str">
        <f>IF($H$11="(Select…)","-",IF('Project Description'!$C$96="10 Years",J97*K97,"---"))</f>
        <v>-</v>
      </c>
      <c r="M97" s="126" t="str">
        <f>IF('Project Description'!$C$96="20 Years",-'Travel Forecasts'!N37,"---")</f>
        <v>---</v>
      </c>
      <c r="N97" s="459">
        <v>3.3885365853658542E-6</v>
      </c>
      <c r="O97" s="444" t="str">
        <f>IF('Project Description'!$C$96="20 Years",M97*N97,"---")</f>
        <v>---</v>
      </c>
      <c r="P97" s="451" t="str">
        <f>IF($H$11="Attainment",196.21,IF($H$11="Maintenance",245.26,IF($H$11="Nonattainment",294.32,"-")))</f>
        <v>-</v>
      </c>
      <c r="Q97" s="130" t="str">
        <f>IF($H$11="(Select…)","-",IF('Project Description'!$C$96="20 Years",O97*P97,"---"))</f>
        <v>-</v>
      </c>
      <c r="R97" s="331"/>
    </row>
    <row r="98" spans="1:18" s="419" customFormat="1" ht="25.5" x14ac:dyDescent="0.2">
      <c r="A98" s="124">
        <f t="shared" si="16"/>
        <v>49</v>
      </c>
      <c r="B98" s="125" t="s">
        <v>251</v>
      </c>
      <c r="C98" s="126">
        <f>-'Travel Forecasts'!M38</f>
        <v>0</v>
      </c>
      <c r="D98" s="459">
        <v>2.3999999999999998E-4</v>
      </c>
      <c r="E98" s="444">
        <f t="shared" si="14"/>
        <v>0</v>
      </c>
      <c r="F98" s="445" t="str">
        <f>IF($H$11="Attainment",275.58,IF($H$11="Maintenance",344.47,IF($H$11="Nonattainment",413.37,"-")))</f>
        <v>-</v>
      </c>
      <c r="G98" s="128" t="str">
        <f t="shared" si="15"/>
        <v>-</v>
      </c>
      <c r="H98" s="129" t="str">
        <f>IF('Project Description'!$C$96="10 Years",-'Travel Forecasts'!N38,"---")</f>
        <v>---</v>
      </c>
      <c r="I98" s="459">
        <v>2.3999999999999998E-4</v>
      </c>
      <c r="J98" s="444" t="str">
        <f>IF('Project Description'!$C$96="10 Years",H98*I98,"---")</f>
        <v>---</v>
      </c>
      <c r="K98" s="445" t="str">
        <f>IF($H$11="Attainment",275.58,IF($H$11="Maintenance",344.47,IF($H$11="Nonattainment",413.37,"-")))</f>
        <v>-</v>
      </c>
      <c r="L98" s="128" t="str">
        <f>IF($H$11="(Select…)","-",IF('Project Description'!$C$96="10 Years",J98*K98,"---"))</f>
        <v>-</v>
      </c>
      <c r="M98" s="126" t="str">
        <f>IF('Project Description'!$C$96="20 Years",-'Travel Forecasts'!N38,"---")</f>
        <v>---</v>
      </c>
      <c r="N98" s="459">
        <v>2.3999999999999998E-4</v>
      </c>
      <c r="O98" s="444" t="str">
        <f>IF('Project Description'!$C$96="20 Years",M98*N98,"---")</f>
        <v>---</v>
      </c>
      <c r="P98" s="451" t="str">
        <f>IF($H$11="Attainment",275.58,IF($H$11="Maintenance",344.47,IF($H$11="Nonattainment",413.37,"-")))</f>
        <v>-</v>
      </c>
      <c r="Q98" s="130" t="str">
        <f>IF($H$11="(Select…)","-",IF('Project Description'!$C$96="20 Years",O98*P98,"---"))</f>
        <v>-</v>
      </c>
      <c r="R98" s="331"/>
    </row>
    <row r="99" spans="1:18" s="419" customFormat="1" ht="12.75" x14ac:dyDescent="0.2">
      <c r="A99" s="124">
        <f t="shared" si="16"/>
        <v>50</v>
      </c>
      <c r="B99" s="125" t="s">
        <v>252</v>
      </c>
      <c r="C99" s="126">
        <f>-'Travel Forecasts'!M39</f>
        <v>0</v>
      </c>
      <c r="D99" s="459">
        <v>3.1199999999999999E-3</v>
      </c>
      <c r="E99" s="444">
        <f t="shared" si="14"/>
        <v>0</v>
      </c>
      <c r="F99" s="445" t="str">
        <f>IF($H$11="Attainment",275.58,IF($H$11="Maintenance",344.47,IF($H$11="Nonattainment",413.37,"-")))</f>
        <v>-</v>
      </c>
      <c r="G99" s="128" t="str">
        <f t="shared" si="15"/>
        <v>-</v>
      </c>
      <c r="H99" s="129" t="str">
        <f>IF('Project Description'!$C$96="10 Years",-'Travel Forecasts'!N39,"---")</f>
        <v>---</v>
      </c>
      <c r="I99" s="459">
        <v>3.1199999999999999E-3</v>
      </c>
      <c r="J99" s="444" t="str">
        <f>IF('Project Description'!$C$96="10 Years",H99*I99,"---")</f>
        <v>---</v>
      </c>
      <c r="K99" s="445" t="str">
        <f>IF($H$11="Attainment",275.58,IF($H$11="Maintenance",344.47,IF($H$11="Nonattainment",413.37,"-")))</f>
        <v>-</v>
      </c>
      <c r="L99" s="128" t="str">
        <f>IF($H$11="(Select…)","-",IF('Project Description'!$C$96="10 Years",J99*K99,"---"))</f>
        <v>-</v>
      </c>
      <c r="M99" s="126" t="str">
        <f>IF('Project Description'!$C$96="20 Years",-'Travel Forecasts'!N39,"---")</f>
        <v>---</v>
      </c>
      <c r="N99" s="459">
        <v>3.1199999999999999E-3</v>
      </c>
      <c r="O99" s="444" t="str">
        <f>IF('Project Description'!$C$96="20 Years",M99*N99,"---")</f>
        <v>---</v>
      </c>
      <c r="P99" s="451" t="str">
        <f>IF($H$11="Attainment",275.58,IF($H$11="Maintenance",344.47,IF($H$11="Nonattainment",413.37,"-")))</f>
        <v>-</v>
      </c>
      <c r="Q99" s="130" t="str">
        <f>IF($H$11="(Select…)","-",IF('Project Description'!$C$96="20 Years",O99*P99,"---"))</f>
        <v>-</v>
      </c>
      <c r="R99" s="331"/>
    </row>
    <row r="100" spans="1:18" s="419" customFormat="1" ht="18" customHeight="1" x14ac:dyDescent="0.2">
      <c r="A100" s="131">
        <f t="shared" si="16"/>
        <v>51</v>
      </c>
      <c r="B100" s="132" t="s">
        <v>253</v>
      </c>
      <c r="C100" s="126">
        <f>-'Travel Forecasts'!M40</f>
        <v>0</v>
      </c>
      <c r="D100" s="459">
        <v>4.3977715877437331E-6</v>
      </c>
      <c r="E100" s="446">
        <f t="shared" si="14"/>
        <v>0</v>
      </c>
      <c r="F100" s="447" t="str">
        <f>IF($H$11="Attainment",151.02,IF($H$11="Maintenance",188.77,IF($H$11="Nonattainment",226.52,"-")))</f>
        <v>-</v>
      </c>
      <c r="G100" s="135" t="str">
        <f t="shared" si="15"/>
        <v>-</v>
      </c>
      <c r="H100" s="129" t="str">
        <f>IF('Project Description'!$C$96="10 Years",-'Travel Forecasts'!N40,"---")</f>
        <v>---</v>
      </c>
      <c r="I100" s="459">
        <v>3.6398328690807802E-6</v>
      </c>
      <c r="J100" s="444" t="str">
        <f>IF('Project Description'!$C$96="10 Years",H100*I100,"---")</f>
        <v>---</v>
      </c>
      <c r="K100" s="447" t="str">
        <f>IF($H$11="Attainment",169.76,IF($H$11="Maintenance",212.19,IF($H$11="Nonattainment",254.63,"-")))</f>
        <v>-</v>
      </c>
      <c r="L100" s="135" t="str">
        <f>IF($H$11="(Select…)","-",IF('Project Description'!$C$96="10 Years",J100*K100,"---"))</f>
        <v>-</v>
      </c>
      <c r="M100" s="126" t="str">
        <f>IF('Project Description'!$C$96="20 Years",-'Travel Forecasts'!N40,"---")</f>
        <v>---</v>
      </c>
      <c r="N100" s="459">
        <v>3.2651810584958215E-6</v>
      </c>
      <c r="O100" s="444" t="str">
        <f>IF('Project Description'!$C$96="20 Years",M100*N100,"---")</f>
        <v>---</v>
      </c>
      <c r="P100" s="452" t="str">
        <f>IF($H$11="Attainment",196.21,IF($H$11="Maintenance",245.26,IF($H$11="Nonattainment",294.32,"-")))</f>
        <v>-</v>
      </c>
      <c r="Q100" s="136" t="str">
        <f>IF($H$11="(Select…)","-",IF('Project Description'!$C$96="20 Years",O100*P100,"---"))</f>
        <v>-</v>
      </c>
      <c r="R100" s="331"/>
    </row>
    <row r="101" spans="1:18" ht="16.5" thickBot="1" x14ac:dyDescent="0.25">
      <c r="A101" s="137">
        <f t="shared" si="16"/>
        <v>52</v>
      </c>
      <c r="B101" s="138" t="s">
        <v>254</v>
      </c>
      <c r="C101" s="139">
        <f>SUM(C91:C100)</f>
        <v>0</v>
      </c>
      <c r="D101" s="140" t="s">
        <v>112</v>
      </c>
      <c r="E101" s="141">
        <f>SUM(E91:E100)</f>
        <v>0</v>
      </c>
      <c r="F101" s="142" t="s">
        <v>112</v>
      </c>
      <c r="G101" s="143">
        <f>SUM(G91:G100)</f>
        <v>0</v>
      </c>
      <c r="H101" s="144" t="str">
        <f>IF('Project Description'!$C$96="10 Years",SUM(H91:H100),"---")</f>
        <v>---</v>
      </c>
      <c r="I101" s="145" t="s">
        <v>112</v>
      </c>
      <c r="J101" s="141" t="str">
        <f>IF('Project Description'!$C$96="10 Years",SUM(J91:J100),"---")</f>
        <v>---</v>
      </c>
      <c r="K101" s="146" t="s">
        <v>112</v>
      </c>
      <c r="L101" s="143" t="str">
        <f>IF('Project Description'!$C$96="10 Years",SUM(L91:L100),"---")</f>
        <v>---</v>
      </c>
      <c r="M101" s="139" t="str">
        <f>IF('Project Description'!$C$96="20 Years",SUM(M91:M100),"---")</f>
        <v>---</v>
      </c>
      <c r="N101" s="145" t="s">
        <v>112</v>
      </c>
      <c r="O101" s="141" t="str">
        <f>IF('Project Description'!$C$96="20 Years",SUM(O91:O100),"---")</f>
        <v>---</v>
      </c>
      <c r="P101" s="146" t="s">
        <v>112</v>
      </c>
      <c r="Q101" s="143" t="str">
        <f>IF('Project Description'!$C$96="20 Years",SUM(Q91:Q100),"---")</f>
        <v>---</v>
      </c>
    </row>
    <row r="102" spans="1:18" ht="16.5" thickBot="1" x14ac:dyDescent="0.25">
      <c r="A102" s="212"/>
      <c r="B102" s="213"/>
      <c r="C102" s="214"/>
      <c r="D102" s="215"/>
      <c r="E102" s="216"/>
      <c r="F102" s="215"/>
      <c r="G102" s="217"/>
      <c r="H102" s="214"/>
      <c r="I102" s="218"/>
      <c r="J102" s="216"/>
      <c r="K102" s="218"/>
      <c r="L102" s="217"/>
      <c r="M102" s="214"/>
      <c r="N102" s="218"/>
      <c r="O102" s="216"/>
      <c r="P102" s="218"/>
      <c r="Q102" s="217"/>
    </row>
    <row r="103" spans="1:18" ht="18.75" customHeight="1" thickBot="1" x14ac:dyDescent="0.25">
      <c r="A103" s="985" t="s">
        <v>259</v>
      </c>
      <c r="B103" s="986"/>
      <c r="C103" s="986"/>
      <c r="D103" s="986"/>
      <c r="E103" s="986"/>
      <c r="F103" s="986"/>
      <c r="G103" s="986"/>
      <c r="H103" s="986"/>
      <c r="I103" s="986"/>
      <c r="J103" s="986"/>
      <c r="K103" s="986"/>
      <c r="L103" s="986"/>
      <c r="M103" s="986"/>
      <c r="N103" s="986"/>
      <c r="O103" s="986"/>
      <c r="P103" s="986"/>
      <c r="Q103" s="987"/>
      <c r="R103" s="407"/>
    </row>
    <row r="104" spans="1:18" s="94" customFormat="1" ht="15.75" thickBot="1" x14ac:dyDescent="0.25">
      <c r="C104" s="187"/>
      <c r="D104" s="187"/>
      <c r="E104" s="188"/>
      <c r="F104" s="188"/>
      <c r="G104" s="188"/>
      <c r="H104" s="188"/>
    </row>
    <row r="105" spans="1:18" ht="19.5" thickBot="1" x14ac:dyDescent="0.3">
      <c r="A105" s="988" t="s">
        <v>260</v>
      </c>
      <c r="B105" s="989"/>
      <c r="C105" s="989"/>
      <c r="D105" s="989"/>
      <c r="E105" s="989"/>
      <c r="F105" s="989"/>
      <c r="G105" s="989"/>
      <c r="H105" s="989"/>
      <c r="I105" s="989"/>
      <c r="J105" s="989"/>
      <c r="K105" s="989"/>
      <c r="L105" s="989"/>
      <c r="M105" s="989"/>
      <c r="N105" s="989"/>
      <c r="O105" s="989"/>
      <c r="P105" s="989"/>
      <c r="Q105" s="990"/>
      <c r="R105" s="192"/>
    </row>
    <row r="106" spans="1:18" s="419" customFormat="1" ht="15.75" x14ac:dyDescent="0.25">
      <c r="A106" s="991" t="s">
        <v>83</v>
      </c>
      <c r="B106" s="993" t="s">
        <v>237</v>
      </c>
      <c r="C106" s="995" t="s">
        <v>34</v>
      </c>
      <c r="D106" s="996"/>
      <c r="E106" s="996"/>
      <c r="F106" s="996"/>
      <c r="G106" s="997"/>
      <c r="H106" s="996" t="s">
        <v>238</v>
      </c>
      <c r="I106" s="996"/>
      <c r="J106" s="996"/>
      <c r="K106" s="996"/>
      <c r="L106" s="996"/>
      <c r="M106" s="995" t="s">
        <v>239</v>
      </c>
      <c r="N106" s="996"/>
      <c r="O106" s="996"/>
      <c r="P106" s="996"/>
      <c r="Q106" s="997"/>
      <c r="R106" s="331"/>
    </row>
    <row r="107" spans="1:18" s="419" customFormat="1" ht="60.75" customHeight="1" x14ac:dyDescent="0.2">
      <c r="A107" s="992"/>
      <c r="B107" s="994"/>
      <c r="C107" s="113" t="s">
        <v>240</v>
      </c>
      <c r="D107" s="114" t="s">
        <v>261</v>
      </c>
      <c r="E107" s="114" t="s">
        <v>262</v>
      </c>
      <c r="F107" s="115" t="s">
        <v>263</v>
      </c>
      <c r="G107" s="116" t="s">
        <v>244</v>
      </c>
      <c r="H107" s="117" t="s">
        <v>240</v>
      </c>
      <c r="I107" s="114" t="s">
        <v>261</v>
      </c>
      <c r="J107" s="114" t="s">
        <v>262</v>
      </c>
      <c r="K107" s="115" t="s">
        <v>263</v>
      </c>
      <c r="L107" s="116" t="s">
        <v>244</v>
      </c>
      <c r="M107" s="113" t="s">
        <v>240</v>
      </c>
      <c r="N107" s="114" t="s">
        <v>261</v>
      </c>
      <c r="O107" s="114" t="s">
        <v>262</v>
      </c>
      <c r="P107" s="115" t="s">
        <v>263</v>
      </c>
      <c r="Q107" s="116" t="s">
        <v>244</v>
      </c>
      <c r="R107" s="331"/>
    </row>
    <row r="108" spans="1:18" s="419" customFormat="1" ht="18" customHeight="1" x14ac:dyDescent="0.2">
      <c r="A108" s="118">
        <f>A101+1</f>
        <v>53</v>
      </c>
      <c r="B108" s="119" t="s">
        <v>126</v>
      </c>
      <c r="C108" s="120">
        <f>IF('Project Description'!$C$92="Yes",H25,-'Travel Forecasts'!M31)</f>
        <v>0</v>
      </c>
      <c r="D108" s="460">
        <v>5.0000000000000001E-4</v>
      </c>
      <c r="E108" s="441">
        <f>C108*D108</f>
        <v>0</v>
      </c>
      <c r="F108" s="442">
        <v>51</v>
      </c>
      <c r="G108" s="122" t="str">
        <f t="shared" ref="G108:G117" si="17">IF($H$8="(Select…)","-",E108*F108)</f>
        <v>-</v>
      </c>
      <c r="H108" s="123" t="str">
        <f>IF('Project Description'!$C$96="10 Years",-'Travel Forecasts'!N31,"---")</f>
        <v>---</v>
      </c>
      <c r="I108" s="460">
        <v>3.7100000000000002E-4</v>
      </c>
      <c r="J108" s="441" t="str">
        <f>IF('Project Description'!$C$96="10 Years",H108*I108,"---")</f>
        <v>---</v>
      </c>
      <c r="K108" s="442">
        <v>51</v>
      </c>
      <c r="L108" s="122" t="str">
        <f>IF($H$8="(Select…)","-",IF('Project Description'!$C$96="10 Years",J108*K108,"---"))</f>
        <v>-</v>
      </c>
      <c r="M108" s="120" t="str">
        <f>IF('Project Description'!$C$96="20 Years",-'Travel Forecasts'!N31,"---")</f>
        <v>---</v>
      </c>
      <c r="N108" s="460">
        <v>3.19E-4</v>
      </c>
      <c r="O108" s="441" t="str">
        <f>IF('Project Description'!$C$96="20 Years",M108*N108,"---")</f>
        <v>---</v>
      </c>
      <c r="P108" s="442">
        <v>51</v>
      </c>
      <c r="Q108" s="122" t="str">
        <f>IF($H$8="(Select…)","-",IF('Project Description'!$C$96="20 Years",O108*P108,"---"))</f>
        <v>-</v>
      </c>
      <c r="R108" s="331"/>
    </row>
    <row r="109" spans="1:18" s="419" customFormat="1" ht="18" customHeight="1" x14ac:dyDescent="0.2">
      <c r="A109" s="124">
        <f>A108+1</f>
        <v>54</v>
      </c>
      <c r="B109" s="125" t="s">
        <v>245</v>
      </c>
      <c r="C109" s="126">
        <f>-'Travel Forecasts'!M32</f>
        <v>0</v>
      </c>
      <c r="D109" s="459">
        <v>2.647E-3</v>
      </c>
      <c r="E109" s="444">
        <f t="shared" ref="E109:E117" si="18">C109*D109</f>
        <v>0</v>
      </c>
      <c r="F109" s="445">
        <v>51</v>
      </c>
      <c r="G109" s="128" t="str">
        <f t="shared" si="17"/>
        <v>-</v>
      </c>
      <c r="H109" s="129" t="str">
        <f>IF('Project Description'!$C$96="10 Years",-'Travel Forecasts'!N32,"---")</f>
        <v>---</v>
      </c>
      <c r="I109" s="459">
        <v>2.555E-3</v>
      </c>
      <c r="J109" s="444" t="str">
        <f>IF('Project Description'!$C$96="10 Years",H109*I109,"---")</f>
        <v>---</v>
      </c>
      <c r="K109" s="445">
        <v>51</v>
      </c>
      <c r="L109" s="128" t="str">
        <f>IF($H$8="(Select…)","-",IF('Project Description'!$C$96="10 Years",J109*K109,"---"))</f>
        <v>-</v>
      </c>
      <c r="M109" s="126" t="str">
        <f>IF('Project Description'!$C$96="20 Years",-'Travel Forecasts'!N32,"---")</f>
        <v>---</v>
      </c>
      <c r="N109" s="459">
        <v>2.4759999999999999E-3</v>
      </c>
      <c r="O109" s="444" t="str">
        <f>IF('Project Description'!$C$96="20 Years",M109*N109,"---")</f>
        <v>---</v>
      </c>
      <c r="P109" s="451">
        <v>51</v>
      </c>
      <c r="Q109" s="130" t="str">
        <f>IF($H$8="(Select…)","-",IF('Project Description'!$C$96="20 Years",O109*P109,"---"))</f>
        <v>-</v>
      </c>
      <c r="R109" s="331"/>
    </row>
    <row r="110" spans="1:18" s="419" customFormat="1" ht="18" customHeight="1" x14ac:dyDescent="0.2">
      <c r="A110" s="124">
        <f t="shared" ref="A110:A118" si="19">A109+1</f>
        <v>55</v>
      </c>
      <c r="B110" s="125" t="s">
        <v>246</v>
      </c>
      <c r="C110" s="126">
        <f>-'Travel Forecasts'!M33</f>
        <v>0</v>
      </c>
      <c r="D110" s="459">
        <v>2.1180000000000001E-3</v>
      </c>
      <c r="E110" s="444">
        <f t="shared" si="18"/>
        <v>0</v>
      </c>
      <c r="F110" s="445">
        <v>51</v>
      </c>
      <c r="G110" s="128" t="str">
        <f t="shared" si="17"/>
        <v>-</v>
      </c>
      <c r="H110" s="129" t="str">
        <f>IF('Project Description'!$C$96="10 Years",-'Travel Forecasts'!N33,"---")</f>
        <v>---</v>
      </c>
      <c r="I110" s="459">
        <v>2.0439999999999998E-3</v>
      </c>
      <c r="J110" s="444" t="str">
        <f>IF('Project Description'!$C$96="10 Years",H110*I110,"---")</f>
        <v>---</v>
      </c>
      <c r="K110" s="445">
        <v>51</v>
      </c>
      <c r="L110" s="128" t="str">
        <f>IF($H$8="(Select…)","-",IF('Project Description'!$C$96="10 Years",J110*K110,"---"))</f>
        <v>-</v>
      </c>
      <c r="M110" s="126" t="str">
        <f>IF('Project Description'!$C$96="20 Years",-'Travel Forecasts'!N33,"---")</f>
        <v>---</v>
      </c>
      <c r="N110" s="459">
        <v>1.98E-3</v>
      </c>
      <c r="O110" s="444" t="str">
        <f>IF('Project Description'!$C$96="20 Years",M110*N110,"---")</f>
        <v>---</v>
      </c>
      <c r="P110" s="451">
        <v>51</v>
      </c>
      <c r="Q110" s="130" t="str">
        <f>IF($H$8="(Select…)","-",IF('Project Description'!$C$96="20 Years",O110*P110,"---"))</f>
        <v>-</v>
      </c>
      <c r="R110" s="331"/>
    </row>
    <row r="111" spans="1:18" s="419" customFormat="1" ht="18" customHeight="1" x14ac:dyDescent="0.2">
      <c r="A111" s="124">
        <f t="shared" si="19"/>
        <v>56</v>
      </c>
      <c r="B111" s="125" t="s">
        <v>247</v>
      </c>
      <c r="C111" s="126">
        <f>-'Travel Forecasts'!M34</f>
        <v>0</v>
      </c>
      <c r="D111" s="459">
        <v>3.1740000000000002E-3</v>
      </c>
      <c r="E111" s="444">
        <f t="shared" si="18"/>
        <v>0</v>
      </c>
      <c r="F111" s="445">
        <v>51</v>
      </c>
      <c r="G111" s="128" t="str">
        <f t="shared" si="17"/>
        <v>-</v>
      </c>
      <c r="H111" s="129" t="str">
        <f>IF('Project Description'!$C$96="10 Years",-'Travel Forecasts'!N34,"---")</f>
        <v>---</v>
      </c>
      <c r="I111" s="459">
        <v>3.0790000000000001E-3</v>
      </c>
      <c r="J111" s="444" t="str">
        <f>IF('Project Description'!$C$96="10 Years",H111*I111,"---")</f>
        <v>---</v>
      </c>
      <c r="K111" s="445">
        <v>51</v>
      </c>
      <c r="L111" s="128" t="str">
        <f>IF($H$8="(Select…)","-",IF('Project Description'!$C$96="10 Years",J111*K111,"---"))</f>
        <v>-</v>
      </c>
      <c r="M111" s="126" t="str">
        <f>IF('Project Description'!$C$96="20 Years",-'Travel Forecasts'!N34,"---")</f>
        <v>---</v>
      </c>
      <c r="N111" s="459">
        <v>2.9859999999999999E-3</v>
      </c>
      <c r="O111" s="444" t="str">
        <f>IF('Project Description'!$C$96="20 Years",M111*N111,"---")</f>
        <v>---</v>
      </c>
      <c r="P111" s="451">
        <v>51</v>
      </c>
      <c r="Q111" s="130" t="str">
        <f>IF($H$8="(Select…)","-",IF('Project Description'!$C$96="20 Years",O111*P111,"---"))</f>
        <v>-</v>
      </c>
      <c r="R111" s="331"/>
    </row>
    <row r="112" spans="1:18" s="419" customFormat="1" ht="18" customHeight="1" x14ac:dyDescent="0.2">
      <c r="A112" s="124">
        <f t="shared" si="19"/>
        <v>57</v>
      </c>
      <c r="B112" s="125" t="s">
        <v>248</v>
      </c>
      <c r="C112" s="126">
        <f>-'Travel Forecasts'!M35</f>
        <v>0</v>
      </c>
      <c r="D112" s="459">
        <v>2.6638400000000002E-3</v>
      </c>
      <c r="E112" s="444">
        <f t="shared" si="18"/>
        <v>0</v>
      </c>
      <c r="F112" s="445">
        <v>51</v>
      </c>
      <c r="G112" s="128" t="str">
        <f t="shared" si="17"/>
        <v>-</v>
      </c>
      <c r="H112" s="129" t="str">
        <f>IF('Project Description'!$C$96="10 Years",-'Travel Forecasts'!N35,"---")</f>
        <v>---</v>
      </c>
      <c r="I112" s="459">
        <v>1.99855E-3</v>
      </c>
      <c r="J112" s="444" t="str">
        <f>IF('Project Description'!$C$96="10 Years",H112*I112,"---")</f>
        <v>---</v>
      </c>
      <c r="K112" s="445">
        <v>51</v>
      </c>
      <c r="L112" s="128" t="str">
        <f>IF($H$8="(Select…)","-",IF('Project Description'!$C$96="10 Years",J112*K112,"---"))</f>
        <v>-</v>
      </c>
      <c r="M112" s="126" t="str">
        <f>IF('Project Description'!$C$96="20 Years",-'Travel Forecasts'!N35,"---")</f>
        <v>---</v>
      </c>
      <c r="N112" s="459">
        <v>1.7745699999999998E-3</v>
      </c>
      <c r="O112" s="444" t="str">
        <f>IF('Project Description'!$C$96="20 Years",M112*N112,"---")</f>
        <v>---</v>
      </c>
      <c r="P112" s="451">
        <v>51</v>
      </c>
      <c r="Q112" s="130" t="str">
        <f>IF($H$8="(Select…)","-",IF('Project Description'!$C$96="20 Years",O112*P112,"---"))</f>
        <v>-</v>
      </c>
      <c r="R112" s="331"/>
    </row>
    <row r="113" spans="1:18" s="419" customFormat="1" ht="18" customHeight="1" x14ac:dyDescent="0.2">
      <c r="A113" s="124">
        <f t="shared" si="19"/>
        <v>58</v>
      </c>
      <c r="B113" s="125" t="s">
        <v>249</v>
      </c>
      <c r="C113" s="126">
        <f>-'Travel Forecasts'!M36</f>
        <v>0</v>
      </c>
      <c r="D113" s="459">
        <v>2.1757899999999999E-3</v>
      </c>
      <c r="E113" s="444">
        <f t="shared" si="18"/>
        <v>0</v>
      </c>
      <c r="F113" s="445">
        <v>51</v>
      </c>
      <c r="G113" s="128" t="str">
        <f t="shared" si="17"/>
        <v>-</v>
      </c>
      <c r="H113" s="129" t="str">
        <f>IF('Project Description'!$C$96="10 Years",-'Travel Forecasts'!N36,"---")</f>
        <v>---</v>
      </c>
      <c r="I113" s="459">
        <v>1.6323900000000001E-3</v>
      </c>
      <c r="J113" s="444" t="str">
        <f>IF('Project Description'!$C$96="10 Years",H113*I113,"---")</f>
        <v>---</v>
      </c>
      <c r="K113" s="445">
        <v>51</v>
      </c>
      <c r="L113" s="128" t="str">
        <f>IF($H$8="(Select…)","-",IF('Project Description'!$C$96="10 Years",J113*K113,"---"))</f>
        <v>-</v>
      </c>
      <c r="M113" s="126" t="str">
        <f>IF('Project Description'!$C$96="20 Years",-'Travel Forecasts'!N36,"---")</f>
        <v>---</v>
      </c>
      <c r="N113" s="459">
        <v>1.4494500000000001E-3</v>
      </c>
      <c r="O113" s="444" t="str">
        <f>IF('Project Description'!$C$96="20 Years",M113*N113,"---")</f>
        <v>---</v>
      </c>
      <c r="P113" s="451">
        <v>51</v>
      </c>
      <c r="Q113" s="130" t="str">
        <f>IF($H$8="(Select…)","-",IF('Project Description'!$C$96="20 Years",O113*P113,"---"))</f>
        <v>-</v>
      </c>
      <c r="R113" s="331"/>
    </row>
    <row r="114" spans="1:18" s="419" customFormat="1" ht="18" customHeight="1" x14ac:dyDescent="0.2">
      <c r="A114" s="124">
        <f t="shared" si="19"/>
        <v>59</v>
      </c>
      <c r="B114" s="125" t="s">
        <v>250</v>
      </c>
      <c r="C114" s="126">
        <f>-'Travel Forecasts'!M37</f>
        <v>0</v>
      </c>
      <c r="D114" s="459">
        <v>3.24296E-3</v>
      </c>
      <c r="E114" s="444">
        <f t="shared" si="18"/>
        <v>0</v>
      </c>
      <c r="F114" s="445">
        <v>51</v>
      </c>
      <c r="G114" s="128" t="str">
        <f t="shared" si="17"/>
        <v>-</v>
      </c>
      <c r="H114" s="129" t="str">
        <f>IF('Project Description'!$C$96="10 Years",-'Travel Forecasts'!N37,"---")</f>
        <v>---</v>
      </c>
      <c r="I114" s="459">
        <v>2.43304E-3</v>
      </c>
      <c r="J114" s="444" t="str">
        <f>IF('Project Description'!$C$96="10 Years",H114*I114,"---")</f>
        <v>---</v>
      </c>
      <c r="K114" s="445">
        <v>51</v>
      </c>
      <c r="L114" s="128" t="str">
        <f>IF($H$8="(Select…)","-",IF('Project Description'!$C$96="10 Years",J114*K114,"---"))</f>
        <v>-</v>
      </c>
      <c r="M114" s="126" t="str">
        <f>IF('Project Description'!$C$96="20 Years",-'Travel Forecasts'!N37,"---")</f>
        <v>---</v>
      </c>
      <c r="N114" s="459">
        <v>2.16037E-3</v>
      </c>
      <c r="O114" s="444" t="str">
        <f>IF('Project Description'!$C$96="20 Years",M114*N114,"---")</f>
        <v>---</v>
      </c>
      <c r="P114" s="451">
        <v>51</v>
      </c>
      <c r="Q114" s="130" t="str">
        <f>IF($H$8="(Select…)","-",IF('Project Description'!$C$96="20 Years",O114*P114,"---"))</f>
        <v>-</v>
      </c>
      <c r="R114" s="331"/>
    </row>
    <row r="115" spans="1:18" s="419" customFormat="1" ht="25.5" x14ac:dyDescent="0.2">
      <c r="A115" s="124">
        <f t="shared" si="19"/>
        <v>60</v>
      </c>
      <c r="B115" s="125" t="s">
        <v>251</v>
      </c>
      <c r="C115" s="126">
        <f>-'Travel Forecasts'!M38</f>
        <v>0</v>
      </c>
      <c r="D115" s="459">
        <v>7.3100999999999999E-3</v>
      </c>
      <c r="E115" s="444">
        <f t="shared" si="18"/>
        <v>0</v>
      </c>
      <c r="F115" s="445">
        <v>51</v>
      </c>
      <c r="G115" s="128" t="str">
        <f t="shared" si="17"/>
        <v>-</v>
      </c>
      <c r="H115" s="129" t="str">
        <f>IF('Project Description'!$C$96="10 Years",-'Travel Forecasts'!N38,"---")</f>
        <v>---</v>
      </c>
      <c r="I115" s="459">
        <v>7.3836000000000006E-3</v>
      </c>
      <c r="J115" s="444" t="str">
        <f>IF('Project Description'!$C$96="10 Years",H115*I115,"---")</f>
        <v>---</v>
      </c>
      <c r="K115" s="445">
        <v>51</v>
      </c>
      <c r="L115" s="128" t="str">
        <f>IF($H$8="(Select…)","-",IF('Project Description'!$C$96="10 Years",J115*K115,"---"))</f>
        <v>-</v>
      </c>
      <c r="M115" s="126" t="str">
        <f>IF('Project Description'!$C$96="20 Years",-'Travel Forecasts'!N38,"---")</f>
        <v>---</v>
      </c>
      <c r="N115" s="459">
        <v>7.3836000000000006E-3</v>
      </c>
      <c r="O115" s="444" t="str">
        <f>IF('Project Description'!$C$96="20 Years",M115*N115,"---")</f>
        <v>---</v>
      </c>
      <c r="P115" s="451">
        <v>51</v>
      </c>
      <c r="Q115" s="130" t="str">
        <f>IF($H$8="(Select…)","-",IF('Project Description'!$C$96="20 Years",O115*P115,"---"))</f>
        <v>-</v>
      </c>
      <c r="R115" s="331"/>
    </row>
    <row r="116" spans="1:18" s="419" customFormat="1" ht="12.75" x14ac:dyDescent="0.2">
      <c r="A116" s="124">
        <f t="shared" si="19"/>
        <v>61</v>
      </c>
      <c r="B116" s="125" t="s">
        <v>252</v>
      </c>
      <c r="C116" s="126">
        <f>-'Travel Forecasts'!M39</f>
        <v>0</v>
      </c>
      <c r="D116" s="459">
        <v>7.3100999999999999E-3</v>
      </c>
      <c r="E116" s="444">
        <f t="shared" si="18"/>
        <v>0</v>
      </c>
      <c r="F116" s="445">
        <v>51</v>
      </c>
      <c r="G116" s="128" t="str">
        <f t="shared" si="17"/>
        <v>-</v>
      </c>
      <c r="H116" s="129" t="str">
        <f>IF('Project Description'!$C$96="10 Years",-'Travel Forecasts'!N39,"---")</f>
        <v>---</v>
      </c>
      <c r="I116" s="459">
        <v>7.3836000000000006E-3</v>
      </c>
      <c r="J116" s="444" t="str">
        <f>IF('Project Description'!$C$96="10 Years",H116*I116,"---")</f>
        <v>---</v>
      </c>
      <c r="K116" s="445">
        <v>51</v>
      </c>
      <c r="L116" s="128" t="str">
        <f>IF($H$8="(Select…)","-",IF('Project Description'!$C$96="10 Years",J116*K116,"---"))</f>
        <v>-</v>
      </c>
      <c r="M116" s="126" t="str">
        <f>IF('Project Description'!$C$96="20 Years",-'Travel Forecasts'!N39,"---")</f>
        <v>---</v>
      </c>
      <c r="N116" s="459">
        <v>7.3836000000000006E-3</v>
      </c>
      <c r="O116" s="444" t="str">
        <f>IF('Project Description'!$C$96="20 Years",M116*N116,"---")</f>
        <v>---</v>
      </c>
      <c r="P116" s="451">
        <v>51</v>
      </c>
      <c r="Q116" s="130" t="str">
        <f>IF($H$8="(Select…)","-",IF('Project Description'!$C$96="20 Years",O116*P116,"---"))</f>
        <v>-</v>
      </c>
      <c r="R116" s="331"/>
    </row>
    <row r="117" spans="1:18" s="419" customFormat="1" ht="18" customHeight="1" x14ac:dyDescent="0.2">
      <c r="A117" s="131">
        <f t="shared" si="19"/>
        <v>62</v>
      </c>
      <c r="B117" s="132" t="s">
        <v>253</v>
      </c>
      <c r="C117" s="126">
        <f>-'Travel Forecasts'!M40</f>
        <v>0</v>
      </c>
      <c r="D117" s="459">
        <v>3.5817800000000001E-3</v>
      </c>
      <c r="E117" s="446">
        <f t="shared" si="18"/>
        <v>0</v>
      </c>
      <c r="F117" s="445">
        <v>51</v>
      </c>
      <c r="G117" s="135" t="str">
        <f t="shared" si="17"/>
        <v>-</v>
      </c>
      <c r="H117" s="129" t="str">
        <f>IF('Project Description'!$C$96="10 Years",-'Travel Forecasts'!N40,"---")</f>
        <v>---</v>
      </c>
      <c r="I117" s="459">
        <v>2.6872300000000001E-3</v>
      </c>
      <c r="J117" s="444" t="str">
        <f>IF('Project Description'!$C$96="10 Years",H117*I117,"---")</f>
        <v>---</v>
      </c>
      <c r="K117" s="445">
        <v>51</v>
      </c>
      <c r="L117" s="135" t="str">
        <f>IF($H$8="(Select…)","-",IF('Project Description'!$C$96="10 Years",J117*K117,"---"))</f>
        <v>-</v>
      </c>
      <c r="M117" s="126" t="str">
        <f>IF('Project Description'!$C$96="20 Years",-'Travel Forecasts'!N40,"---")</f>
        <v>---</v>
      </c>
      <c r="N117" s="459">
        <v>2.3860700000000001E-3</v>
      </c>
      <c r="O117" s="444" t="str">
        <f>IF('Project Description'!$C$96="20 Years",M117*N117,"---")</f>
        <v>---</v>
      </c>
      <c r="P117" s="451">
        <v>51</v>
      </c>
      <c r="Q117" s="136" t="str">
        <f>IF($H$8="(Select…)","-",IF('Project Description'!$C$96="20 Years",O117*P117,"---"))</f>
        <v>-</v>
      </c>
      <c r="R117" s="331"/>
    </row>
    <row r="118" spans="1:18" ht="16.5" thickBot="1" x14ac:dyDescent="0.25">
      <c r="A118" s="137">
        <f t="shared" si="19"/>
        <v>63</v>
      </c>
      <c r="B118" s="138" t="s">
        <v>254</v>
      </c>
      <c r="C118" s="139">
        <f>SUM(C108:C117)</f>
        <v>0</v>
      </c>
      <c r="D118" s="140" t="s">
        <v>112</v>
      </c>
      <c r="E118" s="141">
        <f>SUM(E108:E117)</f>
        <v>0</v>
      </c>
      <c r="F118" s="142" t="s">
        <v>112</v>
      </c>
      <c r="G118" s="143">
        <f>SUM(G108:G117)</f>
        <v>0</v>
      </c>
      <c r="H118" s="144" t="str">
        <f>IF('Project Description'!$C$96="10 Years",SUM(H108:H117),"---")</f>
        <v>---</v>
      </c>
      <c r="I118" s="145" t="s">
        <v>112</v>
      </c>
      <c r="J118" s="141" t="str">
        <f>IF('Project Description'!$C$96="10 Years",SUM(J108:J117),"---")</f>
        <v>---</v>
      </c>
      <c r="K118" s="146" t="s">
        <v>112</v>
      </c>
      <c r="L118" s="143" t="str">
        <f>IF('Project Description'!$C$96="10 Years",SUM(L108:L117),"---")</f>
        <v>---</v>
      </c>
      <c r="M118" s="139" t="str">
        <f>IF('Project Description'!$C$96="20 Years",SUM(M108:M117),"---")</f>
        <v>---</v>
      </c>
      <c r="N118" s="145" t="s">
        <v>112</v>
      </c>
      <c r="O118" s="141" t="str">
        <f>IF('Project Description'!$C$96="20 Years",SUM(O108:O117),"---")</f>
        <v>---</v>
      </c>
      <c r="P118" s="146" t="s">
        <v>112</v>
      </c>
      <c r="Q118" s="143" t="str">
        <f>IF('Project Description'!$C$96="20 Years",SUM(Q108:Q117),"---")</f>
        <v>---</v>
      </c>
    </row>
    <row r="119" spans="1:18" s="189" customFormat="1" ht="12.75" x14ac:dyDescent="0.2">
      <c r="C119" s="190"/>
      <c r="D119" s="190"/>
      <c r="E119" s="191"/>
      <c r="F119" s="191"/>
      <c r="G119" s="191"/>
      <c r="H119" s="191"/>
    </row>
    <row r="120" spans="1:18" s="94" customFormat="1" ht="15.75" thickBot="1" x14ac:dyDescent="0.25">
      <c r="C120" s="187"/>
      <c r="D120" s="187"/>
      <c r="E120" s="188"/>
      <c r="F120" s="188"/>
      <c r="G120" s="188"/>
      <c r="H120" s="188"/>
    </row>
    <row r="121" spans="1:18" ht="19.5" customHeight="1" thickBot="1" x14ac:dyDescent="0.3">
      <c r="A121" s="988" t="s">
        <v>264</v>
      </c>
      <c r="B121" s="989"/>
      <c r="C121" s="989"/>
      <c r="D121" s="989"/>
      <c r="E121" s="989"/>
      <c r="F121" s="989"/>
      <c r="G121" s="989"/>
      <c r="H121" s="989"/>
      <c r="I121" s="989"/>
      <c r="J121" s="989"/>
      <c r="K121" s="989"/>
      <c r="L121" s="989"/>
      <c r="M121" s="989"/>
      <c r="N121" s="989"/>
      <c r="O121" s="989"/>
      <c r="P121" s="989"/>
      <c r="Q121" s="990"/>
      <c r="R121" s="192"/>
    </row>
    <row r="122" spans="1:18" s="419" customFormat="1" ht="15.75" x14ac:dyDescent="0.25">
      <c r="A122" s="991" t="s">
        <v>83</v>
      </c>
      <c r="B122" s="993" t="s">
        <v>237</v>
      </c>
      <c r="C122" s="995" t="s">
        <v>34</v>
      </c>
      <c r="D122" s="996"/>
      <c r="E122" s="996"/>
      <c r="F122" s="996"/>
      <c r="G122" s="997"/>
      <c r="H122" s="996" t="s">
        <v>238</v>
      </c>
      <c r="I122" s="996"/>
      <c r="J122" s="996"/>
      <c r="K122" s="996"/>
      <c r="L122" s="996"/>
      <c r="M122" s="995" t="s">
        <v>239</v>
      </c>
      <c r="N122" s="996"/>
      <c r="O122" s="996"/>
      <c r="P122" s="996"/>
      <c r="Q122" s="997"/>
      <c r="R122" s="331"/>
    </row>
    <row r="123" spans="1:18" s="419" customFormat="1" ht="72.75" customHeight="1" x14ac:dyDescent="0.2">
      <c r="A123" s="992"/>
      <c r="B123" s="994"/>
      <c r="C123" s="113" t="s">
        <v>240</v>
      </c>
      <c r="D123" s="114" t="s">
        <v>265</v>
      </c>
      <c r="E123" s="114" t="s">
        <v>266</v>
      </c>
      <c r="F123" s="115" t="s">
        <v>267</v>
      </c>
      <c r="G123" s="116" t="s">
        <v>244</v>
      </c>
      <c r="H123" s="117" t="s">
        <v>240</v>
      </c>
      <c r="I123" s="114" t="s">
        <v>265</v>
      </c>
      <c r="J123" s="114" t="s">
        <v>266</v>
      </c>
      <c r="K123" s="115" t="s">
        <v>267</v>
      </c>
      <c r="L123" s="116" t="s">
        <v>244</v>
      </c>
      <c r="M123" s="113" t="s">
        <v>240</v>
      </c>
      <c r="N123" s="114" t="s">
        <v>265</v>
      </c>
      <c r="O123" s="114" t="s">
        <v>266</v>
      </c>
      <c r="P123" s="115" t="s">
        <v>267</v>
      </c>
      <c r="Q123" s="116" t="s">
        <v>244</v>
      </c>
      <c r="R123" s="331"/>
    </row>
    <row r="124" spans="1:18" s="419" customFormat="1" ht="18" customHeight="1" x14ac:dyDescent="0.2">
      <c r="A124" s="118">
        <f>A118+1</f>
        <v>64</v>
      </c>
      <c r="B124" s="119" t="s">
        <v>126</v>
      </c>
      <c r="C124" s="120">
        <f>IF('Project Description'!$C$92="Yes",H25,-'Travel Forecasts'!M31)</f>
        <v>0</v>
      </c>
      <c r="D124" s="461">
        <v>6.7380000000000001E-3</v>
      </c>
      <c r="E124" s="441">
        <f>C124*D124</f>
        <v>0</v>
      </c>
      <c r="F124" s="442">
        <v>0.28999999999999998</v>
      </c>
      <c r="G124" s="122" t="str">
        <f t="shared" ref="G124:G132" si="20">IF($H$8="(Select…)","-",E124*F124)</f>
        <v>-</v>
      </c>
      <c r="H124" s="123" t="str">
        <f>IF('Project Description'!$C$96="10 Years",-'Travel Forecasts'!N31,"---")</f>
        <v>---</v>
      </c>
      <c r="I124" s="460">
        <v>5.0067884945339631E-3</v>
      </c>
      <c r="J124" s="441" t="str">
        <f>IF('Project Description'!$C$96="10 Years",H124*I124,"---")</f>
        <v>---</v>
      </c>
      <c r="K124" s="442">
        <v>0.28999999999999998</v>
      </c>
      <c r="L124" s="122" t="str">
        <f>IF($H$8="(Select…)","-",IF('Project Description'!$C$96="10 Years",J124*K124,"---"))</f>
        <v>-</v>
      </c>
      <c r="M124" s="120" t="str">
        <f>IF('Project Description'!$C$96="20 Years",-'Travel Forecasts'!N31,"---")</f>
        <v>---</v>
      </c>
      <c r="N124" s="460">
        <v>4.3034235893790029E-3</v>
      </c>
      <c r="O124" s="441" t="str">
        <f>IF('Project Description'!$C$96="20 Years",M124*N124,"---")</f>
        <v>---</v>
      </c>
      <c r="P124" s="442">
        <v>0.28999999999999998</v>
      </c>
      <c r="Q124" s="122" t="str">
        <f>IF($H$8="(Select…)","-",IF('Project Description'!$C$96="20 Years",O124*P124,"---"))</f>
        <v>-</v>
      </c>
      <c r="R124" s="331"/>
    </row>
    <row r="125" spans="1:18" s="419" customFormat="1" ht="18" customHeight="1" x14ac:dyDescent="0.2">
      <c r="A125" s="124">
        <f>A124+1</f>
        <v>65</v>
      </c>
      <c r="B125" s="125" t="s">
        <v>245</v>
      </c>
      <c r="C125" s="126">
        <f>-'Travel Forecasts'!M32</f>
        <v>0</v>
      </c>
      <c r="D125" s="462">
        <v>3.4001999999999998E-2</v>
      </c>
      <c r="E125" s="444">
        <f t="shared" ref="E125:E132" si="21">C125*D125</f>
        <v>0</v>
      </c>
      <c r="F125" s="445">
        <v>0.26</v>
      </c>
      <c r="G125" s="128" t="str">
        <f t="shared" si="20"/>
        <v>-</v>
      </c>
      <c r="H125" s="129" t="str">
        <f>IF('Project Description'!$C$96="10 Years",-'Travel Forecasts'!N32,"---")</f>
        <v>---</v>
      </c>
      <c r="I125" s="459">
        <v>3.2814999999999997E-2</v>
      </c>
      <c r="J125" s="444" t="str">
        <f>IF('Project Description'!$C$96="10 Years",H125*I125,"---")</f>
        <v>---</v>
      </c>
      <c r="K125" s="445">
        <v>0.26</v>
      </c>
      <c r="L125" s="128" t="str">
        <f>IF($H$8="(Select…)","-",IF('Project Description'!$C$96="10 Years",J125*K125,"---"))</f>
        <v>-</v>
      </c>
      <c r="M125" s="126" t="str">
        <f>IF('Project Description'!$C$96="20 Years",-'Travel Forecasts'!N32,"---")</f>
        <v>---</v>
      </c>
      <c r="N125" s="459">
        <v>3.1800000000000002E-2</v>
      </c>
      <c r="O125" s="444" t="str">
        <f>IF('Project Description'!$C$96="20 Years",M125*N125,"---")</f>
        <v>---</v>
      </c>
      <c r="P125" s="445">
        <v>0.26</v>
      </c>
      <c r="Q125" s="130" t="str">
        <f>IF($H$8="(Select…)","-",IF('Project Description'!$C$96="20 Years",O125*P125,"---"))</f>
        <v>-</v>
      </c>
      <c r="R125" s="331"/>
    </row>
    <row r="126" spans="1:18" s="419" customFormat="1" ht="18" customHeight="1" x14ac:dyDescent="0.2">
      <c r="A126" s="124">
        <f t="shared" ref="A126:A134" si="22">A125+1</f>
        <v>66</v>
      </c>
      <c r="B126" s="125" t="s">
        <v>246</v>
      </c>
      <c r="C126" s="126">
        <f>-'Travel Forecasts'!M33</f>
        <v>0</v>
      </c>
      <c r="D126" s="463">
        <v>2.7202E-2</v>
      </c>
      <c r="E126" s="444">
        <f t="shared" si="21"/>
        <v>0</v>
      </c>
      <c r="F126" s="445">
        <v>0.26</v>
      </c>
      <c r="G126" s="128" t="str">
        <f t="shared" si="20"/>
        <v>-</v>
      </c>
      <c r="H126" s="129" t="str">
        <f>IF('Project Description'!$C$96="10 Years",-'Travel Forecasts'!N33,"---")</f>
        <v>---</v>
      </c>
      <c r="I126" s="459">
        <v>2.6252000000000001E-2</v>
      </c>
      <c r="J126" s="444" t="str">
        <f>IF('Project Description'!$C$96="10 Years",H126*I126,"---")</f>
        <v>---</v>
      </c>
      <c r="K126" s="445">
        <v>0.26</v>
      </c>
      <c r="L126" s="128" t="str">
        <f>IF($H$8="(Select…)","-",IF('Project Description'!$C$96="10 Years",J126*K126,"---"))</f>
        <v>-</v>
      </c>
      <c r="M126" s="126" t="str">
        <f>IF('Project Description'!$C$96="20 Years",-'Travel Forecasts'!N33,"---")</f>
        <v>---</v>
      </c>
      <c r="N126" s="459">
        <v>2.5440000000000001E-2</v>
      </c>
      <c r="O126" s="444" t="str">
        <f>IF('Project Description'!$C$96="20 Years",M126*N126,"---")</f>
        <v>---</v>
      </c>
      <c r="P126" s="445">
        <v>0.26</v>
      </c>
      <c r="Q126" s="130" t="str">
        <f>IF($H$8="(Select…)","-",IF('Project Description'!$C$96="20 Years",O126*P126,"---"))</f>
        <v>-</v>
      </c>
      <c r="R126" s="331"/>
    </row>
    <row r="127" spans="1:18" s="419" customFormat="1" ht="18" customHeight="1" x14ac:dyDescent="0.2">
      <c r="A127" s="124">
        <f t="shared" si="22"/>
        <v>67</v>
      </c>
      <c r="B127" s="125" t="s">
        <v>247</v>
      </c>
      <c r="C127" s="164" t="s">
        <v>112</v>
      </c>
      <c r="D127" s="464" t="s">
        <v>112</v>
      </c>
      <c r="E127" s="464" t="s">
        <v>112</v>
      </c>
      <c r="F127" s="465" t="s">
        <v>112</v>
      </c>
      <c r="G127" s="165" t="s">
        <v>112</v>
      </c>
      <c r="H127" s="166" t="s">
        <v>112</v>
      </c>
      <c r="I127" s="464" t="s">
        <v>112</v>
      </c>
      <c r="J127" s="464" t="s">
        <v>112</v>
      </c>
      <c r="K127" s="465" t="s">
        <v>112</v>
      </c>
      <c r="L127" s="165" t="s">
        <v>112</v>
      </c>
      <c r="M127" s="166" t="s">
        <v>112</v>
      </c>
      <c r="N127" s="470" t="s">
        <v>112</v>
      </c>
      <c r="O127" s="464" t="s">
        <v>112</v>
      </c>
      <c r="P127" s="465" t="s">
        <v>112</v>
      </c>
      <c r="Q127" s="167" t="s">
        <v>112</v>
      </c>
      <c r="R127" s="331"/>
    </row>
    <row r="128" spans="1:18" s="419" customFormat="1" ht="18" customHeight="1" x14ac:dyDescent="0.2">
      <c r="A128" s="124">
        <f t="shared" si="22"/>
        <v>68</v>
      </c>
      <c r="B128" s="125" t="s">
        <v>248</v>
      </c>
      <c r="C128" s="168" t="s">
        <v>112</v>
      </c>
      <c r="D128" s="466" t="s">
        <v>112</v>
      </c>
      <c r="E128" s="466" t="s">
        <v>112</v>
      </c>
      <c r="F128" s="467" t="s">
        <v>112</v>
      </c>
      <c r="G128" s="169" t="s">
        <v>112</v>
      </c>
      <c r="H128" s="170" t="s">
        <v>112</v>
      </c>
      <c r="I128" s="466" t="s">
        <v>112</v>
      </c>
      <c r="J128" s="466" t="s">
        <v>112</v>
      </c>
      <c r="K128" s="467" t="s">
        <v>112</v>
      </c>
      <c r="L128" s="169" t="s">
        <v>112</v>
      </c>
      <c r="M128" s="170" t="s">
        <v>112</v>
      </c>
      <c r="N128" s="471" t="s">
        <v>112</v>
      </c>
      <c r="O128" s="466" t="s">
        <v>112</v>
      </c>
      <c r="P128" s="467" t="s">
        <v>112</v>
      </c>
      <c r="Q128" s="171" t="s">
        <v>112</v>
      </c>
      <c r="R128" s="331"/>
    </row>
    <row r="129" spans="1:18" s="419" customFormat="1" ht="18" customHeight="1" x14ac:dyDescent="0.2">
      <c r="A129" s="124">
        <f t="shared" si="22"/>
        <v>69</v>
      </c>
      <c r="B129" s="125" t="s">
        <v>249</v>
      </c>
      <c r="C129" s="168" t="s">
        <v>112</v>
      </c>
      <c r="D129" s="466" t="s">
        <v>112</v>
      </c>
      <c r="E129" s="466" t="s">
        <v>112</v>
      </c>
      <c r="F129" s="467" t="s">
        <v>112</v>
      </c>
      <c r="G129" s="169" t="s">
        <v>112</v>
      </c>
      <c r="H129" s="170" t="s">
        <v>112</v>
      </c>
      <c r="I129" s="466" t="s">
        <v>112</v>
      </c>
      <c r="J129" s="466" t="s">
        <v>112</v>
      </c>
      <c r="K129" s="467" t="s">
        <v>112</v>
      </c>
      <c r="L129" s="169" t="s">
        <v>112</v>
      </c>
      <c r="M129" s="170" t="s">
        <v>112</v>
      </c>
      <c r="N129" s="471" t="s">
        <v>112</v>
      </c>
      <c r="O129" s="466" t="s">
        <v>112</v>
      </c>
      <c r="P129" s="467" t="s">
        <v>112</v>
      </c>
      <c r="Q129" s="171" t="s">
        <v>112</v>
      </c>
      <c r="R129" s="331"/>
    </row>
    <row r="130" spans="1:18" s="419" customFormat="1" ht="18" customHeight="1" x14ac:dyDescent="0.2">
      <c r="A130" s="124">
        <f t="shared" si="22"/>
        <v>70</v>
      </c>
      <c r="B130" s="125" t="s">
        <v>250</v>
      </c>
      <c r="C130" s="172" t="s">
        <v>112</v>
      </c>
      <c r="D130" s="466" t="s">
        <v>112</v>
      </c>
      <c r="E130" s="468" t="s">
        <v>112</v>
      </c>
      <c r="F130" s="469" t="s">
        <v>112</v>
      </c>
      <c r="G130" s="173" t="s">
        <v>112</v>
      </c>
      <c r="H130" s="174" t="s">
        <v>112</v>
      </c>
      <c r="I130" s="468" t="s">
        <v>112</v>
      </c>
      <c r="J130" s="468" t="s">
        <v>112</v>
      </c>
      <c r="K130" s="469" t="s">
        <v>112</v>
      </c>
      <c r="L130" s="173" t="s">
        <v>112</v>
      </c>
      <c r="M130" s="174" t="s">
        <v>112</v>
      </c>
      <c r="N130" s="472" t="s">
        <v>112</v>
      </c>
      <c r="O130" s="468" t="s">
        <v>112</v>
      </c>
      <c r="P130" s="469" t="s">
        <v>112</v>
      </c>
      <c r="Q130" s="175" t="s">
        <v>112</v>
      </c>
      <c r="R130" s="331"/>
    </row>
    <row r="131" spans="1:18" s="419" customFormat="1" ht="25.5" x14ac:dyDescent="0.2">
      <c r="A131" s="124">
        <f t="shared" si="22"/>
        <v>71</v>
      </c>
      <c r="B131" s="125" t="s">
        <v>251</v>
      </c>
      <c r="C131" s="126">
        <f>-'Travel Forecasts'!M38</f>
        <v>0</v>
      </c>
      <c r="D131" s="462">
        <v>9.3906000000000003E-2</v>
      </c>
      <c r="E131" s="444">
        <f t="shared" si="21"/>
        <v>0</v>
      </c>
      <c r="F131" s="445">
        <v>0.26</v>
      </c>
      <c r="G131" s="128" t="str">
        <f t="shared" si="20"/>
        <v>-</v>
      </c>
      <c r="H131" s="129" t="str">
        <f>IF('Project Description'!$C$96="10 Years",-'Travel Forecasts'!N38,"---")</f>
        <v>---</v>
      </c>
      <c r="I131" s="459">
        <v>9.4844698232660452E-2</v>
      </c>
      <c r="J131" s="444" t="str">
        <f>IF('Project Description'!$C$96="10 Years",H131*I131,"---")</f>
        <v>---</v>
      </c>
      <c r="K131" s="445">
        <v>0.26</v>
      </c>
      <c r="L131" s="128" t="str">
        <f>IF($H$8="(Select…)","-",IF('Project Description'!$C$96="10 Years",J131*K131,"---"))</f>
        <v>-</v>
      </c>
      <c r="M131" s="126" t="str">
        <f>IF('Project Description'!$C$96="20 Years",-'Travel Forecasts'!N38,"---")</f>
        <v>---</v>
      </c>
      <c r="N131" s="459">
        <v>9.4844698232660452E-2</v>
      </c>
      <c r="O131" s="444" t="str">
        <f>IF('Project Description'!$C$96="20 Years",M131*N131,"---")</f>
        <v>---</v>
      </c>
      <c r="P131" s="445">
        <v>0.26</v>
      </c>
      <c r="Q131" s="130" t="str">
        <f>IF($H$8="(Select…)","-",IF('Project Description'!$C$96="20 Years",O131*P131,"---"))</f>
        <v>-</v>
      </c>
      <c r="R131" s="331"/>
    </row>
    <row r="132" spans="1:18" s="419" customFormat="1" ht="12.75" x14ac:dyDescent="0.2">
      <c r="A132" s="124">
        <f t="shared" si="22"/>
        <v>72</v>
      </c>
      <c r="B132" s="125" t="s">
        <v>252</v>
      </c>
      <c r="C132" s="126">
        <f>-'Travel Forecasts'!M39</f>
        <v>0</v>
      </c>
      <c r="D132" s="459">
        <v>9.3906000000000003E-2</v>
      </c>
      <c r="E132" s="444">
        <f t="shared" si="21"/>
        <v>0</v>
      </c>
      <c r="F132" s="445">
        <v>0.26</v>
      </c>
      <c r="G132" s="128" t="str">
        <f t="shared" si="20"/>
        <v>-</v>
      </c>
      <c r="H132" s="129" t="str">
        <f>IF('Project Description'!$C$96="10 Years",-'Travel Forecasts'!N39,"---")</f>
        <v>---</v>
      </c>
      <c r="I132" s="459">
        <v>9.4844698232660452E-2</v>
      </c>
      <c r="J132" s="444" t="str">
        <f>IF('Project Description'!$C$96="10 Years",H132*I132,"---")</f>
        <v>---</v>
      </c>
      <c r="K132" s="445">
        <v>0.26</v>
      </c>
      <c r="L132" s="128" t="str">
        <f>IF($H$8="(Select…)","-",IF('Project Description'!$C$96="10 Years",J132*K132,"---"))</f>
        <v>-</v>
      </c>
      <c r="M132" s="126" t="str">
        <f>IF('Project Description'!$C$96="20 Years",-'Travel Forecasts'!N39,"---")</f>
        <v>---</v>
      </c>
      <c r="N132" s="459">
        <v>9.4844698232660452E-2</v>
      </c>
      <c r="O132" s="444" t="str">
        <f>IF('Project Description'!$C$96="20 Years",M132*N132,"---")</f>
        <v>---</v>
      </c>
      <c r="P132" s="445">
        <v>0.26</v>
      </c>
      <c r="Q132" s="130" t="str">
        <f>IF($H$8="(Select…)","-",IF('Project Description'!$C$96="20 Years",O132*P132,"---"))</f>
        <v>-</v>
      </c>
      <c r="R132" s="331"/>
    </row>
    <row r="133" spans="1:18" s="419" customFormat="1" ht="18" customHeight="1" x14ac:dyDescent="0.2">
      <c r="A133" s="131">
        <f t="shared" si="22"/>
        <v>73</v>
      </c>
      <c r="B133" s="132" t="s">
        <v>253</v>
      </c>
      <c r="C133" s="176" t="s">
        <v>112</v>
      </c>
      <c r="D133" s="177" t="s">
        <v>112</v>
      </c>
      <c r="E133" s="178" t="s">
        <v>112</v>
      </c>
      <c r="F133" s="179" t="s">
        <v>112</v>
      </c>
      <c r="G133" s="180" t="s">
        <v>112</v>
      </c>
      <c r="H133" s="181" t="s">
        <v>112</v>
      </c>
      <c r="I133" s="177" t="s">
        <v>112</v>
      </c>
      <c r="J133" s="178" t="s">
        <v>112</v>
      </c>
      <c r="K133" s="179" t="s">
        <v>112</v>
      </c>
      <c r="L133" s="180" t="s">
        <v>112</v>
      </c>
      <c r="M133" s="181" t="s">
        <v>112</v>
      </c>
      <c r="N133" s="177" t="s">
        <v>112</v>
      </c>
      <c r="O133" s="178" t="s">
        <v>112</v>
      </c>
      <c r="P133" s="179" t="s">
        <v>112</v>
      </c>
      <c r="Q133" s="182" t="s">
        <v>112</v>
      </c>
      <c r="R133" s="331"/>
    </row>
    <row r="134" spans="1:18" ht="16.5" thickBot="1" x14ac:dyDescent="0.25">
      <c r="A134" s="137">
        <f t="shared" si="22"/>
        <v>74</v>
      </c>
      <c r="B134" s="138" t="s">
        <v>254</v>
      </c>
      <c r="C134" s="139">
        <f>SUM(C124:C133)</f>
        <v>0</v>
      </c>
      <c r="D134" s="140" t="s">
        <v>112</v>
      </c>
      <c r="E134" s="141">
        <f>SUM(E124:E133)</f>
        <v>0</v>
      </c>
      <c r="F134" s="142" t="s">
        <v>112</v>
      </c>
      <c r="G134" s="143">
        <f>SUM(G124:G133)</f>
        <v>0</v>
      </c>
      <c r="H134" s="144" t="str">
        <f>IF('Project Description'!$C$96="10 Years",SUM(H124:H133),"---")</f>
        <v>---</v>
      </c>
      <c r="I134" s="145" t="s">
        <v>112</v>
      </c>
      <c r="J134" s="141" t="str">
        <f>IF('Project Description'!$C$96="10 Years",SUM(J124:J133),"---")</f>
        <v>---</v>
      </c>
      <c r="K134" s="146" t="s">
        <v>112</v>
      </c>
      <c r="L134" s="143" t="str">
        <f>IF('Project Description'!$C$96="10 Years",SUM(L124:L133),"---")</f>
        <v>---</v>
      </c>
      <c r="M134" s="139" t="str">
        <f>IF('Project Description'!$C$96="20 Years",SUM(M124:M133),"---")</f>
        <v>---</v>
      </c>
      <c r="N134" s="145" t="s">
        <v>112</v>
      </c>
      <c r="O134" s="141" t="str">
        <f>IF('Project Description'!$C$96="20 Years",SUM(O124:O133),"---")</f>
        <v>---</v>
      </c>
      <c r="P134" s="146" t="s">
        <v>112</v>
      </c>
      <c r="Q134" s="143" t="str">
        <f>IF('Project Description'!$C$96="20 Years",SUM(Q124:Q133),"---")</f>
        <v>---</v>
      </c>
    </row>
    <row r="135" spans="1:18" ht="16.5" thickBot="1" x14ac:dyDescent="0.25">
      <c r="A135" s="212"/>
      <c r="B135" s="213"/>
      <c r="C135" s="214"/>
      <c r="D135" s="215"/>
      <c r="E135" s="216"/>
      <c r="F135" s="215"/>
      <c r="G135" s="217"/>
      <c r="H135" s="214"/>
      <c r="I135" s="218"/>
      <c r="J135" s="216"/>
      <c r="K135" s="218"/>
      <c r="L135" s="217"/>
      <c r="M135" s="214"/>
      <c r="N135" s="218"/>
      <c r="O135" s="216"/>
      <c r="P135" s="218"/>
      <c r="Q135" s="217"/>
    </row>
    <row r="136" spans="1:18" ht="18.75" thickBot="1" x14ac:dyDescent="0.25">
      <c r="A136" s="985" t="s">
        <v>268</v>
      </c>
      <c r="B136" s="986"/>
      <c r="C136" s="986"/>
      <c r="D136" s="986"/>
      <c r="E136" s="986"/>
      <c r="F136" s="986"/>
      <c r="G136" s="986"/>
      <c r="H136" s="986"/>
      <c r="I136" s="986"/>
      <c r="J136" s="986"/>
      <c r="K136" s="986"/>
      <c r="L136" s="986"/>
      <c r="M136" s="986"/>
      <c r="N136" s="986"/>
      <c r="O136" s="986"/>
      <c r="P136" s="986"/>
      <c r="Q136" s="987"/>
    </row>
    <row r="137" spans="1:18" s="94" customFormat="1" ht="15.75" thickBot="1" x14ac:dyDescent="0.25">
      <c r="C137" s="187"/>
      <c r="D137" s="187"/>
      <c r="E137" s="188"/>
      <c r="F137" s="188"/>
      <c r="G137" s="188"/>
      <c r="H137" s="188"/>
    </row>
    <row r="138" spans="1:18" ht="19.5" customHeight="1" thickBot="1" x14ac:dyDescent="0.3">
      <c r="A138" s="988" t="s">
        <v>269</v>
      </c>
      <c r="B138" s="989"/>
      <c r="C138" s="989"/>
      <c r="D138" s="989"/>
      <c r="E138" s="989"/>
      <c r="F138" s="989"/>
      <c r="G138" s="989"/>
      <c r="H138" s="989"/>
      <c r="I138" s="989"/>
      <c r="J138" s="989"/>
      <c r="K138" s="989"/>
      <c r="L138" s="989"/>
      <c r="M138" s="989"/>
      <c r="N138" s="989"/>
      <c r="O138" s="989"/>
      <c r="P138" s="989"/>
      <c r="Q138" s="990"/>
      <c r="R138" s="192"/>
    </row>
    <row r="139" spans="1:18" s="419" customFormat="1" ht="15.75" x14ac:dyDescent="0.25">
      <c r="A139" s="991" t="s">
        <v>83</v>
      </c>
      <c r="B139" s="993" t="s">
        <v>237</v>
      </c>
      <c r="C139" s="995" t="s">
        <v>34</v>
      </c>
      <c r="D139" s="996"/>
      <c r="E139" s="996"/>
      <c r="F139" s="996"/>
      <c r="G139" s="997"/>
      <c r="H139" s="996" t="s">
        <v>238</v>
      </c>
      <c r="I139" s="996"/>
      <c r="J139" s="996"/>
      <c r="K139" s="996"/>
      <c r="L139" s="996"/>
      <c r="M139" s="995" t="s">
        <v>239</v>
      </c>
      <c r="N139" s="996"/>
      <c r="O139" s="996"/>
      <c r="P139" s="996"/>
      <c r="Q139" s="997"/>
      <c r="R139" s="331"/>
    </row>
    <row r="140" spans="1:18" s="419" customFormat="1" ht="57.75" customHeight="1" x14ac:dyDescent="0.2">
      <c r="A140" s="992"/>
      <c r="B140" s="994"/>
      <c r="C140" s="113" t="s">
        <v>240</v>
      </c>
      <c r="D140" s="114" t="s">
        <v>270</v>
      </c>
      <c r="E140" s="114" t="s">
        <v>271</v>
      </c>
      <c r="F140" s="115" t="s">
        <v>272</v>
      </c>
      <c r="G140" s="116" t="s">
        <v>244</v>
      </c>
      <c r="H140" s="117" t="s">
        <v>240</v>
      </c>
      <c r="I140" s="114" t="s">
        <v>270</v>
      </c>
      <c r="J140" s="114" t="s">
        <v>271</v>
      </c>
      <c r="K140" s="115" t="s">
        <v>272</v>
      </c>
      <c r="L140" s="116" t="s">
        <v>244</v>
      </c>
      <c r="M140" s="113" t="s">
        <v>240</v>
      </c>
      <c r="N140" s="114" t="s">
        <v>270</v>
      </c>
      <c r="O140" s="114" t="s">
        <v>271</v>
      </c>
      <c r="P140" s="115" t="s">
        <v>272</v>
      </c>
      <c r="Q140" s="116" t="s">
        <v>244</v>
      </c>
      <c r="R140" s="331"/>
    </row>
    <row r="141" spans="1:18" s="419" customFormat="1" ht="18" customHeight="1" x14ac:dyDescent="0.2">
      <c r="A141" s="118">
        <f>A134+1</f>
        <v>75</v>
      </c>
      <c r="B141" s="119" t="s">
        <v>126</v>
      </c>
      <c r="C141" s="120">
        <f>IF('Project Description'!$C$92="Yes",H25,-'Travel Forecasts'!M31)</f>
        <v>0</v>
      </c>
      <c r="D141" s="473">
        <v>1.1311324363775389E-8</v>
      </c>
      <c r="E141" s="121">
        <f>C141*D141</f>
        <v>0</v>
      </c>
      <c r="F141" s="475">
        <v>12500000</v>
      </c>
      <c r="G141" s="122" t="str">
        <f t="shared" ref="G141:G150" si="23">IF($H$8="(Select…)","-",E141*F141)</f>
        <v>-</v>
      </c>
      <c r="H141" s="123" t="str">
        <f>IF('Project Description'!$C$96="10 Years",-'Travel Forecasts'!N31,"---")</f>
        <v>---</v>
      </c>
      <c r="I141" s="473">
        <v>1.1311324363775389E-8</v>
      </c>
      <c r="J141" s="121" t="str">
        <f>IF('Project Description'!$C$96="10 Years",H141*I141,"---")</f>
        <v>---</v>
      </c>
      <c r="K141" s="475">
        <v>12500000</v>
      </c>
      <c r="L141" s="122" t="str">
        <f>IF($H$8="(Select…)","-",IF('Project Description'!$C$96="10 Years",J141*K141,"---"))</f>
        <v>-</v>
      </c>
      <c r="M141" s="120" t="str">
        <f>IF('Project Description'!$C$96="20 Years",-'Travel Forecasts'!N31,"---")</f>
        <v>---</v>
      </c>
      <c r="N141" s="473">
        <v>1.1311324363775389E-8</v>
      </c>
      <c r="O141" s="121" t="str">
        <f>IF('Project Description'!$C$96="20 Years",M141*N141,"---")</f>
        <v>---</v>
      </c>
      <c r="P141" s="475">
        <v>12500000</v>
      </c>
      <c r="Q141" s="122" t="str">
        <f>IF($H$8="(Select…)","-",IF('Project Description'!$C$96="20 Years",O141*P141,"---"))</f>
        <v>-</v>
      </c>
      <c r="R141" s="331"/>
    </row>
    <row r="142" spans="1:18" s="419" customFormat="1" ht="18" customHeight="1" x14ac:dyDescent="0.2">
      <c r="A142" s="124">
        <f>A141+1</f>
        <v>76</v>
      </c>
      <c r="B142" s="125" t="s">
        <v>245</v>
      </c>
      <c r="C142" s="126">
        <f>-'Travel Forecasts'!M32</f>
        <v>0</v>
      </c>
      <c r="D142" s="474">
        <v>4.8370910694492411E-9</v>
      </c>
      <c r="E142" s="127">
        <f t="shared" ref="E142:E150" si="24">C142*D142</f>
        <v>0</v>
      </c>
      <c r="F142" s="476">
        <v>12500000</v>
      </c>
      <c r="G142" s="128" t="str">
        <f t="shared" si="23"/>
        <v>-</v>
      </c>
      <c r="H142" s="129" t="str">
        <f>IF('Project Description'!$C$96="10 Years",-'Travel Forecasts'!N32,"---")</f>
        <v>---</v>
      </c>
      <c r="I142" s="474">
        <v>4.8370910694492411E-9</v>
      </c>
      <c r="J142" s="127" t="str">
        <f>IF('Project Description'!$C$96="10 Years",H142*I142,"---")</f>
        <v>---</v>
      </c>
      <c r="K142" s="476">
        <v>12500000</v>
      </c>
      <c r="L142" s="128" t="str">
        <f>IF($H$8="(Select…)","-",IF('Project Description'!$C$96="10 Years",J142*K142,"---"))</f>
        <v>-</v>
      </c>
      <c r="M142" s="126" t="str">
        <f>IF('Project Description'!$C$96="20 Years",-'Travel Forecasts'!N32,"---")</f>
        <v>---</v>
      </c>
      <c r="N142" s="474">
        <v>4.8370910694492411E-9</v>
      </c>
      <c r="O142" s="127" t="str">
        <f>IF('Project Description'!$C$96="20 Years",M142*N142,"---")</f>
        <v>---</v>
      </c>
      <c r="P142" s="476">
        <v>12500000</v>
      </c>
      <c r="Q142" s="130" t="str">
        <f>IF($H$8="(Select…)","-",IF('Project Description'!$C$96="20 Years",O142*P142,"---"))</f>
        <v>-</v>
      </c>
      <c r="R142" s="331"/>
    </row>
    <row r="143" spans="1:18" s="419" customFormat="1" ht="18" customHeight="1" x14ac:dyDescent="0.2">
      <c r="A143" s="124">
        <f t="shared" ref="A143:A151" si="25">A142+1</f>
        <v>77</v>
      </c>
      <c r="B143" s="125" t="s">
        <v>246</v>
      </c>
      <c r="C143" s="126">
        <f>-'Travel Forecasts'!M33</f>
        <v>0</v>
      </c>
      <c r="D143" s="474">
        <v>4.8370910694492411E-9</v>
      </c>
      <c r="E143" s="127">
        <f t="shared" si="24"/>
        <v>0</v>
      </c>
      <c r="F143" s="476">
        <v>12500000</v>
      </c>
      <c r="G143" s="128" t="str">
        <f t="shared" si="23"/>
        <v>-</v>
      </c>
      <c r="H143" s="129" t="str">
        <f>IF('Project Description'!$C$96="10 Years",-'Travel Forecasts'!N33,"---")</f>
        <v>---</v>
      </c>
      <c r="I143" s="474">
        <v>4.8370910694492411E-9</v>
      </c>
      <c r="J143" s="127" t="str">
        <f>IF('Project Description'!$C$96="10 Years",H143*I143,"---")</f>
        <v>---</v>
      </c>
      <c r="K143" s="476">
        <v>12500000</v>
      </c>
      <c r="L143" s="128" t="str">
        <f>IF($H$8="(Select…)","-",IF('Project Description'!$C$96="10 Years",J143*K143,"---"))</f>
        <v>-</v>
      </c>
      <c r="M143" s="126" t="str">
        <f>IF('Project Description'!$C$96="20 Years",-'Travel Forecasts'!N33,"---")</f>
        <v>---</v>
      </c>
      <c r="N143" s="474">
        <v>4.8370910694492411E-9</v>
      </c>
      <c r="O143" s="127" t="str">
        <f>IF('Project Description'!$C$96="20 Years",M143*N143,"---")</f>
        <v>---</v>
      </c>
      <c r="P143" s="476">
        <v>12500000</v>
      </c>
      <c r="Q143" s="130" t="str">
        <f>IF($H$8="(Select…)","-",IF('Project Description'!$C$96="20 Years",O143*P143,"---"))</f>
        <v>-</v>
      </c>
      <c r="R143" s="331"/>
    </row>
    <row r="144" spans="1:18" s="419" customFormat="1" ht="18" customHeight="1" x14ac:dyDescent="0.2">
      <c r="A144" s="124">
        <f t="shared" si="25"/>
        <v>78</v>
      </c>
      <c r="B144" s="125" t="s">
        <v>247</v>
      </c>
      <c r="C144" s="126">
        <f>-'Travel Forecasts'!M34</f>
        <v>0</v>
      </c>
      <c r="D144" s="474">
        <v>4.8370910694492411E-9</v>
      </c>
      <c r="E144" s="127">
        <f t="shared" si="24"/>
        <v>0</v>
      </c>
      <c r="F144" s="476">
        <v>12500000</v>
      </c>
      <c r="G144" s="128" t="str">
        <f t="shared" si="23"/>
        <v>-</v>
      </c>
      <c r="H144" s="129" t="str">
        <f>IF('Project Description'!$C$96="10 Years",-'Travel Forecasts'!N34,"---")</f>
        <v>---</v>
      </c>
      <c r="I144" s="474">
        <v>4.8370910694492411E-9</v>
      </c>
      <c r="J144" s="127" t="str">
        <f>IF('Project Description'!$C$96="10 Years",H144*I144,"---")</f>
        <v>---</v>
      </c>
      <c r="K144" s="476">
        <v>12500000</v>
      </c>
      <c r="L144" s="128" t="str">
        <f>IF($H$8="(Select…)","-",IF('Project Description'!$C$96="10 Years",J144*K144,"---"))</f>
        <v>-</v>
      </c>
      <c r="M144" s="126" t="str">
        <f>IF('Project Description'!$C$96="20 Years",-'Travel Forecasts'!N34,"---")</f>
        <v>---</v>
      </c>
      <c r="N144" s="474">
        <v>4.8370910694492411E-9</v>
      </c>
      <c r="O144" s="127" t="str">
        <f>IF('Project Description'!$C$96="20 Years",M144*N144,"---")</f>
        <v>---</v>
      </c>
      <c r="P144" s="476">
        <v>12500000</v>
      </c>
      <c r="Q144" s="130" t="str">
        <f>IF($H$8="(Select…)","-",IF('Project Description'!$C$96="20 Years",O144*P144,"---"))</f>
        <v>-</v>
      </c>
      <c r="R144" s="331"/>
    </row>
    <row r="145" spans="1:18" s="419" customFormat="1" ht="18" customHeight="1" x14ac:dyDescent="0.2">
      <c r="A145" s="124">
        <f t="shared" si="25"/>
        <v>79</v>
      </c>
      <c r="B145" s="125" t="s">
        <v>248</v>
      </c>
      <c r="C145" s="126">
        <f>-'Travel Forecasts'!M35</f>
        <v>0</v>
      </c>
      <c r="D145" s="474">
        <v>4.8370910694492411E-9</v>
      </c>
      <c r="E145" s="127">
        <f t="shared" si="24"/>
        <v>0</v>
      </c>
      <c r="F145" s="476">
        <v>12500000</v>
      </c>
      <c r="G145" s="128" t="str">
        <f t="shared" si="23"/>
        <v>-</v>
      </c>
      <c r="H145" s="129" t="str">
        <f>IF('Project Description'!$C$96="10 Years",-'Travel Forecasts'!N35,"---")</f>
        <v>---</v>
      </c>
      <c r="I145" s="474">
        <v>4.8370910694492411E-9</v>
      </c>
      <c r="J145" s="127" t="str">
        <f>IF('Project Description'!$C$96="10 Years",H145*I145,"---")</f>
        <v>---</v>
      </c>
      <c r="K145" s="476">
        <v>12500000</v>
      </c>
      <c r="L145" s="128" t="str">
        <f>IF($H$8="(Select…)","-",IF('Project Description'!$C$96="10 Years",J145*K145,"---"))</f>
        <v>-</v>
      </c>
      <c r="M145" s="126" t="str">
        <f>IF('Project Description'!$C$96="20 Years",-'Travel Forecasts'!N35,"---")</f>
        <v>---</v>
      </c>
      <c r="N145" s="474">
        <v>4.8370910694492411E-9</v>
      </c>
      <c r="O145" s="127" t="str">
        <f>IF('Project Description'!$C$96="20 Years",M145*N145,"---")</f>
        <v>---</v>
      </c>
      <c r="P145" s="476">
        <v>12500000</v>
      </c>
      <c r="Q145" s="130" t="str">
        <f>IF($H$8="(Select…)","-",IF('Project Description'!$C$96="20 Years",O145*P145,"---"))</f>
        <v>-</v>
      </c>
      <c r="R145" s="331"/>
    </row>
    <row r="146" spans="1:18" s="419" customFormat="1" ht="18" customHeight="1" x14ac:dyDescent="0.2">
      <c r="A146" s="124">
        <f t="shared" si="25"/>
        <v>80</v>
      </c>
      <c r="B146" s="125" t="s">
        <v>249</v>
      </c>
      <c r="C146" s="126">
        <f>-'Travel Forecasts'!M36</f>
        <v>0</v>
      </c>
      <c r="D146" s="474">
        <v>4.0000000000000002E-9</v>
      </c>
      <c r="E146" s="127">
        <f t="shared" si="24"/>
        <v>0</v>
      </c>
      <c r="F146" s="476">
        <v>12500000</v>
      </c>
      <c r="G146" s="128" t="str">
        <f t="shared" si="23"/>
        <v>-</v>
      </c>
      <c r="H146" s="129" t="str">
        <f>IF('Project Description'!$C$96="10 Years",-'Travel Forecasts'!N36,"---")</f>
        <v>---</v>
      </c>
      <c r="I146" s="474">
        <v>4.0000000000000002E-9</v>
      </c>
      <c r="J146" s="127" t="str">
        <f>IF('Project Description'!$C$96="10 Years",H146*I146,"---")</f>
        <v>---</v>
      </c>
      <c r="K146" s="476">
        <v>12500000</v>
      </c>
      <c r="L146" s="128" t="str">
        <f>IF($H$8="(Select…)","-",IF('Project Description'!$C$96="10 Years",J146*K146,"---"))</f>
        <v>-</v>
      </c>
      <c r="M146" s="126" t="str">
        <f>IF('Project Description'!$C$96="20 Years",-'Travel Forecasts'!N36,"---")</f>
        <v>---</v>
      </c>
      <c r="N146" s="474">
        <v>4.0000000000000002E-9</v>
      </c>
      <c r="O146" s="127" t="str">
        <f>IF('Project Description'!$C$96="20 Years",M146*N146,"---")</f>
        <v>---</v>
      </c>
      <c r="P146" s="476">
        <v>12500000</v>
      </c>
      <c r="Q146" s="130" t="str">
        <f>IF($H$8="(Select…)","-",IF('Project Description'!$C$96="20 Years",O146*P146,"---"))</f>
        <v>-</v>
      </c>
      <c r="R146" s="331"/>
    </row>
    <row r="147" spans="1:18" s="419" customFormat="1" ht="18" customHeight="1" x14ac:dyDescent="0.2">
      <c r="A147" s="124">
        <f t="shared" si="25"/>
        <v>81</v>
      </c>
      <c r="B147" s="125" t="s">
        <v>250</v>
      </c>
      <c r="C147" s="126">
        <f>-'Travel Forecasts'!M37</f>
        <v>0</v>
      </c>
      <c r="D147" s="474">
        <v>1.2999999999999999E-8</v>
      </c>
      <c r="E147" s="127">
        <f t="shared" si="24"/>
        <v>0</v>
      </c>
      <c r="F147" s="476">
        <v>12500000</v>
      </c>
      <c r="G147" s="128" t="str">
        <f t="shared" si="23"/>
        <v>-</v>
      </c>
      <c r="H147" s="129" t="str">
        <f>IF('Project Description'!$C$96="10 Years",-'Travel Forecasts'!N37,"---")</f>
        <v>---</v>
      </c>
      <c r="I147" s="474">
        <v>1.2999999999999999E-8</v>
      </c>
      <c r="J147" s="127" t="str">
        <f>IF('Project Description'!$C$96="10 Years",H147*I147,"---")</f>
        <v>---</v>
      </c>
      <c r="K147" s="476">
        <v>12500000</v>
      </c>
      <c r="L147" s="128" t="str">
        <f>IF($H$8="(Select…)","-",IF('Project Description'!$C$96="10 Years",J147*K147,"---"))</f>
        <v>-</v>
      </c>
      <c r="M147" s="126" t="str">
        <f>IF('Project Description'!$C$96="20 Years",-'Travel Forecasts'!N37,"---")</f>
        <v>---</v>
      </c>
      <c r="N147" s="474">
        <v>1.2999999999999999E-8</v>
      </c>
      <c r="O147" s="127" t="str">
        <f>IF('Project Description'!$C$96="20 Years",M147*N147,"---")</f>
        <v>---</v>
      </c>
      <c r="P147" s="476">
        <v>12500000</v>
      </c>
      <c r="Q147" s="130" t="str">
        <f>IF($H$8="(Select…)","-",IF('Project Description'!$C$96="20 Years",O147*P147,"---"))</f>
        <v>-</v>
      </c>
      <c r="R147" s="331"/>
    </row>
    <row r="148" spans="1:18" s="419" customFormat="1" ht="25.5" x14ac:dyDescent="0.2">
      <c r="A148" s="124">
        <f t="shared" si="25"/>
        <v>82</v>
      </c>
      <c r="B148" s="125" t="s">
        <v>251</v>
      </c>
      <c r="C148" s="126">
        <f>-'Travel Forecasts'!M38</f>
        <v>0</v>
      </c>
      <c r="D148" s="474">
        <v>1.5399999999999999E-8</v>
      </c>
      <c r="E148" s="127">
        <f t="shared" si="24"/>
        <v>0</v>
      </c>
      <c r="F148" s="476">
        <v>12500000</v>
      </c>
      <c r="G148" s="128" t="str">
        <f t="shared" si="23"/>
        <v>-</v>
      </c>
      <c r="H148" s="129" t="str">
        <f>IF('Project Description'!$C$96="10 Years",-'Travel Forecasts'!N38,"---")</f>
        <v>---</v>
      </c>
      <c r="I148" s="474">
        <v>1.5399999999999999E-8</v>
      </c>
      <c r="J148" s="127" t="str">
        <f>IF('Project Description'!$C$96="10 Years",H148*I148,"---")</f>
        <v>---</v>
      </c>
      <c r="K148" s="476">
        <v>12500000</v>
      </c>
      <c r="L148" s="128" t="str">
        <f>IF($H$8="(Select…)","-",IF('Project Description'!$C$96="10 Years",J148*K148,"---"))</f>
        <v>-</v>
      </c>
      <c r="M148" s="126" t="str">
        <f>IF('Project Description'!$C$96="20 Years",-'Travel Forecasts'!N38,"---")</f>
        <v>---</v>
      </c>
      <c r="N148" s="474">
        <v>1.5399999999999999E-8</v>
      </c>
      <c r="O148" s="127" t="str">
        <f>IF('Project Description'!$C$96="20 Years",M148*N148,"---")</f>
        <v>---</v>
      </c>
      <c r="P148" s="476">
        <v>12500000</v>
      </c>
      <c r="Q148" s="130" t="str">
        <f>IF($H$8="(Select…)","-",IF('Project Description'!$C$96="20 Years",O148*P148,"---"))</f>
        <v>-</v>
      </c>
      <c r="R148" s="331"/>
    </row>
    <row r="149" spans="1:18" s="419" customFormat="1" ht="12.75" x14ac:dyDescent="0.2">
      <c r="A149" s="124">
        <f t="shared" si="25"/>
        <v>83</v>
      </c>
      <c r="B149" s="125" t="s">
        <v>252</v>
      </c>
      <c r="C149" s="126">
        <f>-'Travel Forecasts'!M39</f>
        <v>0</v>
      </c>
      <c r="D149" s="474">
        <v>1.5399999999999999E-8</v>
      </c>
      <c r="E149" s="127">
        <f t="shared" si="24"/>
        <v>0</v>
      </c>
      <c r="F149" s="476">
        <v>12500000</v>
      </c>
      <c r="G149" s="128" t="str">
        <f t="shared" si="23"/>
        <v>-</v>
      </c>
      <c r="H149" s="129" t="str">
        <f>IF('Project Description'!$C$96="10 Years",-'Travel Forecasts'!N39,"---")</f>
        <v>---</v>
      </c>
      <c r="I149" s="474">
        <v>1.5399999999999999E-8</v>
      </c>
      <c r="J149" s="127" t="str">
        <f>IF('Project Description'!$C$96="10 Years",H149*I149,"---")</f>
        <v>---</v>
      </c>
      <c r="K149" s="476">
        <v>12500000</v>
      </c>
      <c r="L149" s="128" t="str">
        <f>IF($H$8="(Select…)","-",IF('Project Description'!$C$96="10 Years",J149*K149,"---"))</f>
        <v>-</v>
      </c>
      <c r="M149" s="126" t="str">
        <f>IF('Project Description'!$C$96="20 Years",-'Travel Forecasts'!N39,"---")</f>
        <v>---</v>
      </c>
      <c r="N149" s="474">
        <v>1.5399999999999999E-8</v>
      </c>
      <c r="O149" s="127" t="str">
        <f>IF('Project Description'!$C$96="20 Years",M149*N149,"---")</f>
        <v>---</v>
      </c>
      <c r="P149" s="476">
        <v>12500000</v>
      </c>
      <c r="Q149" s="130" t="str">
        <f>IF($H$8="(Select…)","-",IF('Project Description'!$C$96="20 Years",O149*P149,"---"))</f>
        <v>-</v>
      </c>
      <c r="R149" s="331"/>
    </row>
    <row r="150" spans="1:18" s="419" customFormat="1" ht="18" customHeight="1" x14ac:dyDescent="0.2">
      <c r="A150" s="131">
        <f t="shared" si="25"/>
        <v>84</v>
      </c>
      <c r="B150" s="132" t="s">
        <v>253</v>
      </c>
      <c r="C150" s="126">
        <f>-'Travel Forecasts'!M40</f>
        <v>0</v>
      </c>
      <c r="D150" s="474">
        <v>1.5399999999999999E-8</v>
      </c>
      <c r="E150" s="134">
        <f t="shared" si="24"/>
        <v>0</v>
      </c>
      <c r="F150" s="476">
        <v>12500000</v>
      </c>
      <c r="G150" s="135" t="str">
        <f t="shared" si="23"/>
        <v>-</v>
      </c>
      <c r="H150" s="129" t="str">
        <f>IF('Project Description'!$C$96="10 Years",-'Travel Forecasts'!N40,"---")</f>
        <v>---</v>
      </c>
      <c r="I150" s="474">
        <v>1.5399999999999999E-8</v>
      </c>
      <c r="J150" s="134" t="str">
        <f>IF('Project Description'!$C$96="10 Years",H150*I150,"---")</f>
        <v>---</v>
      </c>
      <c r="K150" s="476">
        <v>12500000</v>
      </c>
      <c r="L150" s="135" t="str">
        <f>IF($H$8="(Select…)","-",IF('Project Description'!$C$96="10 Years",J150*K150,"---"))</f>
        <v>-</v>
      </c>
      <c r="M150" s="126" t="str">
        <f>IF('Project Description'!$C$96="20 Years",-'Travel Forecasts'!N40,"---")</f>
        <v>---</v>
      </c>
      <c r="N150" s="474">
        <v>1.5399999999999999E-8</v>
      </c>
      <c r="O150" s="134" t="str">
        <f>IF('Project Description'!$C$96="20 Years",M150*N150,"---")</f>
        <v>---</v>
      </c>
      <c r="P150" s="476">
        <v>12500000</v>
      </c>
      <c r="Q150" s="136" t="str">
        <f>IF($H$8="(Select…)","-",IF('Project Description'!$C$96="20 Years",O150*P150,"---"))</f>
        <v>-</v>
      </c>
      <c r="R150" s="331"/>
    </row>
    <row r="151" spans="1:18" ht="16.5" thickBot="1" x14ac:dyDescent="0.25">
      <c r="A151" s="137">
        <f t="shared" si="25"/>
        <v>85</v>
      </c>
      <c r="B151" s="138" t="s">
        <v>254</v>
      </c>
      <c r="C151" s="139">
        <f>SUM(C141:C150)</f>
        <v>0</v>
      </c>
      <c r="D151" s="140" t="s">
        <v>112</v>
      </c>
      <c r="E151" s="141">
        <f>SUM(E141:E150)</f>
        <v>0</v>
      </c>
      <c r="F151" s="142" t="s">
        <v>112</v>
      </c>
      <c r="G151" s="143">
        <f>SUM(G141:G150)</f>
        <v>0</v>
      </c>
      <c r="H151" s="144" t="str">
        <f>IF('Project Description'!$C$96="10 Years",SUM(H141:H150),"---")</f>
        <v>---</v>
      </c>
      <c r="I151" s="145" t="s">
        <v>112</v>
      </c>
      <c r="J151" s="141" t="str">
        <f>IF('Project Description'!$C$96="10 Years",SUM(J141:J150),"---")</f>
        <v>---</v>
      </c>
      <c r="K151" s="146" t="s">
        <v>112</v>
      </c>
      <c r="L151" s="143" t="str">
        <f>IF('Project Description'!$C$96="10 Years",SUM(L141:L150),"---")</f>
        <v>---</v>
      </c>
      <c r="M151" s="139" t="str">
        <f>IF('Project Description'!$C$96="20 Years",SUM(M141:M150),"---")</f>
        <v>---</v>
      </c>
      <c r="N151" s="145" t="s">
        <v>112</v>
      </c>
      <c r="O151" s="141" t="str">
        <f>IF('Project Description'!$C$96="20 Years",SUM(O141:O150),"---")</f>
        <v>---</v>
      </c>
      <c r="P151" s="146" t="s">
        <v>112</v>
      </c>
      <c r="Q151" s="143" t="str">
        <f>IF('Project Description'!$C$96="20 Years",SUM(Q141:Q150),"---")</f>
        <v>---</v>
      </c>
    </row>
    <row r="152" spans="1:18" s="189" customFormat="1" ht="13.5" thickBot="1" x14ac:dyDescent="0.25">
      <c r="C152" s="190"/>
      <c r="D152" s="190"/>
      <c r="E152" s="191"/>
      <c r="F152" s="191"/>
      <c r="G152" s="191"/>
      <c r="H152" s="191"/>
    </row>
    <row r="153" spans="1:18" ht="19.5" customHeight="1" thickBot="1" x14ac:dyDescent="0.3">
      <c r="A153" s="988" t="s">
        <v>273</v>
      </c>
      <c r="B153" s="989"/>
      <c r="C153" s="989"/>
      <c r="D153" s="989"/>
      <c r="E153" s="989"/>
      <c r="F153" s="989"/>
      <c r="G153" s="989"/>
      <c r="H153" s="989"/>
      <c r="I153" s="989"/>
      <c r="J153" s="989"/>
      <c r="K153" s="989"/>
      <c r="L153" s="989"/>
      <c r="M153" s="989"/>
      <c r="N153" s="989"/>
      <c r="O153" s="989"/>
      <c r="P153" s="989"/>
      <c r="Q153" s="990"/>
      <c r="R153" s="192"/>
    </row>
    <row r="154" spans="1:18" s="419" customFormat="1" ht="15.75" x14ac:dyDescent="0.25">
      <c r="A154" s="991" t="s">
        <v>83</v>
      </c>
      <c r="B154" s="993" t="s">
        <v>237</v>
      </c>
      <c r="C154" s="995" t="s">
        <v>34</v>
      </c>
      <c r="D154" s="996"/>
      <c r="E154" s="996"/>
      <c r="F154" s="996"/>
      <c r="G154" s="997"/>
      <c r="H154" s="996" t="s">
        <v>238</v>
      </c>
      <c r="I154" s="996"/>
      <c r="J154" s="996"/>
      <c r="K154" s="996"/>
      <c r="L154" s="996"/>
      <c r="M154" s="995" t="s">
        <v>239</v>
      </c>
      <c r="N154" s="996"/>
      <c r="O154" s="996"/>
      <c r="P154" s="996"/>
      <c r="Q154" s="997"/>
      <c r="R154" s="331"/>
    </row>
    <row r="155" spans="1:18" s="419" customFormat="1" ht="60" customHeight="1" x14ac:dyDescent="0.2">
      <c r="A155" s="992"/>
      <c r="B155" s="994"/>
      <c r="C155" s="113" t="s">
        <v>240</v>
      </c>
      <c r="D155" s="114" t="s">
        <v>274</v>
      </c>
      <c r="E155" s="114" t="s">
        <v>275</v>
      </c>
      <c r="F155" s="115" t="s">
        <v>276</v>
      </c>
      <c r="G155" s="116" t="s">
        <v>244</v>
      </c>
      <c r="H155" s="117" t="s">
        <v>240</v>
      </c>
      <c r="I155" s="114" t="s">
        <v>274</v>
      </c>
      <c r="J155" s="114" t="s">
        <v>275</v>
      </c>
      <c r="K155" s="115" t="s">
        <v>276</v>
      </c>
      <c r="L155" s="116" t="s">
        <v>244</v>
      </c>
      <c r="M155" s="113" t="s">
        <v>240</v>
      </c>
      <c r="N155" s="114" t="s">
        <v>274</v>
      </c>
      <c r="O155" s="114" t="s">
        <v>275</v>
      </c>
      <c r="P155" s="115" t="s">
        <v>276</v>
      </c>
      <c r="Q155" s="116" t="s">
        <v>244</v>
      </c>
      <c r="R155" s="331"/>
    </row>
    <row r="156" spans="1:18" s="419" customFormat="1" ht="18" customHeight="1" x14ac:dyDescent="0.2">
      <c r="A156" s="118">
        <f>A151+1</f>
        <v>86</v>
      </c>
      <c r="B156" s="119" t="s">
        <v>126</v>
      </c>
      <c r="C156" s="120">
        <f>IF('Project Description'!$C$92="Yes",H25,-'Travel Forecasts'!M31)</f>
        <v>0</v>
      </c>
      <c r="D156" s="473">
        <v>8.2143009600079589E-7</v>
      </c>
      <c r="E156" s="121">
        <f>C156*D156</f>
        <v>0</v>
      </c>
      <c r="F156" s="475">
        <v>554800</v>
      </c>
      <c r="G156" s="122" t="str">
        <f t="shared" ref="G156:G165" si="26">IF($H$8="(Select…)","-",E156*F156)</f>
        <v>-</v>
      </c>
      <c r="H156" s="123" t="str">
        <f>IF('Project Description'!$C$96="10 Years",-'Travel Forecasts'!N31,"---")</f>
        <v>---</v>
      </c>
      <c r="I156" s="473">
        <v>8.2143009600079589E-7</v>
      </c>
      <c r="J156" s="121" t="str">
        <f>IF('Project Description'!$C$96="10 Years",H156*I156,"---")</f>
        <v>---</v>
      </c>
      <c r="K156" s="475">
        <v>554800</v>
      </c>
      <c r="L156" s="122" t="str">
        <f>IF($H$8="(Select…)","-",IF('Project Description'!$C$96="10 Years",J156*K156,"---"))</f>
        <v>-</v>
      </c>
      <c r="M156" s="120" t="str">
        <f>IF('Project Description'!$C$96="20 Years",-'Travel Forecasts'!N31,"---")</f>
        <v>---</v>
      </c>
      <c r="N156" s="473">
        <v>8.2143009600079589E-7</v>
      </c>
      <c r="O156" s="121" t="str">
        <f>IF('Project Description'!$C$96="20 Years",M156*N156,"---")</f>
        <v>---</v>
      </c>
      <c r="P156" s="475">
        <v>554800</v>
      </c>
      <c r="Q156" s="122" t="str">
        <f>IF($H$8="(Select…)","-",IF('Project Description'!$C$96="20 Years",O156*P156,"---"))</f>
        <v>-</v>
      </c>
      <c r="R156" s="331"/>
    </row>
    <row r="157" spans="1:18" s="419" customFormat="1" ht="18" customHeight="1" x14ac:dyDescent="0.2">
      <c r="A157" s="124">
        <f>A156+1</f>
        <v>87</v>
      </c>
      <c r="B157" s="125" t="s">
        <v>245</v>
      </c>
      <c r="C157" s="126">
        <f>-'Travel Forecasts'!M32</f>
        <v>0</v>
      </c>
      <c r="D157" s="474">
        <v>7.1597963007870621E-7</v>
      </c>
      <c r="E157" s="127">
        <f t="shared" ref="E157:E165" si="27">C157*D157</f>
        <v>0</v>
      </c>
      <c r="F157" s="476">
        <v>554800</v>
      </c>
      <c r="G157" s="128" t="str">
        <f t="shared" si="26"/>
        <v>-</v>
      </c>
      <c r="H157" s="129" t="str">
        <f>IF('Project Description'!$C$96="10 Years",-'Travel Forecasts'!N32,"---")</f>
        <v>---</v>
      </c>
      <c r="I157" s="474">
        <v>7.1597963007870621E-7</v>
      </c>
      <c r="J157" s="127" t="str">
        <f>IF('Project Description'!$C$96="10 Years",H157*I157,"---")</f>
        <v>---</v>
      </c>
      <c r="K157" s="476">
        <v>554800</v>
      </c>
      <c r="L157" s="128" t="str">
        <f>IF($H$8="(Select…)","-",IF('Project Description'!$C$96="10 Years",J157*K157,"---"))</f>
        <v>-</v>
      </c>
      <c r="M157" s="126" t="str">
        <f>IF('Project Description'!$C$96="20 Years",-'Travel Forecasts'!N32,"---")</f>
        <v>---</v>
      </c>
      <c r="N157" s="474">
        <v>7.1597963007870621E-7</v>
      </c>
      <c r="O157" s="127" t="str">
        <f>IF('Project Description'!$C$96="20 Years",M157*N157,"---")</f>
        <v>---</v>
      </c>
      <c r="P157" s="476">
        <v>554800</v>
      </c>
      <c r="Q157" s="130" t="str">
        <f>IF($H$8="(Select…)","-",IF('Project Description'!$C$96="20 Years",O157*P157,"---"))</f>
        <v>-</v>
      </c>
      <c r="R157" s="331"/>
    </row>
    <row r="158" spans="1:18" s="419" customFormat="1" ht="18" customHeight="1" x14ac:dyDescent="0.2">
      <c r="A158" s="124">
        <f t="shared" ref="A158:A166" si="28">A157+1</f>
        <v>88</v>
      </c>
      <c r="B158" s="125" t="s">
        <v>246</v>
      </c>
      <c r="C158" s="126">
        <f>-'Travel Forecasts'!M33</f>
        <v>0</v>
      </c>
      <c r="D158" s="474">
        <v>7.1597963007870621E-7</v>
      </c>
      <c r="E158" s="127">
        <f t="shared" si="27"/>
        <v>0</v>
      </c>
      <c r="F158" s="476">
        <v>554800</v>
      </c>
      <c r="G158" s="128" t="str">
        <f t="shared" si="26"/>
        <v>-</v>
      </c>
      <c r="H158" s="129" t="str">
        <f>IF('Project Description'!$C$96="10 Years",-'Travel Forecasts'!N33,"---")</f>
        <v>---</v>
      </c>
      <c r="I158" s="474">
        <v>7.1597963007870621E-7</v>
      </c>
      <c r="J158" s="127" t="str">
        <f>IF('Project Description'!$C$96="10 Years",H158*I158,"---")</f>
        <v>---</v>
      </c>
      <c r="K158" s="476">
        <v>554800</v>
      </c>
      <c r="L158" s="128" t="str">
        <f>IF($H$8="(Select…)","-",IF('Project Description'!$C$96="10 Years",J158*K158,"---"))</f>
        <v>-</v>
      </c>
      <c r="M158" s="126" t="str">
        <f>IF('Project Description'!$C$96="20 Years",-'Travel Forecasts'!N33,"---")</f>
        <v>---</v>
      </c>
      <c r="N158" s="474">
        <v>7.1597963007870621E-7</v>
      </c>
      <c r="O158" s="127" t="str">
        <f>IF('Project Description'!$C$96="20 Years",M158*N158,"---")</f>
        <v>---</v>
      </c>
      <c r="P158" s="476">
        <v>554800</v>
      </c>
      <c r="Q158" s="130" t="str">
        <f>IF($H$8="(Select…)","-",IF('Project Description'!$C$96="20 Years",O158*P158,"---"))</f>
        <v>-</v>
      </c>
      <c r="R158" s="331"/>
    </row>
    <row r="159" spans="1:18" s="419" customFormat="1" ht="18" customHeight="1" x14ac:dyDescent="0.2">
      <c r="A159" s="124">
        <f t="shared" si="28"/>
        <v>89</v>
      </c>
      <c r="B159" s="125" t="s">
        <v>247</v>
      </c>
      <c r="C159" s="126">
        <f>-'Travel Forecasts'!M34</f>
        <v>0</v>
      </c>
      <c r="D159" s="474">
        <v>7.1597963007870621E-7</v>
      </c>
      <c r="E159" s="127">
        <f t="shared" si="27"/>
        <v>0</v>
      </c>
      <c r="F159" s="476">
        <v>554800</v>
      </c>
      <c r="G159" s="128" t="str">
        <f t="shared" si="26"/>
        <v>-</v>
      </c>
      <c r="H159" s="129" t="str">
        <f>IF('Project Description'!$C$96="10 Years",-'Travel Forecasts'!N34,"---")</f>
        <v>---</v>
      </c>
      <c r="I159" s="474">
        <v>7.1597963007870621E-7</v>
      </c>
      <c r="J159" s="127" t="str">
        <f>IF('Project Description'!$C$96="10 Years",H159*I159,"---")</f>
        <v>---</v>
      </c>
      <c r="K159" s="476">
        <v>554800</v>
      </c>
      <c r="L159" s="128" t="str">
        <f>IF($H$8="(Select…)","-",IF('Project Description'!$C$96="10 Years",J159*K159,"---"))</f>
        <v>-</v>
      </c>
      <c r="M159" s="126" t="str">
        <f>IF('Project Description'!$C$96="20 Years",-'Travel Forecasts'!N34,"---")</f>
        <v>---</v>
      </c>
      <c r="N159" s="474">
        <v>7.1597963007870621E-7</v>
      </c>
      <c r="O159" s="127" t="str">
        <f>IF('Project Description'!$C$96="20 Years",M159*N159,"---")</f>
        <v>---</v>
      </c>
      <c r="P159" s="476">
        <v>554800</v>
      </c>
      <c r="Q159" s="130" t="str">
        <f>IF($H$8="(Select…)","-",IF('Project Description'!$C$96="20 Years",O159*P159,"---"))</f>
        <v>-</v>
      </c>
      <c r="R159" s="331"/>
    </row>
    <row r="160" spans="1:18" s="419" customFormat="1" ht="18" customHeight="1" x14ac:dyDescent="0.2">
      <c r="A160" s="124">
        <f t="shared" si="28"/>
        <v>90</v>
      </c>
      <c r="B160" s="125" t="s">
        <v>248</v>
      </c>
      <c r="C160" s="126">
        <f>-'Travel Forecasts'!M35</f>
        <v>0</v>
      </c>
      <c r="D160" s="474">
        <v>7.1597963007870621E-7</v>
      </c>
      <c r="E160" s="127">
        <f t="shared" si="27"/>
        <v>0</v>
      </c>
      <c r="F160" s="476">
        <v>554800</v>
      </c>
      <c r="G160" s="128" t="str">
        <f t="shared" si="26"/>
        <v>-</v>
      </c>
      <c r="H160" s="129" t="str">
        <f>IF('Project Description'!$C$96="10 Years",-'Travel Forecasts'!N35,"---")</f>
        <v>---</v>
      </c>
      <c r="I160" s="474">
        <v>7.1597963007870621E-7</v>
      </c>
      <c r="J160" s="127" t="str">
        <f>IF('Project Description'!$C$96="10 Years",H160*I160,"---")</f>
        <v>---</v>
      </c>
      <c r="K160" s="476">
        <v>554800</v>
      </c>
      <c r="L160" s="128" t="str">
        <f>IF($H$8="(Select…)","-",IF('Project Description'!$C$96="10 Years",J160*K160,"---"))</f>
        <v>-</v>
      </c>
      <c r="M160" s="126" t="str">
        <f>IF('Project Description'!$C$96="20 Years",-'Travel Forecasts'!N35,"---")</f>
        <v>---</v>
      </c>
      <c r="N160" s="474">
        <v>7.1597963007870621E-7</v>
      </c>
      <c r="O160" s="127" t="str">
        <f>IF('Project Description'!$C$96="20 Years",M160*N160,"---")</f>
        <v>---</v>
      </c>
      <c r="P160" s="476">
        <v>554800</v>
      </c>
      <c r="Q160" s="130" t="str">
        <f>IF($H$8="(Select…)","-",IF('Project Description'!$C$96="20 Years",O160*P160,"---"))</f>
        <v>-</v>
      </c>
      <c r="R160" s="331"/>
    </row>
    <row r="161" spans="1:17" s="419" customFormat="1" ht="18" customHeight="1" x14ac:dyDescent="0.2">
      <c r="A161" s="124">
        <f t="shared" si="28"/>
        <v>91</v>
      </c>
      <c r="B161" s="125" t="s">
        <v>249</v>
      </c>
      <c r="C161" s="126">
        <f>-'Travel Forecasts'!M36</f>
        <v>0</v>
      </c>
      <c r="D161" s="474">
        <v>3.4999999999999998E-7</v>
      </c>
      <c r="E161" s="127">
        <f t="shared" si="27"/>
        <v>0</v>
      </c>
      <c r="F161" s="476">
        <v>554800</v>
      </c>
      <c r="G161" s="128" t="str">
        <f t="shared" si="26"/>
        <v>-</v>
      </c>
      <c r="H161" s="129" t="str">
        <f>IF('Project Description'!$C$96="10 Years",-'Travel Forecasts'!N36,"---")</f>
        <v>---</v>
      </c>
      <c r="I161" s="474">
        <v>3.4999999999999998E-7</v>
      </c>
      <c r="J161" s="127" t="str">
        <f>IF('Project Description'!$C$96="10 Years",H161*I161,"---")</f>
        <v>---</v>
      </c>
      <c r="K161" s="476">
        <v>554800</v>
      </c>
      <c r="L161" s="128" t="str">
        <f>IF($H$8="(Select…)","-",IF('Project Description'!$C$96="10 Years",J161*K161,"---"))</f>
        <v>-</v>
      </c>
      <c r="M161" s="126" t="str">
        <f>IF('Project Description'!$C$96="20 Years",-'Travel Forecasts'!N36,"---")</f>
        <v>---</v>
      </c>
      <c r="N161" s="474">
        <v>3.4999999999999998E-7</v>
      </c>
      <c r="O161" s="127" t="str">
        <f>IF('Project Description'!$C$96="20 Years",M161*N161,"---")</f>
        <v>---</v>
      </c>
      <c r="P161" s="476">
        <v>554800</v>
      </c>
      <c r="Q161" s="130" t="str">
        <f>IF($H$8="(Select…)","-",IF('Project Description'!$C$96="20 Years",O161*P161,"---"))</f>
        <v>-</v>
      </c>
    </row>
    <row r="162" spans="1:17" s="419" customFormat="1" ht="18" customHeight="1" x14ac:dyDescent="0.2">
      <c r="A162" s="124">
        <f t="shared" si="28"/>
        <v>92</v>
      </c>
      <c r="B162" s="125" t="s">
        <v>250</v>
      </c>
      <c r="C162" s="126">
        <f>-'Travel Forecasts'!M37</f>
        <v>0</v>
      </c>
      <c r="D162" s="474">
        <v>4.4099999999999999E-7</v>
      </c>
      <c r="E162" s="127">
        <f t="shared" si="27"/>
        <v>0</v>
      </c>
      <c r="F162" s="476">
        <v>554800</v>
      </c>
      <c r="G162" s="128" t="str">
        <f t="shared" si="26"/>
        <v>-</v>
      </c>
      <c r="H162" s="129" t="str">
        <f>IF('Project Description'!$C$96="10 Years",-'Travel Forecasts'!N37,"---")</f>
        <v>---</v>
      </c>
      <c r="I162" s="474">
        <v>4.4099999999999999E-7</v>
      </c>
      <c r="J162" s="127" t="str">
        <f>IF('Project Description'!$C$96="10 Years",H162*I162,"---")</f>
        <v>---</v>
      </c>
      <c r="K162" s="476">
        <v>554800</v>
      </c>
      <c r="L162" s="128" t="str">
        <f>IF($H$8="(Select…)","-",IF('Project Description'!$C$96="10 Years",J162*K162,"---"))</f>
        <v>-</v>
      </c>
      <c r="M162" s="126" t="str">
        <f>IF('Project Description'!$C$96="20 Years",-'Travel Forecasts'!N37,"---")</f>
        <v>---</v>
      </c>
      <c r="N162" s="474">
        <v>4.4099999999999999E-7</v>
      </c>
      <c r="O162" s="127" t="str">
        <f>IF('Project Description'!$C$96="20 Years",M162*N162,"---")</f>
        <v>---</v>
      </c>
      <c r="P162" s="476">
        <v>554800</v>
      </c>
      <c r="Q162" s="130" t="str">
        <f>IF($H$8="(Select…)","-",IF('Project Description'!$C$96="20 Years",O162*P162,"---"))</f>
        <v>-</v>
      </c>
    </row>
    <row r="163" spans="1:17" s="419" customFormat="1" ht="25.5" x14ac:dyDescent="0.2">
      <c r="A163" s="124">
        <f t="shared" si="28"/>
        <v>93</v>
      </c>
      <c r="B163" s="125" t="s">
        <v>251</v>
      </c>
      <c r="C163" s="126">
        <f>-'Travel Forecasts'!M38</f>
        <v>0</v>
      </c>
      <c r="D163" s="474">
        <v>6.909999999999999E-8</v>
      </c>
      <c r="E163" s="127">
        <f t="shared" si="27"/>
        <v>0</v>
      </c>
      <c r="F163" s="476">
        <v>554800</v>
      </c>
      <c r="G163" s="128" t="str">
        <f t="shared" si="26"/>
        <v>-</v>
      </c>
      <c r="H163" s="129" t="str">
        <f>IF('Project Description'!$C$96="10 Years",-'Travel Forecasts'!N38,"---")</f>
        <v>---</v>
      </c>
      <c r="I163" s="474">
        <v>6.909999999999999E-8</v>
      </c>
      <c r="J163" s="127" t="str">
        <f>IF('Project Description'!$C$96="10 Years",H163*I163,"---")</f>
        <v>---</v>
      </c>
      <c r="K163" s="476">
        <v>554800</v>
      </c>
      <c r="L163" s="128" t="str">
        <f>IF($H$8="(Select…)","-",IF('Project Description'!$C$96="10 Years",J163*K163,"---"))</f>
        <v>-</v>
      </c>
      <c r="M163" s="126" t="str">
        <f>IF('Project Description'!$C$96="20 Years",-'Travel Forecasts'!N38,"---")</f>
        <v>---</v>
      </c>
      <c r="N163" s="474">
        <v>6.909999999999999E-8</v>
      </c>
      <c r="O163" s="127" t="str">
        <f>IF('Project Description'!$C$96="20 Years",M163*N163,"---")</f>
        <v>---</v>
      </c>
      <c r="P163" s="476">
        <v>554800</v>
      </c>
      <c r="Q163" s="130" t="str">
        <f>IF($H$8="(Select…)","-",IF('Project Description'!$C$96="20 Years",O163*P163,"---"))</f>
        <v>-</v>
      </c>
    </row>
    <row r="164" spans="1:17" s="419" customFormat="1" ht="12.75" x14ac:dyDescent="0.2">
      <c r="A164" s="124">
        <f t="shared" si="28"/>
        <v>94</v>
      </c>
      <c r="B164" s="125" t="s">
        <v>252</v>
      </c>
      <c r="C164" s="126">
        <f>-'Travel Forecasts'!M39</f>
        <v>0</v>
      </c>
      <c r="D164" s="474">
        <v>6.909999999999999E-8</v>
      </c>
      <c r="E164" s="127">
        <f t="shared" si="27"/>
        <v>0</v>
      </c>
      <c r="F164" s="476">
        <v>554800</v>
      </c>
      <c r="G164" s="128" t="str">
        <f t="shared" si="26"/>
        <v>-</v>
      </c>
      <c r="H164" s="129" t="str">
        <f>IF('Project Description'!$C$96="10 Years",-'Travel Forecasts'!N39,"---")</f>
        <v>---</v>
      </c>
      <c r="I164" s="474">
        <v>6.909999999999999E-8</v>
      </c>
      <c r="J164" s="127" t="str">
        <f>IF('Project Description'!$C$96="10 Years",H164*I164,"---")</f>
        <v>---</v>
      </c>
      <c r="K164" s="476">
        <v>554800</v>
      </c>
      <c r="L164" s="128" t="str">
        <f>IF($H$8="(Select…)","-",IF('Project Description'!$C$96="10 Years",J164*K164,"---"))</f>
        <v>-</v>
      </c>
      <c r="M164" s="126" t="str">
        <f>IF('Project Description'!$C$96="20 Years",-'Travel Forecasts'!N39,"---")</f>
        <v>---</v>
      </c>
      <c r="N164" s="474">
        <v>6.909999999999999E-8</v>
      </c>
      <c r="O164" s="127" t="str">
        <f>IF('Project Description'!$C$96="20 Years",M164*N164,"---")</f>
        <v>---</v>
      </c>
      <c r="P164" s="476">
        <v>554800</v>
      </c>
      <c r="Q164" s="130" t="str">
        <f>IF($H$8="(Select…)","-",IF('Project Description'!$C$96="20 Years",O164*P164,"---"))</f>
        <v>-</v>
      </c>
    </row>
    <row r="165" spans="1:17" s="419" customFormat="1" ht="18" customHeight="1" x14ac:dyDescent="0.2">
      <c r="A165" s="131">
        <f t="shared" si="28"/>
        <v>95</v>
      </c>
      <c r="B165" s="132" t="s">
        <v>253</v>
      </c>
      <c r="C165" s="126">
        <f>-'Travel Forecasts'!M40</f>
        <v>0</v>
      </c>
      <c r="D165" s="474">
        <v>6.909999999999999E-8</v>
      </c>
      <c r="E165" s="134">
        <f t="shared" si="27"/>
        <v>0</v>
      </c>
      <c r="F165" s="476">
        <v>554800</v>
      </c>
      <c r="G165" s="135" t="str">
        <f t="shared" si="26"/>
        <v>-</v>
      </c>
      <c r="H165" s="129" t="str">
        <f>IF('Project Description'!$C$96="10 Years",-'Travel Forecasts'!N40,"---")</f>
        <v>---</v>
      </c>
      <c r="I165" s="474">
        <v>6.909999999999999E-8</v>
      </c>
      <c r="J165" s="134" t="str">
        <f>IF('Project Description'!$C$96="10 Years",H165*I165,"---")</f>
        <v>---</v>
      </c>
      <c r="K165" s="476">
        <v>554800</v>
      </c>
      <c r="L165" s="135" t="str">
        <f>IF($H$8="(Select…)","-",IF('Project Description'!$C$96="10 Years",J165*K165,"---"))</f>
        <v>-</v>
      </c>
      <c r="M165" s="133" t="str">
        <f>IF('Project Description'!$C$96="20 Years",-'Travel Forecasts'!N40,"---")</f>
        <v>---</v>
      </c>
      <c r="N165" s="474">
        <v>6.909999999999999E-8</v>
      </c>
      <c r="O165" s="134" t="str">
        <f>IF('Project Description'!$C$96="20 Years",M165*N165,"---")</f>
        <v>---</v>
      </c>
      <c r="P165" s="476">
        <v>554800</v>
      </c>
      <c r="Q165" s="136" t="str">
        <f>IF($H$8="(Select…)","-",IF('Project Description'!$C$96="20 Years",O165*P165,"---"))</f>
        <v>-</v>
      </c>
    </row>
    <row r="166" spans="1:17" ht="16.5" thickBot="1" x14ac:dyDescent="0.25">
      <c r="A166" s="137">
        <f t="shared" si="28"/>
        <v>96</v>
      </c>
      <c r="B166" s="138" t="s">
        <v>254</v>
      </c>
      <c r="C166" s="139">
        <f>SUM(C156:C165)</f>
        <v>0</v>
      </c>
      <c r="D166" s="140" t="s">
        <v>112</v>
      </c>
      <c r="E166" s="141">
        <f>SUM(E156:E165)</f>
        <v>0</v>
      </c>
      <c r="F166" s="142" t="s">
        <v>112</v>
      </c>
      <c r="G166" s="143">
        <f>SUM(G156:G165)</f>
        <v>0</v>
      </c>
      <c r="H166" s="144" t="str">
        <f>IF('Project Description'!$C$96="10 Years",SUM(H156:H165),"---")</f>
        <v>---</v>
      </c>
      <c r="I166" s="145" t="s">
        <v>112</v>
      </c>
      <c r="J166" s="141" t="str">
        <f>IF('Project Description'!$C$96="10 Years",SUM(J156:J165),"---")</f>
        <v>---</v>
      </c>
      <c r="K166" s="146" t="s">
        <v>112</v>
      </c>
      <c r="L166" s="143" t="str">
        <f>IF('Project Description'!$C$96="10 Years",SUM(L156:L165),"---")</f>
        <v>---</v>
      </c>
      <c r="M166" s="139" t="str">
        <f>IF('Project Description'!$C$96="20 Years",SUM(M156:M165),"---")</f>
        <v>---</v>
      </c>
      <c r="N166" s="145" t="s">
        <v>112</v>
      </c>
      <c r="O166" s="141" t="str">
        <f>IF('Project Description'!$C$96="20 Years",SUM(O156:O165),"---")</f>
        <v>---</v>
      </c>
      <c r="P166" s="146" t="s">
        <v>112</v>
      </c>
      <c r="Q166" s="143" t="str">
        <f>IF('Project Description'!$C$96="20 Years",SUM(Q156:Q165),"---")</f>
        <v>---</v>
      </c>
    </row>
    <row r="167" spans="1:17" ht="15" x14ac:dyDescent="0.2">
      <c r="A167" s="193"/>
      <c r="C167" s="316"/>
      <c r="D167" s="316"/>
      <c r="E167" s="330"/>
      <c r="F167" s="330"/>
      <c r="G167" s="330"/>
      <c r="H167" s="330"/>
      <c r="I167" s="331"/>
      <c r="J167" s="331"/>
    </row>
    <row r="168" spans="1:17" x14ac:dyDescent="0.2">
      <c r="A168" s="147" t="s">
        <v>277</v>
      </c>
      <c r="C168" s="316"/>
      <c r="D168" s="316"/>
      <c r="E168" s="330"/>
      <c r="F168" s="330"/>
      <c r="G168" s="330"/>
      <c r="H168" s="330"/>
      <c r="I168" s="331"/>
      <c r="J168" s="331"/>
    </row>
  </sheetData>
  <sheetProtection algorithmName="SHA-512" hashValue="+MWkgRYr/sMLeFIML2J2yakxARzeIXQZCoMSilv4pTlqRZajy1AGzHq22HOKodC/+pCpMfBjTEv9IlPFkk66oA==" saltValue="rz9Pp6iGHXjtqneO1vkn0Q==" spinCount="100000" sheet="1" formatCells="0" formatColumns="0" formatRows="0" insertColumns="0" insertRows="0" insertHyperlinks="0" selectLockedCells="1"/>
  <mergeCells count="123">
    <mergeCell ref="A27:Q27"/>
    <mergeCell ref="H33:K33"/>
    <mergeCell ref="A136:Q136"/>
    <mergeCell ref="L29:Q29"/>
    <mergeCell ref="A55:A56"/>
    <mergeCell ref="B55:B56"/>
    <mergeCell ref="C55:G55"/>
    <mergeCell ref="H55:L55"/>
    <mergeCell ref="M55:Q55"/>
    <mergeCell ref="M89:Q89"/>
    <mergeCell ref="H30:I30"/>
    <mergeCell ref="H31:I31"/>
    <mergeCell ref="J30:K30"/>
    <mergeCell ref="J31:K31"/>
    <mergeCell ref="A54:Q54"/>
    <mergeCell ref="A36:Q36"/>
    <mergeCell ref="A37:L37"/>
    <mergeCell ref="A121:Q121"/>
    <mergeCell ref="A122:A123"/>
    <mergeCell ref="H32:K32"/>
    <mergeCell ref="L32:Q32"/>
    <mergeCell ref="A72:Q72"/>
    <mergeCell ref="A73:A74"/>
    <mergeCell ref="J28:K28"/>
    <mergeCell ref="J29:K29"/>
    <mergeCell ref="H73:L73"/>
    <mergeCell ref="M73:Q73"/>
    <mergeCell ref="A35:Q35"/>
    <mergeCell ref="A38:Q38"/>
    <mergeCell ref="C39:G39"/>
    <mergeCell ref="H39:L39"/>
    <mergeCell ref="M39:Q39"/>
    <mergeCell ref="B122:B123"/>
    <mergeCell ref="C122:G122"/>
    <mergeCell ref="H122:L122"/>
    <mergeCell ref="M122:Q122"/>
    <mergeCell ref="A89:A90"/>
    <mergeCell ref="B89:B90"/>
    <mergeCell ref="C89:G89"/>
    <mergeCell ref="H89:L89"/>
    <mergeCell ref="A70:Q70"/>
    <mergeCell ref="A103:Q103"/>
    <mergeCell ref="B73:B74"/>
    <mergeCell ref="C73:G73"/>
    <mergeCell ref="A153:Q153"/>
    <mergeCell ref="A154:A155"/>
    <mergeCell ref="B154:B155"/>
    <mergeCell ref="C154:G154"/>
    <mergeCell ref="H154:L154"/>
    <mergeCell ref="M154:Q154"/>
    <mergeCell ref="A138:Q138"/>
    <mergeCell ref="A139:A140"/>
    <mergeCell ref="B139:B140"/>
    <mergeCell ref="C139:G139"/>
    <mergeCell ref="H139:L139"/>
    <mergeCell ref="M139:Q139"/>
    <mergeCell ref="A1:Q1"/>
    <mergeCell ref="A105:Q105"/>
    <mergeCell ref="A106:A107"/>
    <mergeCell ref="B106:B107"/>
    <mergeCell ref="C106:G106"/>
    <mergeCell ref="H106:L106"/>
    <mergeCell ref="M106:Q106"/>
    <mergeCell ref="A88:Q88"/>
    <mergeCell ref="B7:G7"/>
    <mergeCell ref="B8:G8"/>
    <mergeCell ref="B29:G29"/>
    <mergeCell ref="B30:G30"/>
    <mergeCell ref="B31:G31"/>
    <mergeCell ref="B32:G32"/>
    <mergeCell ref="A39:A40"/>
    <mergeCell ref="B39:B40"/>
    <mergeCell ref="A6:Q6"/>
    <mergeCell ref="H7:K7"/>
    <mergeCell ref="H8:K8"/>
    <mergeCell ref="H28:I28"/>
    <mergeCell ref="H29:I29"/>
    <mergeCell ref="B17:G17"/>
    <mergeCell ref="B9:G9"/>
    <mergeCell ref="H9:K9"/>
    <mergeCell ref="B14:G14"/>
    <mergeCell ref="H14:K14"/>
    <mergeCell ref="H15:K15"/>
    <mergeCell ref="H16:K16"/>
    <mergeCell ref="H17:K17"/>
    <mergeCell ref="H18:K18"/>
    <mergeCell ref="B22:G22"/>
    <mergeCell ref="B23:G23"/>
    <mergeCell ref="A2:E2"/>
    <mergeCell ref="F2:Q2"/>
    <mergeCell ref="B10:G10"/>
    <mergeCell ref="H10:K10"/>
    <mergeCell ref="B11:G11"/>
    <mergeCell ref="H11:K11"/>
    <mergeCell ref="L8:Q11"/>
    <mergeCell ref="A13:Q13"/>
    <mergeCell ref="B18:G18"/>
    <mergeCell ref="B19:G19"/>
    <mergeCell ref="B20:G20"/>
    <mergeCell ref="B21:G21"/>
    <mergeCell ref="B15:G15"/>
    <mergeCell ref="A4:Q4"/>
    <mergeCell ref="B24:G24"/>
    <mergeCell ref="B25:G25"/>
    <mergeCell ref="H24:K24"/>
    <mergeCell ref="H25:K25"/>
    <mergeCell ref="L15:Q15"/>
    <mergeCell ref="L16:Q16"/>
    <mergeCell ref="L17:Q17"/>
    <mergeCell ref="L18:Q18"/>
    <mergeCell ref="L19:Q19"/>
    <mergeCell ref="L20:Q20"/>
    <mergeCell ref="L21:Q21"/>
    <mergeCell ref="L22:Q22"/>
    <mergeCell ref="L23:Q23"/>
    <mergeCell ref="L24:Q24"/>
    <mergeCell ref="L25:Q25"/>
    <mergeCell ref="H19:K19"/>
    <mergeCell ref="H20:K20"/>
    <mergeCell ref="H21:K21"/>
    <mergeCell ref="H22:K22"/>
    <mergeCell ref="H23:K23"/>
    <mergeCell ref="B16:G16"/>
  </mergeCells>
  <conditionalFormatting sqref="A4">
    <cfRule type="expression" dxfId="3" priority="83">
      <formula>AND($A4&lt;&gt;"")</formula>
    </cfRule>
  </conditionalFormatting>
  <conditionalFormatting sqref="H23:K23">
    <cfRule type="expression" dxfId="1" priority="1">
      <formula>AND(NOT(ISNUMBER(H23)))</formula>
    </cfRule>
  </conditionalFormatting>
  <dataValidations count="2">
    <dataValidation type="list" allowBlank="1" showInputMessage="1" showErrorMessage="1" error="Please select a value from the drop-down list.  (Do not change the list -- otherwise formulas in this workbook will not work correctly.)" sqref="H8:K11" xr:uid="{00000000-0002-0000-0400-000000000000}">
      <formula1>"(Select…),Attainment,Maintenance,Nonattainment"</formula1>
    </dataValidation>
    <dataValidation allowBlank="1" showInputMessage="1" showErrorMessage="1" error="Please select a value from the drop-down list.  (Do not change the list -- otherwise formulas in this workbook will not work correctly.)" sqref="H12:K12 H26:K26" xr:uid="{96361600-2DBD-407D-AF30-3279FE604E2B}"/>
  </dataValidations>
  <hyperlinks>
    <hyperlink ref="L8" r:id="rId1" display="EPA Green Book" xr:uid="{00000000-0004-0000-0400-000000000000}"/>
    <hyperlink ref="L8:Q11" r:id="rId2" display="Source: EPA Green Book" xr:uid="{00000000-0004-0000-0400-000001000000}"/>
  </hyperlinks>
  <pageMargins left="0.25" right="0.25" top="0.75" bottom="0.75" header="0.3" footer="0.3"/>
  <pageSetup scale="46" fitToHeight="0" orientation="landscape" horizontalDpi="4294967293" verticalDpi="4294967293" r:id="rId3"/>
  <rowBreaks count="4" manualBreakCount="4">
    <brk id="34" max="16" man="1"/>
    <brk id="69" max="16" man="1"/>
    <brk id="102" max="16" man="1"/>
    <brk id="135" max="16" man="1"/>
  </rowBreaks>
  <ignoredErrors>
    <ignoredError sqref="P79" formula="1"/>
  </ignoredErrors>
  <legacyDrawing r:id="rId4"/>
  <extLst>
    <ext xmlns:x14="http://schemas.microsoft.com/office/spreadsheetml/2009/9/main" uri="{78C0D931-6437-407d-A8EE-F0AAD7539E65}">
      <x14:conditionalFormattings>
        <x14:conditionalFormatting xmlns:xm="http://schemas.microsoft.com/office/excel/2006/main">
          <x14:cfRule type="expression" priority="2" id="{5BA4F937-AE28-4AA6-BB00-8B81B7861316}">
            <xm:f>OR('Project Description'!$C$92="No",'Project Description'!$C$92="(Select…)")</xm:f>
            <x14:dxf>
              <fill>
                <patternFill patternType="solid">
                  <bgColor theme="1"/>
                </patternFill>
              </fill>
            </x14:dxf>
          </x14:cfRule>
          <xm:sqref>H15:K25</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F165"/>
  <sheetViews>
    <sheetView showGridLines="0" zoomScaleNormal="100" zoomScaleSheetLayoutView="100" workbookViewId="0">
      <selection activeCell="C20" sqref="C20"/>
    </sheetView>
  </sheetViews>
  <sheetFormatPr defaultColWidth="9.25" defaultRowHeight="15" x14ac:dyDescent="0.2"/>
  <cols>
    <col min="1" max="1" width="74.5" style="4" customWidth="1"/>
    <col min="2" max="2" width="28.875" style="4" customWidth="1"/>
    <col min="3" max="3" width="33.5" style="4" customWidth="1"/>
    <col min="4" max="4" width="22.25" style="4" customWidth="1"/>
    <col min="5" max="5" width="14.5" style="4" customWidth="1"/>
    <col min="6" max="6" width="36.25" style="4" customWidth="1"/>
    <col min="7" max="16384" width="9.25" style="4"/>
  </cols>
  <sheetData>
    <row r="1" spans="1:6" s="7" customFormat="1" ht="18.75" thickBot="1" x14ac:dyDescent="0.25">
      <c r="A1" s="985" t="s">
        <v>278</v>
      </c>
      <c r="B1" s="986"/>
      <c r="C1" s="986"/>
      <c r="D1" s="986"/>
      <c r="E1" s="986"/>
      <c r="F1" s="987"/>
    </row>
    <row r="2" spans="1:6" s="10" customFormat="1" ht="16.5" thickBot="1" x14ac:dyDescent="0.3">
      <c r="A2" s="95" t="s">
        <v>0</v>
      </c>
      <c r="B2" s="963" t="str">
        <f>IF('Project Description'!B2&lt;&gt;"",'Project Description'!B2,"")</f>
        <v/>
      </c>
      <c r="C2" s="964"/>
      <c r="D2" s="964"/>
      <c r="E2" s="964"/>
      <c r="F2" s="965"/>
    </row>
    <row r="3" spans="1:6" ht="13.5" customHeight="1" thickBot="1" x14ac:dyDescent="0.4">
      <c r="A3" s="1153"/>
      <c r="B3" s="1154"/>
      <c r="C3" s="1154"/>
      <c r="D3" s="1154"/>
      <c r="E3" s="1154"/>
      <c r="F3" s="1155"/>
    </row>
    <row r="4" spans="1:6" ht="57.75" customHeight="1" thickBot="1" x14ac:dyDescent="0.25">
      <c r="A4" s="206" t="s">
        <v>449</v>
      </c>
      <c r="B4" s="13"/>
      <c r="C4" s="1162" t="s">
        <v>279</v>
      </c>
      <c r="D4" s="1138"/>
      <c r="E4" s="1178"/>
      <c r="F4" s="1161"/>
    </row>
    <row r="5" spans="1:6" ht="21" customHeight="1" thickBot="1" x14ac:dyDescent="0.25">
      <c r="A5" s="96" t="s">
        <v>280</v>
      </c>
      <c r="B5" s="332"/>
      <c r="C5" s="1108" t="s">
        <v>281</v>
      </c>
      <c r="D5" s="1138"/>
      <c r="E5" s="1139">
        <f>IF(E4&gt;0,B5/E4,0)</f>
        <v>0</v>
      </c>
      <c r="F5" s="1140"/>
    </row>
    <row r="6" spans="1:6" ht="19.5" customHeight="1" thickBot="1" x14ac:dyDescent="0.25">
      <c r="A6" s="96" t="s">
        <v>282</v>
      </c>
      <c r="B6" s="333"/>
      <c r="C6" s="1040"/>
      <c r="D6" s="1099"/>
      <c r="E6" s="1099"/>
      <c r="F6" s="1041"/>
    </row>
    <row r="7" spans="1:6" ht="46.5" customHeight="1" thickBot="1" x14ac:dyDescent="0.25">
      <c r="A7" s="1157" t="s">
        <v>283</v>
      </c>
      <c r="B7" s="1158"/>
      <c r="C7" s="1158"/>
      <c r="D7" s="1159"/>
      <c r="E7" s="1160">
        <v>0</v>
      </c>
      <c r="F7" s="1161"/>
    </row>
    <row r="8" spans="1:6" ht="19.5" customHeight="1" thickBot="1" x14ac:dyDescent="0.4">
      <c r="A8" s="1153"/>
      <c r="B8" s="1154"/>
      <c r="C8" s="1154"/>
      <c r="D8" s="1154"/>
      <c r="E8" s="1154"/>
      <c r="F8" s="1155"/>
    </row>
    <row r="9" spans="1:6" x14ac:dyDescent="0.2">
      <c r="A9" s="1054" t="s">
        <v>284</v>
      </c>
      <c r="B9" s="1055"/>
      <c r="C9" s="1047" t="s">
        <v>285</v>
      </c>
      <c r="D9" s="1067" t="s">
        <v>286</v>
      </c>
      <c r="E9" s="1050"/>
      <c r="F9" s="1050" t="s">
        <v>287</v>
      </c>
    </row>
    <row r="10" spans="1:6" ht="31.5" customHeight="1" thickBot="1" x14ac:dyDescent="0.25">
      <c r="A10" s="1156" t="s">
        <v>288</v>
      </c>
      <c r="B10" s="1152"/>
      <c r="C10" s="1048"/>
      <c r="D10" s="1051"/>
      <c r="E10" s="1052"/>
      <c r="F10" s="1052"/>
    </row>
    <row r="11" spans="1:6" ht="20.25" customHeight="1" x14ac:dyDescent="0.2">
      <c r="A11" s="1145" t="s">
        <v>289</v>
      </c>
      <c r="B11" s="1146"/>
      <c r="C11" s="334"/>
      <c r="D11" s="1147"/>
      <c r="E11" s="1148"/>
      <c r="F11" s="335">
        <f>IF($E$4&gt;0,D11/$E$4,0)</f>
        <v>0</v>
      </c>
    </row>
    <row r="12" spans="1:6" ht="20.25" customHeight="1" x14ac:dyDescent="0.2">
      <c r="A12" s="1149" t="s">
        <v>290</v>
      </c>
      <c r="B12" s="1150"/>
      <c r="C12" s="271"/>
      <c r="D12" s="1032"/>
      <c r="E12" s="1033"/>
      <c r="F12" s="336">
        <f>IF($E$4&gt;0,D12/$E$4,0)</f>
        <v>0</v>
      </c>
    </row>
    <row r="13" spans="1:6" ht="20.25" customHeight="1" x14ac:dyDescent="0.2">
      <c r="A13" s="1149" t="s">
        <v>291</v>
      </c>
      <c r="B13" s="1150"/>
      <c r="C13" s="271"/>
      <c r="D13" s="1032"/>
      <c r="E13" s="1033"/>
      <c r="F13" s="336">
        <f>IF($E$4&gt;0,D13/$E$4,0)</f>
        <v>0</v>
      </c>
    </row>
    <row r="14" spans="1:6" ht="20.25" customHeight="1" thickBot="1" x14ac:dyDescent="0.25">
      <c r="A14" s="1141" t="s">
        <v>292</v>
      </c>
      <c r="B14" s="1142"/>
      <c r="C14" s="337"/>
      <c r="D14" s="1143"/>
      <c r="E14" s="1144"/>
      <c r="F14" s="338">
        <f>IF($E$4&gt;0,D14/$E$4,0)</f>
        <v>0</v>
      </c>
    </row>
    <row r="15" spans="1:6" s="6" customFormat="1" ht="15" customHeight="1" x14ac:dyDescent="0.2">
      <c r="A15" s="1054" t="s">
        <v>293</v>
      </c>
      <c r="B15" s="1055"/>
      <c r="C15" s="1047" t="s">
        <v>285</v>
      </c>
      <c r="D15" s="1067" t="s">
        <v>286</v>
      </c>
      <c r="E15" s="1050"/>
      <c r="F15" s="1050" t="s">
        <v>287</v>
      </c>
    </row>
    <row r="16" spans="1:6" s="6" customFormat="1" ht="31.5" customHeight="1" thickBot="1" x14ac:dyDescent="0.25">
      <c r="A16" s="1151" t="s">
        <v>294</v>
      </c>
      <c r="B16" s="1152"/>
      <c r="C16" s="1048"/>
      <c r="D16" s="1051"/>
      <c r="E16" s="1052"/>
      <c r="F16" s="1052"/>
    </row>
    <row r="17" spans="1:6" ht="20.25" customHeight="1" x14ac:dyDescent="0.2">
      <c r="A17" s="1179" t="s">
        <v>295</v>
      </c>
      <c r="B17" s="1180"/>
      <c r="C17" s="334"/>
      <c r="D17" s="1147"/>
      <c r="E17" s="1148"/>
      <c r="F17" s="335">
        <f>IF($E$4&gt;0,D17/$E$4,0)</f>
        <v>0</v>
      </c>
    </row>
    <row r="18" spans="1:6" ht="20.25" customHeight="1" x14ac:dyDescent="0.2">
      <c r="A18" s="1149" t="s">
        <v>290</v>
      </c>
      <c r="B18" s="1150"/>
      <c r="C18" s="271"/>
      <c r="D18" s="1032"/>
      <c r="E18" s="1033"/>
      <c r="F18" s="336">
        <f>IF($E$4&gt;0,D18/$E$4,0)</f>
        <v>0</v>
      </c>
    </row>
    <row r="19" spans="1:6" ht="20.25" customHeight="1" x14ac:dyDescent="0.2">
      <c r="A19" s="1089" t="s">
        <v>291</v>
      </c>
      <c r="B19" s="1090"/>
      <c r="C19" s="271"/>
      <c r="D19" s="1032"/>
      <c r="E19" s="1033"/>
      <c r="F19" s="336">
        <f t="shared" ref="F19:F20" si="0">IF($E$4&gt;0,D19/$E$4,0)</f>
        <v>0</v>
      </c>
    </row>
    <row r="20" spans="1:6" ht="20.25" customHeight="1" x14ac:dyDescent="0.2">
      <c r="A20" s="1089" t="s">
        <v>292</v>
      </c>
      <c r="B20" s="1090"/>
      <c r="C20" s="271"/>
      <c r="D20" s="1032"/>
      <c r="E20" s="1033"/>
      <c r="F20" s="336">
        <f t="shared" si="0"/>
        <v>0</v>
      </c>
    </row>
    <row r="21" spans="1:6" ht="20.25" customHeight="1" x14ac:dyDescent="0.2">
      <c r="A21" s="1149" t="s">
        <v>296</v>
      </c>
      <c r="B21" s="1150"/>
      <c r="C21" s="271"/>
      <c r="D21" s="1032"/>
      <c r="E21" s="1033"/>
      <c r="F21" s="336">
        <f>IF($E$4&gt;0,D21/$E$4,0)</f>
        <v>0</v>
      </c>
    </row>
    <row r="22" spans="1:6" ht="20.25" customHeight="1" thickBot="1" x14ac:dyDescent="0.25">
      <c r="A22" s="1141" t="s">
        <v>297</v>
      </c>
      <c r="B22" s="1142"/>
      <c r="C22" s="339"/>
      <c r="D22" s="1143"/>
      <c r="E22" s="1144"/>
      <c r="F22" s="338">
        <f>IF($E$4&gt;0,D22/$E$4,0)</f>
        <v>0</v>
      </c>
    </row>
    <row r="23" spans="1:6" ht="15" customHeight="1" x14ac:dyDescent="0.2">
      <c r="A23" s="1124" t="s">
        <v>298</v>
      </c>
      <c r="B23" s="1175"/>
      <c r="C23" s="1047" t="s">
        <v>285</v>
      </c>
      <c r="D23" s="1067" t="s">
        <v>286</v>
      </c>
      <c r="E23" s="1050"/>
      <c r="F23" s="1050" t="s">
        <v>287</v>
      </c>
    </row>
    <row r="24" spans="1:6" ht="31.5" customHeight="1" thickBot="1" x14ac:dyDescent="0.25">
      <c r="A24" s="1151" t="s">
        <v>299</v>
      </c>
      <c r="B24" s="1176"/>
      <c r="C24" s="1048"/>
      <c r="D24" s="1051"/>
      <c r="E24" s="1052"/>
      <c r="F24" s="1052"/>
    </row>
    <row r="25" spans="1:6" ht="22.5" customHeight="1" x14ac:dyDescent="0.2">
      <c r="A25" s="1091" t="s">
        <v>300</v>
      </c>
      <c r="B25" s="1092"/>
      <c r="C25" s="334"/>
      <c r="D25" s="1147"/>
      <c r="E25" s="1148"/>
      <c r="F25" s="335">
        <f>IF($E$4&gt;0,D25/$E$4,0)</f>
        <v>0</v>
      </c>
    </row>
    <row r="26" spans="1:6" ht="22.5" customHeight="1" x14ac:dyDescent="0.2">
      <c r="A26" s="1089" t="s">
        <v>290</v>
      </c>
      <c r="B26" s="1090"/>
      <c r="C26" s="340"/>
      <c r="D26" s="1032"/>
      <c r="E26" s="1033"/>
      <c r="F26" s="329">
        <f t="shared" ref="F26:F36" si="1">IF($E$4&gt;0,D26/$E$4,0)</f>
        <v>0</v>
      </c>
    </row>
    <row r="27" spans="1:6" ht="22.5" customHeight="1" x14ac:dyDescent="0.2">
      <c r="A27" s="1089" t="s">
        <v>291</v>
      </c>
      <c r="B27" s="1090"/>
      <c r="C27" s="340"/>
      <c r="D27" s="1032"/>
      <c r="E27" s="1033"/>
      <c r="F27" s="329">
        <f t="shared" si="1"/>
        <v>0</v>
      </c>
    </row>
    <row r="28" spans="1:6" ht="22.5" customHeight="1" x14ac:dyDescent="0.2">
      <c r="A28" s="1089" t="s">
        <v>292</v>
      </c>
      <c r="B28" s="1090"/>
      <c r="C28" s="340"/>
      <c r="D28" s="1032"/>
      <c r="E28" s="1033"/>
      <c r="F28" s="329">
        <f t="shared" si="1"/>
        <v>0</v>
      </c>
    </row>
    <row r="29" spans="1:6" ht="22.5" customHeight="1" x14ac:dyDescent="0.2">
      <c r="A29" s="1089" t="s">
        <v>296</v>
      </c>
      <c r="B29" s="1090"/>
      <c r="C29" s="340"/>
      <c r="D29" s="1032"/>
      <c r="E29" s="1033"/>
      <c r="F29" s="329">
        <f t="shared" si="1"/>
        <v>0</v>
      </c>
    </row>
    <row r="30" spans="1:6" ht="22.5" customHeight="1" x14ac:dyDescent="0.2">
      <c r="A30" s="1089" t="s">
        <v>301</v>
      </c>
      <c r="B30" s="1090"/>
      <c r="C30" s="340"/>
      <c r="D30" s="1032"/>
      <c r="E30" s="1033"/>
      <c r="F30" s="329">
        <f t="shared" si="1"/>
        <v>0</v>
      </c>
    </row>
    <row r="31" spans="1:6" ht="22.5" customHeight="1" x14ac:dyDescent="0.2">
      <c r="A31" s="1089" t="s">
        <v>302</v>
      </c>
      <c r="B31" s="1137"/>
      <c r="C31" s="271"/>
      <c r="D31" s="1032"/>
      <c r="E31" s="1033"/>
      <c r="F31" s="336">
        <f t="shared" si="1"/>
        <v>0</v>
      </c>
    </row>
    <row r="32" spans="1:6" ht="22.5" customHeight="1" x14ac:dyDescent="0.2">
      <c r="A32" s="1089" t="s">
        <v>303</v>
      </c>
      <c r="B32" s="1090"/>
      <c r="C32" s="271"/>
      <c r="D32" s="1032"/>
      <c r="E32" s="1033"/>
      <c r="F32" s="336">
        <f t="shared" si="1"/>
        <v>0</v>
      </c>
    </row>
    <row r="33" spans="1:6" ht="22.5" customHeight="1" x14ac:dyDescent="0.2">
      <c r="A33" s="1089" t="s">
        <v>304</v>
      </c>
      <c r="B33" s="1090"/>
      <c r="C33" s="271"/>
      <c r="D33" s="1032"/>
      <c r="E33" s="1033"/>
      <c r="F33" s="336">
        <f t="shared" si="1"/>
        <v>0</v>
      </c>
    </row>
    <row r="34" spans="1:6" ht="22.5" customHeight="1" x14ac:dyDescent="0.2">
      <c r="A34" s="1089" t="s">
        <v>305</v>
      </c>
      <c r="B34" s="1090"/>
      <c r="C34" s="271"/>
      <c r="D34" s="1032"/>
      <c r="E34" s="1033"/>
      <c r="F34" s="336">
        <f t="shared" si="1"/>
        <v>0</v>
      </c>
    </row>
    <row r="35" spans="1:6" ht="22.5" customHeight="1" x14ac:dyDescent="0.2">
      <c r="A35" s="1089" t="s">
        <v>306</v>
      </c>
      <c r="B35" s="1090"/>
      <c r="C35" s="271"/>
      <c r="D35" s="1032"/>
      <c r="E35" s="1033"/>
      <c r="F35" s="336">
        <f t="shared" si="1"/>
        <v>0</v>
      </c>
    </row>
    <row r="36" spans="1:6" ht="22.5" customHeight="1" thickBot="1" x14ac:dyDescent="0.25">
      <c r="A36" s="1089" t="s">
        <v>307</v>
      </c>
      <c r="B36" s="1137"/>
      <c r="C36" s="271"/>
      <c r="D36" s="1032"/>
      <c r="E36" s="1033"/>
      <c r="F36" s="336">
        <f t="shared" si="1"/>
        <v>0</v>
      </c>
    </row>
    <row r="37" spans="1:6" ht="15" customHeight="1" x14ac:dyDescent="0.2">
      <c r="A37" s="1124" t="s">
        <v>308</v>
      </c>
      <c r="B37" s="1167"/>
      <c r="C37" s="1047" t="s">
        <v>285</v>
      </c>
      <c r="D37" s="1067" t="s">
        <v>286</v>
      </c>
      <c r="E37" s="1050"/>
      <c r="F37" s="1047" t="s">
        <v>287</v>
      </c>
    </row>
    <row r="38" spans="1:6" ht="31.5" customHeight="1" thickBot="1" x14ac:dyDescent="0.25">
      <c r="A38" s="1151" t="s">
        <v>309</v>
      </c>
      <c r="B38" s="1168"/>
      <c r="C38" s="1048"/>
      <c r="D38" s="1051"/>
      <c r="E38" s="1052"/>
      <c r="F38" s="1048"/>
    </row>
    <row r="39" spans="1:6" ht="19.5" customHeight="1" x14ac:dyDescent="0.2">
      <c r="A39" s="1169" t="s">
        <v>300</v>
      </c>
      <c r="B39" s="1170"/>
      <c r="C39" s="341"/>
      <c r="D39" s="1147"/>
      <c r="E39" s="1148"/>
      <c r="F39" s="335">
        <f>IF($E$4&gt;0,D39/$E$4,0)</f>
        <v>0</v>
      </c>
    </row>
    <row r="40" spans="1:6" ht="19.5" customHeight="1" x14ac:dyDescent="0.2">
      <c r="A40" s="1149" t="s">
        <v>290</v>
      </c>
      <c r="B40" s="1171"/>
      <c r="C40" s="342"/>
      <c r="D40" s="1032"/>
      <c r="E40" s="1033"/>
      <c r="F40" s="329">
        <f t="shared" ref="F40:F43" si="2">IF($E$4&gt;0,D40/$E$4,0)</f>
        <v>0</v>
      </c>
    </row>
    <row r="41" spans="1:6" ht="19.5" customHeight="1" x14ac:dyDescent="0.2">
      <c r="A41" s="1149" t="s">
        <v>291</v>
      </c>
      <c r="B41" s="1171"/>
      <c r="C41" s="342"/>
      <c r="D41" s="1032"/>
      <c r="E41" s="1033"/>
      <c r="F41" s="329">
        <f t="shared" si="2"/>
        <v>0</v>
      </c>
    </row>
    <row r="42" spans="1:6" ht="19.5" customHeight="1" x14ac:dyDescent="0.2">
      <c r="A42" s="1149" t="s">
        <v>292</v>
      </c>
      <c r="B42" s="1171"/>
      <c r="C42" s="343"/>
      <c r="D42" s="1032"/>
      <c r="E42" s="1033"/>
      <c r="F42" s="336">
        <f t="shared" si="2"/>
        <v>0</v>
      </c>
    </row>
    <row r="43" spans="1:6" ht="19.5" customHeight="1" thickBot="1" x14ac:dyDescent="0.25">
      <c r="A43" s="1165" t="s">
        <v>296</v>
      </c>
      <c r="B43" s="1166"/>
      <c r="C43" s="344"/>
      <c r="D43" s="1032"/>
      <c r="E43" s="1033"/>
      <c r="F43" s="345">
        <f t="shared" si="2"/>
        <v>0</v>
      </c>
    </row>
    <row r="44" spans="1:6" ht="16.5" customHeight="1" thickBot="1" x14ac:dyDescent="0.25">
      <c r="A44" s="1172"/>
      <c r="B44" s="1173"/>
      <c r="C44" s="1173"/>
      <c r="D44" s="1173"/>
      <c r="E44" s="1173"/>
      <c r="F44" s="1174"/>
    </row>
    <row r="45" spans="1:6" ht="23.25" customHeight="1" thickBot="1" x14ac:dyDescent="0.25">
      <c r="A45" s="1063" t="s">
        <v>310</v>
      </c>
      <c r="B45" s="1064"/>
      <c r="C45" s="1065"/>
      <c r="D45" s="1163">
        <f>SUM(D11:E14)+SUM(D17:E22)+SUM(D25:E36)+SUM(D39:E43)</f>
        <v>0</v>
      </c>
      <c r="E45" s="1164"/>
      <c r="F45" s="338">
        <f>IF($E$4&gt;0,D45/$E$4,0)</f>
        <v>0</v>
      </c>
    </row>
    <row r="46" spans="1:6" ht="21" customHeight="1" thickBot="1" x14ac:dyDescent="0.25">
      <c r="A46" s="1063" t="s">
        <v>311</v>
      </c>
      <c r="B46" s="1064"/>
      <c r="C46" s="1065"/>
      <c r="D46" s="1163">
        <f>E4-B5-D45</f>
        <v>0</v>
      </c>
      <c r="E46" s="1164"/>
      <c r="F46" s="346" t="s">
        <v>112</v>
      </c>
    </row>
    <row r="47" spans="1:6" ht="15.75" thickBot="1" x14ac:dyDescent="0.25">
      <c r="A47" s="1044"/>
      <c r="B47" s="1044"/>
      <c r="C47" s="1044"/>
      <c r="D47" s="1044"/>
      <c r="E47" s="1044"/>
      <c r="F47" s="1044"/>
    </row>
    <row r="48" spans="1:6" s="7" customFormat="1" ht="18.75" thickBot="1" x14ac:dyDescent="0.25">
      <c r="A48" s="985" t="s">
        <v>312</v>
      </c>
      <c r="B48" s="986"/>
      <c r="C48" s="986"/>
      <c r="D48" s="986"/>
      <c r="E48" s="986"/>
      <c r="F48" s="987"/>
    </row>
    <row r="49" spans="1:6" ht="15.75" thickBot="1" x14ac:dyDescent="0.25">
      <c r="A49" s="1177" t="s">
        <v>313</v>
      </c>
      <c r="B49" s="1177"/>
      <c r="C49" s="1177"/>
      <c r="D49" s="1177"/>
      <c r="E49" s="1177"/>
      <c r="F49" s="1177"/>
    </row>
    <row r="50" spans="1:6" ht="40.5" customHeight="1" x14ac:dyDescent="0.2">
      <c r="A50" s="97" t="s">
        <v>314</v>
      </c>
      <c r="B50" s="1062" t="s">
        <v>315</v>
      </c>
      <c r="C50" s="1047" t="s">
        <v>316</v>
      </c>
      <c r="D50" s="1060" t="s">
        <v>317</v>
      </c>
      <c r="E50" s="1060"/>
      <c r="F50" s="1060" t="s">
        <v>318</v>
      </c>
    </row>
    <row r="51" spans="1:6" ht="40.9" customHeight="1" thickBot="1" x14ac:dyDescent="0.25">
      <c r="A51" s="265" t="s">
        <v>319</v>
      </c>
      <c r="B51" s="1048"/>
      <c r="C51" s="1048"/>
      <c r="D51" s="1061"/>
      <c r="E51" s="1061"/>
      <c r="F51" s="1061"/>
    </row>
    <row r="52" spans="1:6" ht="20.25" customHeight="1" x14ac:dyDescent="0.2">
      <c r="A52" s="269" t="str">
        <f>+A11</f>
        <v>1. (Example: CMAQ)</v>
      </c>
      <c r="B52" s="347" t="s">
        <v>32</v>
      </c>
      <c r="C52" s="348" t="s">
        <v>32</v>
      </c>
      <c r="D52" s="1081" t="s">
        <v>32</v>
      </c>
      <c r="E52" s="1082"/>
      <c r="F52" s="347" t="s">
        <v>32</v>
      </c>
    </row>
    <row r="53" spans="1:6" ht="20.25" customHeight="1" x14ac:dyDescent="0.2">
      <c r="A53" s="270" t="str">
        <f>+A12</f>
        <v>2.</v>
      </c>
      <c r="B53" s="349" t="s">
        <v>32</v>
      </c>
      <c r="C53" s="350" t="s">
        <v>32</v>
      </c>
      <c r="D53" s="1083" t="s">
        <v>32</v>
      </c>
      <c r="E53" s="1084"/>
      <c r="F53" s="349" t="s">
        <v>32</v>
      </c>
    </row>
    <row r="54" spans="1:6" ht="20.25" customHeight="1" x14ac:dyDescent="0.2">
      <c r="A54" s="270" t="str">
        <f>+A13</f>
        <v>3.</v>
      </c>
      <c r="B54" s="349" t="s">
        <v>32</v>
      </c>
      <c r="C54" s="350" t="s">
        <v>32</v>
      </c>
      <c r="D54" s="1083" t="s">
        <v>32</v>
      </c>
      <c r="E54" s="1084"/>
      <c r="F54" s="349" t="s">
        <v>32</v>
      </c>
    </row>
    <row r="55" spans="1:6" ht="20.25" customHeight="1" thickBot="1" x14ac:dyDescent="0.25">
      <c r="A55" s="272" t="str">
        <f>+A14</f>
        <v>4.</v>
      </c>
      <c r="B55" s="351" t="s">
        <v>32</v>
      </c>
      <c r="C55" s="352" t="s">
        <v>32</v>
      </c>
      <c r="D55" s="1085" t="s">
        <v>32</v>
      </c>
      <c r="E55" s="1086"/>
      <c r="F55" s="351" t="s">
        <v>32</v>
      </c>
    </row>
    <row r="56" spans="1:6" ht="25.5" customHeight="1" x14ac:dyDescent="0.2">
      <c r="A56" s="97" t="s">
        <v>320</v>
      </c>
      <c r="B56" s="1087" t="s">
        <v>321</v>
      </c>
      <c r="C56" s="1093" t="s">
        <v>322</v>
      </c>
      <c r="D56" s="1093" t="s">
        <v>323</v>
      </c>
      <c r="E56" s="1079"/>
      <c r="F56" s="1079" t="s">
        <v>324</v>
      </c>
    </row>
    <row r="57" spans="1:6" ht="19.5" customHeight="1" thickBot="1" x14ac:dyDescent="0.25">
      <c r="A57" s="265" t="s">
        <v>319</v>
      </c>
      <c r="B57" s="1088"/>
      <c r="C57" s="1094"/>
      <c r="D57" s="1094"/>
      <c r="E57" s="1080"/>
      <c r="F57" s="1080"/>
    </row>
    <row r="58" spans="1:6" ht="24" customHeight="1" x14ac:dyDescent="0.2">
      <c r="A58" s="269" t="str">
        <f t="shared" ref="A58:A63" si="3">+A17</f>
        <v>1. (Example: State Transportation Fund)</v>
      </c>
      <c r="B58" s="347" t="s">
        <v>325</v>
      </c>
      <c r="C58" s="348" t="s">
        <v>325</v>
      </c>
      <c r="D58" s="1081" t="s">
        <v>325</v>
      </c>
      <c r="E58" s="1082"/>
      <c r="F58" s="347" t="s">
        <v>325</v>
      </c>
    </row>
    <row r="59" spans="1:6" ht="24" customHeight="1" x14ac:dyDescent="0.2">
      <c r="A59" s="270" t="str">
        <f t="shared" si="3"/>
        <v>2.</v>
      </c>
      <c r="B59" s="349" t="s">
        <v>325</v>
      </c>
      <c r="C59" s="350" t="s">
        <v>325</v>
      </c>
      <c r="D59" s="1083" t="s">
        <v>325</v>
      </c>
      <c r="E59" s="1084"/>
      <c r="F59" s="349" t="s">
        <v>325</v>
      </c>
    </row>
    <row r="60" spans="1:6" ht="24" customHeight="1" x14ac:dyDescent="0.2">
      <c r="A60" s="270" t="str">
        <f t="shared" si="3"/>
        <v>3.</v>
      </c>
      <c r="B60" s="349" t="s">
        <v>325</v>
      </c>
      <c r="C60" s="350" t="s">
        <v>325</v>
      </c>
      <c r="D60" s="1083" t="s">
        <v>325</v>
      </c>
      <c r="E60" s="1084"/>
      <c r="F60" s="349" t="s">
        <v>325</v>
      </c>
    </row>
    <row r="61" spans="1:6" ht="24" customHeight="1" x14ac:dyDescent="0.2">
      <c r="A61" s="270" t="str">
        <f t="shared" si="3"/>
        <v>4.</v>
      </c>
      <c r="B61" s="349" t="s">
        <v>325</v>
      </c>
      <c r="C61" s="350" t="s">
        <v>325</v>
      </c>
      <c r="D61" s="1083" t="s">
        <v>325</v>
      </c>
      <c r="E61" s="1084"/>
      <c r="F61" s="349" t="s">
        <v>325</v>
      </c>
    </row>
    <row r="62" spans="1:6" ht="24" customHeight="1" x14ac:dyDescent="0.2">
      <c r="A62" s="270" t="str">
        <f t="shared" si="3"/>
        <v>5.</v>
      </c>
      <c r="B62" s="349" t="s">
        <v>325</v>
      </c>
      <c r="C62" s="350" t="s">
        <v>325</v>
      </c>
      <c r="D62" s="1083" t="s">
        <v>325</v>
      </c>
      <c r="E62" s="1084"/>
      <c r="F62" s="349" t="s">
        <v>325</v>
      </c>
    </row>
    <row r="63" spans="1:6" ht="24" customHeight="1" thickBot="1" x14ac:dyDescent="0.25">
      <c r="A63" s="270" t="str">
        <f t="shared" si="3"/>
        <v>6</v>
      </c>
      <c r="B63" s="351" t="s">
        <v>325</v>
      </c>
      <c r="C63" s="352" t="s">
        <v>325</v>
      </c>
      <c r="D63" s="1085" t="s">
        <v>325</v>
      </c>
      <c r="E63" s="1086"/>
      <c r="F63" s="351" t="s">
        <v>325</v>
      </c>
    </row>
    <row r="64" spans="1:6" ht="31.5" customHeight="1" x14ac:dyDescent="0.2">
      <c r="A64" s="98" t="s">
        <v>326</v>
      </c>
      <c r="B64" s="1087" t="s">
        <v>327</v>
      </c>
      <c r="C64" s="1093" t="s">
        <v>328</v>
      </c>
      <c r="D64" s="1087" t="s">
        <v>329</v>
      </c>
      <c r="E64" s="1087"/>
      <c r="F64" s="1087" t="s">
        <v>330</v>
      </c>
    </row>
    <row r="65" spans="1:6" ht="36" customHeight="1" thickBot="1" x14ac:dyDescent="0.25">
      <c r="A65" s="265" t="s">
        <v>319</v>
      </c>
      <c r="B65" s="1088"/>
      <c r="C65" s="1094"/>
      <c r="D65" s="1088"/>
      <c r="E65" s="1088"/>
      <c r="F65" s="1088"/>
    </row>
    <row r="66" spans="1:6" ht="27" customHeight="1" x14ac:dyDescent="0.2">
      <c r="A66" s="269" t="str">
        <f t="shared" ref="A66:A72" si="4">+A25</f>
        <v>1.</v>
      </c>
      <c r="B66" s="347" t="s">
        <v>325</v>
      </c>
      <c r="C66" s="348" t="s">
        <v>32</v>
      </c>
      <c r="D66" s="1081" t="s">
        <v>32</v>
      </c>
      <c r="E66" s="1082"/>
      <c r="F66" s="347" t="s">
        <v>32</v>
      </c>
    </row>
    <row r="67" spans="1:6" ht="27" customHeight="1" x14ac:dyDescent="0.2">
      <c r="A67" s="270" t="str">
        <f t="shared" si="4"/>
        <v>2.</v>
      </c>
      <c r="B67" s="353" t="s">
        <v>325</v>
      </c>
      <c r="C67" s="354" t="s">
        <v>32</v>
      </c>
      <c r="D67" s="1083" t="s">
        <v>32</v>
      </c>
      <c r="E67" s="1084"/>
      <c r="F67" s="353" t="s">
        <v>32</v>
      </c>
    </row>
    <row r="68" spans="1:6" ht="27" customHeight="1" x14ac:dyDescent="0.2">
      <c r="A68" s="270" t="str">
        <f t="shared" si="4"/>
        <v>3.</v>
      </c>
      <c r="B68" s="353" t="s">
        <v>325</v>
      </c>
      <c r="C68" s="354" t="s">
        <v>32</v>
      </c>
      <c r="D68" s="1083" t="s">
        <v>32</v>
      </c>
      <c r="E68" s="1084"/>
      <c r="F68" s="353" t="s">
        <v>32</v>
      </c>
    </row>
    <row r="69" spans="1:6" ht="27" customHeight="1" x14ac:dyDescent="0.2">
      <c r="A69" s="270" t="str">
        <f t="shared" si="4"/>
        <v>4.</v>
      </c>
      <c r="B69" s="353" t="s">
        <v>325</v>
      </c>
      <c r="C69" s="354" t="s">
        <v>32</v>
      </c>
      <c r="D69" s="1083" t="s">
        <v>32</v>
      </c>
      <c r="E69" s="1084"/>
      <c r="F69" s="353" t="s">
        <v>32</v>
      </c>
    </row>
    <row r="70" spans="1:6" ht="27" customHeight="1" x14ac:dyDescent="0.2">
      <c r="A70" s="270" t="str">
        <f t="shared" si="4"/>
        <v>5.</v>
      </c>
      <c r="B70" s="353" t="s">
        <v>325</v>
      </c>
      <c r="C70" s="354" t="s">
        <v>32</v>
      </c>
      <c r="D70" s="1083" t="s">
        <v>32</v>
      </c>
      <c r="E70" s="1084"/>
      <c r="F70" s="353" t="s">
        <v>32</v>
      </c>
    </row>
    <row r="71" spans="1:6" ht="27" customHeight="1" x14ac:dyDescent="0.2">
      <c r="A71" s="270" t="str">
        <f t="shared" si="4"/>
        <v>6.</v>
      </c>
      <c r="B71" s="353" t="s">
        <v>325</v>
      </c>
      <c r="C71" s="354" t="s">
        <v>32</v>
      </c>
      <c r="D71" s="1083" t="s">
        <v>32</v>
      </c>
      <c r="E71" s="1084"/>
      <c r="F71" s="353" t="s">
        <v>32</v>
      </c>
    </row>
    <row r="72" spans="1:6" ht="27" customHeight="1" x14ac:dyDescent="0.2">
      <c r="A72" s="270" t="str">
        <f t="shared" si="4"/>
        <v>7.</v>
      </c>
      <c r="B72" s="353" t="s">
        <v>325</v>
      </c>
      <c r="C72" s="354" t="s">
        <v>32</v>
      </c>
      <c r="D72" s="1083" t="s">
        <v>32</v>
      </c>
      <c r="E72" s="1084"/>
      <c r="F72" s="353" t="s">
        <v>32</v>
      </c>
    </row>
    <row r="73" spans="1:6" ht="27" customHeight="1" x14ac:dyDescent="0.2">
      <c r="A73" s="270" t="str">
        <f t="shared" ref="A73:A77" si="5">+A32</f>
        <v>8.</v>
      </c>
      <c r="B73" s="353" t="s">
        <v>325</v>
      </c>
      <c r="C73" s="354" t="s">
        <v>32</v>
      </c>
      <c r="D73" s="1083" t="s">
        <v>32</v>
      </c>
      <c r="E73" s="1084"/>
      <c r="F73" s="353" t="s">
        <v>32</v>
      </c>
    </row>
    <row r="74" spans="1:6" ht="27" customHeight="1" x14ac:dyDescent="0.2">
      <c r="A74" s="270" t="str">
        <f t="shared" si="5"/>
        <v>9.</v>
      </c>
      <c r="B74" s="353" t="s">
        <v>325</v>
      </c>
      <c r="C74" s="354" t="s">
        <v>32</v>
      </c>
      <c r="D74" s="1083" t="s">
        <v>32</v>
      </c>
      <c r="E74" s="1084"/>
      <c r="F74" s="353" t="s">
        <v>32</v>
      </c>
    </row>
    <row r="75" spans="1:6" ht="27" customHeight="1" x14ac:dyDescent="0.2">
      <c r="A75" s="270" t="str">
        <f t="shared" si="5"/>
        <v>10.</v>
      </c>
      <c r="B75" s="349" t="s">
        <v>325</v>
      </c>
      <c r="C75" s="350" t="s">
        <v>32</v>
      </c>
      <c r="D75" s="1083" t="s">
        <v>32</v>
      </c>
      <c r="E75" s="1084"/>
      <c r="F75" s="349" t="s">
        <v>32</v>
      </c>
    </row>
    <row r="76" spans="1:6" ht="27" customHeight="1" x14ac:dyDescent="0.2">
      <c r="A76" s="270" t="str">
        <f t="shared" si="5"/>
        <v>11.</v>
      </c>
      <c r="B76" s="349" t="s">
        <v>325</v>
      </c>
      <c r="C76" s="350" t="s">
        <v>32</v>
      </c>
      <c r="D76" s="1083" t="s">
        <v>32</v>
      </c>
      <c r="E76" s="1084"/>
      <c r="F76" s="349" t="s">
        <v>32</v>
      </c>
    </row>
    <row r="77" spans="1:6" ht="27" customHeight="1" thickBot="1" x14ac:dyDescent="0.25">
      <c r="A77" s="272" t="str">
        <f t="shared" si="5"/>
        <v>12.</v>
      </c>
      <c r="B77" s="351" t="s">
        <v>325</v>
      </c>
      <c r="C77" s="352" t="s">
        <v>32</v>
      </c>
      <c r="D77" s="1085" t="s">
        <v>32</v>
      </c>
      <c r="E77" s="1086"/>
      <c r="F77" s="351" t="s">
        <v>32</v>
      </c>
    </row>
    <row r="78" spans="1:6" ht="31.5" customHeight="1" x14ac:dyDescent="0.2">
      <c r="A78" s="98" t="s">
        <v>331</v>
      </c>
      <c r="B78" s="1047" t="s">
        <v>332</v>
      </c>
      <c r="C78" s="1049" t="s">
        <v>333</v>
      </c>
      <c r="D78" s="1133"/>
      <c r="E78" s="1134"/>
      <c r="F78" s="1134"/>
    </row>
    <row r="79" spans="1:6" ht="33" customHeight="1" thickBot="1" x14ac:dyDescent="0.25">
      <c r="A79" s="265" t="s">
        <v>319</v>
      </c>
      <c r="B79" s="1048"/>
      <c r="C79" s="1051"/>
      <c r="D79" s="1135"/>
      <c r="E79" s="1136"/>
      <c r="F79" s="1136"/>
    </row>
    <row r="80" spans="1:6" ht="25.5" customHeight="1" x14ac:dyDescent="0.2">
      <c r="A80" s="269" t="str">
        <f>+A39</f>
        <v>1.</v>
      </c>
      <c r="B80" s="347" t="s">
        <v>325</v>
      </c>
      <c r="C80" s="348" t="s">
        <v>325</v>
      </c>
      <c r="D80" s="1075"/>
      <c r="E80" s="1076"/>
      <c r="F80" s="355"/>
    </row>
    <row r="81" spans="1:6" ht="25.5" customHeight="1" x14ac:dyDescent="0.2">
      <c r="A81" s="356" t="str">
        <f t="shared" ref="A81:A84" si="6">+A40</f>
        <v>2.</v>
      </c>
      <c r="B81" s="353" t="s">
        <v>325</v>
      </c>
      <c r="C81" s="354" t="s">
        <v>325</v>
      </c>
      <c r="D81" s="1075"/>
      <c r="E81" s="1076"/>
      <c r="F81" s="355"/>
    </row>
    <row r="82" spans="1:6" ht="25.5" customHeight="1" x14ac:dyDescent="0.2">
      <c r="A82" s="356" t="str">
        <f t="shared" si="6"/>
        <v>3.</v>
      </c>
      <c r="B82" s="353" t="s">
        <v>325</v>
      </c>
      <c r="C82" s="354" t="s">
        <v>325</v>
      </c>
      <c r="D82" s="1075"/>
      <c r="E82" s="1076"/>
      <c r="F82" s="355"/>
    </row>
    <row r="83" spans="1:6" ht="25.5" customHeight="1" x14ac:dyDescent="0.2">
      <c r="A83" s="270" t="str">
        <f t="shared" si="6"/>
        <v>4.</v>
      </c>
      <c r="B83" s="349" t="s">
        <v>325</v>
      </c>
      <c r="C83" s="350" t="s">
        <v>325</v>
      </c>
      <c r="D83" s="1075"/>
      <c r="E83" s="1076"/>
      <c r="F83" s="355"/>
    </row>
    <row r="84" spans="1:6" ht="25.5" customHeight="1" thickBot="1" x14ac:dyDescent="0.25">
      <c r="A84" s="272" t="str">
        <f t="shared" si="6"/>
        <v>5.</v>
      </c>
      <c r="B84" s="357" t="s">
        <v>325</v>
      </c>
      <c r="C84" s="358" t="s">
        <v>325</v>
      </c>
      <c r="D84" s="1077"/>
      <c r="E84" s="1078"/>
      <c r="F84" s="359"/>
    </row>
    <row r="85" spans="1:6" ht="15.75" thickBot="1" x14ac:dyDescent="0.25">
      <c r="A85" s="266"/>
      <c r="B85" s="266"/>
      <c r="C85" s="266"/>
      <c r="D85" s="266"/>
      <c r="E85" s="266"/>
      <c r="F85" s="266"/>
    </row>
    <row r="86" spans="1:6" s="268" customFormat="1" ht="18.75" customHeight="1" thickBot="1" x14ac:dyDescent="0.25">
      <c r="A86" s="985" t="s">
        <v>334</v>
      </c>
      <c r="B86" s="986"/>
      <c r="C86" s="986"/>
      <c r="D86" s="986"/>
      <c r="E86" s="986"/>
      <c r="F86" s="987"/>
    </row>
    <row r="87" spans="1:6" ht="15.75" thickBot="1" x14ac:dyDescent="0.25">
      <c r="A87" s="1063" t="s">
        <v>313</v>
      </c>
      <c r="B87" s="1064"/>
      <c r="C87" s="1064"/>
      <c r="D87" s="1064"/>
      <c r="E87" s="1064"/>
      <c r="F87" s="1065"/>
    </row>
    <row r="88" spans="1:6" ht="33" customHeight="1" x14ac:dyDescent="0.2">
      <c r="A88" s="97" t="s">
        <v>314</v>
      </c>
      <c r="B88" s="1062" t="s">
        <v>335</v>
      </c>
      <c r="C88" s="1067" t="s">
        <v>336</v>
      </c>
      <c r="D88" s="1068"/>
      <c r="E88" s="1071" t="s">
        <v>337</v>
      </c>
      <c r="F88" s="1072"/>
    </row>
    <row r="89" spans="1:6" ht="35.25" customHeight="1" thickBot="1" x14ac:dyDescent="0.25">
      <c r="A89" s="265" t="s">
        <v>338</v>
      </c>
      <c r="B89" s="1066"/>
      <c r="C89" s="1069"/>
      <c r="D89" s="1070"/>
      <c r="E89" s="1073"/>
      <c r="F89" s="1074"/>
    </row>
    <row r="90" spans="1:6" ht="24.75" customHeight="1" x14ac:dyDescent="0.2">
      <c r="A90" s="269" t="str">
        <f>+A11</f>
        <v>1. (Example: CMAQ)</v>
      </c>
      <c r="B90" s="277"/>
      <c r="C90" s="1036"/>
      <c r="D90" s="1037"/>
      <c r="E90" s="1036" t="s">
        <v>339</v>
      </c>
      <c r="F90" s="1037"/>
    </row>
    <row r="91" spans="1:6" ht="21" customHeight="1" x14ac:dyDescent="0.2">
      <c r="A91" s="270" t="str">
        <f t="shared" ref="A91:A93" si="7">+A12</f>
        <v>2.</v>
      </c>
      <c r="B91" s="278"/>
      <c r="C91" s="1034"/>
      <c r="D91" s="1035"/>
      <c r="E91" s="1034"/>
      <c r="F91" s="1035"/>
    </row>
    <row r="92" spans="1:6" ht="21" customHeight="1" x14ac:dyDescent="0.2">
      <c r="A92" s="270" t="str">
        <f t="shared" si="7"/>
        <v>3.</v>
      </c>
      <c r="B92" s="278"/>
      <c r="C92" s="1034"/>
      <c r="D92" s="1035"/>
      <c r="E92" s="1034"/>
      <c r="F92" s="1035"/>
    </row>
    <row r="93" spans="1:6" ht="21" customHeight="1" thickBot="1" x14ac:dyDescent="0.25">
      <c r="A93" s="272" t="str">
        <f t="shared" si="7"/>
        <v>4.</v>
      </c>
      <c r="B93" s="279"/>
      <c r="C93" s="1038"/>
      <c r="D93" s="1039"/>
      <c r="E93" s="1038"/>
      <c r="F93" s="1039"/>
    </row>
    <row r="94" spans="1:6" ht="34.5" customHeight="1" x14ac:dyDescent="0.2">
      <c r="A94" s="97" t="s">
        <v>320</v>
      </c>
      <c r="B94" s="1047" t="s">
        <v>335</v>
      </c>
      <c r="C94" s="1049" t="s">
        <v>336</v>
      </c>
      <c r="D94" s="1050"/>
      <c r="E94" s="1049" t="s">
        <v>337</v>
      </c>
      <c r="F94" s="1050"/>
    </row>
    <row r="95" spans="1:6" ht="33" customHeight="1" thickBot="1" x14ac:dyDescent="0.25">
      <c r="A95" s="265" t="s">
        <v>338</v>
      </c>
      <c r="B95" s="1048"/>
      <c r="C95" s="1051"/>
      <c r="D95" s="1052"/>
      <c r="E95" s="1051"/>
      <c r="F95" s="1052"/>
    </row>
    <row r="96" spans="1:6" ht="46.5" customHeight="1" x14ac:dyDescent="0.2">
      <c r="A96" s="269" t="str">
        <f>+A17</f>
        <v>1. (Example: State Transportation Fund)</v>
      </c>
      <c r="B96" s="277"/>
      <c r="C96" s="1036"/>
      <c r="D96" s="1037"/>
      <c r="E96" s="1036" t="s">
        <v>340</v>
      </c>
      <c r="F96" s="1037"/>
    </row>
    <row r="97" spans="1:6" ht="23.25" customHeight="1" x14ac:dyDescent="0.2">
      <c r="A97" s="270" t="str">
        <f t="shared" ref="A97:A101" si="8">+A18</f>
        <v>2.</v>
      </c>
      <c r="B97" s="278"/>
      <c r="C97" s="1034"/>
      <c r="D97" s="1035"/>
      <c r="E97" s="1034"/>
      <c r="F97" s="1035"/>
    </row>
    <row r="98" spans="1:6" ht="23.25" customHeight="1" x14ac:dyDescent="0.2">
      <c r="A98" s="270" t="str">
        <f t="shared" si="8"/>
        <v>3.</v>
      </c>
      <c r="B98" s="278"/>
      <c r="C98" s="1034"/>
      <c r="D98" s="1035"/>
      <c r="E98" s="1034"/>
      <c r="F98" s="1035"/>
    </row>
    <row r="99" spans="1:6" ht="23.25" customHeight="1" x14ac:dyDescent="0.2">
      <c r="A99" s="270" t="str">
        <f t="shared" si="8"/>
        <v>4.</v>
      </c>
      <c r="B99" s="278"/>
      <c r="C99" s="1034"/>
      <c r="D99" s="1035"/>
      <c r="E99" s="1034"/>
      <c r="F99" s="1035"/>
    </row>
    <row r="100" spans="1:6" ht="23.25" customHeight="1" x14ac:dyDescent="0.2">
      <c r="A100" s="270" t="str">
        <f t="shared" si="8"/>
        <v>5.</v>
      </c>
      <c r="B100" s="278"/>
      <c r="C100" s="1034"/>
      <c r="D100" s="1035"/>
      <c r="E100" s="1034"/>
      <c r="F100" s="1035"/>
    </row>
    <row r="101" spans="1:6" ht="23.25" customHeight="1" thickBot="1" x14ac:dyDescent="0.25">
      <c r="A101" s="272" t="str">
        <f t="shared" si="8"/>
        <v>6</v>
      </c>
      <c r="B101" s="279"/>
      <c r="C101" s="1038"/>
      <c r="D101" s="1039"/>
      <c r="E101" s="1038"/>
      <c r="F101" s="1039"/>
    </row>
    <row r="102" spans="1:6" ht="30.75" customHeight="1" x14ac:dyDescent="0.2">
      <c r="A102" s="98" t="s">
        <v>326</v>
      </c>
      <c r="B102" s="1047" t="s">
        <v>335</v>
      </c>
      <c r="C102" s="1049" t="s">
        <v>336</v>
      </c>
      <c r="D102" s="1050"/>
      <c r="E102" s="1049" t="s">
        <v>337</v>
      </c>
      <c r="F102" s="1050"/>
    </row>
    <row r="103" spans="1:6" ht="27" customHeight="1" thickBot="1" x14ac:dyDescent="0.25">
      <c r="A103" s="265" t="s">
        <v>338</v>
      </c>
      <c r="B103" s="1048"/>
      <c r="C103" s="1051"/>
      <c r="D103" s="1052"/>
      <c r="E103" s="1051"/>
      <c r="F103" s="1052"/>
    </row>
    <row r="104" spans="1:6" ht="55.5" customHeight="1" x14ac:dyDescent="0.2">
      <c r="A104" s="273" t="str">
        <f>+A25</f>
        <v>1.</v>
      </c>
      <c r="B104" s="277"/>
      <c r="C104" s="1036"/>
      <c r="D104" s="1037"/>
      <c r="E104" s="1036" t="s">
        <v>341</v>
      </c>
      <c r="F104" s="1037"/>
    </row>
    <row r="105" spans="1:6" ht="26.25" customHeight="1" x14ac:dyDescent="0.2">
      <c r="A105" s="270" t="str">
        <f t="shared" ref="A105:A115" si="9">+A26</f>
        <v>2.</v>
      </c>
      <c r="B105" s="278"/>
      <c r="C105" s="1034"/>
      <c r="D105" s="1035"/>
      <c r="E105" s="1034"/>
      <c r="F105" s="1035"/>
    </row>
    <row r="106" spans="1:6" ht="26.25" customHeight="1" x14ac:dyDescent="0.2">
      <c r="A106" s="270" t="str">
        <f t="shared" si="9"/>
        <v>3.</v>
      </c>
      <c r="B106" s="278"/>
      <c r="C106" s="1034"/>
      <c r="D106" s="1035"/>
      <c r="E106" s="1034"/>
      <c r="F106" s="1035"/>
    </row>
    <row r="107" spans="1:6" ht="26.25" customHeight="1" x14ac:dyDescent="0.2">
      <c r="A107" s="270" t="str">
        <f t="shared" si="9"/>
        <v>4.</v>
      </c>
      <c r="B107" s="278"/>
      <c r="C107" s="1034"/>
      <c r="D107" s="1035"/>
      <c r="E107" s="1034"/>
      <c r="F107" s="1035"/>
    </row>
    <row r="108" spans="1:6" ht="26.25" customHeight="1" x14ac:dyDescent="0.2">
      <c r="A108" s="270" t="str">
        <f t="shared" si="9"/>
        <v>5.</v>
      </c>
      <c r="B108" s="278"/>
      <c r="C108" s="1034"/>
      <c r="D108" s="1035"/>
      <c r="E108" s="1034"/>
      <c r="F108" s="1035"/>
    </row>
    <row r="109" spans="1:6" ht="26.25" customHeight="1" x14ac:dyDescent="0.2">
      <c r="A109" s="270" t="str">
        <f t="shared" si="9"/>
        <v>6.</v>
      </c>
      <c r="B109" s="278"/>
      <c r="C109" s="1034"/>
      <c r="D109" s="1035"/>
      <c r="E109" s="1034"/>
      <c r="F109" s="1035"/>
    </row>
    <row r="110" spans="1:6" ht="26.25" customHeight="1" x14ac:dyDescent="0.2">
      <c r="A110" s="270" t="str">
        <f t="shared" si="9"/>
        <v>7.</v>
      </c>
      <c r="B110" s="278"/>
      <c r="C110" s="1034"/>
      <c r="D110" s="1035"/>
      <c r="E110" s="1034"/>
      <c r="F110" s="1035"/>
    </row>
    <row r="111" spans="1:6" ht="26.25" customHeight="1" x14ac:dyDescent="0.2">
      <c r="A111" s="270" t="str">
        <f t="shared" si="9"/>
        <v>8.</v>
      </c>
      <c r="B111" s="278"/>
      <c r="C111" s="1034"/>
      <c r="D111" s="1035"/>
      <c r="E111" s="1034"/>
      <c r="F111" s="1035"/>
    </row>
    <row r="112" spans="1:6" ht="26.25" customHeight="1" x14ac:dyDescent="0.2">
      <c r="A112" s="270" t="str">
        <f t="shared" si="9"/>
        <v>9.</v>
      </c>
      <c r="B112" s="278"/>
      <c r="C112" s="1034"/>
      <c r="D112" s="1035"/>
      <c r="E112" s="1034"/>
      <c r="F112" s="1035"/>
    </row>
    <row r="113" spans="1:6" ht="26.25" customHeight="1" x14ac:dyDescent="0.2">
      <c r="A113" s="270" t="str">
        <f t="shared" si="9"/>
        <v>10.</v>
      </c>
      <c r="B113" s="278"/>
      <c r="C113" s="1034"/>
      <c r="D113" s="1035"/>
      <c r="E113" s="1034"/>
      <c r="F113" s="1035"/>
    </row>
    <row r="114" spans="1:6" ht="26.25" customHeight="1" x14ac:dyDescent="0.2">
      <c r="A114" s="270" t="str">
        <f t="shared" si="9"/>
        <v>11.</v>
      </c>
      <c r="B114" s="278"/>
      <c r="C114" s="1034"/>
      <c r="D114" s="1035"/>
      <c r="E114" s="1034"/>
      <c r="F114" s="1035"/>
    </row>
    <row r="115" spans="1:6" ht="26.25" customHeight="1" thickBot="1" x14ac:dyDescent="0.25">
      <c r="A115" s="270" t="str">
        <f t="shared" si="9"/>
        <v>12.</v>
      </c>
      <c r="B115" s="279"/>
      <c r="C115" s="1038"/>
      <c r="D115" s="1039"/>
      <c r="E115" s="1038"/>
      <c r="F115" s="1039"/>
    </row>
    <row r="116" spans="1:6" ht="26.25" customHeight="1" x14ac:dyDescent="0.2">
      <c r="A116" s="98" t="s">
        <v>331</v>
      </c>
      <c r="B116" s="1047" t="s">
        <v>342</v>
      </c>
      <c r="C116" s="1049" t="s">
        <v>336</v>
      </c>
      <c r="D116" s="1050"/>
      <c r="E116" s="1049" t="s">
        <v>343</v>
      </c>
      <c r="F116" s="1050"/>
    </row>
    <row r="117" spans="1:6" ht="28.5" customHeight="1" thickBot="1" x14ac:dyDescent="0.25">
      <c r="A117" s="265" t="s">
        <v>338</v>
      </c>
      <c r="B117" s="1048"/>
      <c r="C117" s="1051"/>
      <c r="D117" s="1052"/>
      <c r="E117" s="1051"/>
      <c r="F117" s="1052"/>
    </row>
    <row r="118" spans="1:6" ht="30" customHeight="1" x14ac:dyDescent="0.2">
      <c r="A118" s="273" t="str">
        <f>+A39</f>
        <v>1.</v>
      </c>
      <c r="B118" s="277"/>
      <c r="C118" s="1036"/>
      <c r="D118" s="1037"/>
      <c r="E118" s="1036" t="s">
        <v>344</v>
      </c>
      <c r="F118" s="1037"/>
    </row>
    <row r="119" spans="1:6" ht="22.5" customHeight="1" x14ac:dyDescent="0.2">
      <c r="A119" s="270" t="str">
        <f t="shared" ref="A119:A122" si="10">+A40</f>
        <v>2.</v>
      </c>
      <c r="B119" s="278"/>
      <c r="C119" s="1034"/>
      <c r="D119" s="1035"/>
      <c r="E119" s="1034"/>
      <c r="F119" s="1035"/>
    </row>
    <row r="120" spans="1:6" ht="22.5" customHeight="1" x14ac:dyDescent="0.2">
      <c r="A120" s="270" t="str">
        <f t="shared" si="10"/>
        <v>3.</v>
      </c>
      <c r="B120" s="278"/>
      <c r="C120" s="1034"/>
      <c r="D120" s="1035"/>
      <c r="E120" s="1034"/>
      <c r="F120" s="1035"/>
    </row>
    <row r="121" spans="1:6" ht="22.5" customHeight="1" x14ac:dyDescent="0.2">
      <c r="A121" s="270" t="str">
        <f t="shared" si="10"/>
        <v>4.</v>
      </c>
      <c r="B121" s="278"/>
      <c r="C121" s="1034"/>
      <c r="D121" s="1035"/>
      <c r="E121" s="1034"/>
      <c r="F121" s="1035"/>
    </row>
    <row r="122" spans="1:6" ht="22.5" customHeight="1" thickBot="1" x14ac:dyDescent="0.25">
      <c r="A122" s="272" t="str">
        <f t="shared" si="10"/>
        <v>5.</v>
      </c>
      <c r="B122" s="279"/>
      <c r="C122" s="1038"/>
      <c r="D122" s="1039"/>
      <c r="E122" s="1038"/>
      <c r="F122" s="1039"/>
    </row>
    <row r="123" spans="1:6" ht="12" customHeight="1" x14ac:dyDescent="0.2">
      <c r="A123" s="274"/>
      <c r="B123" s="274"/>
      <c r="C123" s="275"/>
      <c r="D123" s="275"/>
      <c r="E123" s="275"/>
      <c r="F123" s="275"/>
    </row>
    <row r="124" spans="1:6" ht="18.75" customHeight="1" x14ac:dyDescent="0.2">
      <c r="A124" s="267" t="s">
        <v>345</v>
      </c>
      <c r="B124" s="266"/>
      <c r="C124" s="266"/>
      <c r="D124" s="266"/>
      <c r="E124" s="266"/>
      <c r="F124" s="266"/>
    </row>
    <row r="125" spans="1:6" ht="54.75" customHeight="1" x14ac:dyDescent="0.2">
      <c r="A125" s="1045" t="s">
        <v>346</v>
      </c>
      <c r="B125" s="1046"/>
      <c r="C125" s="1046"/>
      <c r="D125" s="1046"/>
      <c r="E125" s="1046"/>
      <c r="F125" s="1046"/>
    </row>
    <row r="126" spans="1:6" ht="57.75" customHeight="1" x14ac:dyDescent="0.2">
      <c r="A126" s="1045" t="s">
        <v>347</v>
      </c>
      <c r="B126" s="1046"/>
      <c r="C126" s="1046"/>
      <c r="D126" s="1046"/>
      <c r="E126" s="1046"/>
      <c r="F126" s="1046"/>
    </row>
    <row r="127" spans="1:6" ht="36" customHeight="1" x14ac:dyDescent="0.2">
      <c r="A127" s="1043" t="s">
        <v>348</v>
      </c>
      <c r="B127" s="1053"/>
      <c r="C127" s="1053"/>
      <c r="D127" s="1053"/>
      <c r="E127" s="1053"/>
      <c r="F127" s="1053"/>
    </row>
    <row r="128" spans="1:6" ht="58.35" customHeight="1" x14ac:dyDescent="0.2">
      <c r="A128" s="1042" t="s">
        <v>349</v>
      </c>
      <c r="B128" s="1043"/>
      <c r="C128" s="1043"/>
      <c r="D128" s="1043"/>
      <c r="E128" s="1043"/>
      <c r="F128" s="1043"/>
    </row>
    <row r="129" spans="1:6" ht="16.5" customHeight="1" x14ac:dyDescent="0.2">
      <c r="A129" s="1043" t="s">
        <v>350</v>
      </c>
      <c r="B129" s="1043"/>
      <c r="C129" s="1043"/>
      <c r="D129" s="1043"/>
      <c r="E129" s="1043"/>
      <c r="F129" s="1043"/>
    </row>
    <row r="130" spans="1:6" ht="15.75" thickBot="1" x14ac:dyDescent="0.25">
      <c r="A130" s="1044"/>
      <c r="B130" s="1044"/>
      <c r="C130" s="1044"/>
      <c r="D130" s="1044"/>
      <c r="E130" s="1044"/>
      <c r="F130" s="1044"/>
    </row>
    <row r="131" spans="1:6" s="7" customFormat="1" ht="25.5" customHeight="1" thickBot="1" x14ac:dyDescent="0.25">
      <c r="A131" s="985" t="s">
        <v>351</v>
      </c>
      <c r="B131" s="986"/>
      <c r="C131" s="986"/>
      <c r="D131" s="986"/>
      <c r="E131" s="986"/>
      <c r="F131" s="987"/>
    </row>
    <row r="132" spans="1:6" s="11" customFormat="1" ht="15.75" customHeight="1" x14ac:dyDescent="0.2">
      <c r="A132" s="1054" t="s">
        <v>352</v>
      </c>
      <c r="B132" s="1055"/>
      <c r="C132" s="1055"/>
      <c r="D132" s="1055"/>
      <c r="E132" s="1055"/>
      <c r="F132" s="1056"/>
    </row>
    <row r="133" spans="1:6" s="11" customFormat="1" ht="27" customHeight="1" thickBot="1" x14ac:dyDescent="0.25">
      <c r="A133" s="1057" t="s">
        <v>353</v>
      </c>
      <c r="B133" s="1058"/>
      <c r="C133" s="1058"/>
      <c r="D133" s="1058"/>
      <c r="E133" s="1058"/>
      <c r="F133" s="1059"/>
    </row>
    <row r="134" spans="1:6" s="11" customFormat="1" ht="45" customHeight="1" thickBot="1" x14ac:dyDescent="0.25">
      <c r="A134" s="99" t="s">
        <v>354</v>
      </c>
      <c r="B134" s="276" t="s">
        <v>355</v>
      </c>
      <c r="C134" s="298" t="s">
        <v>356</v>
      </c>
      <c r="D134" s="1040" t="s">
        <v>357</v>
      </c>
      <c r="E134" s="1041"/>
      <c r="F134" s="298" t="s">
        <v>358</v>
      </c>
    </row>
    <row r="135" spans="1:6" s="11" customFormat="1" ht="21" customHeight="1" x14ac:dyDescent="0.2">
      <c r="A135" s="360"/>
      <c r="B135" s="361"/>
      <c r="C135" s="296"/>
      <c r="D135" s="1036"/>
      <c r="E135" s="1037"/>
      <c r="F135" s="296"/>
    </row>
    <row r="136" spans="1:6" s="11" customFormat="1" ht="21" customHeight="1" x14ac:dyDescent="0.2">
      <c r="A136" s="362"/>
      <c r="B136" s="363"/>
      <c r="C136" s="295"/>
      <c r="D136" s="1034"/>
      <c r="E136" s="1035"/>
      <c r="F136" s="295"/>
    </row>
    <row r="137" spans="1:6" s="11" customFormat="1" ht="21" customHeight="1" x14ac:dyDescent="0.2">
      <c r="A137" s="362"/>
      <c r="B137" s="363"/>
      <c r="C137" s="295"/>
      <c r="D137" s="1034"/>
      <c r="E137" s="1035"/>
      <c r="F137" s="295"/>
    </row>
    <row r="138" spans="1:6" s="11" customFormat="1" ht="21" customHeight="1" thickBot="1" x14ac:dyDescent="0.25">
      <c r="A138" s="364"/>
      <c r="B138" s="365"/>
      <c r="C138" s="297"/>
      <c r="D138" s="1038"/>
      <c r="E138" s="1039"/>
      <c r="F138" s="297"/>
    </row>
    <row r="139" spans="1:6" s="11" customFormat="1" ht="18.75" customHeight="1" thickBot="1" x14ac:dyDescent="0.25">
      <c r="A139" s="1119"/>
      <c r="B139" s="1120"/>
      <c r="C139" s="1120"/>
      <c r="D139" s="1120"/>
      <c r="E139" s="1120"/>
      <c r="F139" s="1121"/>
    </row>
    <row r="140" spans="1:6" s="11" customFormat="1" ht="18.75" customHeight="1" thickBot="1" x14ac:dyDescent="0.25">
      <c r="A140" s="1040" t="s">
        <v>359</v>
      </c>
      <c r="B140" s="1099"/>
      <c r="C140" s="1099"/>
      <c r="D140" s="1099"/>
      <c r="E140" s="1099"/>
      <c r="F140" s="1041"/>
    </row>
    <row r="141" spans="1:6" s="11" customFormat="1" ht="48.75" customHeight="1" thickBot="1" x14ac:dyDescent="0.25">
      <c r="A141" s="100" t="s">
        <v>360</v>
      </c>
      <c r="B141" s="366"/>
      <c r="C141" s="1108" t="s">
        <v>361</v>
      </c>
      <c r="D141" s="1109"/>
      <c r="E141" s="1100"/>
      <c r="F141" s="1101"/>
    </row>
    <row r="142" spans="1:6" s="11" customFormat="1" ht="55.35" customHeight="1" thickBot="1" x14ac:dyDescent="0.25">
      <c r="A142" s="101" t="s">
        <v>362</v>
      </c>
      <c r="B142" s="298" t="s">
        <v>363</v>
      </c>
      <c r="C142" s="298" t="s">
        <v>364</v>
      </c>
      <c r="D142" s="298" t="s">
        <v>365</v>
      </c>
      <c r="E142" s="1094" t="s">
        <v>366</v>
      </c>
      <c r="F142" s="1080"/>
    </row>
    <row r="143" spans="1:6" s="11" customFormat="1" ht="21" customHeight="1" x14ac:dyDescent="0.2">
      <c r="A143" s="439" t="s">
        <v>367</v>
      </c>
      <c r="B143" s="367"/>
      <c r="C143" s="368" t="s">
        <v>112</v>
      </c>
      <c r="D143" s="368" t="s">
        <v>112</v>
      </c>
      <c r="E143" s="1097" t="s">
        <v>112</v>
      </c>
      <c r="F143" s="1098"/>
    </row>
    <row r="144" spans="1:6" s="11" customFormat="1" ht="21" customHeight="1" x14ac:dyDescent="0.2">
      <c r="A144" s="271" t="s">
        <v>368</v>
      </c>
      <c r="B144" s="369"/>
      <c r="C144" s="349"/>
      <c r="D144" s="349"/>
      <c r="E144" s="1102"/>
      <c r="F144" s="1103"/>
    </row>
    <row r="145" spans="1:6" s="11" customFormat="1" ht="21" customHeight="1" x14ac:dyDescent="0.2">
      <c r="A145" s="271" t="s">
        <v>369</v>
      </c>
      <c r="B145" s="369"/>
      <c r="C145" s="349"/>
      <c r="D145" s="349"/>
      <c r="E145" s="1102"/>
      <c r="F145" s="1103"/>
    </row>
    <row r="146" spans="1:6" s="11" customFormat="1" ht="21" customHeight="1" x14ac:dyDescent="0.2">
      <c r="A146" s="271" t="s">
        <v>370</v>
      </c>
      <c r="B146" s="369"/>
      <c r="C146" s="349"/>
      <c r="D146" s="349"/>
      <c r="E146" s="1102"/>
      <c r="F146" s="1103"/>
    </row>
    <row r="147" spans="1:6" s="11" customFormat="1" ht="21" customHeight="1" x14ac:dyDescent="0.2">
      <c r="A147" s="271" t="s">
        <v>371</v>
      </c>
      <c r="B147" s="369"/>
      <c r="C147" s="349"/>
      <c r="D147" s="349"/>
      <c r="E147" s="1102"/>
      <c r="F147" s="1103"/>
    </row>
    <row r="148" spans="1:6" s="11" customFormat="1" ht="21" customHeight="1" x14ac:dyDescent="0.2">
      <c r="A148" s="271" t="s">
        <v>372</v>
      </c>
      <c r="B148" s="369"/>
      <c r="C148" s="349"/>
      <c r="D148" s="349"/>
      <c r="E148" s="1102"/>
      <c r="F148" s="1103"/>
    </row>
    <row r="149" spans="1:6" s="11" customFormat="1" ht="21" customHeight="1" x14ac:dyDescent="0.2">
      <c r="A149" s="271" t="s">
        <v>373</v>
      </c>
      <c r="B149" s="369"/>
      <c r="C149" s="349"/>
      <c r="D149" s="349"/>
      <c r="E149" s="1102"/>
      <c r="F149" s="1103"/>
    </row>
    <row r="150" spans="1:6" s="11" customFormat="1" ht="21" customHeight="1" thickBot="1" x14ac:dyDescent="0.25">
      <c r="A150" s="280" t="s">
        <v>374</v>
      </c>
      <c r="B150" s="370"/>
      <c r="C150" s="371"/>
      <c r="D150" s="420"/>
      <c r="E150" s="1106"/>
      <c r="F150" s="1107"/>
    </row>
    <row r="151" spans="1:6" s="11" customFormat="1" ht="14.25" thickTop="1" thickBot="1" x14ac:dyDescent="0.25">
      <c r="A151" s="314" t="s">
        <v>375</v>
      </c>
      <c r="B151" s="372">
        <f>SUM(B143:B150)</f>
        <v>0</v>
      </c>
      <c r="C151" s="373"/>
      <c r="D151" s="421"/>
      <c r="E151" s="1104"/>
      <c r="F151" s="1105"/>
    </row>
    <row r="152" spans="1:6" s="11" customFormat="1" ht="18.75" customHeight="1" thickBot="1" x14ac:dyDescent="0.25">
      <c r="A152" s="1119"/>
      <c r="B152" s="1120"/>
      <c r="C152" s="1120"/>
      <c r="D152" s="1120"/>
      <c r="E152" s="1120"/>
      <c r="F152" s="1121"/>
    </row>
    <row r="153" spans="1:6" s="11" customFormat="1" ht="21.75" customHeight="1" thickBot="1" x14ac:dyDescent="0.25">
      <c r="A153" s="1040" t="s">
        <v>376</v>
      </c>
      <c r="B153" s="1099"/>
      <c r="C153" s="1099"/>
      <c r="D153" s="1099"/>
      <c r="E153" s="1099"/>
      <c r="F153" s="1041"/>
    </row>
    <row r="154" spans="1:6" s="11" customFormat="1" ht="12.75" customHeight="1" x14ac:dyDescent="0.2">
      <c r="A154" s="102" t="s">
        <v>377</v>
      </c>
      <c r="B154" s="1050" t="s">
        <v>378</v>
      </c>
      <c r="C154" s="1124" t="s">
        <v>379</v>
      </c>
      <c r="D154" s="1125"/>
      <c r="E154" s="1122" t="s">
        <v>380</v>
      </c>
      <c r="F154" s="1050"/>
    </row>
    <row r="155" spans="1:6" s="11" customFormat="1" ht="42" customHeight="1" thickBot="1" x14ac:dyDescent="0.25">
      <c r="A155" s="374" t="s">
        <v>381</v>
      </c>
      <c r="B155" s="1052"/>
      <c r="C155" s="1126"/>
      <c r="D155" s="1127"/>
      <c r="E155" s="1123"/>
      <c r="F155" s="1052"/>
    </row>
    <row r="156" spans="1:6" s="11" customFormat="1" ht="21.75" customHeight="1" x14ac:dyDescent="0.2">
      <c r="A156" s="281" t="s">
        <v>382</v>
      </c>
      <c r="B156" s="282"/>
      <c r="C156" s="1129" t="s">
        <v>382</v>
      </c>
      <c r="D156" s="1130"/>
      <c r="E156" s="1131"/>
      <c r="F156" s="1132"/>
    </row>
    <row r="157" spans="1:6" s="11" customFormat="1" ht="21.75" customHeight="1" x14ac:dyDescent="0.2">
      <c r="A157" s="103" t="s">
        <v>383</v>
      </c>
      <c r="B157" s="349"/>
      <c r="C157" s="1095" t="s">
        <v>383</v>
      </c>
      <c r="D157" s="1096"/>
      <c r="E157" s="1128"/>
      <c r="F157" s="1084"/>
    </row>
    <row r="158" spans="1:6" s="11" customFormat="1" ht="21.75" customHeight="1" x14ac:dyDescent="0.2">
      <c r="A158" s="104" t="s">
        <v>384</v>
      </c>
      <c r="B158" s="349"/>
      <c r="C158" s="1095" t="s">
        <v>385</v>
      </c>
      <c r="D158" s="1096"/>
      <c r="E158" s="1128"/>
      <c r="F158" s="1084"/>
    </row>
    <row r="159" spans="1:6" s="11" customFormat="1" ht="21.75" customHeight="1" x14ac:dyDescent="0.2">
      <c r="A159" s="103" t="s">
        <v>386</v>
      </c>
      <c r="B159" s="375"/>
      <c r="C159" s="1095" t="s">
        <v>386</v>
      </c>
      <c r="D159" s="1096"/>
      <c r="E159" s="1112"/>
      <c r="F159" s="1113"/>
    </row>
    <row r="160" spans="1:6" s="11" customFormat="1" ht="21.75" customHeight="1" x14ac:dyDescent="0.2">
      <c r="A160" s="103" t="s">
        <v>387</v>
      </c>
      <c r="B160" s="349"/>
      <c r="C160" s="1095"/>
      <c r="D160" s="1096"/>
      <c r="E160" s="1116"/>
      <c r="F160" s="1076"/>
    </row>
    <row r="161" spans="1:6" s="11" customFormat="1" ht="21.75" customHeight="1" x14ac:dyDescent="0.2">
      <c r="A161" s="103" t="s">
        <v>388</v>
      </c>
      <c r="B161" s="349"/>
      <c r="C161" s="1095"/>
      <c r="D161" s="1096"/>
      <c r="E161" s="1116"/>
      <c r="F161" s="1076"/>
    </row>
    <row r="162" spans="1:6" s="11" customFormat="1" ht="21.75" customHeight="1" x14ac:dyDescent="0.2">
      <c r="A162" s="103" t="s">
        <v>389</v>
      </c>
      <c r="B162" s="376"/>
      <c r="C162" s="1095" t="s">
        <v>390</v>
      </c>
      <c r="D162" s="1096"/>
      <c r="E162" s="1117"/>
      <c r="F162" s="1118"/>
    </row>
    <row r="163" spans="1:6" s="11" customFormat="1" ht="21.75" customHeight="1" thickBot="1" x14ac:dyDescent="0.25">
      <c r="A163" s="105" t="s">
        <v>391</v>
      </c>
      <c r="B163" s="377"/>
      <c r="C163" s="1110" t="s">
        <v>392</v>
      </c>
      <c r="D163" s="1111"/>
      <c r="E163" s="1114"/>
      <c r="F163" s="1115"/>
    </row>
    <row r="165" spans="1:6" x14ac:dyDescent="0.2">
      <c r="A165" s="5"/>
    </row>
  </sheetData>
  <sheetProtection algorithmName="SHA-512" hashValue="xGSWkdOAOEAz8WsRe0gwjRY5EgJI3VS5yOF15MTqYNfGPoKaXvd4IdwSfg/3ARlmsNtbWbLhTaMmcWMXTH1lMg==" saltValue="OihzAqGxLGK1OHiTsQjImA==" spinCount="100000" sheet="1" formatCells="0" formatColumns="0" formatRows="0" insertColumns="0" insertRows="0" insertHyperlinks="0" selectLockedCells="1"/>
  <customSheetViews>
    <customSheetView guid="{AB5399CE-BEB7-40AA-A66C-46449E135DF8}" scale="93" showGridLines="0" topLeftCell="A84">
      <selection activeCell="E4" sqref="E4:F4"/>
      <rowBreaks count="2" manualBreakCount="2">
        <brk id="34" max="5" man="1"/>
        <brk id="65" max="16383" man="1"/>
      </rowBreaks>
      <pageMargins left="0" right="0" top="0" bottom="0" header="0" footer="0"/>
      <printOptions horizontalCentered="1"/>
      <pageSetup scale="77" fitToHeight="3" orientation="landscape" r:id="rId1"/>
      <headerFooter alignWithMargins="0"/>
    </customSheetView>
  </customSheetViews>
  <mergeCells count="253">
    <mergeCell ref="D59:E59"/>
    <mergeCell ref="A1:F1"/>
    <mergeCell ref="B2:F2"/>
    <mergeCell ref="D42:E42"/>
    <mergeCell ref="C23:C24"/>
    <mergeCell ref="D23:E24"/>
    <mergeCell ref="F23:F24"/>
    <mergeCell ref="A21:B21"/>
    <mergeCell ref="D21:E21"/>
    <mergeCell ref="A22:B22"/>
    <mergeCell ref="D22:E22"/>
    <mergeCell ref="A23:B23"/>
    <mergeCell ref="A24:B24"/>
    <mergeCell ref="D25:E25"/>
    <mergeCell ref="D31:E31"/>
    <mergeCell ref="A45:C45"/>
    <mergeCell ref="A49:F49"/>
    <mergeCell ref="E4:F4"/>
    <mergeCell ref="A32:B32"/>
    <mergeCell ref="A17:B17"/>
    <mergeCell ref="D17:E17"/>
    <mergeCell ref="A18:B18"/>
    <mergeCell ref="D18:E18"/>
    <mergeCell ref="F15:F16"/>
    <mergeCell ref="F50:F51"/>
    <mergeCell ref="A47:F47"/>
    <mergeCell ref="D39:E39"/>
    <mergeCell ref="D58:E58"/>
    <mergeCell ref="A19:B19"/>
    <mergeCell ref="D37:E38"/>
    <mergeCell ref="D45:E45"/>
    <mergeCell ref="F37:F38"/>
    <mergeCell ref="A43:B43"/>
    <mergeCell ref="A37:B37"/>
    <mergeCell ref="A38:B38"/>
    <mergeCell ref="A39:B39"/>
    <mergeCell ref="A40:B40"/>
    <mergeCell ref="A41:B41"/>
    <mergeCell ref="D40:E40"/>
    <mergeCell ref="D41:E41"/>
    <mergeCell ref="A48:F48"/>
    <mergeCell ref="C50:C51"/>
    <mergeCell ref="A44:F44"/>
    <mergeCell ref="A46:C46"/>
    <mergeCell ref="D46:E46"/>
    <mergeCell ref="D43:E43"/>
    <mergeCell ref="A42:B42"/>
    <mergeCell ref="C37:C38"/>
    <mergeCell ref="A3:F3"/>
    <mergeCell ref="A8:F8"/>
    <mergeCell ref="A12:B12"/>
    <mergeCell ref="D12:E12"/>
    <mergeCell ref="A9:B9"/>
    <mergeCell ref="C6:F6"/>
    <mergeCell ref="A10:B10"/>
    <mergeCell ref="C9:C10"/>
    <mergeCell ref="D9:E10"/>
    <mergeCell ref="A7:D7"/>
    <mergeCell ref="E7:F7"/>
    <mergeCell ref="C4:D4"/>
    <mergeCell ref="A31:B31"/>
    <mergeCell ref="D33:E33"/>
    <mergeCell ref="D34:E34"/>
    <mergeCell ref="D35:E35"/>
    <mergeCell ref="A35:B35"/>
    <mergeCell ref="A34:B34"/>
    <mergeCell ref="A33:B33"/>
    <mergeCell ref="A36:B36"/>
    <mergeCell ref="C5:D5"/>
    <mergeCell ref="E5:F5"/>
    <mergeCell ref="A14:B14"/>
    <mergeCell ref="D14:E14"/>
    <mergeCell ref="F9:F10"/>
    <mergeCell ref="A11:B11"/>
    <mergeCell ref="D11:E11"/>
    <mergeCell ref="A13:B13"/>
    <mergeCell ref="D13:E13"/>
    <mergeCell ref="A15:B15"/>
    <mergeCell ref="A16:B16"/>
    <mergeCell ref="C15:C16"/>
    <mergeCell ref="D15:E16"/>
    <mergeCell ref="A20:B20"/>
    <mergeCell ref="A26:B26"/>
    <mergeCell ref="A27:B27"/>
    <mergeCell ref="B64:B65"/>
    <mergeCell ref="A139:F139"/>
    <mergeCell ref="D74:E74"/>
    <mergeCell ref="C97:D97"/>
    <mergeCell ref="E97:F97"/>
    <mergeCell ref="C98:D98"/>
    <mergeCell ref="E98:F98"/>
    <mergeCell ref="C78:C79"/>
    <mergeCell ref="D78:E79"/>
    <mergeCell ref="F78:F79"/>
    <mergeCell ref="D81:E81"/>
    <mergeCell ref="D82:E82"/>
    <mergeCell ref="C92:D92"/>
    <mergeCell ref="D75:E75"/>
    <mergeCell ref="D76:E76"/>
    <mergeCell ref="D77:E77"/>
    <mergeCell ref="D80:E80"/>
    <mergeCell ref="D137:E137"/>
    <mergeCell ref="D138:E138"/>
    <mergeCell ref="D68:E68"/>
    <mergeCell ref="D69:E69"/>
    <mergeCell ref="C90:D90"/>
    <mergeCell ref="E90:F90"/>
    <mergeCell ref="C91:D91"/>
    <mergeCell ref="C163:D163"/>
    <mergeCell ref="C158:D158"/>
    <mergeCell ref="C159:D159"/>
    <mergeCell ref="E159:F159"/>
    <mergeCell ref="E163:F163"/>
    <mergeCell ref="E160:F160"/>
    <mergeCell ref="E161:F161"/>
    <mergeCell ref="E162:F162"/>
    <mergeCell ref="A152:F152"/>
    <mergeCell ref="E154:F155"/>
    <mergeCell ref="B154:B155"/>
    <mergeCell ref="C154:D155"/>
    <mergeCell ref="A153:F153"/>
    <mergeCell ref="E158:F158"/>
    <mergeCell ref="C156:D156"/>
    <mergeCell ref="C157:D157"/>
    <mergeCell ref="E156:F156"/>
    <mergeCell ref="E157:F157"/>
    <mergeCell ref="C160:D160"/>
    <mergeCell ref="C161:D161"/>
    <mergeCell ref="D62:E62"/>
    <mergeCell ref="D63:E63"/>
    <mergeCell ref="D66:E66"/>
    <mergeCell ref="D56:E57"/>
    <mergeCell ref="C162:D162"/>
    <mergeCell ref="E142:F142"/>
    <mergeCell ref="E143:F143"/>
    <mergeCell ref="A140:F140"/>
    <mergeCell ref="E141:F141"/>
    <mergeCell ref="E144:F144"/>
    <mergeCell ref="E151:F151"/>
    <mergeCell ref="E145:F145"/>
    <mergeCell ref="E146:F146"/>
    <mergeCell ref="E147:F147"/>
    <mergeCell ref="E148:F148"/>
    <mergeCell ref="E149:F149"/>
    <mergeCell ref="E150:F150"/>
    <mergeCell ref="C141:D141"/>
    <mergeCell ref="D135:E135"/>
    <mergeCell ref="D136:E136"/>
    <mergeCell ref="B56:B57"/>
    <mergeCell ref="C56:C57"/>
    <mergeCell ref="B78:B79"/>
    <mergeCell ref="C64:C65"/>
    <mergeCell ref="A28:B28"/>
    <mergeCell ref="A29:B29"/>
    <mergeCell ref="A30:B30"/>
    <mergeCell ref="D26:E26"/>
    <mergeCell ref="D27:E27"/>
    <mergeCell ref="D28:E28"/>
    <mergeCell ref="D29:E29"/>
    <mergeCell ref="D30:E30"/>
    <mergeCell ref="A25:B25"/>
    <mergeCell ref="D50:E51"/>
    <mergeCell ref="B50:B51"/>
    <mergeCell ref="D36:E36"/>
    <mergeCell ref="A86:F86"/>
    <mergeCell ref="A87:F87"/>
    <mergeCell ref="B88:B89"/>
    <mergeCell ref="C88:D89"/>
    <mergeCell ref="E88:F89"/>
    <mergeCell ref="D83:E83"/>
    <mergeCell ref="D84:E84"/>
    <mergeCell ref="F56:F57"/>
    <mergeCell ref="D52:E52"/>
    <mergeCell ref="D53:E53"/>
    <mergeCell ref="D54:E54"/>
    <mergeCell ref="D55:E55"/>
    <mergeCell ref="D70:E70"/>
    <mergeCell ref="D71:E71"/>
    <mergeCell ref="D72:E72"/>
    <mergeCell ref="D73:E73"/>
    <mergeCell ref="D64:E65"/>
    <mergeCell ref="F64:F65"/>
    <mergeCell ref="D67:E67"/>
    <mergeCell ref="D60:E60"/>
    <mergeCell ref="D61:E61"/>
    <mergeCell ref="E91:F91"/>
    <mergeCell ref="B102:B103"/>
    <mergeCell ref="C102:D103"/>
    <mergeCell ref="E102:F103"/>
    <mergeCell ref="E92:F92"/>
    <mergeCell ref="C93:D93"/>
    <mergeCell ref="E93:F93"/>
    <mergeCell ref="B94:B95"/>
    <mergeCell ref="C94:D95"/>
    <mergeCell ref="E94:F95"/>
    <mergeCell ref="C96:D96"/>
    <mergeCell ref="E96:F96"/>
    <mergeCell ref="E106:F106"/>
    <mergeCell ref="C107:D107"/>
    <mergeCell ref="E107:F107"/>
    <mergeCell ref="C108:D108"/>
    <mergeCell ref="E108:F108"/>
    <mergeCell ref="C99:D99"/>
    <mergeCell ref="E99:F99"/>
    <mergeCell ref="C100:D100"/>
    <mergeCell ref="E100:F100"/>
    <mergeCell ref="C101:D101"/>
    <mergeCell ref="E101:F101"/>
    <mergeCell ref="C122:D122"/>
    <mergeCell ref="E122:F122"/>
    <mergeCell ref="D134:E134"/>
    <mergeCell ref="A128:F128"/>
    <mergeCell ref="A129:F129"/>
    <mergeCell ref="A130:F130"/>
    <mergeCell ref="A125:F125"/>
    <mergeCell ref="C114:D114"/>
    <mergeCell ref="E114:F114"/>
    <mergeCell ref="C115:D115"/>
    <mergeCell ref="E115:F115"/>
    <mergeCell ref="B116:B117"/>
    <mergeCell ref="C116:D117"/>
    <mergeCell ref="E116:F117"/>
    <mergeCell ref="C118:D118"/>
    <mergeCell ref="E118:F118"/>
    <mergeCell ref="A126:F126"/>
    <mergeCell ref="A127:F127"/>
    <mergeCell ref="A131:F131"/>
    <mergeCell ref="A132:F132"/>
    <mergeCell ref="A133:F133"/>
    <mergeCell ref="D19:E19"/>
    <mergeCell ref="D20:E20"/>
    <mergeCell ref="D32:E32"/>
    <mergeCell ref="C119:D119"/>
    <mergeCell ref="E119:F119"/>
    <mergeCell ref="C120:D120"/>
    <mergeCell ref="E120:F120"/>
    <mergeCell ref="C121:D121"/>
    <mergeCell ref="E121:F121"/>
    <mergeCell ref="C109:D109"/>
    <mergeCell ref="E109:F109"/>
    <mergeCell ref="C110:D110"/>
    <mergeCell ref="E110:F110"/>
    <mergeCell ref="C111:D111"/>
    <mergeCell ref="E111:F111"/>
    <mergeCell ref="C112:D112"/>
    <mergeCell ref="E112:F112"/>
    <mergeCell ref="C113:D113"/>
    <mergeCell ref="E113:F113"/>
    <mergeCell ref="C104:D104"/>
    <mergeCell ref="E104:F104"/>
    <mergeCell ref="C105:D105"/>
    <mergeCell ref="E105:F105"/>
    <mergeCell ref="C106:D106"/>
  </mergeCells>
  <phoneticPr fontId="0" type="noConversion"/>
  <dataValidations count="7">
    <dataValidation type="list" allowBlank="1" showInputMessage="1" showErrorMessage="1" sqref="E144:F150" xr:uid="{00000000-0002-0000-0500-000000000000}">
      <formula1>"New,Existing"</formula1>
    </dataValidation>
    <dataValidation type="list" allowBlank="1" showInputMessage="1" showErrorMessage="1" sqref="B80:C84" xr:uid="{00000000-0002-0000-0500-000001000000}">
      <formula1>"(Select….),Yes,No,Not applicable"</formula1>
    </dataValidation>
    <dataValidation type="list" allowBlank="1" showInputMessage="1" showErrorMessage="1" sqref="B52:C55" xr:uid="{00000000-0002-0000-0500-000003000000}">
      <formula1>"(Select…),Yes,No"</formula1>
    </dataValidation>
    <dataValidation type="list" allowBlank="1" showInputMessage="1" showErrorMessage="1" sqref="D52:F55 C66:E77" xr:uid="{00000000-0002-0000-0500-000004000000}">
      <formula1>"(Select…),Yes,No,Not applicable"</formula1>
    </dataValidation>
    <dataValidation type="list" allowBlank="1" showInputMessage="1" showErrorMessage="1" sqref="B58:F63" xr:uid="{00000000-0002-0000-0500-000005000000}">
      <formula1>"(Select….),Yes,No"</formula1>
    </dataValidation>
    <dataValidation type="list" allowBlank="1" showInputMessage="1" showErrorMessage="1" sqref="B66:B77 F66:F77" xr:uid="{00000000-0002-0000-0500-000006000000}">
      <formula1>"(Select….),Yes, No"</formula1>
    </dataValidation>
    <dataValidation type="list" allowBlank="1" showInputMessage="1" showErrorMessage="1" sqref="D144:D150" xr:uid="{DB9FD624-9889-4BF6-B551-EF5CE6C24670}">
      <formula1>"Committed,Budgeted,Planned"</formula1>
    </dataValidation>
  </dataValidations>
  <printOptions horizontalCentered="1"/>
  <pageMargins left="0.75" right="0.75" top="0.75" bottom="0.75" header="0.5" footer="0.5"/>
  <pageSetup scale="52" fitToHeight="3" orientation="landscape" horizontalDpi="4294967293" verticalDpi="4294967293" r:id="rId2"/>
  <headerFooter alignWithMargins="0"/>
  <rowBreaks count="6" manualBreakCount="6">
    <brk id="36" max="5" man="1"/>
    <brk id="47" max="5" man="1"/>
    <brk id="77" max="5" man="1"/>
    <brk id="85" max="5" man="1"/>
    <brk id="112" max="5" man="1"/>
    <brk id="130" max="5" man="1"/>
  </rowBreaks>
  <ignoredErrors>
    <ignoredError sqref="A12:B14 B22 B43 A18:B18 B21 A25:B25 B31 B36 A39:B39 B42" numberStoredAsText="1"/>
  </ignoredErrors>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K19"/>
  <sheetViews>
    <sheetView tabSelected="1" zoomScaleNormal="100" workbookViewId="0">
      <selection activeCell="C12" sqref="C12"/>
    </sheetView>
  </sheetViews>
  <sheetFormatPr defaultColWidth="9.25" defaultRowHeight="15" x14ac:dyDescent="0.2"/>
  <cols>
    <col min="1" max="1" width="31.5" style="3" customWidth="1"/>
    <col min="2" max="2" width="10.5" style="3" customWidth="1"/>
    <col min="3" max="3" width="20.5" style="3" customWidth="1"/>
    <col min="4" max="4" width="10.25" style="3" hidden="1" customWidth="1"/>
    <col min="5" max="5" width="69.75" style="3" customWidth="1"/>
    <col min="6" max="6" width="3.5" style="3" customWidth="1"/>
    <col min="7" max="7" width="66.25" style="3" customWidth="1"/>
    <col min="8" max="8" width="10.5" style="3" customWidth="1"/>
    <col min="9" max="9" width="20.5" style="3" customWidth="1"/>
    <col min="10" max="10" width="10.5" style="3" hidden="1" customWidth="1"/>
    <col min="11" max="11" width="63.25" style="3" customWidth="1"/>
    <col min="12" max="16384" width="9.25" style="3"/>
  </cols>
  <sheetData>
    <row r="1" spans="1:11" ht="21" thickBot="1" x14ac:dyDescent="0.35">
      <c r="A1" s="1184" t="s">
        <v>425</v>
      </c>
      <c r="B1" s="1185"/>
      <c r="C1" s="1185"/>
      <c r="D1" s="1185"/>
      <c r="E1" s="1185"/>
      <c r="F1" s="1185"/>
      <c r="G1" s="1185"/>
      <c r="H1" s="1185"/>
      <c r="I1" s="1185"/>
      <c r="J1" s="1185"/>
      <c r="K1" s="1186"/>
    </row>
    <row r="2" spans="1:11" s="263" customFormat="1" ht="18.75" thickBot="1" x14ac:dyDescent="0.3">
      <c r="A2" s="1206" t="s">
        <v>0</v>
      </c>
      <c r="B2" s="1207"/>
      <c r="C2" s="1207"/>
      <c r="D2" s="1207"/>
      <c r="E2" s="1207"/>
      <c r="F2" s="1208"/>
      <c r="G2" s="1203" t="str">
        <f>IF('Project Description'!B2="","",'Project Description'!B2)</f>
        <v/>
      </c>
      <c r="H2" s="1204"/>
      <c r="I2" s="1204"/>
      <c r="J2" s="1204"/>
      <c r="K2" s="1205"/>
    </row>
    <row r="3" spans="1:11" ht="33.75" customHeight="1" thickBot="1" x14ac:dyDescent="0.25">
      <c r="A3" s="1187" t="s">
        <v>426</v>
      </c>
      <c r="B3" s="1188"/>
      <c r="C3" s="1188"/>
      <c r="D3" s="1188"/>
      <c r="E3" s="1188"/>
      <c r="F3" s="1188"/>
      <c r="G3" s="1188"/>
      <c r="H3" s="1188"/>
      <c r="I3" s="1188"/>
      <c r="J3" s="1188"/>
      <c r="K3" s="1189"/>
    </row>
    <row r="4" spans="1:11" ht="15.75" thickBot="1" x14ac:dyDescent="0.25"/>
    <row r="5" spans="1:11" ht="22.5" customHeight="1" thickBot="1" x14ac:dyDescent="0.25">
      <c r="A5" s="1190" t="s">
        <v>427</v>
      </c>
      <c r="B5" s="1191"/>
      <c r="C5" s="1191"/>
      <c r="D5" s="1191"/>
      <c r="E5" s="1192"/>
      <c r="F5" s="242"/>
      <c r="G5" s="1190" t="s">
        <v>428</v>
      </c>
      <c r="H5" s="1191"/>
      <c r="I5" s="1191"/>
      <c r="J5" s="1191"/>
      <c r="K5" s="1192"/>
    </row>
    <row r="6" spans="1:11" ht="31.5" customHeight="1" thickBot="1" x14ac:dyDescent="0.25">
      <c r="A6" s="251" t="s">
        <v>429</v>
      </c>
      <c r="B6" s="255" t="s">
        <v>430</v>
      </c>
      <c r="C6" s="262" t="s">
        <v>431</v>
      </c>
      <c r="D6" s="252" t="s">
        <v>432</v>
      </c>
      <c r="E6" s="253" t="s">
        <v>141</v>
      </c>
      <c r="G6" s="1193" t="s">
        <v>454</v>
      </c>
      <c r="H6" s="1194"/>
      <c r="I6" s="1194"/>
      <c r="J6" s="1194"/>
      <c r="K6" s="1197" t="s">
        <v>420</v>
      </c>
    </row>
    <row r="7" spans="1:11" ht="27" customHeight="1" thickBot="1" x14ac:dyDescent="0.25">
      <c r="A7" s="596" t="s">
        <v>138</v>
      </c>
      <c r="B7" s="597">
        <v>0.1666</v>
      </c>
      <c r="C7" s="598" t="str">
        <f>IF('Mobility Cost Eff &amp; Cong Relief'!C11=warrantedMedium,"MEDIUM",IF('Mobility Cost Eff &amp; Cong Relief'!C11=doesntMeetThresholds,"",'Mobility Cost Eff &amp; Cong Relief'!C11))</f>
        <v/>
      </c>
      <c r="D7" s="599" t="str">
        <f>VLOOKUP(IF(C7="","-",C7),Lookups!$G$24:$H$29,2,FALSE)</f>
        <v/>
      </c>
      <c r="E7" s="1182" t="s">
        <v>433</v>
      </c>
      <c r="G7" s="1195"/>
      <c r="H7" s="1196"/>
      <c r="I7" s="1196"/>
      <c r="J7" s="1196"/>
      <c r="K7" s="1198"/>
    </row>
    <row r="8" spans="1:11" ht="27" customHeight="1" thickBot="1" x14ac:dyDescent="0.25">
      <c r="A8" s="241" t="s">
        <v>144</v>
      </c>
      <c r="B8" s="600">
        <v>0.1666</v>
      </c>
      <c r="C8" s="238" t="str">
        <f>IF('Mobility Cost Eff &amp; Cong Relief'!C20=warrantedMedium,"MEDIUM",IF('Mobility Cost Eff &amp; Cong Relief'!C20=doesntMeetThresholds,"",'Mobility Cost Eff &amp; Cong Relief'!C20))</f>
        <v/>
      </c>
      <c r="D8" s="239" t="str">
        <f>VLOOKUP(IF(C8="","-",C8),Lookups!$G$24:$H$29,2,FALSE)</f>
        <v/>
      </c>
      <c r="E8" s="1183"/>
      <c r="G8" s="251" t="s">
        <v>429</v>
      </c>
      <c r="H8" s="255" t="s">
        <v>430</v>
      </c>
      <c r="I8" s="262" t="s">
        <v>431</v>
      </c>
      <c r="J8" s="252" t="s">
        <v>432</v>
      </c>
      <c r="K8" s="253" t="s">
        <v>141</v>
      </c>
    </row>
    <row r="9" spans="1:11" ht="27" customHeight="1" x14ac:dyDescent="0.2">
      <c r="A9" s="241" t="s">
        <v>150</v>
      </c>
      <c r="B9" s="600">
        <v>0.1666</v>
      </c>
      <c r="C9" s="238" t="str">
        <f>IF('Mobility Cost Eff &amp; Cong Relief'!C27=warrantedMedium,"MEDIUM",IF('Mobility Cost Eff &amp; Cong Relief'!C27=doesntMeetThresholds,"",'Mobility Cost Eff &amp; Cong Relief'!C27))</f>
        <v/>
      </c>
      <c r="D9" s="239" t="str">
        <f>VLOOKUP(IF(C9="","-",C9),Lookups!$G$24:$H$29,2,FALSE)</f>
        <v/>
      </c>
      <c r="E9" s="1183"/>
      <c r="G9" s="240" t="s">
        <v>434</v>
      </c>
      <c r="H9" s="247">
        <v>0.25</v>
      </c>
      <c r="I9" s="259" t="s">
        <v>420</v>
      </c>
      <c r="J9" s="239" t="str">
        <f>VLOOKUP(I9,Lookups!$G$24:$H$29,2,FALSE)</f>
        <v/>
      </c>
      <c r="K9" s="1199" t="s">
        <v>456</v>
      </c>
    </row>
    <row r="10" spans="1:11" ht="27" customHeight="1" x14ac:dyDescent="0.2">
      <c r="A10" s="241" t="s">
        <v>421</v>
      </c>
      <c r="B10" s="600">
        <v>0.1666</v>
      </c>
      <c r="C10" s="238" t="str">
        <f>IF('Environmental Benefits'!H33=doesntMeetThresholds,"",'Environmental Benefits'!H33)</f>
        <v/>
      </c>
      <c r="D10" s="239" t="str">
        <f>VLOOKUP(IF(C10="","-",C10),Lookups!$G$24:$H$29,2,FALSE)</f>
        <v/>
      </c>
      <c r="E10" s="237" t="s">
        <v>435</v>
      </c>
      <c r="G10" s="241" t="s">
        <v>436</v>
      </c>
      <c r="H10" s="247">
        <v>0.25</v>
      </c>
      <c r="I10" s="258" t="s">
        <v>420</v>
      </c>
      <c r="J10" s="239" t="str">
        <f>VLOOKUP(I10,Lookups!$G$24:$H$29,2,FALSE)</f>
        <v/>
      </c>
      <c r="K10" s="1200"/>
    </row>
    <row r="11" spans="1:11" ht="27" customHeight="1" x14ac:dyDescent="0.2">
      <c r="A11" s="241" t="s">
        <v>437</v>
      </c>
      <c r="B11" s="600">
        <v>0.1666</v>
      </c>
      <c r="C11" s="608" t="str">
        <f>IF('Land Use'!D45="","",'Land Use'!D45)</f>
        <v/>
      </c>
      <c r="D11" s="239" t="str">
        <f>VLOOKUP(IF(C11="","-",C11),Lookups!$G$24:$H$29,2,FALSE)</f>
        <v/>
      </c>
      <c r="E11" s="601" t="s">
        <v>513</v>
      </c>
      <c r="G11" s="241" t="s">
        <v>438</v>
      </c>
      <c r="H11" s="247">
        <v>0.5</v>
      </c>
      <c r="I11" s="258" t="s">
        <v>420</v>
      </c>
      <c r="J11" s="239" t="str">
        <f>VLOOKUP(I11,Lookups!$G$24:$H$29,2,FALSE)</f>
        <v/>
      </c>
      <c r="K11" s="1201"/>
    </row>
    <row r="12" spans="1:11" ht="39" thickBot="1" x14ac:dyDescent="0.25">
      <c r="A12" s="602" t="s">
        <v>439</v>
      </c>
      <c r="B12" s="603">
        <v>0.1666</v>
      </c>
      <c r="C12" s="604" t="s">
        <v>420</v>
      </c>
      <c r="D12" s="605" t="str">
        <f>VLOOKUP(C12,Lookups!$G$24:$H$29,2,FALSE)</f>
        <v/>
      </c>
      <c r="E12" s="606" t="s">
        <v>514</v>
      </c>
      <c r="G12" s="264" t="str">
        <f>CONCATENATE("CIG Share (",IF(Finance!E5=0,"Please complete the Finance Template",TEXT(Finance!E5,"0%")),")")</f>
        <v>CIG Share (Please complete the Finance Template)</v>
      </c>
      <c r="H12" s="246" t="s">
        <v>420</v>
      </c>
      <c r="I12" s="244" t="str">
        <f>IF(COUNTBLANK(J9:J11)&gt;0,"-",IF(AND(K6="NO",Finance!E5&gt;0,ROUND(Finance!E5,2)&lt;0.5,(0.25*J9+0.25*J10+0.5*J11)&gt;=2.5,(0.25*J9+0.25*J10+0.5*J11)&lt;4.5),"+1 level","-"))</f>
        <v>-</v>
      </c>
      <c r="J12" s="245">
        <f>IF(I12="+1 level",1,0)</f>
        <v>0</v>
      </c>
      <c r="K12" s="243" t="s">
        <v>440</v>
      </c>
    </row>
    <row r="13" spans="1:11" ht="193.5" customHeight="1" thickBot="1" x14ac:dyDescent="0.25">
      <c r="A13" s="254" t="s">
        <v>441</v>
      </c>
      <c r="B13" s="255"/>
      <c r="C13" s="256" t="str">
        <f>IF(D13="","-",VLOOKUP(D13,Lookups!$B$16:$C$22,2))</f>
        <v>-</v>
      </c>
      <c r="D13" s="252" t="str">
        <f>IF(COUNTBLANK(D7:D12)&gt;0,"",ROUND(AVERAGE(D7:D12),0))</f>
        <v/>
      </c>
      <c r="E13" s="257" t="s">
        <v>442</v>
      </c>
      <c r="G13" s="254" t="s">
        <v>441</v>
      </c>
      <c r="H13" s="255"/>
      <c r="I13" s="256" t="str">
        <f>IF(J13="","-",VLOOKUP(J13,Lookups!$B$16:$C$22,2))</f>
        <v>-</v>
      </c>
      <c r="J13" s="252" t="str">
        <f>IF(K6="-","",IF(K6="YES",IF(Finance!E5=0,"",IF(ROUND(Finance!E5,2)&lt;=0.5,5,3)),IF(COUNTBLANK(J9:J11)&gt;0,"",ROUND(0.25*J9+0.25*J10+0.5*J11+J12,0))))</f>
        <v/>
      </c>
      <c r="K13" s="257" t="s">
        <v>443</v>
      </c>
    </row>
    <row r="14" spans="1:11" ht="15.75" thickBot="1" x14ac:dyDescent="0.25"/>
    <row r="15" spans="1:11" ht="89.85" customHeight="1" thickBot="1" x14ac:dyDescent="0.3">
      <c r="D15" s="607" t="str">
        <f>IF(OR(D13="",J13=""),"",IF(OR(D13&lt;3,J13&lt;3),MIN(2,ROUND(AVERAGE(D13,J13),0)),ROUND(AVERAGE(D13,J13),0)))</f>
        <v/>
      </c>
      <c r="E15" s="261" t="s">
        <v>444</v>
      </c>
      <c r="F15" s="248"/>
      <c r="G15" s="249" t="str">
        <f>IF(D15="","Complete all templates and the highlighted cells in this worksheet to see the estimated overall rating.",VLOOKUP(D15,Lookups!$B$16:$C$22,2))</f>
        <v>Complete all templates and the highlighted cells in this worksheet to see the estimated overall rating.</v>
      </c>
      <c r="H15" s="250"/>
      <c r="I15" s="250"/>
      <c r="J15" s="250"/>
      <c r="K15" s="250"/>
    </row>
    <row r="17" spans="1:11" s="195" customFormat="1" ht="15.75" x14ac:dyDescent="0.25">
      <c r="B17" s="260"/>
      <c r="E17" s="1202" t="s">
        <v>445</v>
      </c>
      <c r="F17" s="1202"/>
      <c r="G17" s="1202"/>
    </row>
    <row r="19" spans="1:11" ht="44.25" customHeight="1" x14ac:dyDescent="0.2">
      <c r="A19" s="1181" t="s">
        <v>455</v>
      </c>
      <c r="B19" s="1181"/>
      <c r="C19" s="1181"/>
      <c r="D19" s="1181"/>
      <c r="E19" s="1181"/>
      <c r="F19" s="1181"/>
      <c r="G19" s="1181"/>
      <c r="H19" s="1181"/>
      <c r="I19" s="1181"/>
      <c r="J19" s="1181"/>
      <c r="K19" s="1181"/>
    </row>
  </sheetData>
  <sheetProtection algorithmName="SHA-512" hashValue="Rz9DJBFOhkWkGOetVMrH3zLwBLWK9hsvmZHiwCSS7fdA+CMLPzuRtFgg1rQ3FCBc+h93JXW+X7PevPns5nUsYQ==" saltValue="QxSOAt04Lvz6ZBMQL8R9lw==" spinCount="100000" sheet="1" formatCells="0" formatColumns="0" formatRows="0" insertColumns="0" insertRows="0" insertHyperlinks="0" selectLockedCells="1"/>
  <mergeCells count="12">
    <mergeCell ref="A19:K19"/>
    <mergeCell ref="E7:E9"/>
    <mergeCell ref="A1:K1"/>
    <mergeCell ref="A3:K3"/>
    <mergeCell ref="A5:E5"/>
    <mergeCell ref="G5:K5"/>
    <mergeCell ref="G6:J7"/>
    <mergeCell ref="K6:K7"/>
    <mergeCell ref="K9:K11"/>
    <mergeCell ref="E17:G17"/>
    <mergeCell ref="G2:K2"/>
    <mergeCell ref="A2:F2"/>
  </mergeCells>
  <conditionalFormatting sqref="G9:K11">
    <cfRule type="expression" dxfId="0" priority="1">
      <formula>AND($K$6="YES")</formula>
    </cfRule>
  </conditionalFormatting>
  <hyperlinks>
    <hyperlink ref="E17" r:id="rId1" display="Link to CIG Program Guidance on the FTA website" xr:uid="{00000000-0004-0000-0700-000000000000}"/>
  </hyperlinks>
  <pageMargins left="0.7" right="0.7" top="0.75" bottom="0.75" header="0.3" footer="0.3"/>
  <pageSetup scale="38" orientation="portrait" horizontalDpi="1200" verticalDpi="1200"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Lookups!$G$24:$G$29</xm:f>
          </x14:formula1>
          <xm:sqref>I9:I11 C12</xm:sqref>
        </x14:dataValidation>
        <x14:dataValidation type="list" allowBlank="1" showInputMessage="1" showErrorMessage="1" xr:uid="{00000000-0002-0000-0700-000001000000}">
          <x14:formula1>
            <xm:f>Lookups!$G$32:$G$34</xm:f>
          </x14:formula1>
          <xm:sqref>K6:K7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L62"/>
  <sheetViews>
    <sheetView showGridLines="0" workbookViewId="0">
      <selection activeCell="K35" sqref="K35"/>
    </sheetView>
  </sheetViews>
  <sheetFormatPr defaultColWidth="10.5" defaultRowHeight="14.25" x14ac:dyDescent="0.2"/>
  <cols>
    <col min="1" max="1" width="72.25" style="609" customWidth="1"/>
    <col min="2" max="2" width="20.625" style="609" customWidth="1"/>
    <col min="3" max="3" width="15.875" style="609" customWidth="1"/>
    <col min="4" max="4" width="19.25" style="609" customWidth="1"/>
    <col min="5" max="6" width="10.5" style="609"/>
    <col min="7" max="7" width="89.75" style="609" customWidth="1"/>
    <col min="8" max="8" width="14.5" style="609" customWidth="1"/>
    <col min="9" max="9" width="10.5" style="609"/>
    <col min="10" max="10" width="11.5" style="609" customWidth="1"/>
    <col min="11" max="11" width="10.5" style="609"/>
    <col min="12" max="12" width="49.25" style="609" customWidth="1"/>
    <col min="13" max="16384" width="10.5" style="609"/>
  </cols>
  <sheetData>
    <row r="1" spans="1:11" s="398" customFormat="1" ht="18" x14ac:dyDescent="0.2">
      <c r="A1" s="397" t="s">
        <v>393</v>
      </c>
    </row>
    <row r="3" spans="1:11" ht="15.75" thickBot="1" x14ac:dyDescent="0.25">
      <c r="A3" s="610" t="s">
        <v>394</v>
      </c>
      <c r="B3" s="611" t="s">
        <v>395</v>
      </c>
      <c r="C3" s="611" t="s">
        <v>396</v>
      </c>
      <c r="D3" s="611" t="s">
        <v>512</v>
      </c>
      <c r="G3" s="612" t="s">
        <v>397</v>
      </c>
    </row>
    <row r="4" spans="1:11" ht="15" thickTop="1" x14ac:dyDescent="0.2">
      <c r="A4" s="613" t="s">
        <v>398</v>
      </c>
      <c r="B4" s="641">
        <v>0</v>
      </c>
      <c r="C4" s="614" t="s">
        <v>399</v>
      </c>
    </row>
    <row r="5" spans="1:11" x14ac:dyDescent="0.2">
      <c r="A5" s="615"/>
      <c r="B5" s="642">
        <v>0.01</v>
      </c>
      <c r="C5" s="616" t="s">
        <v>400</v>
      </c>
      <c r="G5" s="609" t="s">
        <v>401</v>
      </c>
      <c r="I5" s="609" t="str">
        <f>IF('Project Description'!C92="(Select…)","unknown",'Project Description'!C92)</f>
        <v>unknown</v>
      </c>
    </row>
    <row r="6" spans="1:11" x14ac:dyDescent="0.2">
      <c r="A6" s="615"/>
      <c r="B6" s="642">
        <v>8</v>
      </c>
      <c r="C6" s="616" t="s">
        <v>402</v>
      </c>
    </row>
    <row r="7" spans="1:11" x14ac:dyDescent="0.2">
      <c r="A7" s="615"/>
      <c r="B7" s="642">
        <v>10</v>
      </c>
      <c r="C7" s="616" t="s">
        <v>403</v>
      </c>
      <c r="G7" s="609" t="s">
        <v>404</v>
      </c>
      <c r="J7" s="609" t="s">
        <v>405</v>
      </c>
    </row>
    <row r="8" spans="1:11" x14ac:dyDescent="0.2">
      <c r="A8" s="615"/>
      <c r="B8" s="642">
        <v>20</v>
      </c>
      <c r="C8" s="616" t="s">
        <v>406</v>
      </c>
      <c r="G8" s="609">
        <v>0</v>
      </c>
      <c r="H8" s="609">
        <v>0</v>
      </c>
      <c r="J8" s="609">
        <v>0</v>
      </c>
      <c r="K8" s="609">
        <v>1</v>
      </c>
    </row>
    <row r="9" spans="1:11" ht="15" thickBot="1" x14ac:dyDescent="0.25">
      <c r="A9" s="617"/>
      <c r="B9" s="643">
        <v>35</v>
      </c>
      <c r="C9" s="618" t="s">
        <v>407</v>
      </c>
      <c r="G9" s="609">
        <v>2100</v>
      </c>
      <c r="H9" s="609">
        <v>1</v>
      </c>
      <c r="J9" s="609">
        <v>60000000</v>
      </c>
      <c r="K9" s="609">
        <v>2</v>
      </c>
    </row>
    <row r="10" spans="1:11" x14ac:dyDescent="0.2">
      <c r="A10" s="613" t="s">
        <v>408</v>
      </c>
      <c r="B10" s="619">
        <v>0</v>
      </c>
      <c r="C10" s="614" t="s">
        <v>399</v>
      </c>
      <c r="G10" s="609">
        <v>4200</v>
      </c>
      <c r="H10" s="609">
        <v>2</v>
      </c>
      <c r="J10" s="609">
        <v>120000000</v>
      </c>
      <c r="K10" s="609">
        <v>3</v>
      </c>
    </row>
    <row r="11" spans="1:11" x14ac:dyDescent="0.2">
      <c r="A11" s="615"/>
      <c r="B11" s="620">
        <v>0.01</v>
      </c>
      <c r="C11" s="616" t="s">
        <v>400</v>
      </c>
      <c r="G11" s="609">
        <v>6300</v>
      </c>
      <c r="H11" s="609">
        <v>3</v>
      </c>
      <c r="J11" s="609">
        <v>210000000</v>
      </c>
      <c r="K11" s="609">
        <v>4</v>
      </c>
    </row>
    <row r="12" spans="1:11" x14ac:dyDescent="0.2">
      <c r="A12" s="615"/>
      <c r="B12" s="620">
        <v>1</v>
      </c>
      <c r="C12" s="616" t="s">
        <v>402</v>
      </c>
      <c r="G12" s="609">
        <v>8400</v>
      </c>
      <c r="H12" s="609">
        <v>4</v>
      </c>
      <c r="J12" s="609">
        <v>300000000</v>
      </c>
      <c r="K12" s="609">
        <v>5</v>
      </c>
    </row>
    <row r="13" spans="1:11" x14ac:dyDescent="0.2">
      <c r="A13" s="615"/>
      <c r="B13" s="620">
        <v>2</v>
      </c>
      <c r="C13" s="616" t="s">
        <v>403</v>
      </c>
      <c r="G13" s="609">
        <v>10500</v>
      </c>
      <c r="H13" s="609">
        <v>5</v>
      </c>
      <c r="J13" s="609">
        <v>400000000</v>
      </c>
      <c r="K13" s="609">
        <v>0</v>
      </c>
    </row>
    <row r="14" spans="1:11" x14ac:dyDescent="0.2">
      <c r="A14" s="615"/>
      <c r="B14" s="620">
        <v>5</v>
      </c>
      <c r="C14" s="616" t="s">
        <v>406</v>
      </c>
    </row>
    <row r="15" spans="1:11" ht="15" thickBot="1" x14ac:dyDescent="0.25">
      <c r="A15" s="617"/>
      <c r="B15" s="621">
        <v>6</v>
      </c>
      <c r="C15" s="618" t="s">
        <v>407</v>
      </c>
      <c r="G15" s="622" t="s">
        <v>409</v>
      </c>
      <c r="H15" s="609" t="str">
        <f>IF(I5="Yes",IF(NOT(ISNUMBER('Project Description'!C93)),"Unknown",VLOOKUP('Project Description'!C93,Lookups!G8:H13,2)),"")</f>
        <v/>
      </c>
      <c r="J15" s="622" t="s">
        <v>409</v>
      </c>
      <c r="K15" s="609" t="str">
        <f>IF(I5="Yes",IF(NOT(ISNUMBER(Finance!E4)),"Unknown",VLOOKUP('Project Description'!C98,Lookups!J8:K13,2)),"")</f>
        <v/>
      </c>
    </row>
    <row r="16" spans="1:11" x14ac:dyDescent="0.2">
      <c r="A16" s="623" t="s">
        <v>410</v>
      </c>
      <c r="B16" s="624">
        <v>0</v>
      </c>
      <c r="C16" s="614" t="s">
        <v>411</v>
      </c>
    </row>
    <row r="17" spans="1:12" x14ac:dyDescent="0.2">
      <c r="A17" s="615"/>
      <c r="B17" s="625">
        <v>0.01</v>
      </c>
      <c r="C17" s="616" t="s">
        <v>407</v>
      </c>
      <c r="G17" s="609" t="s">
        <v>515</v>
      </c>
    </row>
    <row r="18" spans="1:12" x14ac:dyDescent="0.2">
      <c r="A18" s="615"/>
      <c r="B18" s="625">
        <v>0.5</v>
      </c>
      <c r="C18" s="616" t="s">
        <v>407</v>
      </c>
      <c r="G18" s="609" t="s">
        <v>412</v>
      </c>
    </row>
    <row r="19" spans="1:12" x14ac:dyDescent="0.2">
      <c r="A19" s="615"/>
      <c r="B19" s="625">
        <v>1.5</v>
      </c>
      <c r="C19" s="616" t="s">
        <v>406</v>
      </c>
    </row>
    <row r="20" spans="1:12" x14ac:dyDescent="0.2">
      <c r="A20" s="615"/>
      <c r="B20" s="625">
        <v>2.5</v>
      </c>
      <c r="C20" s="616" t="s">
        <v>403</v>
      </c>
      <c r="G20" s="609" t="s">
        <v>413</v>
      </c>
      <c r="K20" s="609" t="str">
        <f>IF(H15="","",IF(OR(H15="Unknown",K15="Unknown"),"Unknown",IF(OR(H15=0,K15=0,K15&gt;H15),"No","Yes")))</f>
        <v/>
      </c>
    </row>
    <row r="21" spans="1:12" x14ac:dyDescent="0.2">
      <c r="A21" s="615"/>
      <c r="B21" s="625">
        <v>3.5</v>
      </c>
      <c r="C21" s="616" t="s">
        <v>402</v>
      </c>
      <c r="G21" s="609" t="s">
        <v>414</v>
      </c>
      <c r="L21" s="609" t="s">
        <v>415</v>
      </c>
    </row>
    <row r="22" spans="1:12" ht="15" thickBot="1" x14ac:dyDescent="0.25">
      <c r="A22" s="617"/>
      <c r="B22" s="626">
        <v>4.5</v>
      </c>
      <c r="C22" s="627" t="s">
        <v>400</v>
      </c>
      <c r="G22" s="609" t="s">
        <v>416</v>
      </c>
      <c r="L22" s="609" t="s">
        <v>417</v>
      </c>
    </row>
    <row r="23" spans="1:12" ht="15" x14ac:dyDescent="0.2">
      <c r="A23" s="613" t="s">
        <v>418</v>
      </c>
      <c r="B23" s="628">
        <v>0</v>
      </c>
      <c r="C23" s="629" t="s">
        <v>407</v>
      </c>
      <c r="G23" s="612" t="s">
        <v>419</v>
      </c>
    </row>
    <row r="24" spans="1:12" x14ac:dyDescent="0.2">
      <c r="A24" s="615"/>
      <c r="B24" s="630">
        <v>2000000</v>
      </c>
      <c r="C24" s="616" t="s">
        <v>406</v>
      </c>
      <c r="G24" s="631" t="s">
        <v>420</v>
      </c>
      <c r="H24" s="632" t="str">
        <f>""</f>
        <v/>
      </c>
    </row>
    <row r="25" spans="1:12" x14ac:dyDescent="0.2">
      <c r="A25" s="615"/>
      <c r="B25" s="630">
        <v>3000000</v>
      </c>
      <c r="C25" s="616" t="s">
        <v>403</v>
      </c>
      <c r="G25" s="616" t="s">
        <v>400</v>
      </c>
      <c r="H25" s="609">
        <v>5</v>
      </c>
    </row>
    <row r="26" spans="1:12" x14ac:dyDescent="0.2">
      <c r="A26" s="615"/>
      <c r="B26" s="630">
        <v>12000000</v>
      </c>
      <c r="C26" s="616" t="s">
        <v>402</v>
      </c>
      <c r="G26" s="616" t="s">
        <v>402</v>
      </c>
      <c r="H26" s="609">
        <v>4</v>
      </c>
    </row>
    <row r="27" spans="1:12" ht="15" thickBot="1" x14ac:dyDescent="0.25">
      <c r="A27" s="617"/>
      <c r="B27" s="633">
        <v>30000000</v>
      </c>
      <c r="C27" s="627" t="s">
        <v>400</v>
      </c>
      <c r="G27" s="616" t="s">
        <v>403</v>
      </c>
      <c r="H27" s="609">
        <v>3</v>
      </c>
    </row>
    <row r="28" spans="1:12" x14ac:dyDescent="0.2">
      <c r="A28" s="613" t="s">
        <v>421</v>
      </c>
      <c r="B28" s="634">
        <v>-1000</v>
      </c>
      <c r="C28" s="629" t="s">
        <v>407</v>
      </c>
      <c r="G28" s="616" t="s">
        <v>406</v>
      </c>
      <c r="H28" s="609">
        <v>2</v>
      </c>
    </row>
    <row r="29" spans="1:12" x14ac:dyDescent="0.2">
      <c r="A29" s="615"/>
      <c r="B29" s="635">
        <v>0</v>
      </c>
      <c r="C29" s="616" t="s">
        <v>406</v>
      </c>
      <c r="G29" s="618" t="s">
        <v>407</v>
      </c>
      <c r="H29" s="609">
        <v>1</v>
      </c>
    </row>
    <row r="30" spans="1:12" x14ac:dyDescent="0.2">
      <c r="A30" s="615"/>
      <c r="B30" s="635">
        <v>0.01</v>
      </c>
      <c r="C30" s="616" t="s">
        <v>403</v>
      </c>
    </row>
    <row r="31" spans="1:12" ht="15" x14ac:dyDescent="0.2">
      <c r="A31" s="615"/>
      <c r="B31" s="635">
        <v>0.5</v>
      </c>
      <c r="C31" s="616" t="s">
        <v>402</v>
      </c>
      <c r="G31" s="612" t="s">
        <v>422</v>
      </c>
    </row>
    <row r="32" spans="1:12" ht="15" thickBot="1" x14ac:dyDescent="0.25">
      <c r="A32" s="617"/>
      <c r="B32" s="636">
        <v>1</v>
      </c>
      <c r="C32" s="627" t="s">
        <v>400</v>
      </c>
      <c r="G32" s="632" t="s">
        <v>420</v>
      </c>
    </row>
    <row r="33" spans="1:12" x14ac:dyDescent="0.2">
      <c r="A33" s="613" t="s">
        <v>150</v>
      </c>
      <c r="B33" s="628">
        <v>0</v>
      </c>
      <c r="C33" s="629" t="s">
        <v>407</v>
      </c>
      <c r="G33" s="609" t="s">
        <v>423</v>
      </c>
    </row>
    <row r="34" spans="1:12" x14ac:dyDescent="0.2">
      <c r="A34" s="615"/>
      <c r="B34" s="630">
        <v>500</v>
      </c>
      <c r="C34" s="616" t="s">
        <v>406</v>
      </c>
      <c r="G34" s="609" t="s">
        <v>424</v>
      </c>
    </row>
    <row r="35" spans="1:12" x14ac:dyDescent="0.2">
      <c r="A35" s="615"/>
      <c r="B35" s="630">
        <v>2500</v>
      </c>
      <c r="C35" s="616" t="s">
        <v>403</v>
      </c>
    </row>
    <row r="36" spans="1:12" ht="15" x14ac:dyDescent="0.2">
      <c r="A36" s="615"/>
      <c r="B36" s="630">
        <v>10000</v>
      </c>
      <c r="C36" s="616" t="s">
        <v>402</v>
      </c>
      <c r="G36" s="612"/>
    </row>
    <row r="37" spans="1:12" ht="15" thickBot="1" x14ac:dyDescent="0.25">
      <c r="A37" s="637"/>
      <c r="B37" s="638">
        <v>18000</v>
      </c>
      <c r="C37" s="627" t="s">
        <v>400</v>
      </c>
      <c r="G37" s="639"/>
      <c r="H37" s="658"/>
      <c r="I37" s="658"/>
      <c r="J37" s="658"/>
      <c r="K37" s="659"/>
      <c r="L37" s="659"/>
    </row>
    <row r="38" spans="1:12" x14ac:dyDescent="0.2">
      <c r="A38" s="644" t="s">
        <v>507</v>
      </c>
      <c r="B38" s="645">
        <v>1</v>
      </c>
      <c r="C38" s="646" t="s">
        <v>407</v>
      </c>
      <c r="D38" s="647"/>
      <c r="G38" s="640"/>
      <c r="H38" s="660"/>
      <c r="I38" s="660"/>
      <c r="J38" s="660"/>
      <c r="K38" s="661"/>
      <c r="L38" s="659"/>
    </row>
    <row r="39" spans="1:12" x14ac:dyDescent="0.2">
      <c r="A39" s="648"/>
      <c r="B39" s="649">
        <v>2560</v>
      </c>
      <c r="C39" s="650" t="s">
        <v>406</v>
      </c>
      <c r="D39" s="647"/>
    </row>
    <row r="40" spans="1:12" x14ac:dyDescent="0.2">
      <c r="A40" s="648"/>
      <c r="B40" s="649">
        <v>5760</v>
      </c>
      <c r="C40" s="650" t="s">
        <v>403</v>
      </c>
      <c r="D40" s="647"/>
    </row>
    <row r="41" spans="1:12" x14ac:dyDescent="0.2">
      <c r="A41" s="648"/>
      <c r="B41" s="649">
        <v>9600</v>
      </c>
      <c r="C41" s="650" t="s">
        <v>402</v>
      </c>
      <c r="D41" s="647"/>
    </row>
    <row r="42" spans="1:12" ht="15" thickBot="1" x14ac:dyDescent="0.25">
      <c r="A42" s="651"/>
      <c r="B42" s="652">
        <v>15000</v>
      </c>
      <c r="C42" s="653" t="s">
        <v>400</v>
      </c>
      <c r="D42" s="647"/>
    </row>
    <row r="43" spans="1:12" x14ac:dyDescent="0.2">
      <c r="A43" s="644" t="s">
        <v>508</v>
      </c>
      <c r="B43" s="645">
        <v>1</v>
      </c>
      <c r="C43" s="646" t="s">
        <v>407</v>
      </c>
      <c r="D43" s="647"/>
    </row>
    <row r="44" spans="1:12" x14ac:dyDescent="0.2">
      <c r="A44" s="648"/>
      <c r="B44" s="649">
        <v>40000</v>
      </c>
      <c r="C44" s="650" t="s">
        <v>406</v>
      </c>
      <c r="D44" s="647"/>
    </row>
    <row r="45" spans="1:12" x14ac:dyDescent="0.2">
      <c r="A45" s="648"/>
      <c r="B45" s="649">
        <v>70000</v>
      </c>
      <c r="C45" s="650" t="s">
        <v>403</v>
      </c>
      <c r="D45" s="647"/>
    </row>
    <row r="46" spans="1:12" x14ac:dyDescent="0.2">
      <c r="A46" s="648"/>
      <c r="B46" s="649">
        <v>140000</v>
      </c>
      <c r="C46" s="650" t="s">
        <v>402</v>
      </c>
      <c r="D46" s="647"/>
    </row>
    <row r="47" spans="1:12" ht="15" thickBot="1" x14ac:dyDescent="0.25">
      <c r="A47" s="651"/>
      <c r="B47" s="652">
        <v>220000</v>
      </c>
      <c r="C47" s="653" t="s">
        <v>400</v>
      </c>
      <c r="D47" s="647"/>
    </row>
    <row r="48" spans="1:12" ht="28.5" x14ac:dyDescent="0.2">
      <c r="A48" s="654" t="s">
        <v>509</v>
      </c>
      <c r="B48" s="655">
        <v>0.01</v>
      </c>
      <c r="C48" s="646" t="s">
        <v>407</v>
      </c>
      <c r="D48" s="646" t="s">
        <v>406</v>
      </c>
    </row>
    <row r="49" spans="1:4" x14ac:dyDescent="0.2">
      <c r="A49" s="648"/>
      <c r="B49" s="656">
        <v>1.1000000000000001</v>
      </c>
      <c r="C49" s="650" t="s">
        <v>406</v>
      </c>
      <c r="D49" s="650" t="s">
        <v>403</v>
      </c>
    </row>
    <row r="50" spans="1:4" x14ac:dyDescent="0.2">
      <c r="A50" s="648"/>
      <c r="B50" s="656">
        <v>1.5</v>
      </c>
      <c r="C50" s="650" t="s">
        <v>403</v>
      </c>
      <c r="D50" s="650" t="s">
        <v>402</v>
      </c>
    </row>
    <row r="51" spans="1:4" x14ac:dyDescent="0.2">
      <c r="A51" s="648"/>
      <c r="B51" s="656">
        <v>2.25</v>
      </c>
      <c r="C51" s="650" t="s">
        <v>402</v>
      </c>
      <c r="D51" s="650" t="s">
        <v>400</v>
      </c>
    </row>
    <row r="52" spans="1:4" ht="15" thickBot="1" x14ac:dyDescent="0.25">
      <c r="A52" s="651"/>
      <c r="B52" s="657">
        <v>2.5</v>
      </c>
      <c r="C52" s="653" t="s">
        <v>400</v>
      </c>
      <c r="D52" s="653" t="s">
        <v>400</v>
      </c>
    </row>
    <row r="53" spans="1:4" x14ac:dyDescent="0.2">
      <c r="A53" s="654" t="s">
        <v>510</v>
      </c>
      <c r="B53" s="655">
        <v>0.01</v>
      </c>
      <c r="C53" s="646" t="s">
        <v>407</v>
      </c>
      <c r="D53" s="647"/>
    </row>
    <row r="54" spans="1:4" x14ac:dyDescent="0.2">
      <c r="A54" s="648"/>
      <c r="B54" s="656">
        <v>0.05</v>
      </c>
      <c r="C54" s="650" t="s">
        <v>406</v>
      </c>
      <c r="D54" s="647"/>
    </row>
    <row r="55" spans="1:4" x14ac:dyDescent="0.2">
      <c r="A55" s="648"/>
      <c r="B55" s="656">
        <v>0.18</v>
      </c>
      <c r="C55" s="650" t="s">
        <v>403</v>
      </c>
      <c r="D55" s="647"/>
    </row>
    <row r="56" spans="1:4" x14ac:dyDescent="0.2">
      <c r="A56" s="648"/>
      <c r="B56" s="656">
        <v>0.4</v>
      </c>
      <c r="C56" s="650" t="s">
        <v>402</v>
      </c>
      <c r="D56" s="647"/>
    </row>
    <row r="57" spans="1:4" ht="15" thickBot="1" x14ac:dyDescent="0.25">
      <c r="A57" s="651"/>
      <c r="B57" s="657">
        <v>0.5</v>
      </c>
      <c r="C57" s="653" t="s">
        <v>400</v>
      </c>
      <c r="D57" s="647"/>
    </row>
    <row r="58" spans="1:4" x14ac:dyDescent="0.2">
      <c r="A58" s="644" t="s">
        <v>511</v>
      </c>
      <c r="B58" s="645">
        <v>0</v>
      </c>
      <c r="C58" s="646" t="s">
        <v>407</v>
      </c>
      <c r="D58" s="647"/>
    </row>
    <row r="59" spans="1:4" x14ac:dyDescent="0.2">
      <c r="A59" s="648"/>
      <c r="B59" s="649">
        <v>1</v>
      </c>
      <c r="C59" s="650" t="s">
        <v>406</v>
      </c>
      <c r="D59" s="647"/>
    </row>
    <row r="60" spans="1:4" x14ac:dyDescent="0.2">
      <c r="A60" s="648"/>
      <c r="B60" s="649">
        <v>3</v>
      </c>
      <c r="C60" s="650" t="s">
        <v>403</v>
      </c>
      <c r="D60" s="647"/>
    </row>
    <row r="61" spans="1:4" x14ac:dyDescent="0.2">
      <c r="A61" s="648"/>
      <c r="B61" s="649">
        <v>5</v>
      </c>
      <c r="C61" s="650" t="s">
        <v>402</v>
      </c>
      <c r="D61" s="647"/>
    </row>
    <row r="62" spans="1:4" ht="15" thickBot="1" x14ac:dyDescent="0.25">
      <c r="A62" s="651"/>
      <c r="B62" s="652">
        <v>7</v>
      </c>
      <c r="C62" s="653" t="s">
        <v>400</v>
      </c>
      <c r="D62" s="647"/>
    </row>
  </sheetData>
  <pageMargins left="0.75" right="0.75" top="1" bottom="1" header="0.5" footer="0.5"/>
  <pageSetup scale="75" fitToHeight="10" orientation="portrait" r:id="rId1"/>
  <headerFooter alignWithMargins="0">
    <oddFooter>&amp;L&amp;D&amp;R&amp;F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7A590758E2CF4A817390D864AB50EC" ma:contentTypeVersion="12" ma:contentTypeDescription="Create a new document." ma:contentTypeScope="" ma:versionID="3d4f53d46c305435484ffbd422d955ea">
  <xsd:schema xmlns:xsd="http://www.w3.org/2001/XMLSchema" xmlns:xs="http://www.w3.org/2001/XMLSchema" xmlns:p="http://schemas.microsoft.com/office/2006/metadata/properties" xmlns:ns2="0ec06477-b7d8-469b-9269-04b303ff75be" xmlns:ns3="c1e2d6dd-49dc-467a-a612-23768a37859a" targetNamespace="http://schemas.microsoft.com/office/2006/metadata/properties" ma:root="true" ma:fieldsID="c1ce6e03d5d8ef1fd45995a46e1d321a" ns2:_="" ns3:_="">
    <xsd:import namespace="0ec06477-b7d8-469b-9269-04b303ff75be"/>
    <xsd:import namespace="c1e2d6dd-49dc-467a-a612-23768a37859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c06477-b7d8-469b-9269-04b303ff75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aa446fb-c4e7-47d1-9e02-aae3431be31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e2d6dd-49dc-467a-a612-23768a37859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0de71368-4e41-45b8-a109-8ddefbf00b0e}" ma:internalName="TaxCatchAll" ma:showField="CatchAllData" ma:web="c1e2d6dd-49dc-467a-a612-23768a3785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10DB13-9122-4756-8057-38E316F867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c06477-b7d8-469b-9269-04b303ff75be"/>
    <ds:schemaRef ds:uri="c1e2d6dd-49dc-467a-a612-23768a3785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3B11F7-2019-4AB2-8AAA-C7F7A767BE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Project Description</vt:lpstr>
      <vt:lpstr>Travel Forecasts</vt:lpstr>
      <vt:lpstr>Mobility Cost Eff &amp; Cong Relief</vt:lpstr>
      <vt:lpstr>Land Use</vt:lpstr>
      <vt:lpstr>Environmental Benefits</vt:lpstr>
      <vt:lpstr>Finance</vt:lpstr>
      <vt:lpstr>Rating Estimation</vt:lpstr>
      <vt:lpstr>Lookups</vt:lpstr>
      <vt:lpstr>doesntMeetThresholds</vt:lpstr>
      <vt:lpstr>'Environmental Benefits'!Print_Area</vt:lpstr>
      <vt:lpstr>Finance!Print_Area</vt:lpstr>
      <vt:lpstr>'Land Use'!Print_Area</vt:lpstr>
      <vt:lpstr>Lookups!Print_Area</vt:lpstr>
      <vt:lpstr>'Mobility Cost Eff &amp; Cong Relief'!Print_Area</vt:lpstr>
      <vt:lpstr>'Project Description'!Print_Area</vt:lpstr>
      <vt:lpstr>'Rating Estimation'!Print_Area</vt:lpstr>
      <vt:lpstr>'Travel Forecasts'!Print_Area</vt:lpstr>
      <vt:lpstr>warrantedMedium</vt:lpstr>
    </vt:vector>
  </TitlesOfParts>
  <Manager/>
  <Company>DOT - Federal Transit Administration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2027 Small Starts Templates Basic Part 1</dc:title>
  <dc:subject>Commitment to Accessibility: DOT is committed to ensuring that information is available in appropriate alternative formats to meet the requirements of persons who have a disability. If you require an alternative version of this file, please contact FTAWebAccessibility@dot.gov.</dc:subject>
  <dc:creator>DOT - Federal Transit Administration</dc:creator>
  <cp:keywords/>
  <dc:description/>
  <cp:lastModifiedBy>Swain, Tia (FTA)</cp:lastModifiedBy>
  <cp:revision/>
  <dcterms:created xsi:type="dcterms:W3CDTF">2000-06-21T19:34:03Z</dcterms:created>
  <dcterms:modified xsi:type="dcterms:W3CDTF">2025-09-29T22:52:26Z</dcterms:modified>
  <cp:category/>
  <cp:contentStatus/>
</cp:coreProperties>
</file>