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C:\Users\SENOCH\Downloads\2177\Send to EPA\"/>
    </mc:Choice>
  </mc:AlternateContent>
  <xr:revisionPtr revIDLastSave="1" documentId="13_ncr:1_{1EE7F070-90E6-4802-9216-5DE02A62FB34}" xr6:coauthVersionLast="47" xr6:coauthVersionMax="47" xr10:uidLastSave="{E8AE0448-0287-40B8-94B4-66C314A211BB}"/>
  <bookViews>
    <workbookView xWindow="22932" yWindow="-108" windowWidth="23256" windowHeight="12456" activeTab="4" xr2:uid="{00000000-000D-0000-FFFF-FFFF00000000}"/>
  </bookViews>
  <sheets>
    <sheet name="Summary" sheetId="6" r:id="rId1"/>
    <sheet name="Table 1" sheetId="2" r:id="rId2"/>
    <sheet name="Table 2" sheetId="3" r:id="rId3"/>
    <sheet name="Capital O&amp;M" sheetId="7"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L29" i="2"/>
  <c r="C10" i="5"/>
  <c r="C9" i="5"/>
  <c r="C8" i="5"/>
  <c r="C7" i="5"/>
  <c r="C6" i="5"/>
  <c r="C5" i="5"/>
  <c r="I11" i="3"/>
  <c r="F11" i="3"/>
  <c r="E9" i="3"/>
  <c r="E8" i="3"/>
  <c r="E6" i="3"/>
  <c r="E5" i="3"/>
  <c r="I27" i="2"/>
  <c r="F27" i="2"/>
  <c r="I26" i="2"/>
  <c r="F26" i="2"/>
  <c r="E23" i="2"/>
  <c r="I7" i="2"/>
  <c r="I20" i="2"/>
  <c r="F20" i="2"/>
  <c r="E18" i="2"/>
  <c r="E17" i="2"/>
  <c r="E15" i="2"/>
  <c r="E14" i="2"/>
  <c r="N35" i="2"/>
  <c r="G21" i="4"/>
  <c r="G19" i="4"/>
  <c r="N37" i="2"/>
  <c r="N36" i="2"/>
  <c r="M36" i="2"/>
  <c r="M35" i="2"/>
  <c r="M37" i="2"/>
  <c r="E10" i="2" l="1"/>
  <c r="E11" i="2"/>
  <c r="E7" i="3" l="1"/>
  <c r="F7" i="3" s="1"/>
  <c r="E9" i="2"/>
  <c r="E16" i="2"/>
  <c r="F9" i="5"/>
  <c r="F8" i="5"/>
  <c r="F7" i="5"/>
  <c r="F6" i="5"/>
  <c r="F5" i="5"/>
  <c r="D19" i="4"/>
  <c r="D20" i="4" s="1"/>
  <c r="D21" i="4" s="1"/>
  <c r="C21" i="4"/>
  <c r="G18" i="4"/>
  <c r="G20" i="4" l="1"/>
  <c r="M33" i="2" l="1"/>
  <c r="E7" i="2"/>
  <c r="B7" i="6"/>
  <c r="F8" i="3"/>
  <c r="D6" i="3"/>
  <c r="F6" i="3" s="1"/>
  <c r="D7" i="3"/>
  <c r="D8" i="3"/>
  <c r="D9" i="3"/>
  <c r="F9" i="3" s="1"/>
  <c r="D10" i="3"/>
  <c r="D5" i="3"/>
  <c r="F5" i="3" s="1"/>
  <c r="B3" i="6" l="1"/>
  <c r="E10" i="3"/>
  <c r="F10" i="3" s="1"/>
  <c r="H10" i="3" s="1"/>
  <c r="E25" i="2"/>
  <c r="E19" i="2"/>
  <c r="H5" i="3"/>
  <c r="G5" i="3"/>
  <c r="H7" i="3"/>
  <c r="G7" i="3"/>
  <c r="H6" i="3"/>
  <c r="G6" i="3"/>
  <c r="I6" i="3" s="1"/>
  <c r="H9" i="3"/>
  <c r="H8" i="3"/>
  <c r="G9" i="3"/>
  <c r="G8" i="3"/>
  <c r="G10" i="3" l="1"/>
  <c r="I10" i="3"/>
  <c r="I8" i="3"/>
  <c r="I9" i="3"/>
  <c r="I7" i="3"/>
  <c r="I5" i="3"/>
  <c r="D9" i="2"/>
  <c r="F9" i="2" s="1"/>
  <c r="H9" i="2" s="1"/>
  <c r="D10" i="2"/>
  <c r="F10" i="2" s="1"/>
  <c r="D11" i="2"/>
  <c r="F11" i="2" s="1"/>
  <c r="D14" i="2"/>
  <c r="F14" i="2" s="1"/>
  <c r="D15" i="2"/>
  <c r="F15" i="2" s="1"/>
  <c r="D16" i="2"/>
  <c r="F16" i="2" s="1"/>
  <c r="D17" i="2"/>
  <c r="F17" i="2" s="1"/>
  <c r="D18" i="2"/>
  <c r="F18" i="2" s="1"/>
  <c r="D19" i="2"/>
  <c r="F19" i="2" s="1"/>
  <c r="D23" i="2"/>
  <c r="F23" i="2" s="1"/>
  <c r="D25" i="2"/>
  <c r="F25" i="2" s="1"/>
  <c r="D7" i="2"/>
  <c r="F7" i="2" s="1"/>
  <c r="G7" i="2" l="1"/>
  <c r="H19" i="2"/>
  <c r="G18" i="2"/>
  <c r="H18" i="2"/>
  <c r="G14" i="2"/>
  <c r="H14" i="2"/>
  <c r="G17" i="2"/>
  <c r="H17" i="2"/>
  <c r="H11" i="2"/>
  <c r="G11" i="2"/>
  <c r="G23" i="2"/>
  <c r="H23" i="2"/>
  <c r="G16" i="2"/>
  <c r="H16" i="2"/>
  <c r="G10" i="2"/>
  <c r="H10" i="2"/>
  <c r="G15" i="2"/>
  <c r="G9" i="2"/>
  <c r="I9" i="2" s="1"/>
  <c r="H15" i="2"/>
  <c r="G25" i="2"/>
  <c r="H25" i="2"/>
  <c r="G19" i="2"/>
  <c r="H7" i="2"/>
  <c r="I18" i="2" l="1"/>
  <c r="I17" i="2"/>
  <c r="I15" i="2"/>
  <c r="I14" i="2"/>
  <c r="I19" i="2"/>
  <c r="I23" i="2"/>
  <c r="I10" i="2"/>
  <c r="I25" i="2"/>
  <c r="I16" i="2"/>
  <c r="I11" i="2"/>
  <c r="B2" i="6" l="1"/>
  <c r="M27" i="2"/>
  <c r="B4" i="6" s="1"/>
  <c r="B5" i="6"/>
  <c r="I29" i="2" l="1"/>
</calcChain>
</file>

<file path=xl/sharedStrings.xml><?xml version="1.0" encoding="utf-8"?>
<sst xmlns="http://schemas.openxmlformats.org/spreadsheetml/2006/main" count="155" uniqueCount="129">
  <si>
    <t>ICR Summary Information</t>
  </si>
  <si>
    <t>Hours per Response</t>
  </si>
  <si>
    <t>Number of Respondents</t>
  </si>
  <si>
    <t>Total Estimated Burden Hours</t>
  </si>
  <si>
    <t>Total Estimated Costs</t>
  </si>
  <si>
    <t>Annualized Capital O&amp;M</t>
  </si>
  <si>
    <t>Not Applicable</t>
  </si>
  <si>
    <t>Total Annual Responses</t>
  </si>
  <si>
    <t>Form Number</t>
  </si>
  <si>
    <t>Table 1: Annual Respondent Burden and Cost – NSPS for Stationary Combustion Turbines (40 CFR Part 60, Subpart KKKK) (Renewal)</t>
  </si>
  <si>
    <t>T</t>
  </si>
  <si>
    <t>M</t>
  </si>
  <si>
    <t>C</t>
  </si>
  <si>
    <t>Burden item</t>
  </si>
  <si>
    <t>(A) 
Person hours per occurrence</t>
  </si>
  <si>
    <t>(B) 
No. of occurrences per respondent per year</t>
  </si>
  <si>
    <t>(C) 
Person hours per respondent per year (C=AxB)</t>
  </si>
  <si>
    <r>
      <t xml:space="preserve">(D) Respondents per year </t>
    </r>
    <r>
      <rPr>
        <b/>
        <vertAlign val="superscript"/>
        <sz val="12"/>
        <color rgb="FF000000"/>
        <rFont val="Times New Roman"/>
        <family val="1"/>
      </rPr>
      <t>a</t>
    </r>
  </si>
  <si>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</si>
  <si>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</si>
  <si>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</si>
  <si>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</si>
  <si>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t>1.  Applications</t>
  </si>
  <si>
    <t>N/A</t>
  </si>
  <si>
    <t>2.  Surveys and studies</t>
  </si>
  <si>
    <t>3.  Reporting requirements</t>
  </si>
  <si>
    <r>
      <t xml:space="preserve"> A.  Familiarization with Regulatory Requirements </t>
    </r>
    <r>
      <rPr>
        <vertAlign val="superscript"/>
        <sz val="10"/>
        <color rgb="FF000000"/>
        <rFont val="Times New Roman"/>
        <family val="1"/>
      </rPr>
      <t>c</t>
    </r>
  </si>
  <si>
    <t xml:space="preserve"> B.  Required activities</t>
  </si>
  <si>
    <r>
      <rPr>
        <sz val="10"/>
        <color rgb="FF000000"/>
        <rFont val="Times New Roman"/>
      </rPr>
      <t xml:space="preserve">     Performance test </t>
    </r>
    <r>
      <rPr>
        <vertAlign val="superscript"/>
        <sz val="10"/>
        <color rgb="FF000000"/>
        <rFont val="Times New Roman"/>
      </rPr>
      <t>d</t>
    </r>
  </si>
  <si>
    <r>
      <rPr>
        <sz val="10"/>
        <color rgb="FF000000"/>
        <rFont val="Times New Roman"/>
      </rPr>
      <t xml:space="preserve">     Fuel sampling – dual fuel turbines </t>
    </r>
    <r>
      <rPr>
        <vertAlign val="superscript"/>
        <sz val="10"/>
        <color rgb="FF000000"/>
        <rFont val="Times New Roman"/>
      </rPr>
      <t>e</t>
    </r>
  </si>
  <si>
    <r>
      <rPr>
        <sz val="10"/>
        <color rgb="FF000000"/>
        <rFont val="Times New Roman"/>
      </rPr>
      <t xml:space="preserve">     Fuel sampling – distillate oil only turbines </t>
    </r>
    <r>
      <rPr>
        <vertAlign val="superscript"/>
        <sz val="10"/>
        <color rgb="FF000000"/>
        <rFont val="Times New Roman"/>
      </rPr>
      <t>f</t>
    </r>
  </si>
  <si>
    <t xml:space="preserve"> C.  Gather existing information</t>
  </si>
  <si>
    <t>See 3D</t>
  </si>
  <si>
    <t xml:space="preserve"> D.  Write report </t>
  </si>
  <si>
    <r>
      <t xml:space="preserve">       Notification of construction/ reconstruction </t>
    </r>
    <r>
      <rPr>
        <vertAlign val="superscript"/>
        <sz val="10"/>
        <color rgb="FF000000"/>
        <rFont val="Times New Roman"/>
        <family val="1"/>
      </rPr>
      <t xml:space="preserve">g, h </t>
    </r>
  </si>
  <si>
    <r>
      <t xml:space="preserve">       Notification of actual startup </t>
    </r>
    <r>
      <rPr>
        <vertAlign val="superscript"/>
        <sz val="10"/>
        <color rgb="FF000000"/>
        <rFont val="Times New Roman"/>
        <family val="1"/>
      </rPr>
      <t>g, h</t>
    </r>
  </si>
  <si>
    <r>
      <t xml:space="preserve">       Notification of performance test </t>
    </r>
    <r>
      <rPr>
        <vertAlign val="superscript"/>
        <sz val="10"/>
        <color rgb="FF000000"/>
        <rFont val="Times New Roman"/>
        <family val="1"/>
      </rPr>
      <t>d</t>
    </r>
  </si>
  <si>
    <r>
      <t xml:space="preserve">       Notification of demonstration of CEMS </t>
    </r>
    <r>
      <rPr>
        <vertAlign val="superscript"/>
        <sz val="10"/>
        <color rgb="FF000000"/>
        <rFont val="Times New Roman"/>
        <family val="1"/>
      </rPr>
      <t>i</t>
    </r>
  </si>
  <si>
    <r>
      <t xml:space="preserve">       Initial notification of compliance</t>
    </r>
    <r>
      <rPr>
        <vertAlign val="superscript"/>
        <sz val="10"/>
        <color rgb="FF000000"/>
        <rFont val="Times New Roman"/>
        <family val="1"/>
      </rPr>
      <t xml:space="preserve"> g, h</t>
    </r>
  </si>
  <si>
    <r>
      <t xml:space="preserve">     Semiannual Compliance report </t>
    </r>
    <r>
      <rPr>
        <vertAlign val="superscript"/>
        <sz val="10"/>
        <rFont val="Times New Roman"/>
        <family val="1"/>
      </rPr>
      <t>j, k</t>
    </r>
  </si>
  <si>
    <t>Subtotal for Reporting Requirements</t>
  </si>
  <si>
    <t>4.  Recordkeeping requirements</t>
  </si>
  <si>
    <r>
      <t xml:space="preserve"> A.  Familiarization with Regulatory Requirement </t>
    </r>
    <r>
      <rPr>
        <vertAlign val="superscript"/>
        <sz val="10"/>
        <color rgb="FF000000"/>
        <rFont val="Times New Roman"/>
        <family val="1"/>
      </rPr>
      <t>c</t>
    </r>
  </si>
  <si>
    <t>See 3A</t>
  </si>
  <si>
    <r>
      <t xml:space="preserve"> B.  Train personnel </t>
    </r>
    <r>
      <rPr>
        <vertAlign val="superscript"/>
        <sz val="10"/>
        <color rgb="FF000000"/>
        <rFont val="Times New Roman"/>
        <family val="1"/>
      </rPr>
      <t>h</t>
    </r>
  </si>
  <si>
    <t xml:space="preserve"> C.  Continuous monitoring</t>
  </si>
  <si>
    <r>
      <rPr>
        <sz val="10"/>
        <color rgb="FF000000"/>
        <rFont val="Times New Roman"/>
      </rPr>
      <t xml:space="preserve">       Record information </t>
    </r>
    <r>
      <rPr>
        <vertAlign val="superscript"/>
        <sz val="10"/>
        <color rgb="FF000000"/>
        <rFont val="Times New Roman"/>
      </rPr>
      <t>k, l</t>
    </r>
  </si>
  <si>
    <t xml:space="preserve">Subtotal for Recordkeeping Requirements  </t>
  </si>
  <si>
    <r>
      <rPr>
        <b/>
        <sz val="10"/>
        <color rgb="FF000000"/>
        <rFont val="Times New Roman"/>
      </rPr>
      <t xml:space="preserve">TOTAL LABOR BURDEN AND COST (rounded) </t>
    </r>
    <r>
      <rPr>
        <b/>
        <vertAlign val="superscript"/>
        <sz val="10"/>
        <color rgb="FF000000"/>
        <rFont val="Times New Roman"/>
      </rPr>
      <t>m</t>
    </r>
  </si>
  <si>
    <r>
      <rPr>
        <b/>
        <sz val="10"/>
        <color rgb="FF000000"/>
        <rFont val="Times New Roman"/>
      </rPr>
      <t xml:space="preserve">Capital and O&amp;M Cost </t>
    </r>
    <r>
      <rPr>
        <b/>
        <vertAlign val="superscript"/>
        <sz val="10"/>
        <color rgb="FF000000"/>
        <rFont val="Times New Roman"/>
      </rPr>
      <t>m</t>
    </r>
    <r>
      <rPr>
        <b/>
        <sz val="10"/>
        <color rgb="FF000000"/>
        <rFont val="Times New Roman"/>
      </rPr>
      <t xml:space="preserve"> </t>
    </r>
  </si>
  <si>
    <r>
      <rPr>
        <b/>
        <sz val="10"/>
        <color rgb="FF000000"/>
        <rFont val="Times New Roman"/>
      </rPr>
      <t xml:space="preserve">Grand Total </t>
    </r>
    <r>
      <rPr>
        <b/>
        <vertAlign val="superscript"/>
        <sz val="10"/>
        <color rgb="FF000000"/>
        <rFont val="Times New Roman"/>
      </rPr>
      <t>m</t>
    </r>
  </si>
  <si>
    <t>hr/response</t>
  </si>
  <si>
    <t>Assumptions:</t>
  </si>
  <si>
    <t>a  We have assumed that there is an annual average of 1030 sources currently subject to the regulations, including 989 existing respondents, and approximately 42 new respondents per year (rounded) who will become subject to the standards.</t>
  </si>
  <si>
    <r>
      <rPr>
        <vertAlign val="superscript"/>
        <sz val="10"/>
        <color rgb="FF000000"/>
        <rFont val="Times New Roman"/>
      </rPr>
      <t>b</t>
    </r>
    <r>
      <rPr>
        <sz val="10"/>
        <color rgb="FF000000"/>
        <rFont val="Times New Roman"/>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</si>
  <si>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have assumed that it will take 4 hours for respondents to familiarize with regulatory requirements and that all sources will have to familiarize with requlatory requirements.</t>
    </r>
  </si>
  <si>
    <t>Updating respondent assumptions (1030 avg was 871 in prev ICR renewal)</t>
  </si>
  <si>
    <r>
      <rPr>
        <vertAlign val="superscript"/>
        <sz val="10"/>
        <color theme="1"/>
        <rFont val="Times New Roman"/>
        <family val="1"/>
      </rPr>
      <t>d</t>
    </r>
    <r>
      <rPr>
        <sz val="10"/>
        <color theme="1"/>
        <rFont val="Times New Roman"/>
        <family val="1"/>
      </rPr>
      <t xml:space="preserve">  We have assumed that 280 respondents will each take 12 hours to conduct annual stack testing to demonstrate compliance with NOx emission limitation.</t>
    </r>
  </si>
  <si>
    <t>was 237</t>
  </si>
  <si>
    <r>
      <rPr>
        <vertAlign val="superscript"/>
        <sz val="10"/>
        <color theme="1"/>
        <rFont val="Times New Roman"/>
        <family val="1"/>
      </rPr>
      <t>e</t>
    </r>
    <r>
      <rPr>
        <sz val="10"/>
        <color theme="1"/>
        <rFont val="Times New Roman"/>
        <family val="1"/>
      </rPr>
      <t xml:space="preserve">  We have assumed that 149 respondents will each take 0.5 hours 52 times per year to complete fuel sampling for the dual fuel turbines.</t>
    </r>
  </si>
  <si>
    <t>was 126</t>
  </si>
  <si>
    <r>
      <t>f</t>
    </r>
    <r>
      <rPr>
        <sz val="10"/>
        <color theme="1"/>
        <rFont val="Times New Roman"/>
        <family val="1"/>
      </rPr>
      <t xml:space="preserve">  We have assumed that eight respondents will each take 0.5 hours 5 times per year to complete the fuel sampling for the distillate oil only turbines.</t>
    </r>
  </si>
  <si>
    <t>was 8</t>
  </si>
  <si>
    <r>
      <t>g</t>
    </r>
    <r>
      <rPr>
        <sz val="10"/>
        <color theme="1"/>
        <rFont val="Times New Roman"/>
        <family val="1"/>
      </rPr>
      <t xml:space="preserve">  We have assumed that it will take each new respondent 2 hours to write notification report.</t>
    </r>
  </si>
  <si>
    <t>was 15</t>
  </si>
  <si>
    <r>
      <t>h</t>
    </r>
    <r>
      <rPr>
        <sz val="10"/>
        <color theme="1"/>
        <rFont val="Times New Roman"/>
        <family val="1"/>
      </rPr>
      <t xml:space="preserve">  We have assumed that this is a one-time report for new respondents.</t>
    </r>
  </si>
  <si>
    <r>
      <t>i</t>
    </r>
    <r>
      <rPr>
        <sz val="10"/>
        <color theme="1"/>
        <rFont val="Times New Roman"/>
        <family val="1"/>
      </rPr>
      <t xml:space="preserve">  We have assumed that of the 42 new respondents each year, 13 of these respondents will write reports demonstrating CEMS compliance.</t>
    </r>
  </si>
  <si>
    <r>
      <t>j</t>
    </r>
    <r>
      <rPr>
        <sz val="10"/>
        <color theme="1"/>
        <rFont val="Times New Roman"/>
        <family val="1"/>
      </rPr>
      <t xml:space="preserve">  We have assumed that each of the respondents will take 8 hours twice per year to write the compliance report.</t>
    </r>
  </si>
  <si>
    <t>k  The average number of respondents is 1030.</t>
  </si>
  <si>
    <r>
      <t>l</t>
    </r>
    <r>
      <rPr>
        <sz val="10"/>
        <color theme="1"/>
        <rFont val="Times New Roman"/>
        <family val="1"/>
      </rPr>
      <t xml:space="preserve">  We have assumed that it will take each respondent 5 hours twelve times per year to record information.  </t>
    </r>
    <r>
      <rPr>
        <sz val="10"/>
        <color rgb="FFFF0000"/>
        <rFont val="Times New Roman"/>
        <family val="1"/>
      </rPr>
      <t xml:space="preserve"> </t>
    </r>
  </si>
  <si>
    <r>
      <t xml:space="preserve">m  </t>
    </r>
    <r>
      <rPr>
        <sz val="10"/>
        <color theme="1"/>
        <rFont val="Times New Roman"/>
        <family val="1"/>
      </rPr>
      <t>Totals have been rounded to 3 significant figures. Figures may not add exactly due to rounding.</t>
    </r>
  </si>
  <si>
    <t>Table 2: Average Annual EPA Burden and Cost – NSPS for Stationary Combustion Turbines (40 CFR Part 60, Subpart KKKK)(Renewal)</t>
  </si>
  <si>
    <t>Activity</t>
  </si>
  <si>
    <t>(A) 
EPA person- hours per occurrence</t>
  </si>
  <si>
    <t>(B) 
No. of occurrences per plant per year</t>
  </si>
  <si>
    <t>(C) 
EPA person- hours per plant per year 
(C=AxB)</t>
  </si>
  <si>
    <r>
      <t xml:space="preserve">(D) 
Plants per year  </t>
    </r>
    <r>
      <rPr>
        <b/>
        <vertAlign val="superscript"/>
        <sz val="12"/>
        <color rgb="FF000000"/>
        <rFont val="Times New Roman"/>
        <family val="1"/>
      </rPr>
      <t>a</t>
    </r>
  </si>
  <si>
    <t>(E) 
Technical person-hours per year 
(E=CxD)</t>
  </si>
  <si>
    <t>(F) 
Management person-hours per year 
(F=Ex0.05)</t>
  </si>
  <si>
    <t>(G) 
Clerical person-hours per year 
(G=Ex0.1)</t>
  </si>
  <si>
    <r>
      <t xml:space="preserve">(H) 
Cost, $ </t>
    </r>
    <r>
      <rPr>
        <b/>
        <vertAlign val="superscript"/>
        <sz val="10"/>
        <color rgb="FF000000"/>
        <rFont val="Times New Roman"/>
        <family val="1"/>
      </rPr>
      <t>b</t>
    </r>
  </si>
  <si>
    <t>Report Review</t>
  </si>
  <si>
    <r>
      <t xml:space="preserve">1.  Notification of construction/reconstruction </t>
    </r>
    <r>
      <rPr>
        <vertAlign val="superscript"/>
        <sz val="10"/>
        <color rgb="FF000000"/>
        <rFont val="Times New Roman"/>
        <family val="1"/>
      </rPr>
      <t>c</t>
    </r>
  </si>
  <si>
    <r>
      <t xml:space="preserve">2.  Notification of actual startup </t>
    </r>
    <r>
      <rPr>
        <vertAlign val="superscript"/>
        <sz val="10"/>
        <color rgb="FF000000"/>
        <rFont val="Times New Roman"/>
        <family val="1"/>
      </rPr>
      <t>d</t>
    </r>
  </si>
  <si>
    <t>3.  Notification of performance test</t>
  </si>
  <si>
    <r>
      <t xml:space="preserve">4.  Notification of demonstration of CEMS </t>
    </r>
    <r>
      <rPr>
        <vertAlign val="superscript"/>
        <sz val="10"/>
        <color rgb="FF000000"/>
        <rFont val="Times New Roman"/>
        <family val="1"/>
      </rPr>
      <t>e</t>
    </r>
  </si>
  <si>
    <t>5.  Initial notification of compliance</t>
  </si>
  <si>
    <r>
      <t xml:space="preserve">6.  Semiannual compliance report </t>
    </r>
    <r>
      <rPr>
        <vertAlign val="superscript"/>
        <sz val="10"/>
        <color rgb="FF000000"/>
        <rFont val="Times New Roman"/>
        <family val="1"/>
      </rPr>
      <t>f</t>
    </r>
  </si>
  <si>
    <r>
      <t>TOTAL ANNUAL BURDEN AND COST (rounded)</t>
    </r>
    <r>
      <rPr>
        <b/>
        <vertAlign val="superscript"/>
        <sz val="10"/>
        <color rgb="FF000000"/>
        <rFont val="Times New Roman"/>
        <family val="1"/>
      </rPr>
      <t>g</t>
    </r>
  </si>
  <si>
    <r>
      <t xml:space="preserve"> a</t>
    </r>
    <r>
      <rPr>
        <sz val="10"/>
        <color theme="1"/>
        <rFont val="Times New Roman"/>
        <family val="1"/>
      </rPr>
      <t xml:space="preserve">  We have assumed that there is an annual average of 1030 sources currently subject to the regulations, including 989 existing respondents, and approximately 42 new respondents per year (rounded) who will become subject to the standards.</t>
    </r>
  </si>
  <si>
    <t>b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</si>
  <si>
    <r>
      <t>c</t>
    </r>
    <r>
      <rPr>
        <sz val="10"/>
        <color theme="1"/>
        <rFont val="Times New Roman"/>
        <family val="1"/>
      </rPr>
      <t xml:space="preserve">  We have assumed that new respondents will take one hour each to review the notification of construction/reconstruction report.</t>
    </r>
  </si>
  <si>
    <r>
      <t>d</t>
    </r>
    <r>
      <rPr>
        <sz val="10"/>
        <color theme="1"/>
        <rFont val="Times New Roman"/>
        <family val="1"/>
      </rPr>
      <t xml:space="preserve">  We have assumed that it will take 0.5 hours for new respondents to review the actual startup report.</t>
    </r>
  </si>
  <si>
    <r>
      <t>e</t>
    </r>
    <r>
      <rPr>
        <sz val="10"/>
        <color theme="1"/>
        <rFont val="Times New Roman"/>
        <family val="1"/>
      </rPr>
      <t xml:space="preserve">  We have assumed that of the 42 new respondents, only 13 of these respondents will review the notification of demonstration of CEMS report.</t>
    </r>
  </si>
  <si>
    <r>
      <t>f</t>
    </r>
    <r>
      <rPr>
        <sz val="10"/>
        <color theme="1"/>
        <rFont val="Times New Roman"/>
        <family val="1"/>
      </rPr>
      <t xml:space="preserve">  We have assumed that it will take 2 hours once per year to review the compliance report.</t>
    </r>
  </si>
  <si>
    <r>
      <t xml:space="preserve">g  </t>
    </r>
    <r>
      <rPr>
        <sz val="10"/>
        <color theme="1"/>
        <rFont val="Times New Roman"/>
        <family val="1"/>
      </rPr>
      <t>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</si>
  <si>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t>
  </si>
  <si>
    <t>(A)</t>
  </si>
  <si>
    <t>(B)</t>
  </si>
  <si>
    <t>(C)</t>
  </si>
  <si>
    <t>(D)</t>
  </si>
  <si>
    <t>(E)</t>
  </si>
  <si>
    <t>Information Collection Activity</t>
  </si>
  <si>
    <t>Number of Responses</t>
  </si>
  <si>
    <t>Number of Existing Respondents That Keep Records But Do Not Submit Reports</t>
  </si>
  <si>
    <t>Total Annual Responses E=(BxC)+D</t>
  </si>
  <si>
    <t>Notification of construction/reconstruction</t>
  </si>
  <si>
    <t>Notification of actual startup</t>
  </si>
  <si>
    <t>Notification of performance test</t>
  </si>
  <si>
    <t>Notification of demonstration of CEMS</t>
  </si>
  <si>
    <t>Initial notification of compliance</t>
  </si>
  <si>
    <t>Semiannual compliance report</t>
  </si>
  <si>
    <t>Total</t>
  </si>
  <si>
    <t>2177.06 (OLD)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</si>
  <si>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</si>
  <si>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</si>
  <si>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</si>
  <si>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</si>
  <si>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</si>
  <si>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</si>
  <si>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</si>
  <si>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</si>
  <si>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</si>
  <si>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r>
      <t xml:space="preserve">Number of New Respondents </t>
    </r>
    <r>
      <rPr>
        <b/>
        <vertAlign val="superscript"/>
        <sz val="10"/>
        <color rgb="FF000000"/>
        <rFont val="Times New Roman"/>
        <family val="1"/>
      </rPr>
      <t>a</t>
    </r>
  </si>
  <si>
    <t>Number of Existing Respondents that keep records but do not submit reports</t>
  </si>
  <si>
    <t>Number of Respondents (E=A+B+C-D)</t>
  </si>
  <si>
    <r>
      <t xml:space="preserve">Average </t>
    </r>
    <r>
      <rPr>
        <vertAlign val="superscript"/>
        <sz val="10"/>
        <color rgb="FF000000"/>
        <rFont val="Times New Roman"/>
        <family val="1"/>
      </rPr>
      <t>2</t>
    </r>
  </si>
  <si>
    <r>
      <t>1</t>
    </r>
    <r>
      <rPr>
        <sz val="12"/>
        <color rgb="FF000000"/>
        <rFont val="Times New Roman"/>
        <charset val="1"/>
      </rPr>
      <t xml:space="preserve"> </t>
    </r>
    <r>
      <rPr>
        <sz val="10"/>
        <color rgb="FF000000"/>
        <rFont val="Times New Roman"/>
        <charset val="1"/>
      </rPr>
      <t>New respondents include sources with constructed, reconstructed and modified affected facilities.</t>
    </r>
    <r>
      <rPr>
        <sz val="10"/>
        <color rgb="FFFF0000"/>
        <rFont val="Times New Roman"/>
        <charset val="1"/>
      </rPr>
      <t>  </t>
    </r>
  </si>
  <si>
    <r>
      <rPr>
        <vertAlign val="superscript"/>
        <sz val="10"/>
        <color rgb="FF000000"/>
        <rFont val="Times New Roman"/>
      </rPr>
      <t xml:space="preserve">2  </t>
    </r>
    <r>
      <rPr>
        <sz val="10"/>
        <color rgb="FF000000"/>
        <rFont val="Times New Roman"/>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</si>
</sst>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00"/>
  </numFmts>
  <fonts count="37">
    <font>
      <sz val="11"/>
      <color theme="1"/>
      <name val="Calibri"/>
      <family val="2"/>
      <scheme val="minor"/>
    </font>
    <font>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b/>
      <sz val="10"/>
      <color theme="1"/>
      <name val="Times New Roman"/>
      <family val="1"/>
    </font>
    <font>
      <vertAlign val="superscript"/>
      <sz val="10"/>
      <color theme="1"/>
      <name val="Times New Roman"/>
      <family val="1"/>
    </font>
    <font>
      <sz val="11"/>
      <color rgb="FFFF0000"/>
      <name val="Calibri"/>
      <family val="2"/>
      <scheme val="minor"/>
    </font>
    <font>
      <sz val="12"/>
      <color rgb="FF000000"/>
      <name val="Times New Roman"/>
      <family val="1"/>
    </font>
    <font>
      <sz val="9"/>
      <color rgb="FF000000"/>
      <name val="Times New Roman"/>
      <family val="1"/>
    </font>
    <font>
      <sz val="9"/>
      <color theme="1"/>
      <name val="Times New Roman"/>
      <family val="1"/>
    </font>
    <font>
      <sz val="10"/>
      <name val="Times New Roman"/>
      <family val="1"/>
    </font>
    <font>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sz val="10"/>
      <color theme="1"/>
      <name val="Calibri"/>
      <family val="2"/>
      <scheme val="minor"/>
    </font>
    <font>
      <sz val="10"/>
      <color rgb="FFFF0000"/>
      <name val="Calibri"/>
      <family val="2"/>
      <scheme val="minor"/>
    </font>
    <font>
      <sz val="10"/>
      <color rgb="FFFF0000"/>
      <name val="Times New Roman"/>
      <family val="1"/>
    </font>
    <font>
      <sz val="11"/>
      <color rgb="FF00B050"/>
      <name val="Calibri"/>
      <family val="2"/>
      <scheme val="minor"/>
    </font>
    <font>
      <sz val="12"/>
      <color rgb="FFFF0000"/>
      <name val="Calibri"/>
      <family val="2"/>
      <scheme val="minor"/>
    </font>
    <font>
      <b/>
      <sz val="10"/>
      <color rgb="FFFF0000"/>
      <name val="Times New Roman"/>
      <family val="1"/>
    </font>
    <font>
      <sz val="12"/>
      <color theme="1"/>
      <name val="Times New Roman"/>
      <family val="1"/>
    </font>
    <font>
      <sz val="11"/>
      <name val="Calibri"/>
      <family val="2"/>
      <scheme val="minor"/>
    </font>
    <font>
      <sz val="12"/>
      <color rgb="FF000000"/>
      <name val="Times New Roman"/>
      <charset val="1"/>
    </font>
    <font>
      <sz val="10"/>
      <color rgb="FF000000"/>
      <name val="Times New Roman"/>
      <charset val="1"/>
    </font>
    <font>
      <sz val="10"/>
      <color rgb="FFFF0000"/>
      <name val="Times New Roman"/>
      <charset val="1"/>
    </font>
    <font>
      <vertAlign val="superscript"/>
      <sz val="9.5"/>
      <color rgb="FF000000"/>
      <name val="Times New Roman"/>
      <charset val="1"/>
    </font>
    <font>
      <vertAlign val="superscript"/>
      <sz val="10"/>
      <color rgb="FF000000"/>
      <name val="Times New Roman"/>
    </font>
    <font>
      <sz val="10"/>
      <color rgb="FF000000"/>
      <name val="Times New Roman"/>
    </font>
    <font>
      <b/>
      <sz val="11"/>
      <color theme="1"/>
      <name val="Calibri"/>
      <family val="2"/>
      <scheme val="minor"/>
    </font>
    <font>
      <b/>
      <sz val="10"/>
      <color rgb="FF000000"/>
      <name val="Times New Roman"/>
    </font>
    <font>
      <b/>
      <vertAlign val="superscript"/>
      <sz val="10"/>
      <color rgb="FF000000"/>
      <name val="Times New Roman"/>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indexed="64"/>
      </right>
      <top/>
      <bottom/>
      <diagonal/>
    </border>
    <border>
      <left style="medium">
        <color rgb="FFFFFFFF"/>
      </left>
      <right/>
      <top/>
      <bottom style="medium">
        <color rgb="FFFFFFFF"/>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8" fillId="0" borderId="0" xfId="0" applyFont="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3" fillId="0" borderId="3" xfId="0" applyFont="1" applyBorder="1" applyAlignment="1">
      <alignment vertical="center" wrapText="1"/>
    </xf>
    <xf numFmtId="2" fontId="6" fillId="0" borderId="1" xfId="0" applyNumberFormat="1" applyFont="1" applyBorder="1" applyAlignment="1">
      <alignment horizontal="center" vertical="center" wrapText="1"/>
    </xf>
    <xf numFmtId="0" fontId="9" fillId="0" borderId="0" xfId="0" applyFont="1" applyAlignment="1">
      <alignment vertical="center"/>
    </xf>
    <xf numFmtId="0" fontId="10" fillId="0" borderId="0" xfId="0" applyFont="1"/>
    <xf numFmtId="0" fontId="10" fillId="0" borderId="0" xfId="0" applyFont="1" applyAlignment="1">
      <alignment vertical="center"/>
    </xf>
    <xf numFmtId="6" fontId="3" fillId="0" borderId="1" xfId="0" applyNumberFormat="1" applyFont="1" applyBorder="1" applyAlignment="1">
      <alignment horizontal="right" vertical="center" wrapText="1"/>
    </xf>
    <xf numFmtId="0" fontId="8" fillId="0" borderId="0" xfId="0" applyFont="1"/>
    <xf numFmtId="0" fontId="6" fillId="0" borderId="1" xfId="0" applyFont="1" applyBorder="1" applyAlignment="1">
      <alignment horizontal="right" vertical="center" wrapText="1" indent="1"/>
    </xf>
    <xf numFmtId="0" fontId="2" fillId="0" borderId="1" xfId="0" applyFont="1" applyBorder="1" applyAlignment="1">
      <alignment vertical="center" wrapText="1"/>
    </xf>
    <xf numFmtId="3"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37" fontId="6" fillId="0" borderId="1" xfId="1" applyNumberFormat="1" applyFont="1" applyBorder="1" applyAlignment="1">
      <alignment horizontal="center" vertical="center" wrapText="1"/>
    </xf>
    <xf numFmtId="0" fontId="0" fillId="0" borderId="1" xfId="0" applyBorder="1"/>
    <xf numFmtId="1" fontId="0" fillId="0" borderId="0" xfId="0" applyNumberFormat="1"/>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vertical="center" wrapText="1"/>
    </xf>
    <xf numFmtId="0" fontId="8" fillId="0" borderId="13" xfId="0" applyFont="1" applyBorder="1" applyAlignment="1">
      <alignment vertical="center" wrapText="1"/>
    </xf>
    <xf numFmtId="0" fontId="0" fillId="0" borderId="14"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0" applyFont="1"/>
    <xf numFmtId="0" fontId="15" fillId="0" borderId="1" xfId="0" applyFont="1" applyBorder="1" applyAlignment="1">
      <alignment horizontal="left" vertical="center" wrapText="1" indent="1"/>
    </xf>
    <xf numFmtId="166" fontId="2" fillId="0" borderId="1" xfId="0" applyNumberFormat="1" applyFont="1" applyBorder="1" applyAlignment="1">
      <alignment vertical="center" wrapText="1"/>
    </xf>
    <xf numFmtId="166" fontId="6" fillId="0" borderId="1" xfId="0" applyNumberFormat="1" applyFont="1" applyBorder="1" applyAlignment="1">
      <alignment vertical="center" wrapText="1"/>
    </xf>
    <xf numFmtId="165" fontId="3" fillId="0" borderId="1" xfId="0" applyNumberFormat="1" applyFont="1" applyBorder="1" applyAlignment="1">
      <alignment horizontal="right" vertical="center" wrapText="1"/>
    </xf>
    <xf numFmtId="165" fontId="3" fillId="0" borderId="1" xfId="2" applyNumberFormat="1" applyFont="1" applyBorder="1" applyAlignment="1">
      <alignment vertical="center" wrapText="1"/>
    </xf>
    <xf numFmtId="0" fontId="0" fillId="0" borderId="20" xfId="0"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165" fontId="17"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2" fontId="0" fillId="0" borderId="0" xfId="0" applyNumberFormat="1"/>
    <xf numFmtId="0" fontId="20" fillId="0" borderId="0" xfId="0" applyFont="1"/>
    <xf numFmtId="0" fontId="21" fillId="0" borderId="0" xfId="0" applyFont="1"/>
    <xf numFmtId="1" fontId="6" fillId="0" borderId="1" xfId="0" applyNumberFormat="1" applyFont="1" applyBorder="1" applyAlignment="1">
      <alignment horizontal="center" vertical="center" wrapText="1"/>
    </xf>
    <xf numFmtId="41" fontId="0" fillId="0" borderId="0" xfId="0" applyNumberFormat="1"/>
    <xf numFmtId="3" fontId="0" fillId="0" borderId="0" xfId="0" applyNumberFormat="1"/>
    <xf numFmtId="165" fontId="0" fillId="0" borderId="0" xfId="0" applyNumberFormat="1"/>
    <xf numFmtId="0" fontId="24" fillId="0" borderId="0" xfId="0" applyFont="1"/>
    <xf numFmtId="0" fontId="25" fillId="0" borderId="0" xfId="0" applyFont="1" applyAlignment="1">
      <alignment vertical="center"/>
    </xf>
    <xf numFmtId="0" fontId="26" fillId="0" borderId="0" xfId="0" applyFont="1" applyAlignment="1">
      <alignment vertical="center"/>
    </xf>
    <xf numFmtId="1" fontId="15" fillId="0" borderId="1" xfId="0" applyNumberFormat="1" applyFont="1" applyBorder="1" applyAlignment="1">
      <alignment horizontal="center" vertical="center" wrapText="1"/>
    </xf>
    <xf numFmtId="1" fontId="23" fillId="0" borderId="0" xfId="0" applyNumberFormat="1" applyFont="1"/>
    <xf numFmtId="0" fontId="31" fillId="0" borderId="0" xfId="0" applyFont="1"/>
    <xf numFmtId="1" fontId="2" fillId="0" borderId="1" xfId="0" applyNumberFormat="1" applyFont="1" applyBorder="1" applyAlignment="1">
      <alignment horizontal="center" vertical="center" wrapText="1"/>
    </xf>
    <xf numFmtId="0" fontId="32" fillId="0" borderId="0" xfId="0" applyFont="1" applyAlignment="1">
      <alignment vertical="center"/>
    </xf>
    <xf numFmtId="0" fontId="6" fillId="0" borderId="0" xfId="0" applyFont="1" applyAlignment="1">
      <alignment vertical="center" wrapText="1"/>
    </xf>
    <xf numFmtId="1" fontId="27" fillId="0" borderId="0" xfId="0" applyNumberFormat="1" applyFont="1"/>
    <xf numFmtId="1" fontId="34" fillId="0" borderId="0" xfId="0" applyNumberFormat="1" applyFont="1"/>
    <xf numFmtId="167" fontId="0" fillId="0" borderId="0" xfId="0" applyNumberFormat="1"/>
    <xf numFmtId="0" fontId="35" fillId="0" borderId="1" xfId="0" applyFont="1" applyBorder="1" applyAlignment="1">
      <alignment vertical="center" wrapText="1"/>
    </xf>
    <xf numFmtId="0" fontId="35" fillId="0" borderId="2" xfId="0" applyFont="1" applyBorder="1" applyAlignment="1">
      <alignment vertical="center" wrapText="1"/>
    </xf>
    <xf numFmtId="0" fontId="33" fillId="0" borderId="1" xfId="0" applyFont="1" applyBorder="1" applyAlignment="1">
      <alignment horizontal="left" vertical="center" wrapText="1" indent="1"/>
    </xf>
    <xf numFmtId="0" fontId="2" fillId="0" borderId="0" xfId="0" applyFont="1" applyAlignment="1">
      <alignment vertical="center"/>
    </xf>
    <xf numFmtId="0" fontId="3" fillId="0" borderId="1" xfId="0" applyFont="1" applyBorder="1" applyAlignment="1">
      <alignment vertical="center" wrapText="1"/>
    </xf>
    <xf numFmtId="0" fontId="13" fillId="0" borderId="15" xfId="0" applyFont="1" applyBorder="1" applyAlignment="1">
      <alignment vertical="center" wrapText="1"/>
    </xf>
    <xf numFmtId="0" fontId="0" fillId="0" borderId="0" xfId="0" applyAlignment="1">
      <alignment horizontal="center"/>
    </xf>
    <xf numFmtId="0" fontId="2" fillId="0" borderId="0" xfId="0" applyFont="1" applyAlignment="1">
      <alignment horizontal="left" vertical="center" wrapText="1"/>
    </xf>
    <xf numFmtId="3" fontId="17"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7" fillId="0" borderId="0" xfId="0" applyFont="1" applyAlignment="1">
      <alignment horizontal="left" vertical="top" wrapText="1"/>
    </xf>
    <xf numFmtId="0" fontId="10" fillId="0" borderId="0" xfId="0" applyFont="1" applyAlignment="1">
      <alignment horizontal="left"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10" fillId="0" borderId="0" xfId="0" applyFont="1" applyAlignment="1">
      <alignment horizontal="left" vertical="center"/>
    </xf>
    <xf numFmtId="0" fontId="8" fillId="0" borderId="1" xfId="0" applyFont="1" applyBorder="1" applyAlignment="1">
      <alignment horizontal="center" vertical="center" wrapText="1"/>
    </xf>
    <xf numFmtId="0" fontId="3" fillId="0" borderId="1"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19" xfId="0" applyFont="1" applyBorder="1" applyAlignment="1">
      <alignment vertical="center" wrapText="1"/>
    </xf>
    <xf numFmtId="0" fontId="13" fillId="0" borderId="15" xfId="0" applyFont="1" applyBorder="1" applyAlignment="1">
      <alignment vertical="center" wrapText="1"/>
    </xf>
    <xf numFmtId="0" fontId="13" fillId="0" borderId="12" xfId="0" applyFont="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B8CB-2602-4498-9E32-6E6CF075A7A9}">
  <dimension ref="A1:B8"/>
  <sheetViews>
    <sheetView workbookViewId="0">
      <selection sqref="A1:B1"/>
    </sheetView>
  </sheetViews>
  <sheetFormatPr defaultRowHeight="15"/>
  <cols>
    <col min="1" max="1" width="25.7109375" bestFit="1" customWidth="1"/>
    <col min="2" max="2" width="14.42578125" customWidth="1"/>
  </cols>
  <sheetData>
    <row r="1" spans="1:2">
      <c r="A1" s="75" t="s">
        <v>0</v>
      </c>
      <c r="B1" s="75"/>
    </row>
    <row r="2" spans="1:2">
      <c r="A2" t="s">
        <v>1</v>
      </c>
      <c r="B2" s="54">
        <f>'Table 1'!L29</f>
        <v>42.771874687292687</v>
      </c>
    </row>
    <row r="3" spans="1:2">
      <c r="A3" t="s">
        <v>2</v>
      </c>
      <c r="B3" s="20">
        <f>'Table 1'!M33</f>
        <v>1030.3333333333333</v>
      </c>
    </row>
    <row r="4" spans="1:2">
      <c r="A4" t="s">
        <v>3</v>
      </c>
      <c r="B4" s="55">
        <f>'Table 1'!M27</f>
        <v>106000</v>
      </c>
    </row>
    <row r="5" spans="1:2">
      <c r="A5" t="s">
        <v>4</v>
      </c>
      <c r="B5" s="56">
        <f>'Table 1'!I27</f>
        <v>14500000</v>
      </c>
    </row>
    <row r="6" spans="1:2">
      <c r="A6" t="s">
        <v>5</v>
      </c>
      <c r="B6" s="56" t="s">
        <v>6</v>
      </c>
    </row>
    <row r="7" spans="1:2">
      <c r="A7" t="s">
        <v>7</v>
      </c>
      <c r="B7" s="20">
        <f>Responses!F11</f>
        <v>2478.264064293915</v>
      </c>
    </row>
    <row r="8" spans="1:2">
      <c r="A8" t="s">
        <v>8</v>
      </c>
      <c r="B8"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opLeftCell="A14" workbookViewId="0">
      <selection activeCell="L11" sqref="L11"/>
    </sheetView>
  </sheetViews>
  <sheetFormatPr defaultRowHeight="15"/>
  <cols>
    <col min="1" max="1" width="33.5703125" customWidth="1"/>
    <col min="2" max="2" width="10" customWidth="1"/>
    <col min="3" max="3" width="10.42578125" customWidth="1"/>
    <col min="4" max="4" width="9.42578125" customWidth="1"/>
    <col min="5" max="5" width="11.140625" customWidth="1"/>
    <col min="7" max="8" width="11.42578125" customWidth="1"/>
    <col min="9" max="9" width="15.7109375" customWidth="1"/>
    <col min="13" max="13" width="11" bestFit="1" customWidth="1"/>
  </cols>
  <sheetData>
    <row r="1" spans="1:13" ht="15.75">
      <c r="A1" s="2" t="s">
        <v>9</v>
      </c>
      <c r="K1" t="s">
        <v>10</v>
      </c>
      <c r="L1" t="s">
        <v>11</v>
      </c>
      <c r="M1" t="s">
        <v>12</v>
      </c>
    </row>
    <row r="2" spans="1:13" ht="15.75">
      <c r="A2" s="1"/>
      <c r="J2" s="36"/>
      <c r="K2">
        <v>141.75</v>
      </c>
      <c r="L2">
        <v>172.41</v>
      </c>
      <c r="M2">
        <v>71.36</v>
      </c>
    </row>
    <row r="3" spans="1:13" ht="76.5">
      <c r="A3" s="3" t="s">
        <v>13</v>
      </c>
      <c r="B3" s="3" t="s">
        <v>14</v>
      </c>
      <c r="C3" s="3" t="s">
        <v>15</v>
      </c>
      <c r="D3" s="3" t="s">
        <v>16</v>
      </c>
      <c r="E3" s="3" t="s">
        <v>17</v>
      </c>
      <c r="F3" s="3" t="s">
        <v>18</v>
      </c>
      <c r="G3" s="3" t="s">
        <v>19</v>
      </c>
      <c r="H3" s="3" t="s">
        <v>20</v>
      </c>
      <c r="I3" s="3" t="s">
        <v>21</v>
      </c>
    </row>
    <row r="4" spans="1:13">
      <c r="A4" s="4" t="s">
        <v>22</v>
      </c>
      <c r="B4" s="5" t="s">
        <v>23</v>
      </c>
      <c r="C4" s="15"/>
      <c r="D4" s="15"/>
      <c r="E4" s="15"/>
      <c r="F4" s="15"/>
      <c r="G4" s="15"/>
      <c r="H4" s="15"/>
      <c r="I4" s="38"/>
    </row>
    <row r="5" spans="1:13">
      <c r="A5" s="4" t="s">
        <v>24</v>
      </c>
      <c r="B5" s="5" t="s">
        <v>23</v>
      </c>
      <c r="C5" s="15"/>
      <c r="D5" s="15"/>
      <c r="E5" s="15"/>
      <c r="F5" s="15"/>
      <c r="G5" s="15"/>
      <c r="H5" s="15"/>
      <c r="I5" s="38"/>
    </row>
    <row r="6" spans="1:13">
      <c r="A6" s="4" t="s">
        <v>25</v>
      </c>
      <c r="B6" s="15"/>
      <c r="C6" s="15"/>
      <c r="D6" s="15"/>
      <c r="E6" s="15"/>
      <c r="F6" s="15"/>
      <c r="G6" s="15"/>
      <c r="H6" s="15"/>
      <c r="I6" s="42"/>
    </row>
    <row r="7" spans="1:13" ht="28.5">
      <c r="A7" s="6" t="s">
        <v>26</v>
      </c>
      <c r="B7" s="5">
        <v>4</v>
      </c>
      <c r="C7" s="5">
        <v>1</v>
      </c>
      <c r="D7" s="5">
        <f>B7*C7</f>
        <v>4</v>
      </c>
      <c r="E7" s="53">
        <f>Respondents!G21</f>
        <v>1030.3333333333333</v>
      </c>
      <c r="F7" s="16">
        <f>D7*E7</f>
        <v>4121.333333333333</v>
      </c>
      <c r="G7" s="17">
        <f>F7*0.05</f>
        <v>206.06666666666666</v>
      </c>
      <c r="H7" s="17">
        <f>F7*0.1</f>
        <v>412.13333333333333</v>
      </c>
      <c r="I7" s="39">
        <f>$K$2*F7+$L$2*G7+$M$2*H7</f>
        <v>649136.78866666672</v>
      </c>
      <c r="J7" s="36"/>
    </row>
    <row r="8" spans="1:13">
      <c r="A8" s="6" t="s">
        <v>27</v>
      </c>
      <c r="B8" s="15"/>
      <c r="C8" s="15"/>
      <c r="D8" s="5"/>
      <c r="E8" s="15"/>
      <c r="F8" s="5"/>
      <c r="G8" s="5"/>
      <c r="H8" s="17"/>
      <c r="I8" s="42"/>
    </row>
    <row r="9" spans="1:13" ht="15.75">
      <c r="A9" s="71" t="s">
        <v>28</v>
      </c>
      <c r="B9" s="5">
        <v>12</v>
      </c>
      <c r="C9" s="5">
        <v>1</v>
      </c>
      <c r="D9" s="5">
        <f t="shared" ref="D9:D25" si="0">B9*C9</f>
        <v>12</v>
      </c>
      <c r="E9" s="53">
        <f>N35</f>
        <v>280.264064293915</v>
      </c>
      <c r="F9" s="18">
        <f t="shared" ref="F9:F19" si="1">D9*E9</f>
        <v>3363.16877152698</v>
      </c>
      <c r="G9" s="17">
        <f t="shared" ref="G9:G19" si="2">F9*0.05</f>
        <v>168.158438576349</v>
      </c>
      <c r="H9" s="17">
        <f t="shared" ref="H9:H11" si="3">F9*0.1</f>
        <v>336.316877152698</v>
      </c>
      <c r="I9" s="39">
        <f>$K$2*F9+$L$2*G9+$M$2*H9</f>
        <v>529720.94211251428</v>
      </c>
      <c r="J9" s="36"/>
    </row>
    <row r="10" spans="1:13" ht="15.75">
      <c r="A10" s="71" t="s">
        <v>29</v>
      </c>
      <c r="B10" s="5">
        <v>0.5</v>
      </c>
      <c r="C10" s="5">
        <v>52</v>
      </c>
      <c r="D10" s="5">
        <f t="shared" si="0"/>
        <v>26</v>
      </c>
      <c r="E10" s="53">
        <f>N36</f>
        <v>149.0011481056257</v>
      </c>
      <c r="F10" s="18">
        <f t="shared" si="1"/>
        <v>3874.0298507462685</v>
      </c>
      <c r="G10" s="17">
        <f t="shared" si="2"/>
        <v>193.70149253731344</v>
      </c>
      <c r="H10" s="17">
        <f t="shared" si="3"/>
        <v>387.40298507462688</v>
      </c>
      <c r="I10" s="39">
        <f>$K$2*F10+$L$2*G10+$M$2*H10</f>
        <v>610184.88268656714</v>
      </c>
      <c r="J10" s="36"/>
    </row>
    <row r="11" spans="1:13" ht="28.5">
      <c r="A11" s="71" t="s">
        <v>30</v>
      </c>
      <c r="B11" s="5">
        <v>0.5</v>
      </c>
      <c r="C11" s="5">
        <v>5</v>
      </c>
      <c r="D11" s="5">
        <f t="shared" si="0"/>
        <v>2.5</v>
      </c>
      <c r="E11" s="53">
        <f>N37</f>
        <v>8.2778415614236511</v>
      </c>
      <c r="F11" s="17">
        <f t="shared" si="1"/>
        <v>20.694603903559127</v>
      </c>
      <c r="G11" s="8">
        <f t="shared" si="2"/>
        <v>1.0347301951779564</v>
      </c>
      <c r="H11" s="8">
        <f t="shared" si="3"/>
        <v>2.0694603903559128</v>
      </c>
      <c r="I11" s="39">
        <f>$K$2*F11+$L$2*G11+$M$2*H11</f>
        <v>3259.5346297359356</v>
      </c>
      <c r="J11" s="36"/>
    </row>
    <row r="12" spans="1:13">
      <c r="A12" s="6" t="s">
        <v>31</v>
      </c>
      <c r="B12" s="5" t="s">
        <v>32</v>
      </c>
      <c r="C12" s="15"/>
      <c r="D12" s="5"/>
      <c r="E12" s="15"/>
      <c r="F12" s="5"/>
      <c r="G12" s="5"/>
      <c r="H12" s="5"/>
      <c r="I12" s="39"/>
    </row>
    <row r="13" spans="1:13">
      <c r="A13" s="6" t="s">
        <v>33</v>
      </c>
      <c r="B13" s="15"/>
      <c r="C13" s="15"/>
      <c r="D13" s="5"/>
      <c r="E13" s="15"/>
      <c r="F13" s="5"/>
      <c r="G13" s="5"/>
      <c r="H13" s="5"/>
      <c r="I13" s="42"/>
    </row>
    <row r="14" spans="1:13" ht="28.5">
      <c r="A14" s="6" t="s">
        <v>34</v>
      </c>
      <c r="B14" s="5">
        <v>2</v>
      </c>
      <c r="C14" s="5">
        <v>1</v>
      </c>
      <c r="D14" s="5">
        <f t="shared" si="0"/>
        <v>2</v>
      </c>
      <c r="E14" s="53">
        <f>Respondents!C21</f>
        <v>41.666666666666664</v>
      </c>
      <c r="F14" s="53">
        <f t="shared" si="1"/>
        <v>83.333333333333329</v>
      </c>
      <c r="G14" s="53">
        <f t="shared" si="2"/>
        <v>4.166666666666667</v>
      </c>
      <c r="H14" s="53">
        <f t="shared" ref="H14:H19" si="4">F14*0.1</f>
        <v>8.3333333333333339</v>
      </c>
      <c r="I14" s="39">
        <f t="shared" ref="I14:I19" si="5">$K$2*F14+$L$2*G14+$M$2*H14</f>
        <v>13125.541666666666</v>
      </c>
      <c r="J14" s="36"/>
    </row>
    <row r="15" spans="1:13" ht="15" customHeight="1">
      <c r="A15" s="6" t="s">
        <v>35</v>
      </c>
      <c r="B15" s="5">
        <v>2</v>
      </c>
      <c r="C15" s="5">
        <v>1</v>
      </c>
      <c r="D15" s="5">
        <f t="shared" si="0"/>
        <v>2</v>
      </c>
      <c r="E15" s="53">
        <f>Respondents!C21</f>
        <v>41.666666666666664</v>
      </c>
      <c r="F15" s="53">
        <f t="shared" si="1"/>
        <v>83.333333333333329</v>
      </c>
      <c r="G15" s="53">
        <f t="shared" si="2"/>
        <v>4.166666666666667</v>
      </c>
      <c r="H15" s="53">
        <f t="shared" si="4"/>
        <v>8.3333333333333339</v>
      </c>
      <c r="I15" s="39">
        <f t="shared" si="5"/>
        <v>13125.541666666666</v>
      </c>
    </row>
    <row r="16" spans="1:13" ht="15" customHeight="1">
      <c r="A16" s="6" t="s">
        <v>36</v>
      </c>
      <c r="B16" s="5">
        <v>2</v>
      </c>
      <c r="C16" s="5">
        <v>1</v>
      </c>
      <c r="D16" s="5">
        <f t="shared" si="0"/>
        <v>2</v>
      </c>
      <c r="E16" s="53">
        <f>N35</f>
        <v>280.264064293915</v>
      </c>
      <c r="F16" s="17">
        <f t="shared" si="1"/>
        <v>560.52812858783</v>
      </c>
      <c r="G16" s="17">
        <f t="shared" si="2"/>
        <v>28.0264064293915</v>
      </c>
      <c r="H16" s="17">
        <f t="shared" si="4"/>
        <v>56.052812858783</v>
      </c>
      <c r="I16" s="39">
        <f t="shared" si="5"/>
        <v>88286.823685419062</v>
      </c>
      <c r="J16" s="36"/>
    </row>
    <row r="17" spans="1:13" ht="28.5">
      <c r="A17" s="6" t="s">
        <v>37</v>
      </c>
      <c r="B17" s="5">
        <v>2</v>
      </c>
      <c r="C17" s="5">
        <v>1</v>
      </c>
      <c r="D17" s="5">
        <f t="shared" si="0"/>
        <v>2</v>
      </c>
      <c r="E17" s="5">
        <f>ROUND((15/47)*42,0)</f>
        <v>13</v>
      </c>
      <c r="F17" s="5">
        <f t="shared" si="1"/>
        <v>26</v>
      </c>
      <c r="G17" s="5">
        <f t="shared" si="2"/>
        <v>1.3</v>
      </c>
      <c r="H17" s="5">
        <f t="shared" si="4"/>
        <v>2.6</v>
      </c>
      <c r="I17" s="39">
        <f t="shared" si="5"/>
        <v>4095.1689999999999</v>
      </c>
      <c r="J17" s="36"/>
    </row>
    <row r="18" spans="1:13" ht="20.45" customHeight="1">
      <c r="A18" s="6" t="s">
        <v>38</v>
      </c>
      <c r="B18" s="5">
        <v>2</v>
      </c>
      <c r="C18" s="5">
        <v>1</v>
      </c>
      <c r="D18" s="5">
        <f t="shared" si="0"/>
        <v>2</v>
      </c>
      <c r="E18" s="53">
        <f>Respondents!C21</f>
        <v>41.666666666666664</v>
      </c>
      <c r="F18" s="53">
        <f t="shared" si="1"/>
        <v>83.333333333333329</v>
      </c>
      <c r="G18" s="53">
        <f t="shared" si="2"/>
        <v>4.166666666666667</v>
      </c>
      <c r="H18" s="53">
        <f t="shared" si="4"/>
        <v>8.3333333333333339</v>
      </c>
      <c r="I18" s="39">
        <f t="shared" si="5"/>
        <v>13125.541666666666</v>
      </c>
      <c r="J18" s="36"/>
    </row>
    <row r="19" spans="1:13" ht="24.6" customHeight="1">
      <c r="A19" s="37" t="s">
        <v>39</v>
      </c>
      <c r="B19" s="5">
        <v>8</v>
      </c>
      <c r="C19" s="5">
        <v>2</v>
      </c>
      <c r="D19" s="5">
        <f t="shared" si="0"/>
        <v>16</v>
      </c>
      <c r="E19" s="53">
        <f>M33</f>
        <v>1030.3333333333333</v>
      </c>
      <c r="F19" s="18">
        <f t="shared" si="1"/>
        <v>16485.333333333332</v>
      </c>
      <c r="G19" s="53">
        <f t="shared" si="2"/>
        <v>824.26666666666665</v>
      </c>
      <c r="H19" s="53">
        <f t="shared" si="4"/>
        <v>1648.5333333333333</v>
      </c>
      <c r="I19" s="39">
        <f t="shared" si="5"/>
        <v>2596547.1546666669</v>
      </c>
      <c r="J19" s="36"/>
    </row>
    <row r="20" spans="1:13" ht="25.9" customHeight="1">
      <c r="A20" s="43" t="s">
        <v>40</v>
      </c>
      <c r="B20" s="44"/>
      <c r="C20" s="44"/>
      <c r="D20" s="45"/>
      <c r="E20" s="44"/>
      <c r="F20" s="77">
        <f>SUM(F7:H19)</f>
        <v>33006.251224646003</v>
      </c>
      <c r="G20" s="77"/>
      <c r="H20" s="77"/>
      <c r="I20" s="46">
        <f>SUM(I7:I19)</f>
        <v>4520607.9204475703</v>
      </c>
    </row>
    <row r="21" spans="1:13">
      <c r="A21" s="4" t="s">
        <v>41</v>
      </c>
      <c r="B21" s="15"/>
      <c r="C21" s="15"/>
      <c r="D21" s="5"/>
      <c r="E21" s="15"/>
      <c r="F21" s="15"/>
      <c r="G21" s="15"/>
      <c r="H21" s="15"/>
      <c r="I21" s="39"/>
    </row>
    <row r="22" spans="1:13" ht="28.5">
      <c r="A22" s="6" t="s">
        <v>42</v>
      </c>
      <c r="B22" s="5" t="s">
        <v>43</v>
      </c>
      <c r="C22" s="5"/>
      <c r="D22" s="5"/>
      <c r="E22" s="5"/>
      <c r="F22" s="5"/>
      <c r="G22" s="5"/>
      <c r="H22" s="5"/>
      <c r="I22" s="39"/>
    </row>
    <row r="23" spans="1:13" ht="15.75">
      <c r="A23" s="6" t="s">
        <v>44</v>
      </c>
      <c r="B23" s="5">
        <v>40</v>
      </c>
      <c r="C23" s="5">
        <v>1</v>
      </c>
      <c r="D23" s="5">
        <f t="shared" si="0"/>
        <v>40</v>
      </c>
      <c r="E23" s="53">
        <f>Respondents!C21</f>
        <v>41.666666666666664</v>
      </c>
      <c r="F23" s="18">
        <f t="shared" ref="F23:F25" si="6">D23*E23</f>
        <v>1666.6666666666665</v>
      </c>
      <c r="G23" s="5">
        <f t="shared" ref="G23:G25" si="7">F23*0.05</f>
        <v>83.333333333333329</v>
      </c>
      <c r="H23" s="5">
        <f t="shared" ref="H23:H25" si="8">F23*0.1</f>
        <v>166.66666666666666</v>
      </c>
      <c r="I23" s="39">
        <f>$K$2*F23+$L$2*G23+$M$2*H23</f>
        <v>262510.83333333331</v>
      </c>
      <c r="J23" s="36"/>
    </row>
    <row r="24" spans="1:13">
      <c r="A24" s="6" t="s">
        <v>45</v>
      </c>
      <c r="B24" s="15"/>
      <c r="C24" s="15"/>
      <c r="D24" s="5"/>
      <c r="E24" s="15"/>
      <c r="F24" s="5"/>
      <c r="G24" s="5"/>
      <c r="H24" s="5"/>
      <c r="I24" s="39"/>
    </row>
    <row r="25" spans="1:13" ht="15.75">
      <c r="A25" s="71" t="s">
        <v>46</v>
      </c>
      <c r="B25" s="5">
        <v>5</v>
      </c>
      <c r="C25" s="5">
        <v>12</v>
      </c>
      <c r="D25" s="5">
        <f t="shared" si="0"/>
        <v>60</v>
      </c>
      <c r="E25" s="53">
        <f>M33</f>
        <v>1030.3333333333333</v>
      </c>
      <c r="F25" s="18">
        <f t="shared" si="6"/>
        <v>61819.999999999993</v>
      </c>
      <c r="G25" s="18">
        <f t="shared" si="7"/>
        <v>3091</v>
      </c>
      <c r="H25" s="18">
        <f t="shared" si="8"/>
        <v>6182</v>
      </c>
      <c r="I25" s="39">
        <f>$K$2*F25+$L$2*G25+$M$2*H25</f>
        <v>9737051.8299999982</v>
      </c>
      <c r="J25" s="36"/>
    </row>
    <row r="26" spans="1:13" ht="27" customHeight="1">
      <c r="A26" s="43" t="s">
        <v>47</v>
      </c>
      <c r="B26" s="44"/>
      <c r="C26" s="44"/>
      <c r="D26" s="44"/>
      <c r="E26" s="44"/>
      <c r="F26" s="77">
        <f>SUM(F22:H25)</f>
        <v>73009.666666666657</v>
      </c>
      <c r="G26" s="77"/>
      <c r="H26" s="77"/>
      <c r="I26" s="46">
        <f>SUM(I22:I25)</f>
        <v>9999562.6633333322</v>
      </c>
    </row>
    <row r="27" spans="1:13" ht="28.5">
      <c r="A27" s="69" t="s">
        <v>48</v>
      </c>
      <c r="B27" s="15"/>
      <c r="C27" s="15"/>
      <c r="D27" s="15"/>
      <c r="E27" s="15"/>
      <c r="F27" s="78">
        <f>ROUND(F20+F26, -2)</f>
        <v>106000</v>
      </c>
      <c r="G27" s="78"/>
      <c r="H27" s="78"/>
      <c r="I27" s="40">
        <f>ROUND(I20+I26,-5)</f>
        <v>14500000</v>
      </c>
      <c r="M27" s="55">
        <f>F27</f>
        <v>106000</v>
      </c>
    </row>
    <row r="28" spans="1:13" ht="15.75">
      <c r="A28" s="69" t="s">
        <v>49</v>
      </c>
      <c r="B28" s="19"/>
      <c r="C28" s="19"/>
      <c r="D28" s="19"/>
      <c r="E28" s="19"/>
      <c r="F28" s="19"/>
      <c r="G28" s="19"/>
      <c r="H28" s="19"/>
      <c r="I28" s="40">
        <v>0</v>
      </c>
    </row>
    <row r="29" spans="1:13" ht="15.75">
      <c r="A29" s="70" t="s">
        <v>50</v>
      </c>
      <c r="B29" s="19"/>
      <c r="C29" s="19"/>
      <c r="D29" s="19"/>
      <c r="E29" s="19"/>
      <c r="F29" s="19"/>
      <c r="G29" s="19"/>
      <c r="H29" s="19"/>
      <c r="I29" s="41">
        <f>I27+I28</f>
        <v>14500000</v>
      </c>
      <c r="L29" s="20">
        <f>F27/Responses!F11</f>
        <v>42.771874687292687</v>
      </c>
      <c r="M29" t="s">
        <v>51</v>
      </c>
    </row>
    <row r="30" spans="1:13">
      <c r="A30" s="7"/>
    </row>
    <row r="31" spans="1:13">
      <c r="A31" s="9" t="s">
        <v>52</v>
      </c>
    </row>
    <row r="32" spans="1:13" ht="38.450000000000003" customHeight="1">
      <c r="A32" s="76" t="s">
        <v>53</v>
      </c>
      <c r="B32" s="76"/>
      <c r="C32" s="76"/>
      <c r="D32" s="76"/>
      <c r="E32" s="76"/>
      <c r="F32" s="76"/>
      <c r="G32" s="76"/>
      <c r="H32" s="76"/>
      <c r="I32" s="76"/>
      <c r="J32" s="36"/>
    </row>
    <row r="33" spans="1:16" ht="70.5" customHeight="1">
      <c r="A33" s="79" t="s">
        <v>54</v>
      </c>
      <c r="B33" s="79"/>
      <c r="C33" s="79"/>
      <c r="D33" s="79"/>
      <c r="E33" s="79"/>
      <c r="F33" s="79"/>
      <c r="G33" s="79"/>
      <c r="H33" s="79"/>
      <c r="I33" s="79"/>
      <c r="J33" s="36"/>
      <c r="M33" s="66">
        <f>Respondents!G21</f>
        <v>1030.3333333333333</v>
      </c>
    </row>
    <row r="34" spans="1:16" ht="31.5" customHeight="1">
      <c r="A34" s="80" t="s">
        <v>55</v>
      </c>
      <c r="B34" s="80"/>
      <c r="C34" s="80"/>
      <c r="D34" s="80"/>
      <c r="E34" s="80"/>
      <c r="F34" s="80"/>
      <c r="G34" s="80"/>
      <c r="H34" s="80"/>
      <c r="I34" s="80"/>
      <c r="L34" t="s">
        <v>56</v>
      </c>
    </row>
    <row r="35" spans="1:16" ht="19.149999999999999" customHeight="1">
      <c r="A35" s="76" t="s">
        <v>57</v>
      </c>
      <c r="B35" s="76"/>
      <c r="C35" s="76"/>
      <c r="D35" s="76"/>
      <c r="E35" s="76"/>
      <c r="F35" s="76"/>
      <c r="G35" s="76"/>
      <c r="H35" s="76"/>
      <c r="I35" s="76"/>
      <c r="L35" t="s">
        <v>58</v>
      </c>
      <c r="M35" s="50">
        <f>871/237</f>
        <v>3.6751054852320677</v>
      </c>
      <c r="N35" s="67">
        <f>1030/M35</f>
        <v>280.264064293915</v>
      </c>
      <c r="P35" s="61"/>
    </row>
    <row r="36" spans="1:16">
      <c r="A36" s="76" t="s">
        <v>59</v>
      </c>
      <c r="B36" s="76"/>
      <c r="C36" s="76"/>
      <c r="D36" s="76"/>
      <c r="E36" s="76"/>
      <c r="F36" s="76"/>
      <c r="G36" s="76"/>
      <c r="H36" s="76"/>
      <c r="I36" s="76"/>
      <c r="L36" t="s">
        <v>60</v>
      </c>
      <c r="M36" s="50">
        <f>871/126</f>
        <v>6.912698412698413</v>
      </c>
      <c r="N36" s="67">
        <f>1030/M36</f>
        <v>149.0011481056257</v>
      </c>
      <c r="P36" s="61"/>
    </row>
    <row r="37" spans="1:16" ht="15.75">
      <c r="A37" s="11" t="s">
        <v>61</v>
      </c>
      <c r="B37" s="51"/>
      <c r="C37" s="51"/>
      <c r="D37" s="51"/>
      <c r="E37" s="51"/>
      <c r="F37" s="51"/>
      <c r="G37" s="51"/>
      <c r="H37" s="51"/>
      <c r="I37" s="51"/>
      <c r="L37" t="s">
        <v>62</v>
      </c>
      <c r="M37" s="20">
        <f>871/7</f>
        <v>124.42857142857143</v>
      </c>
      <c r="N37" s="67">
        <f>1030/M37</f>
        <v>8.2778415614236511</v>
      </c>
      <c r="P37" s="61"/>
    </row>
    <row r="38" spans="1:16" ht="15.75">
      <c r="A38" s="11" t="s">
        <v>63</v>
      </c>
      <c r="B38" s="51"/>
      <c r="C38" s="51"/>
      <c r="D38" s="51"/>
      <c r="E38" s="51"/>
      <c r="F38" s="51"/>
      <c r="G38" s="51"/>
      <c r="H38" s="51"/>
      <c r="I38" s="51"/>
      <c r="L38" t="s">
        <v>64</v>
      </c>
    </row>
    <row r="39" spans="1:16" ht="15.75">
      <c r="A39" s="11" t="s">
        <v>65</v>
      </c>
      <c r="B39" s="51"/>
      <c r="C39" s="51"/>
      <c r="D39" s="51"/>
      <c r="E39" s="51"/>
      <c r="F39" s="51"/>
      <c r="G39" s="51"/>
      <c r="H39" s="51"/>
      <c r="I39" s="51"/>
    </row>
    <row r="40" spans="1:16" ht="15.75">
      <c r="A40" s="11" t="s">
        <v>66</v>
      </c>
      <c r="B40" s="51"/>
      <c r="C40" s="51"/>
      <c r="D40" s="51"/>
      <c r="E40" s="51"/>
      <c r="F40" s="51"/>
      <c r="G40" s="51"/>
      <c r="H40" s="51"/>
      <c r="I40" s="51"/>
    </row>
    <row r="41" spans="1:16" ht="15.75">
      <c r="A41" s="11" t="s">
        <v>67</v>
      </c>
      <c r="B41" s="51"/>
      <c r="C41" s="51"/>
      <c r="D41" s="51"/>
      <c r="E41" s="51"/>
      <c r="F41" s="51"/>
      <c r="G41" s="51"/>
      <c r="H41" s="51"/>
      <c r="I41" s="51"/>
    </row>
    <row r="42" spans="1:16">
      <c r="A42" s="72" t="s">
        <v>68</v>
      </c>
      <c r="B42" s="51"/>
      <c r="C42" s="51"/>
      <c r="D42" s="52"/>
      <c r="E42" s="51"/>
      <c r="F42" s="51"/>
      <c r="G42" s="51"/>
      <c r="H42" s="51"/>
      <c r="I42" s="51"/>
    </row>
    <row r="43" spans="1:16" ht="15.75">
      <c r="A43" s="11" t="s">
        <v>69</v>
      </c>
      <c r="B43" s="51"/>
      <c r="C43" s="51"/>
      <c r="D43" s="51"/>
      <c r="E43" s="51"/>
      <c r="F43" s="51"/>
      <c r="G43" s="51"/>
      <c r="H43" s="51"/>
      <c r="I43" s="51"/>
    </row>
    <row r="44" spans="1:16" ht="15.75">
      <c r="A44" s="11" t="s">
        <v>70</v>
      </c>
      <c r="B44" s="51"/>
      <c r="C44" s="51"/>
      <c r="D44" s="51"/>
      <c r="E44" s="51"/>
      <c r="F44" s="51"/>
      <c r="G44" s="51"/>
      <c r="H44" s="51"/>
      <c r="I44" s="51"/>
    </row>
  </sheetData>
  <mergeCells count="8">
    <mergeCell ref="A36:I36"/>
    <mergeCell ref="A35:I35"/>
    <mergeCell ref="F20:H20"/>
    <mergeCell ref="F26:H26"/>
    <mergeCell ref="F27:H27"/>
    <mergeCell ref="A32:I32"/>
    <mergeCell ref="A33:I33"/>
    <mergeCell ref="A34:I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zoomScale="90" zoomScaleNormal="90" workbookViewId="0">
      <selection activeCell="A2" sqref="A2"/>
    </sheetView>
  </sheetViews>
  <sheetFormatPr defaultRowHeight="15"/>
  <cols>
    <col min="1" max="1" width="27.7109375" customWidth="1"/>
    <col min="2" max="2" width="10.5703125" customWidth="1"/>
    <col min="3" max="3" width="11.28515625" customWidth="1"/>
    <col min="4" max="5" width="10.42578125" customWidth="1"/>
    <col min="6" max="6" width="11.42578125" customWidth="1"/>
    <col min="7" max="8" width="11.28515625" customWidth="1"/>
    <col min="9" max="9" width="12.7109375" customWidth="1"/>
    <col min="10" max="10" width="9.28515625" customWidth="1"/>
  </cols>
  <sheetData>
    <row r="1" spans="1:14" ht="15.75">
      <c r="A1" s="2" t="s">
        <v>71</v>
      </c>
      <c r="L1" t="s">
        <v>10</v>
      </c>
      <c r="M1" t="s">
        <v>11</v>
      </c>
      <c r="N1" t="s">
        <v>12</v>
      </c>
    </row>
    <row r="2" spans="1:14" ht="15.75">
      <c r="A2" s="13"/>
      <c r="J2" s="36"/>
      <c r="L2">
        <v>57.07</v>
      </c>
      <c r="M2">
        <v>76.91</v>
      </c>
      <c r="N2">
        <v>30.88</v>
      </c>
    </row>
    <row r="3" spans="1:14" ht="76.5">
      <c r="A3" s="3" t="s">
        <v>72</v>
      </c>
      <c r="B3" s="3" t="s">
        <v>73</v>
      </c>
      <c r="C3" s="3" t="s">
        <v>74</v>
      </c>
      <c r="D3" s="3" t="s">
        <v>75</v>
      </c>
      <c r="E3" s="3" t="s">
        <v>76</v>
      </c>
      <c r="F3" s="3" t="s">
        <v>77</v>
      </c>
      <c r="G3" s="3" t="s">
        <v>78</v>
      </c>
      <c r="H3" s="3" t="s">
        <v>79</v>
      </c>
      <c r="I3" s="3" t="s">
        <v>80</v>
      </c>
    </row>
    <row r="4" spans="1:14">
      <c r="A4" s="4" t="s">
        <v>81</v>
      </c>
      <c r="B4" s="5"/>
      <c r="C4" s="5"/>
      <c r="D4" s="5"/>
      <c r="E4" s="5"/>
      <c r="F4" s="5"/>
      <c r="G4" s="5"/>
      <c r="H4" s="5"/>
      <c r="I4" s="14"/>
    </row>
    <row r="5" spans="1:14" ht="29.25" customHeight="1">
      <c r="A5" s="6" t="s">
        <v>82</v>
      </c>
      <c r="B5" s="5">
        <v>1</v>
      </c>
      <c r="C5" s="5">
        <v>1</v>
      </c>
      <c r="D5" s="5">
        <f>B5*C5</f>
        <v>1</v>
      </c>
      <c r="E5" s="53">
        <f>'Table 1'!E14</f>
        <v>41.666666666666664</v>
      </c>
      <c r="F5" s="53">
        <f>D5*E5</f>
        <v>41.666666666666664</v>
      </c>
      <c r="G5" s="53">
        <f>F5*0.05</f>
        <v>2.0833333333333335</v>
      </c>
      <c r="H5" s="53">
        <f>F5*0.1</f>
        <v>4.166666666666667</v>
      </c>
      <c r="I5" s="39">
        <f t="shared" ref="I5:I10" si="0">$L$2*F5+$M$2*G5+$N$2*H5</f>
        <v>2666.8124999999995</v>
      </c>
      <c r="J5" s="36"/>
    </row>
    <row r="6" spans="1:14" ht="15" customHeight="1">
      <c r="A6" s="4" t="s">
        <v>83</v>
      </c>
      <c r="B6" s="5">
        <v>0.5</v>
      </c>
      <c r="C6" s="5">
        <v>1</v>
      </c>
      <c r="D6" s="5">
        <f t="shared" ref="D6:D10" si="1">B6*C6</f>
        <v>0.5</v>
      </c>
      <c r="E6" s="53">
        <f>'Table 1'!E15</f>
        <v>41.666666666666664</v>
      </c>
      <c r="F6" s="53">
        <f t="shared" ref="F6:F10" si="2">D6*E6</f>
        <v>20.833333333333332</v>
      </c>
      <c r="G6" s="53">
        <f t="shared" ref="G6:G10" si="3">F6*0.05</f>
        <v>1.0416666666666667</v>
      </c>
      <c r="H6" s="53">
        <f t="shared" ref="H6:H10" si="4">F6*0.1</f>
        <v>2.0833333333333335</v>
      </c>
      <c r="I6" s="39">
        <f t="shared" si="0"/>
        <v>1333.4062499999998</v>
      </c>
    </row>
    <row r="7" spans="1:14" ht="25.5">
      <c r="A7" s="4" t="s">
        <v>84</v>
      </c>
      <c r="B7" s="5">
        <v>2</v>
      </c>
      <c r="C7" s="5">
        <v>1</v>
      </c>
      <c r="D7" s="5">
        <f t="shared" si="1"/>
        <v>2</v>
      </c>
      <c r="E7" s="53">
        <f>'Table 1'!N35</f>
        <v>280.264064293915</v>
      </c>
      <c r="F7" s="53">
        <f>ROUND(D7*E7,-1)</f>
        <v>560</v>
      </c>
      <c r="G7" s="17">
        <f t="shared" si="3"/>
        <v>28</v>
      </c>
      <c r="H7" s="17">
        <f t="shared" si="4"/>
        <v>56</v>
      </c>
      <c r="I7" s="39">
        <f t="shared" si="0"/>
        <v>35841.96</v>
      </c>
    </row>
    <row r="8" spans="1:14" ht="28.5" customHeight="1">
      <c r="A8" s="6" t="s">
        <v>85</v>
      </c>
      <c r="B8" s="5">
        <v>2</v>
      </c>
      <c r="C8" s="5">
        <v>1</v>
      </c>
      <c r="D8" s="5">
        <f t="shared" si="1"/>
        <v>2</v>
      </c>
      <c r="E8" s="5">
        <f>'Table 1'!E17</f>
        <v>13</v>
      </c>
      <c r="F8" s="5">
        <f t="shared" si="2"/>
        <v>26</v>
      </c>
      <c r="G8" s="5">
        <f t="shared" si="3"/>
        <v>1.3</v>
      </c>
      <c r="H8" s="5">
        <f t="shared" si="4"/>
        <v>2.6</v>
      </c>
      <c r="I8" s="39">
        <f t="shared" si="0"/>
        <v>1664.0909999999999</v>
      </c>
    </row>
    <row r="9" spans="1:14" ht="24.6" customHeight="1">
      <c r="A9" s="4" t="s">
        <v>86</v>
      </c>
      <c r="B9" s="5">
        <v>2</v>
      </c>
      <c r="C9" s="5">
        <v>1</v>
      </c>
      <c r="D9" s="5">
        <f t="shared" si="1"/>
        <v>2</v>
      </c>
      <c r="E9" s="53">
        <f>'Table 1'!E18</f>
        <v>41.666666666666664</v>
      </c>
      <c r="F9" s="53">
        <f t="shared" si="2"/>
        <v>83.333333333333329</v>
      </c>
      <c r="G9" s="53">
        <f t="shared" si="3"/>
        <v>4.166666666666667</v>
      </c>
      <c r="H9" s="53">
        <f t="shared" si="4"/>
        <v>8.3333333333333339</v>
      </c>
      <c r="I9" s="39">
        <f t="shared" si="0"/>
        <v>5333.6249999999991</v>
      </c>
    </row>
    <row r="10" spans="1:14" ht="22.15" customHeight="1">
      <c r="A10" s="4" t="s">
        <v>87</v>
      </c>
      <c r="B10" s="5">
        <v>2</v>
      </c>
      <c r="C10" s="5">
        <v>1</v>
      </c>
      <c r="D10" s="5">
        <f t="shared" si="1"/>
        <v>2</v>
      </c>
      <c r="E10" s="53">
        <f>'Table 1'!M33</f>
        <v>1030.3333333333333</v>
      </c>
      <c r="F10" s="53">
        <f t="shared" si="2"/>
        <v>2060.6666666666665</v>
      </c>
      <c r="G10" s="53">
        <f t="shared" si="3"/>
        <v>103.03333333333333</v>
      </c>
      <c r="H10" s="53">
        <f t="shared" si="4"/>
        <v>206.06666666666666</v>
      </c>
      <c r="I10" s="39">
        <f t="shared" si="0"/>
        <v>131889.87899999999</v>
      </c>
      <c r="J10" s="36"/>
    </row>
    <row r="11" spans="1:14" ht="28.5" customHeight="1">
      <c r="A11" s="73" t="s">
        <v>88</v>
      </c>
      <c r="B11" s="73"/>
      <c r="C11" s="73"/>
      <c r="D11" s="73"/>
      <c r="E11" s="73"/>
      <c r="F11" s="81">
        <f>ROUND(SUM(F5:H10),-1)</f>
        <v>3210</v>
      </c>
      <c r="G11" s="82"/>
      <c r="H11" s="83"/>
      <c r="I11" s="12">
        <f>ROUND(SUM(I5:I10),-3)</f>
        <v>179000</v>
      </c>
    </row>
    <row r="13" spans="1:14">
      <c r="A13" s="9" t="s">
        <v>52</v>
      </c>
    </row>
    <row r="14" spans="1:14" ht="39.75" customHeight="1">
      <c r="A14" s="80" t="s">
        <v>89</v>
      </c>
      <c r="B14" s="80"/>
      <c r="C14" s="80"/>
      <c r="D14" s="80"/>
      <c r="E14" s="80"/>
      <c r="F14" s="80"/>
      <c r="G14" s="80"/>
      <c r="H14" s="80"/>
      <c r="I14" s="80"/>
      <c r="J14" s="36"/>
    </row>
    <row r="15" spans="1:14" ht="51" customHeight="1">
      <c r="A15" s="76" t="s">
        <v>90</v>
      </c>
      <c r="B15" s="76"/>
      <c r="C15" s="76"/>
      <c r="D15" s="76"/>
      <c r="E15" s="76"/>
      <c r="F15" s="76"/>
      <c r="G15" s="76"/>
      <c r="H15" s="76"/>
      <c r="I15" s="76"/>
      <c r="J15" s="36"/>
    </row>
    <row r="16" spans="1:14" ht="15.75">
      <c r="A16" s="84" t="s">
        <v>91</v>
      </c>
      <c r="B16" s="84"/>
      <c r="C16" s="84"/>
      <c r="D16" s="84"/>
      <c r="E16" s="84"/>
      <c r="F16" s="84"/>
      <c r="G16" s="84"/>
      <c r="H16" s="84"/>
      <c r="I16" s="84"/>
    </row>
    <row r="17" spans="1:9" ht="15.75">
      <c r="A17" s="84" t="s">
        <v>92</v>
      </c>
      <c r="B17" s="84"/>
      <c r="C17" s="84"/>
      <c r="D17" s="84"/>
      <c r="E17" s="84"/>
      <c r="F17" s="84"/>
      <c r="G17" s="84"/>
      <c r="H17" s="84"/>
      <c r="I17" s="51"/>
    </row>
    <row r="18" spans="1:9" ht="15.75">
      <c r="A18" s="84" t="s">
        <v>93</v>
      </c>
      <c r="B18" s="84"/>
      <c r="C18" s="84"/>
      <c r="D18" s="84"/>
      <c r="E18" s="84"/>
      <c r="F18" s="84"/>
      <c r="G18" s="84"/>
      <c r="H18" s="84"/>
      <c r="I18" s="84"/>
    </row>
    <row r="19" spans="1:9" ht="16.5">
      <c r="A19" s="10" t="s">
        <v>94</v>
      </c>
      <c r="B19" s="51"/>
      <c r="C19" s="51"/>
      <c r="D19" s="51"/>
      <c r="E19" s="51"/>
      <c r="F19" s="51"/>
      <c r="G19" s="51"/>
      <c r="H19" s="51"/>
      <c r="I19" s="51"/>
    </row>
    <row r="20" spans="1:9" ht="15.75">
      <c r="A20" s="11" t="s">
        <v>95</v>
      </c>
      <c r="B20" s="51"/>
      <c r="C20" s="51"/>
      <c r="D20" s="51"/>
      <c r="E20" s="51"/>
      <c r="F20" s="51"/>
      <c r="G20" s="51"/>
      <c r="H20" s="51"/>
      <c r="I20" s="51"/>
    </row>
  </sheetData>
  <mergeCells count="6">
    <mergeCell ref="F11:H11"/>
    <mergeCell ref="A16:I16"/>
    <mergeCell ref="A17:H17"/>
    <mergeCell ref="A18:I18"/>
    <mergeCell ref="A14:I14"/>
    <mergeCell ref="A15:I1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E381-896C-40A7-BD46-C2F17F187397}">
  <dimension ref="B2"/>
  <sheetViews>
    <sheetView workbookViewId="0">
      <selection activeCell="B2" sqref="B2"/>
    </sheetView>
  </sheetViews>
  <sheetFormatPr defaultRowHeight="15"/>
  <sheetData>
    <row r="2" spans="2:2" ht="15.75">
      <c r="B2" s="59"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570D-FCB5-4CED-8C70-7222406DDD98}">
  <dimension ref="B2:H13"/>
  <sheetViews>
    <sheetView tabSelected="1" zoomScale="110" zoomScaleNormal="110" workbookViewId="0">
      <selection activeCell="F5" sqref="F5"/>
    </sheetView>
  </sheetViews>
  <sheetFormatPr defaultRowHeight="15"/>
  <cols>
    <col min="2" max="2" width="49.42578125" customWidth="1"/>
    <col min="3" max="3" width="13.42578125" customWidth="1"/>
    <col min="5" max="5" width="26.42578125" customWidth="1"/>
    <col min="6" max="6" width="15.85546875" customWidth="1"/>
  </cols>
  <sheetData>
    <row r="2" spans="2:8" ht="15.75">
      <c r="B2" s="85" t="s">
        <v>7</v>
      </c>
      <c r="C2" s="85"/>
      <c r="D2" s="85"/>
      <c r="E2" s="85"/>
      <c r="F2" s="85"/>
      <c r="H2" s="58"/>
    </row>
    <row r="3" spans="2:8">
      <c r="B3" s="5" t="s">
        <v>97</v>
      </c>
      <c r="C3" s="5" t="s">
        <v>98</v>
      </c>
      <c r="D3" s="5" t="s">
        <v>99</v>
      </c>
      <c r="E3" s="5" t="s">
        <v>100</v>
      </c>
      <c r="F3" s="5" t="s">
        <v>101</v>
      </c>
    </row>
    <row r="4" spans="2:8" ht="38.25">
      <c r="B4" s="5" t="s">
        <v>102</v>
      </c>
      <c r="C4" s="5" t="s">
        <v>2</v>
      </c>
      <c r="D4" s="5" t="s">
        <v>103</v>
      </c>
      <c r="E4" s="5" t="s">
        <v>104</v>
      </c>
      <c r="F4" s="5" t="s">
        <v>105</v>
      </c>
    </row>
    <row r="5" spans="2:8">
      <c r="B5" s="4" t="s">
        <v>106</v>
      </c>
      <c r="C5" s="63">
        <f>'Table 1'!E14</f>
        <v>41.666666666666664</v>
      </c>
      <c r="D5" s="47">
        <v>1</v>
      </c>
      <c r="E5" s="47">
        <v>0</v>
      </c>
      <c r="F5" s="63">
        <f t="shared" ref="F5:F9" si="0">(C5*D5)+E5</f>
        <v>41.666666666666664</v>
      </c>
    </row>
    <row r="6" spans="2:8">
      <c r="B6" s="4" t="s">
        <v>107</v>
      </c>
      <c r="C6" s="63">
        <f>'Table 1'!E15</f>
        <v>41.666666666666664</v>
      </c>
      <c r="D6" s="47">
        <v>1</v>
      </c>
      <c r="E6" s="47">
        <v>0</v>
      </c>
      <c r="F6" s="63">
        <f t="shared" si="0"/>
        <v>41.666666666666664</v>
      </c>
    </row>
    <row r="7" spans="2:8" ht="15.75">
      <c r="B7" s="4" t="s">
        <v>108</v>
      </c>
      <c r="C7" s="60">
        <f>'Table 1'!E16</f>
        <v>280.264064293915</v>
      </c>
      <c r="D7" s="47">
        <v>1</v>
      </c>
      <c r="E7" s="47">
        <v>0</v>
      </c>
      <c r="F7" s="63">
        <f t="shared" si="0"/>
        <v>280.264064293915</v>
      </c>
      <c r="G7" s="57"/>
    </row>
    <row r="8" spans="2:8">
      <c r="B8" s="4" t="s">
        <v>109</v>
      </c>
      <c r="C8" s="47">
        <f>'Table 1'!E17</f>
        <v>13</v>
      </c>
      <c r="D8" s="47">
        <v>1</v>
      </c>
      <c r="E8" s="47">
        <v>0</v>
      </c>
      <c r="F8" s="63">
        <f t="shared" si="0"/>
        <v>13</v>
      </c>
    </row>
    <row r="9" spans="2:8">
      <c r="B9" s="4" t="s">
        <v>110</v>
      </c>
      <c r="C9" s="63">
        <f>'Table 1'!E18</f>
        <v>41.666666666666664</v>
      </c>
      <c r="D9" s="47">
        <v>1</v>
      </c>
      <c r="E9" s="47">
        <v>0</v>
      </c>
      <c r="F9" s="63">
        <f t="shared" si="0"/>
        <v>41.666666666666664</v>
      </c>
    </row>
    <row r="10" spans="2:8" ht="15.75">
      <c r="B10" s="4" t="s">
        <v>111</v>
      </c>
      <c r="C10" s="60">
        <f>'Table 1'!E19</f>
        <v>1030.3333333333333</v>
      </c>
      <c r="D10" s="47">
        <v>2</v>
      </c>
      <c r="E10" s="47">
        <v>0</v>
      </c>
      <c r="F10" s="63">
        <v>2060</v>
      </c>
      <c r="G10" s="57"/>
    </row>
    <row r="11" spans="2:8">
      <c r="B11" s="15"/>
      <c r="C11" s="47"/>
      <c r="D11" s="47"/>
      <c r="E11" s="48" t="s">
        <v>112</v>
      </c>
      <c r="F11" s="49">
        <f>SUM(F5:F10)</f>
        <v>2478.264064293915</v>
      </c>
    </row>
    <row r="13" spans="2:8">
      <c r="B13" s="65"/>
    </row>
  </sheetData>
  <mergeCells count="1">
    <mergeCell ref="B2:F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38B5-D5F0-47B8-86D7-B76B90650560}">
  <dimension ref="A1:L23"/>
  <sheetViews>
    <sheetView topLeftCell="A13" zoomScale="90" zoomScaleNormal="90" workbookViewId="0">
      <selection activeCell="A13" sqref="A13"/>
    </sheetView>
  </sheetViews>
  <sheetFormatPr defaultRowHeight="15"/>
  <cols>
    <col min="3" max="3" width="12.28515625" customWidth="1"/>
    <col min="5" max="5" width="15.5703125" customWidth="1"/>
    <col min="6" max="6" width="23.7109375" customWidth="1"/>
    <col min="7" max="7" width="18.28515625" customWidth="1"/>
  </cols>
  <sheetData>
    <row r="1" spans="1:12" ht="15.75" hidden="1" thickBot="1">
      <c r="A1" t="s">
        <v>113</v>
      </c>
    </row>
    <row r="2" spans="1:12" ht="15.75" hidden="1">
      <c r="B2" s="87"/>
      <c r="C2" s="88"/>
      <c r="D2" s="88"/>
      <c r="E2" s="88"/>
      <c r="F2" s="88"/>
      <c r="G2" s="89"/>
    </row>
    <row r="3" spans="1:12" ht="16.5" hidden="1" customHeight="1" thickBot="1">
      <c r="B3" s="90" t="s">
        <v>2</v>
      </c>
      <c r="C3" s="91"/>
      <c r="D3" s="91"/>
      <c r="E3" s="91"/>
      <c r="F3" s="91"/>
      <c r="G3" s="92"/>
    </row>
    <row r="4" spans="1:12" ht="36.75" hidden="1" thickBot="1">
      <c r="B4" s="29"/>
      <c r="C4" s="93" t="s">
        <v>114</v>
      </c>
      <c r="D4" s="94"/>
      <c r="E4" s="74" t="s">
        <v>115</v>
      </c>
      <c r="F4" s="93"/>
      <c r="G4" s="95"/>
    </row>
    <row r="5" spans="1:12" hidden="1">
      <c r="B5" s="21"/>
      <c r="C5" s="24" t="s">
        <v>97</v>
      </c>
      <c r="D5" s="24" t="s">
        <v>98</v>
      </c>
      <c r="E5" s="26" t="s">
        <v>99</v>
      </c>
      <c r="F5" s="28" t="s">
        <v>100</v>
      </c>
      <c r="G5" s="26" t="s">
        <v>101</v>
      </c>
    </row>
    <row r="6" spans="1:12" ht="63.75" hidden="1">
      <c r="B6" s="22" t="s">
        <v>116</v>
      </c>
      <c r="C6" s="23" t="s">
        <v>117</v>
      </c>
      <c r="D6" s="23" t="s">
        <v>118</v>
      </c>
      <c r="E6" s="25" t="s">
        <v>119</v>
      </c>
      <c r="F6" s="27" t="s">
        <v>120</v>
      </c>
      <c r="G6" s="25" t="s">
        <v>2</v>
      </c>
    </row>
    <row r="7" spans="1:12" hidden="1">
      <c r="B7" s="30"/>
      <c r="C7" s="31"/>
      <c r="D7" s="31"/>
      <c r="E7" s="32"/>
      <c r="F7" s="33"/>
      <c r="G7" s="25" t="s">
        <v>121</v>
      </c>
    </row>
    <row r="8" spans="1:12" hidden="1">
      <c r="B8" s="34">
        <v>1</v>
      </c>
      <c r="C8" s="34">
        <v>47</v>
      </c>
      <c r="D8" s="34">
        <v>495</v>
      </c>
      <c r="E8" s="34">
        <v>0</v>
      </c>
      <c r="F8" s="34">
        <v>0</v>
      </c>
      <c r="G8" s="34">
        <v>542</v>
      </c>
    </row>
    <row r="9" spans="1:12" hidden="1">
      <c r="B9" s="34">
        <v>2</v>
      </c>
      <c r="C9" s="34">
        <v>47</v>
      </c>
      <c r="D9" s="34">
        <v>542</v>
      </c>
      <c r="E9" s="34">
        <v>0</v>
      </c>
      <c r="F9" s="34">
        <v>0</v>
      </c>
      <c r="G9" s="34">
        <v>589</v>
      </c>
    </row>
    <row r="10" spans="1:12" hidden="1">
      <c r="B10" s="34">
        <v>3</v>
      </c>
      <c r="C10" s="34">
        <v>47</v>
      </c>
      <c r="D10" s="34">
        <v>589</v>
      </c>
      <c r="E10" s="34">
        <v>0</v>
      </c>
      <c r="F10" s="34">
        <v>0</v>
      </c>
      <c r="G10" s="34">
        <v>636</v>
      </c>
    </row>
    <row r="11" spans="1:12" hidden="1">
      <c r="B11" s="34" t="s">
        <v>122</v>
      </c>
      <c r="C11" s="34">
        <v>47</v>
      </c>
      <c r="D11" s="34">
        <v>542</v>
      </c>
      <c r="E11" s="34">
        <v>0</v>
      </c>
      <c r="F11" s="34">
        <v>0</v>
      </c>
      <c r="G11" s="35">
        <v>589</v>
      </c>
    </row>
    <row r="12" spans="1:12" hidden="1"/>
    <row r="14" spans="1:12" ht="15.75">
      <c r="B14" s="85" t="s">
        <v>2</v>
      </c>
      <c r="C14" s="85"/>
      <c r="D14" s="85"/>
      <c r="E14" s="85"/>
      <c r="F14" s="85"/>
      <c r="G14" s="85"/>
      <c r="I14" s="58"/>
    </row>
    <row r="15" spans="1:12" ht="38.25">
      <c r="B15" s="73"/>
      <c r="C15" s="86" t="s">
        <v>114</v>
      </c>
      <c r="D15" s="86"/>
      <c r="E15" s="73" t="s">
        <v>115</v>
      </c>
      <c r="F15" s="86"/>
      <c r="G15" s="86"/>
    </row>
    <row r="16" spans="1:12">
      <c r="B16" s="73"/>
      <c r="C16" s="3" t="s">
        <v>97</v>
      </c>
      <c r="D16" s="3" t="s">
        <v>98</v>
      </c>
      <c r="E16" s="3" t="s">
        <v>99</v>
      </c>
      <c r="F16" s="3" t="s">
        <v>100</v>
      </c>
      <c r="G16" s="3" t="s">
        <v>101</v>
      </c>
      <c r="L16" s="68"/>
    </row>
    <row r="17" spans="2:12" ht="76.5">
      <c r="B17" s="3" t="s">
        <v>116</v>
      </c>
      <c r="C17" s="73" t="s">
        <v>123</v>
      </c>
      <c r="D17" s="73" t="s">
        <v>118</v>
      </c>
      <c r="E17" s="73" t="s">
        <v>124</v>
      </c>
      <c r="F17" s="73" t="s">
        <v>120</v>
      </c>
      <c r="G17" s="73" t="s">
        <v>125</v>
      </c>
      <c r="L17" s="68"/>
    </row>
    <row r="18" spans="2:12">
      <c r="B18" s="5">
        <v>1</v>
      </c>
      <c r="C18" s="47">
        <v>47</v>
      </c>
      <c r="D18" s="47">
        <v>947</v>
      </c>
      <c r="E18" s="47">
        <v>0</v>
      </c>
      <c r="F18" s="47">
        <v>0</v>
      </c>
      <c r="G18" s="47">
        <f>C18+D18+E18-F18</f>
        <v>994</v>
      </c>
    </row>
    <row r="19" spans="2:12">
      <c r="B19" s="5">
        <v>2</v>
      </c>
      <c r="C19" s="47">
        <v>47</v>
      </c>
      <c r="D19" s="47">
        <f>+D18+C19</f>
        <v>994</v>
      </c>
      <c r="E19" s="47">
        <v>0</v>
      </c>
      <c r="F19" s="47">
        <v>0</v>
      </c>
      <c r="G19" s="47">
        <f>C19+D19+E19-F19</f>
        <v>1041</v>
      </c>
    </row>
    <row r="20" spans="2:12">
      <c r="B20" s="5">
        <v>3</v>
      </c>
      <c r="C20" s="47">
        <v>31</v>
      </c>
      <c r="D20" s="47">
        <f>+D19+C20</f>
        <v>1025</v>
      </c>
      <c r="E20" s="47">
        <v>0</v>
      </c>
      <c r="F20" s="47">
        <v>0</v>
      </c>
      <c r="G20" s="47">
        <f>C20+D20+E20-F20</f>
        <v>1056</v>
      </c>
    </row>
    <row r="21" spans="2:12" ht="15.75">
      <c r="B21" s="5" t="s">
        <v>126</v>
      </c>
      <c r="C21" s="63">
        <f>AVERAGE(C18:C20)</f>
        <v>41.666666666666664</v>
      </c>
      <c r="D21" s="63">
        <f>AVERAGE(D18:D20)</f>
        <v>988.66666666666663</v>
      </c>
      <c r="E21" s="47">
        <v>0</v>
      </c>
      <c r="F21" s="47">
        <v>0</v>
      </c>
      <c r="G21" s="49">
        <f>AVERAGE(G18:G20)</f>
        <v>1030.3333333333333</v>
      </c>
    </row>
    <row r="22" spans="2:12" ht="16.5">
      <c r="B22" s="62" t="s">
        <v>127</v>
      </c>
    </row>
    <row r="23" spans="2:12" ht="15.75">
      <c r="B23" s="64" t="s">
        <v>128</v>
      </c>
    </row>
  </sheetData>
  <mergeCells count="7">
    <mergeCell ref="B14:G14"/>
    <mergeCell ref="C15:D15"/>
    <mergeCell ref="F15:G15"/>
    <mergeCell ref="B2:G2"/>
    <mergeCell ref="B3:G3"/>
    <mergeCell ref="C4:D4"/>
    <mergeCell ref="F4:G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2025-08-20T19:03:53+00:00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E6FBEB-2D9F-4AEB-B59F-3EB91C6DB453}"/>
</file>

<file path=customXml/itemProps2.xml><?xml version="1.0" encoding="utf-8"?>
<ds:datastoreItem xmlns:ds="http://schemas.openxmlformats.org/officeDocument/2006/customXml" ds:itemID="{68D9BB92-D589-49F6-97C7-0C135DFC6D30}"/>
</file>

<file path=customXml/itemProps3.xml><?xml version="1.0" encoding="utf-8"?>
<ds:datastoreItem xmlns:ds="http://schemas.openxmlformats.org/officeDocument/2006/customXml" ds:itemID="{570DD635-4B4E-45E3-9451-76ED81339FC8}"/>
</file>

<file path=customXml/itemProps4.xml><?xml version="1.0" encoding="utf-8"?>
<ds:datastoreItem xmlns:ds="http://schemas.openxmlformats.org/officeDocument/2006/customXml" ds:itemID="{897FC0A0-28B5-4673-89BC-F0008E1CE5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Scott, Montana</cp:lastModifiedBy>
  <cp:revision/>
  <dcterms:created xsi:type="dcterms:W3CDTF">2015-09-28T18:54:51Z</dcterms:created>
  <dcterms:modified xsi:type="dcterms:W3CDTF">2025-10-07T17:20:25Z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