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easternresearchgroup.sharepoint.com/sites/CAAICRRenewals/Shared Documents/General/FY26_Drafts/1058.16 NSPS for Incinerators/Send to EPA/"/>
    </mc:Choice>
  </mc:AlternateContent>
  <xr:revisionPtr revIDLastSave="4" documentId="13_ncr:1_{B88DF624-603B-49BF-B915-108009298414}" xr6:coauthVersionLast="47" xr6:coauthVersionMax="47" xr10:uidLastSave="{3F4BEE40-0472-4BB7-A8DB-415E9EAAFE37}"/>
  <bookViews>
    <workbookView xWindow="-120" yWindow="-120" windowWidth="29040" windowHeight="15720" activeTab="6" xr2:uid="{00000000-000D-0000-FFFF-FFFF00000000}"/>
  </bookViews>
  <sheets>
    <sheet name="Summary" sheetId="7" r:id="rId1"/>
    <sheet name="Table 1a" sheetId="1" r:id="rId2"/>
    <sheet name="Table 1b" sheetId="3" r:id="rId3"/>
    <sheet name="Table 2" sheetId="2" r:id="rId4"/>
    <sheet name="Capital O&amp;M" sheetId="4" r:id="rId5"/>
    <sheet name="Responses" sheetId="6" r:id="rId6"/>
    <sheet name="Respondents"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5" l="1"/>
  <c r="J12" i="5"/>
  <c r="I33" i="3" l="1"/>
  <c r="I33" i="1"/>
  <c r="J6" i="4"/>
  <c r="F6" i="4"/>
  <c r="C6" i="4"/>
  <c r="E9" i="2"/>
  <c r="K8" i="5" l="1"/>
  <c r="J9" i="5"/>
  <c r="J8" i="5"/>
  <c r="G8" i="5"/>
  <c r="G9" i="5"/>
  <c r="G7" i="5"/>
  <c r="B6" i="7" l="1"/>
  <c r="F15" i="5"/>
  <c r="E15" i="5"/>
  <c r="D15" i="5"/>
  <c r="C15" i="5"/>
  <c r="D10" i="5"/>
  <c r="E10" i="5"/>
  <c r="F10" i="5"/>
  <c r="C10" i="5"/>
  <c r="H6" i="4"/>
  <c r="E6" i="4"/>
  <c r="G13" i="5"/>
  <c r="G14" i="5"/>
  <c r="G15" i="5" s="1"/>
  <c r="G12" i="5"/>
  <c r="G10" i="5"/>
  <c r="F14" i="6"/>
  <c r="F15" i="6"/>
  <c r="F16" i="6"/>
  <c r="F13" i="6"/>
  <c r="F7" i="6"/>
  <c r="F6" i="6"/>
  <c r="F9" i="6"/>
  <c r="F8" i="6"/>
  <c r="F17" i="6" l="1"/>
  <c r="G16" i="5"/>
  <c r="B3" i="7"/>
  <c r="F10" i="6"/>
  <c r="F19" i="6" s="1"/>
  <c r="B7" i="7" l="1"/>
  <c r="D10" i="1"/>
  <c r="D28" i="3" l="1"/>
  <c r="F28" i="3" s="1"/>
  <c r="D27" i="3"/>
  <c r="F27" i="3" s="1"/>
  <c r="D19" i="3"/>
  <c r="F19" i="3" s="1"/>
  <c r="G19" i="3" s="1"/>
  <c r="D18" i="3"/>
  <c r="F18" i="3" s="1"/>
  <c r="D17" i="3"/>
  <c r="F17" i="3" s="1"/>
  <c r="D16" i="3"/>
  <c r="F16" i="3" s="1"/>
  <c r="H16" i="3" s="1"/>
  <c r="D15" i="3"/>
  <c r="F15" i="3" s="1"/>
  <c r="G15" i="3" s="1"/>
  <c r="D14" i="3"/>
  <c r="F14" i="3" s="1"/>
  <c r="D10" i="3"/>
  <c r="F10" i="3" s="1"/>
  <c r="D8" i="3"/>
  <c r="F8" i="3" s="1"/>
  <c r="H18" i="3" l="1"/>
  <c r="G18" i="3"/>
  <c r="H17" i="3"/>
  <c r="G17" i="3"/>
  <c r="G27" i="3"/>
  <c r="H27" i="3"/>
  <c r="H28" i="3"/>
  <c r="G28" i="3"/>
  <c r="I28" i="3" s="1"/>
  <c r="G8" i="3"/>
  <c r="H8" i="3"/>
  <c r="H10" i="3"/>
  <c r="G10" i="3"/>
  <c r="H14" i="3"/>
  <c r="G14" i="3"/>
  <c r="I14" i="3" s="1"/>
  <c r="H15" i="3"/>
  <c r="I15" i="3" s="1"/>
  <c r="G16" i="3"/>
  <c r="I16" i="3" s="1"/>
  <c r="H19" i="3"/>
  <c r="I19" i="3" s="1"/>
  <c r="I8" i="3" l="1"/>
  <c r="F20" i="3"/>
  <c r="F31" i="3"/>
  <c r="I18" i="3"/>
  <c r="I17" i="3"/>
  <c r="I27" i="3"/>
  <c r="I31" i="3" s="1"/>
  <c r="I10" i="3"/>
  <c r="F32" i="3" l="1"/>
  <c r="I20" i="3"/>
  <c r="I32" i="3" s="1"/>
  <c r="I34" i="3" s="1"/>
  <c r="D5" i="2"/>
  <c r="F5" i="2" s="1"/>
  <c r="D6" i="2"/>
  <c r="F6" i="2" s="1"/>
  <c r="D7" i="2"/>
  <c r="F7" i="2" s="1"/>
  <c r="G7" i="2" s="1"/>
  <c r="D8" i="2"/>
  <c r="F8" i="2" s="1"/>
  <c r="D9" i="2"/>
  <c r="F9" i="2" s="1"/>
  <c r="D4" i="2"/>
  <c r="F4" i="2" s="1"/>
  <c r="H4" i="2" l="1"/>
  <c r="G4" i="2"/>
  <c r="H6" i="2"/>
  <c r="G6" i="2"/>
  <c r="I6" i="2" s="1"/>
  <c r="H9" i="2"/>
  <c r="G9" i="2"/>
  <c r="I9" i="2" s="1"/>
  <c r="H5" i="2"/>
  <c r="G5" i="2"/>
  <c r="H8" i="2"/>
  <c r="H7" i="2"/>
  <c r="I7" i="2" s="1"/>
  <c r="G8" i="2"/>
  <c r="F10" i="1"/>
  <c r="D14" i="1"/>
  <c r="F14" i="1" s="1"/>
  <c r="D15" i="1"/>
  <c r="F15" i="1" s="1"/>
  <c r="D16" i="1"/>
  <c r="F16" i="1" s="1"/>
  <c r="D17" i="1"/>
  <c r="F17" i="1" s="1"/>
  <c r="D18" i="1"/>
  <c r="F18" i="1" s="1"/>
  <c r="D19" i="1"/>
  <c r="F19" i="1" s="1"/>
  <c r="D27" i="1"/>
  <c r="F27" i="1" s="1"/>
  <c r="D28" i="1"/>
  <c r="F28" i="1" s="1"/>
  <c r="D8" i="1"/>
  <c r="F8" i="1" s="1"/>
  <c r="I5" i="2" l="1"/>
  <c r="G15" i="1"/>
  <c r="H15" i="1"/>
  <c r="G18" i="1"/>
  <c r="H18" i="1"/>
  <c r="I18" i="1" s="1"/>
  <c r="H16" i="1"/>
  <c r="G16" i="1"/>
  <c r="G19" i="1"/>
  <c r="H19" i="1"/>
  <c r="G14" i="1"/>
  <c r="H14" i="1"/>
  <c r="G28" i="1"/>
  <c r="H28" i="1"/>
  <c r="G17" i="1"/>
  <c r="H17" i="1"/>
  <c r="G10" i="1"/>
  <c r="H10" i="1"/>
  <c r="G8" i="1"/>
  <c r="H8" i="1"/>
  <c r="F10" i="2"/>
  <c r="I4" i="2"/>
  <c r="I8" i="2"/>
  <c r="H27" i="1"/>
  <c r="G27" i="1"/>
  <c r="I27" i="1" s="1"/>
  <c r="F31" i="1" l="1"/>
  <c r="F20" i="1"/>
  <c r="I16" i="1"/>
  <c r="I10" i="2"/>
  <c r="I17" i="1"/>
  <c r="I19" i="1"/>
  <c r="I28" i="1"/>
  <c r="I31" i="1" s="1"/>
  <c r="I15" i="1"/>
  <c r="I8" i="1"/>
  <c r="I10" i="1"/>
  <c r="I14" i="1"/>
  <c r="F32" i="1" l="1"/>
  <c r="L31" i="1" s="1"/>
  <c r="L33" i="1" s="1"/>
  <c r="B2" i="7"/>
  <c r="B4" i="7"/>
  <c r="I20" i="1"/>
  <c r="I32" i="1" s="1"/>
  <c r="L32" i="1" s="1"/>
  <c r="I34" i="1" l="1"/>
  <c r="L34" i="1" s="1"/>
  <c r="B5" i="7" l="1"/>
</calcChain>
</file>

<file path=xl/sharedStrings.xml><?xml version="1.0" encoding="utf-8"?>
<sst xmlns="http://schemas.openxmlformats.org/spreadsheetml/2006/main" count="237" uniqueCount="135">
  <si>
    <t>ICR Summary Information</t>
  </si>
  <si>
    <t>Hours per Response</t>
  </si>
  <si>
    <t>Number of Respondents</t>
  </si>
  <si>
    <t>Total Estimated Burden Hours</t>
  </si>
  <si>
    <t>Total Estimated Costs</t>
  </si>
  <si>
    <t>Annualized Capital O&amp;M</t>
  </si>
  <si>
    <t>Total Annual Responses</t>
  </si>
  <si>
    <t>Form Number</t>
  </si>
  <si>
    <t>Not Applicable</t>
  </si>
  <si>
    <t>Table 1a: Annual Respondent Burden and Cost for Privately-Owned Incinerators – NSPS for Incinerators (40 CFR Part 60, Subpart E) (Renewal)</t>
  </si>
  <si>
    <t>Burden Item</t>
  </si>
  <si>
    <t>(A)
Technical person-hours per occurrence</t>
  </si>
  <si>
    <t>(B)
No. of occurrences  per respondent per year</t>
  </si>
  <si>
    <t>(C)
Technical person-hours per respondent per year 
(C=AxB)</t>
  </si>
  <si>
    <r>
      <t xml:space="preserve">(D)
Respondents per year </t>
    </r>
    <r>
      <rPr>
        <b/>
        <vertAlign val="superscript"/>
        <sz val="10"/>
        <color theme="1"/>
        <rFont val="Times New Roman"/>
        <family val="1"/>
      </rPr>
      <t>a</t>
    </r>
  </si>
  <si>
    <t>(E)
Technical hours per year
(E=CxD)</t>
  </si>
  <si>
    <t>(F)
Management hours per year (F=Ex0.05)</t>
  </si>
  <si>
    <t>(G)
Clerical hours per year
(G=Ex0.1)</t>
  </si>
  <si>
    <r>
      <t xml:space="preserve">(H)
Total cost per year ($) </t>
    </r>
    <r>
      <rPr>
        <b/>
        <vertAlign val="superscript"/>
        <sz val="10"/>
        <color theme="1"/>
        <rFont val="Times New Roman"/>
        <family val="1"/>
      </rPr>
      <t>b</t>
    </r>
  </si>
  <si>
    <t>1.  Applications</t>
  </si>
  <si>
    <t>N/A</t>
  </si>
  <si>
    <t>Labor Rates</t>
  </si>
  <si>
    <t>2.  Survey and Studies</t>
  </si>
  <si>
    <t>Management</t>
  </si>
  <si>
    <t>3.  Reporting Requirements</t>
  </si>
  <si>
    <t>Technical</t>
  </si>
  <si>
    <r>
      <t xml:space="preserve">     A. Familiarize with regulatory requirements </t>
    </r>
    <r>
      <rPr>
        <vertAlign val="superscript"/>
        <sz val="10"/>
        <color rgb="FF000000"/>
        <rFont val="Times New Roman"/>
        <family val="1"/>
      </rPr>
      <t>c</t>
    </r>
  </si>
  <si>
    <t>Clerical</t>
  </si>
  <si>
    <t xml:space="preserve">     B. Required activities</t>
  </si>
  <si>
    <r>
      <t xml:space="preserve">          Initial performance test </t>
    </r>
    <r>
      <rPr>
        <vertAlign val="superscript"/>
        <sz val="10"/>
        <color rgb="FF000000"/>
        <rFont val="Times New Roman"/>
        <family val="1"/>
      </rPr>
      <t>d, e</t>
    </r>
  </si>
  <si>
    <t xml:space="preserve">     C. Create information on performance test</t>
  </si>
  <si>
    <t>See 3B</t>
  </si>
  <si>
    <t xml:space="preserve">     D. Gather existing information</t>
  </si>
  <si>
    <t>See 3E</t>
  </si>
  <si>
    <t xml:space="preserve">     E.  Write Report</t>
  </si>
  <si>
    <r>
      <t xml:space="preserve">          Notification of construction/ reconstruction </t>
    </r>
    <r>
      <rPr>
        <vertAlign val="superscript"/>
        <sz val="10"/>
        <color rgb="FF000000"/>
        <rFont val="Times New Roman"/>
        <family val="1"/>
      </rPr>
      <t>d</t>
    </r>
  </si>
  <si>
    <r>
      <t xml:space="preserve">          Notification of actual startup </t>
    </r>
    <r>
      <rPr>
        <vertAlign val="superscript"/>
        <sz val="10"/>
        <color rgb="FF000000"/>
        <rFont val="Times New Roman"/>
        <family val="1"/>
      </rPr>
      <t>d</t>
    </r>
  </si>
  <si>
    <t xml:space="preserve">          Notification of physical and operational changes which may increase emission rates of any regulated pollutants</t>
  </si>
  <si>
    <r>
      <t xml:space="preserve">          Notification of initial performance test </t>
    </r>
    <r>
      <rPr>
        <vertAlign val="superscript"/>
        <sz val="10"/>
        <color rgb="FF000000"/>
        <rFont val="Times New Roman"/>
        <family val="1"/>
      </rPr>
      <t>d</t>
    </r>
  </si>
  <si>
    <r>
      <t xml:space="preserve">          Report of initial performance test results </t>
    </r>
    <r>
      <rPr>
        <vertAlign val="superscript"/>
        <sz val="10"/>
        <color rgb="FF000000"/>
        <rFont val="Times New Roman"/>
        <family val="1"/>
      </rPr>
      <t>d</t>
    </r>
  </si>
  <si>
    <r>
      <t xml:space="preserve">          Compliance status reports </t>
    </r>
    <r>
      <rPr>
        <vertAlign val="superscript"/>
        <sz val="10"/>
        <color rgb="FF000000"/>
        <rFont val="Times New Roman"/>
        <family val="1"/>
      </rPr>
      <t>f</t>
    </r>
  </si>
  <si>
    <t>Subtotal for Reporting Requirements</t>
  </si>
  <si>
    <t>4.  Recordkeeping Requirements</t>
  </si>
  <si>
    <t>See 4E</t>
  </si>
  <si>
    <t xml:space="preserve">     B.  Plan activities</t>
  </si>
  <si>
    <t xml:space="preserve">     C.  Implement activities</t>
  </si>
  <si>
    <t xml:space="preserve">     D.  Develop record system</t>
  </si>
  <si>
    <t xml:space="preserve">     E.  Time to enter information</t>
  </si>
  <si>
    <t xml:space="preserve">          Record of occurrence and duration of startup, shutdown, or malfunction; emissions monitoring system; and initial performance test results</t>
  </si>
  <si>
    <r>
      <t xml:space="preserve">          Records of daily charging rates and hours of operation </t>
    </r>
    <r>
      <rPr>
        <vertAlign val="superscript"/>
        <sz val="10"/>
        <color rgb="FF000000"/>
        <rFont val="Times New Roman"/>
        <family val="1"/>
      </rPr>
      <t>g</t>
    </r>
  </si>
  <si>
    <t xml:space="preserve">     F.  Time to train personnel</t>
  </si>
  <si>
    <t xml:space="preserve">     G.  Time for audits</t>
  </si>
  <si>
    <t>Summary</t>
  </si>
  <si>
    <t>Subtotal for Recordkeeping Requirements</t>
  </si>
  <si>
    <t>total labor hours</t>
  </si>
  <si>
    <r>
      <t xml:space="preserve">Total Labor Burden and Costs (rounded) </t>
    </r>
    <r>
      <rPr>
        <b/>
        <vertAlign val="superscript"/>
        <sz val="10"/>
        <color theme="1"/>
        <rFont val="Times New Roman"/>
        <family val="1"/>
      </rPr>
      <t>h</t>
    </r>
  </si>
  <si>
    <t>total labor cost</t>
  </si>
  <si>
    <r>
      <t xml:space="preserve">Total Capital and O&amp;M Cost (rounded) </t>
    </r>
    <r>
      <rPr>
        <b/>
        <vertAlign val="superscript"/>
        <sz val="10"/>
        <color theme="1"/>
        <rFont val="Times New Roman"/>
        <family val="1"/>
      </rPr>
      <t>h</t>
    </r>
  </si>
  <si>
    <t>hr/response</t>
  </si>
  <si>
    <r>
      <t xml:space="preserve">GRAND TOTAL (rounded) </t>
    </r>
    <r>
      <rPr>
        <b/>
        <vertAlign val="superscript"/>
        <sz val="10"/>
        <color theme="1"/>
        <rFont val="Times New Roman"/>
        <family val="1"/>
      </rPr>
      <t>h</t>
    </r>
  </si>
  <si>
    <t>labor + O&amp;M cost</t>
  </si>
  <si>
    <t>Assumptions:</t>
  </si>
  <si>
    <r>
      <rPr>
        <vertAlign val="superscript"/>
        <sz val="10"/>
        <color theme="1"/>
        <rFont val="Times New Roman"/>
        <family val="1"/>
      </rPr>
      <t>a</t>
    </r>
    <r>
      <rPr>
        <sz val="10"/>
        <color theme="1"/>
        <rFont val="Times New Roman"/>
        <family val="1"/>
      </rPr>
      <t xml:space="preserve">  We estimate that an average of 47 existing respondents per year will be subject to the rule, and that no new, modified, or reconstructed facilities will become subject over the three-year period of this ICR. We estimate 26 (55.6 percent) respondents are privately owned and 21 (44.4 percent) are publicly owned.</t>
    </r>
  </si>
  <si>
    <t>b  This ICR uses the following labor rates: Managerial $184.86 ($88.03+ 110%); Technical $148.45 ($70.69 + 110%); and Clerical $76.42 ($36.39 + 110%). These rates are from the United States Department of Labor, Bureau of Labor Statistics, March 2025,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</si>
  <si>
    <r>
      <rPr>
        <vertAlign val="superscript"/>
        <sz val="10"/>
        <color theme="1"/>
        <rFont val="Times New Roman"/>
        <family val="1"/>
      </rPr>
      <t>c</t>
    </r>
    <r>
      <rPr>
        <sz val="10"/>
        <color theme="1"/>
        <rFont val="Times New Roman"/>
        <family val="1"/>
      </rPr>
      <t xml:space="preserve">  We assume that all sources will have to familiarize themselves with regulatory requirements each year.</t>
    </r>
  </si>
  <si>
    <r>
      <rPr>
        <vertAlign val="superscript"/>
        <sz val="10"/>
        <color theme="1"/>
        <rFont val="Times New Roman"/>
        <family val="1"/>
      </rPr>
      <t>d</t>
    </r>
    <r>
      <rPr>
        <sz val="10"/>
        <color theme="1"/>
        <rFont val="Times New Roman"/>
        <family val="1"/>
      </rPr>
      <t xml:space="preserve">  We assume this is a one-time-only cost.</t>
    </r>
  </si>
  <si>
    <r>
      <rPr>
        <vertAlign val="superscript"/>
        <sz val="10"/>
        <color theme="1"/>
        <rFont val="Times New Roman"/>
        <family val="1"/>
      </rPr>
      <t>e</t>
    </r>
    <r>
      <rPr>
        <sz val="10"/>
        <color theme="1"/>
        <rFont val="Times New Roman"/>
        <family val="1"/>
      </rPr>
      <t xml:space="preserve">  We assume it takes 60 technical hours for pretests/test preparation, 60 technical hours for testing, and 80 technical hours for analysis and report preparation.</t>
    </r>
  </si>
  <si>
    <r>
      <rPr>
        <vertAlign val="superscript"/>
        <sz val="10"/>
        <color theme="1"/>
        <rFont val="Times New Roman"/>
        <family val="1"/>
      </rPr>
      <t>f</t>
    </r>
    <r>
      <rPr>
        <sz val="10"/>
        <color theme="1"/>
        <rFont val="Times New Roman"/>
        <family val="1"/>
      </rPr>
      <t xml:space="preserve">  This rule does not require semiannual reporting, just recordkeeping.</t>
    </r>
  </si>
  <si>
    <r>
      <rPr>
        <vertAlign val="superscript"/>
        <sz val="10"/>
        <color theme="1"/>
        <rFont val="Times New Roman"/>
        <family val="1"/>
      </rPr>
      <t>g</t>
    </r>
    <r>
      <rPr>
        <sz val="10"/>
        <color theme="1"/>
        <rFont val="Times New Roman"/>
        <family val="1"/>
      </rPr>
      <t xml:space="preserve">  We assume it will take 0.25 hours per day over 350 days per year to record daily charging rates.</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</si>
  <si>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t>
    </r>
  </si>
  <si>
    <t>Table 1b: Annual Respondent Burden and Cost for Publicly-Owned Incinerators – NSPS for Incinerators (40 CFR Part 60, Subpart E) (Renewal)</t>
  </si>
  <si>
    <r>
      <t>b</t>
    </r>
    <r>
      <rPr>
        <sz val="10"/>
        <color rgb="FF000000"/>
        <rFont val="Times New Roman"/>
        <family val="1"/>
      </rPr>
      <t xml:space="preserve">  This cost is based on the average hourly labor rate as follows: Managerial $78.22 (GS-13, Step 5, $48.89 + 60%); Technical $58.05 (GS-12, Step 1, $36.28 + 60%); and Clerical $31.41 (GS-6, Step 3, $19.63+ 60%). This ICR assumes that Managerial hours are 5 percent of Technical hours, and Clerical hours are 10 percent of Technical hours. These rates are from the Office of Personnel Management (OPM), 2025 General Schedule, which excludes locality, rates of pay. The rates have been increased by 60 percent to account for the benefit packages available to government employees.</t>
    </r>
  </si>
  <si>
    <t>Table 2: Average Annual EPA Burden and Cost – NSPS for Incinerators (40 CFR Part 60, Subpart E) (Renewal)</t>
  </si>
  <si>
    <t>(B)
No. of occurrences per respondent per year</t>
  </si>
  <si>
    <t>(C)
Technical person-hours per respondent per year
(C=AxB)</t>
  </si>
  <si>
    <t>(E)
Technical hours per year (E=CxD)</t>
  </si>
  <si>
    <t>(F)
Management hours per year 
(F=Ex0.05)</t>
  </si>
  <si>
    <t>(G)
Clerical hours per year (G=Ex0.10)</t>
  </si>
  <si>
    <r>
      <t xml:space="preserve">Notification of construction/ reconstruction </t>
    </r>
    <r>
      <rPr>
        <vertAlign val="superscript"/>
        <sz val="10"/>
        <color rgb="FF000000"/>
        <rFont val="Times New Roman"/>
        <family val="1"/>
      </rPr>
      <t>c, d</t>
    </r>
  </si>
  <si>
    <r>
      <t xml:space="preserve">Notification of actual startup </t>
    </r>
    <r>
      <rPr>
        <vertAlign val="superscript"/>
        <sz val="10"/>
        <color rgb="FF000000"/>
        <rFont val="Times New Roman"/>
        <family val="1"/>
      </rPr>
      <t>c, d</t>
    </r>
  </si>
  <si>
    <t>Notification of physical and operational changes which may increase emission rates of any regulated pollutant</t>
  </si>
  <si>
    <r>
      <t xml:space="preserve">Compliance status report </t>
    </r>
    <r>
      <rPr>
        <vertAlign val="superscript"/>
        <sz val="10"/>
        <color rgb="FF000000"/>
        <rFont val="Times New Roman"/>
        <family val="1"/>
      </rPr>
      <t>e</t>
    </r>
  </si>
  <si>
    <r>
      <t>Test results</t>
    </r>
    <r>
      <rPr>
        <vertAlign val="superscript"/>
        <sz val="10"/>
        <color rgb="FF000000"/>
        <rFont val="Times New Roman"/>
        <family val="1"/>
      </rPr>
      <t xml:space="preserve"> e, f</t>
    </r>
  </si>
  <si>
    <r>
      <t xml:space="preserve">Audit and review facility records </t>
    </r>
    <r>
      <rPr>
        <vertAlign val="superscript"/>
        <sz val="10"/>
        <color rgb="FF000000"/>
        <rFont val="Times New Roman"/>
        <family val="1"/>
      </rPr>
      <t xml:space="preserve">g </t>
    </r>
  </si>
  <si>
    <r>
      <t xml:space="preserve">TOTAL (rounded) </t>
    </r>
    <r>
      <rPr>
        <b/>
        <vertAlign val="superscript"/>
        <sz val="10"/>
        <color rgb="FF000000"/>
        <rFont val="Times New Roman"/>
        <family val="1"/>
      </rPr>
      <t xml:space="preserve">h </t>
    </r>
  </si>
  <si>
    <r>
      <rPr>
        <vertAlign val="superscript"/>
        <sz val="10"/>
        <rFont val="Times New Roman"/>
        <family val="1"/>
      </rPr>
      <t>a</t>
    </r>
    <r>
      <rPr>
        <sz val="10"/>
        <rFont val="Times New Roman"/>
        <family val="1"/>
      </rPr>
      <t xml:space="preserve">  We estimate that an average of 47 existing respondents per year will be subject to the rule, and that no new, modified, or reconstructed facilities will become subject over the three-year period of this ICR. We estimate 26 (55.6 percent) respondents are privately owned and 21 (44.4 percent) are publicly owned.</t>
    </r>
  </si>
  <si>
    <r>
      <rPr>
        <vertAlign val="superscript"/>
        <sz val="10"/>
        <color theme="1"/>
        <rFont val="Times New Roman"/>
        <family val="1"/>
      </rPr>
      <t>c</t>
    </r>
    <r>
      <rPr>
        <sz val="10"/>
        <color theme="1"/>
        <rFont val="Times New Roman"/>
        <family val="1"/>
      </rPr>
      <t xml:space="preserve">  We assume there will be no new, modified, or reconstructed facilities constructed over the next three years.</t>
    </r>
  </si>
  <si>
    <r>
      <rPr>
        <vertAlign val="superscript"/>
        <sz val="10"/>
        <color theme="1"/>
        <rFont val="Times New Roman"/>
        <family val="1"/>
      </rPr>
      <t>e</t>
    </r>
    <r>
      <rPr>
        <sz val="10"/>
        <color theme="1"/>
        <rFont val="Times New Roman"/>
        <family val="1"/>
      </rPr>
      <t xml:space="preserve">  This rule does not require semiannual or annual reporting, only recordkeeping.</t>
    </r>
  </si>
  <si>
    <r>
      <rPr>
        <vertAlign val="superscript"/>
        <sz val="10"/>
        <color theme="1"/>
        <rFont val="Times New Roman"/>
        <family val="1"/>
      </rPr>
      <t>f</t>
    </r>
    <r>
      <rPr>
        <sz val="10"/>
        <color theme="1"/>
        <rFont val="Times New Roman"/>
        <family val="1"/>
      </rPr>
      <t xml:space="preserve">  We assume it will take eight hours to review test results.</t>
    </r>
  </si>
  <si>
    <r>
      <rPr>
        <vertAlign val="superscript"/>
        <sz val="10"/>
        <color theme="1"/>
        <rFont val="Times New Roman"/>
        <family val="1"/>
      </rPr>
      <t>g</t>
    </r>
    <r>
      <rPr>
        <sz val="10"/>
        <color theme="1"/>
        <rFont val="Times New Roman"/>
        <family val="1"/>
      </rPr>
      <t xml:space="preserve">  Assumes EPA will audit records for approximately 10% of facilities.</t>
    </r>
  </si>
  <si>
    <t>Capital/Startup vs. Operation and Maintenance (O&amp;M) Costs</t>
  </si>
  <si>
    <t>CEPCI CE Index Values:</t>
  </si>
  <si>
    <t>(A)</t>
  </si>
  <si>
    <t>(B)</t>
  </si>
  <si>
    <t>(C)</t>
  </si>
  <si>
    <t>(D)</t>
  </si>
  <si>
    <t>(E)</t>
  </si>
  <si>
    <t>(F)</t>
  </si>
  <si>
    <t>(G)</t>
  </si>
  <si>
    <t>Continuous Monitoring Device</t>
  </si>
  <si>
    <r>
      <t xml:space="preserve">Capital/Startup Cost for One Respondent </t>
    </r>
    <r>
      <rPr>
        <vertAlign val="superscript"/>
        <sz val="10"/>
        <color rgb="FF000000"/>
        <rFont val="Times New Roman"/>
        <family val="1"/>
      </rPr>
      <t>a</t>
    </r>
  </si>
  <si>
    <t xml:space="preserve">Number of New Respondents </t>
  </si>
  <si>
    <t>Total Capital/Startup Cost, (B X C)</t>
  </si>
  <si>
    <r>
      <t xml:space="preserve">Annual O&amp;M Costs for One Respondent </t>
    </r>
    <r>
      <rPr>
        <vertAlign val="superscript"/>
        <sz val="10"/>
        <color rgb="FF000000"/>
        <rFont val="Times New Roman"/>
        <family val="1"/>
      </rPr>
      <t>b</t>
    </r>
  </si>
  <si>
    <t>Number of Respondents with O&amp;M</t>
  </si>
  <si>
    <r>
      <t xml:space="preserve">Total O&amp;M, 
(E X F) </t>
    </r>
    <r>
      <rPr>
        <vertAlign val="superscript"/>
        <sz val="10"/>
        <color rgb="FF000000"/>
        <rFont val="Times New Roman"/>
        <family val="1"/>
      </rPr>
      <t>c</t>
    </r>
  </si>
  <si>
    <t>Particulate matter</t>
  </si>
  <si>
    <r>
      <rPr>
        <vertAlign val="superscript"/>
        <sz val="10"/>
        <color rgb="FF000000"/>
        <rFont val="Times New Roman"/>
        <family val="1"/>
      </rPr>
      <t>a</t>
    </r>
    <r>
      <rPr>
        <sz val="10"/>
        <color rgb="FF000000"/>
        <rFont val="Times New Roman"/>
        <family val="1"/>
      </rPr>
      <t xml:space="preserve"> Assume that annual captial/startup costs for the PM CMS are $7,577 (Docket Document Number EPA-HQ-OECA-2006-0709, page 10). Costs have been increased from 2007 to 2024 $ using the CEPCI Equipment Cost Index.</t>
    </r>
    <r>
      <rPr>
        <sz val="10"/>
        <color theme="1"/>
        <rFont val="Times New Roman"/>
        <family val="1"/>
      </rPr>
      <t xml:space="preserve"> </t>
    </r>
  </si>
  <si>
    <r>
      <rPr>
        <vertAlign val="superscript"/>
        <sz val="10"/>
        <color rgb="FF000000"/>
        <rFont val="Times New Roman"/>
        <family val="1"/>
      </rPr>
      <t>b</t>
    </r>
    <r>
      <rPr>
        <sz val="10"/>
        <color rgb="FF000000"/>
        <rFont val="Times New Roman"/>
        <family val="1"/>
      </rPr>
      <t xml:space="preserve"> Assume that annual O&amp;M costs for the PM CMS are $3,972 (Docket Document Number EPA-HQ-OECA-2006-0709, page 10). Costs have been increased from 2018 to 2024 $ using the CEPCI Equipment Cost Index.</t>
    </r>
    <r>
      <rPr>
        <sz val="10"/>
        <color theme="1"/>
        <rFont val="Times New Roman"/>
        <family val="1"/>
      </rPr>
      <t xml:space="preserve"> </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</si>
  <si>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</si>
  <si>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t>Information Collection Activity</t>
  </si>
  <si>
    <t>Number of Responses</t>
  </si>
  <si>
    <t>Number of Existing Respondents That Keep Records But Do Not Submit Reports</t>
  </si>
  <si>
    <t>Total Annual Responses E=(BxC)+D</t>
  </si>
  <si>
    <t>Publicly-Owned</t>
  </si>
  <si>
    <t>Notification reports</t>
  </si>
  <si>
    <t>Compliance reports</t>
  </si>
  <si>
    <t>Records of startup, shutdown, and malfunction (SSM), emissions monitoring system, and initial performance test results</t>
  </si>
  <si>
    <t>Records of daily charging rates and hours of operation</t>
  </si>
  <si>
    <t>Total</t>
  </si>
  <si>
    <t>Privately-Owned</t>
  </si>
  <si>
    <t>Grand Total</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</si>
  <si>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</si>
  <si>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</si>
  <si>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</si>
  <si>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</si>
  <si>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</si>
  <si>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</si>
  <si>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</si>
  <si>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</si>
  <si>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old</t>
  </si>
  <si>
    <t>new</t>
  </si>
  <si>
    <t>Average</t>
  </si>
  <si>
    <t>%</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</si>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</sst>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0.0"/>
    <numFmt numFmtId="165" formatCode="&quot;$&quot;#,##0.00"/>
    <numFmt numFmtId="166" formatCode="_(&quot;$&quot;* #,##0_);_(&quot;$&quot;* \(#,##0\);_(&quot;$&quot;* &quot;-&quot;??_);_(@_)"/>
  </numFmts>
  <fonts count="26"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sz val="12"/>
      <color theme="1"/>
      <name val="Times New Roman"/>
      <family val="1"/>
    </font>
    <font>
      <vertAlign val="superscript"/>
      <sz val="10"/>
      <color theme="1"/>
      <name val="Times New Roman"/>
      <family val="1"/>
    </font>
    <font>
      <b/>
      <vertAlign val="superscript"/>
      <sz val="10"/>
      <color rgb="FF000000"/>
      <name val="Times New Roman"/>
      <family val="1"/>
    </font>
    <font>
      <b/>
      <i/>
      <sz val="10"/>
      <color rgb="FF000000"/>
      <name val="Times New Roman"/>
      <family val="1"/>
    </font>
    <font>
      <sz val="10"/>
      <name val="Times New Roman"/>
      <family val="1"/>
    </font>
    <font>
      <sz val="12"/>
      <color rgb="FF000000"/>
      <name val="Times New Roman"/>
      <family val="1"/>
    </font>
    <font>
      <b/>
      <sz val="12"/>
      <color rgb="FF000000"/>
      <name val="Times New Roman"/>
      <family val="1"/>
    </font>
    <font>
      <sz val="9"/>
      <color rgb="FF000000"/>
      <name val="Times New Roman"/>
      <family val="1"/>
    </font>
    <font>
      <vertAlign val="superscript"/>
      <sz val="12"/>
      <color rgb="FF000000"/>
      <name val="Times New Roman"/>
      <family val="1"/>
    </font>
    <font>
      <sz val="10"/>
      <color rgb="FFFF0000"/>
      <name val="Times New Roman"/>
      <family val="1"/>
    </font>
    <font>
      <b/>
      <sz val="9"/>
      <color rgb="FF000000"/>
      <name val="Times New Roman"/>
      <family val="1"/>
    </font>
    <font>
      <b/>
      <sz val="9"/>
      <color theme="1"/>
      <name val="Times New Roman"/>
      <family val="1"/>
    </font>
    <font>
      <sz val="9"/>
      <color theme="1"/>
      <name val="Times New Roman"/>
      <family val="1"/>
    </font>
    <font>
      <sz val="11"/>
      <color theme="1"/>
      <name val="Calibri"/>
      <family val="2"/>
      <scheme val="minor"/>
    </font>
    <font>
      <vertAlign val="superscript"/>
      <sz val="10"/>
      <name val="Times New Roman"/>
      <family val="1"/>
    </font>
    <font>
      <b/>
      <sz val="11"/>
      <color rgb="FFFF0000"/>
      <name val="Calibri"/>
      <family val="2"/>
      <scheme val="minor"/>
    </font>
    <font>
      <b/>
      <sz val="11"/>
      <color rgb="FF000000"/>
      <name val="Calibri"/>
      <family val="2"/>
      <scheme val="minor"/>
    </font>
    <font>
      <sz val="11"/>
      <color rgb="FF00000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21" fillId="0" borderId="0" applyFont="0" applyFill="0" applyBorder="0" applyAlignment="0" applyProtection="0"/>
  </cellStyleXfs>
  <cellXfs count="72">
    <xf numFmtId="0" fontId="0" fillId="0" borderId="0" xfId="0"/>
    <xf numFmtId="0" fontId="1" fillId="0" borderId="0" xfId="0" applyFont="1"/>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vertical="center" wrapText="1"/>
    </xf>
    <xf numFmtId="3" fontId="5" fillId="0" borderId="1" xfId="0" applyNumberFormat="1" applyFont="1" applyBorder="1" applyAlignment="1">
      <alignment horizontal="center" vertical="center" wrapText="1"/>
    </xf>
    <xf numFmtId="6"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6" fontId="7"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8" fontId="5" fillId="0" borderId="1" xfId="0" applyNumberFormat="1" applyFont="1" applyBorder="1" applyAlignment="1">
      <alignment horizontal="center" vertical="center" wrapText="1"/>
    </xf>
    <xf numFmtId="0" fontId="3" fillId="0" borderId="0" xfId="0" applyFont="1"/>
    <xf numFmtId="164" fontId="5" fillId="0" borderId="1" xfId="0" applyNumberFormat="1" applyFont="1" applyBorder="1" applyAlignment="1">
      <alignment horizontal="center" vertical="center" wrapText="1"/>
    </xf>
    <xf numFmtId="0" fontId="8" fillId="0" borderId="0" xfId="0" applyFont="1"/>
    <xf numFmtId="0" fontId="5" fillId="0" borderId="1" xfId="0" applyFont="1" applyBorder="1" applyAlignment="1">
      <alignment vertical="center" wrapText="1"/>
    </xf>
    <xf numFmtId="6" fontId="5" fillId="0" borderId="1" xfId="0" applyNumberFormat="1" applyFont="1" applyBorder="1" applyAlignment="1">
      <alignment horizontal="right" vertical="center" wrapText="1" indent="1"/>
    </xf>
    <xf numFmtId="6" fontId="7" fillId="0" borderId="1" xfId="0" applyNumberFormat="1" applyFont="1" applyBorder="1" applyAlignment="1">
      <alignment horizontal="right" vertical="center" wrapText="1" indent="1"/>
    </xf>
    <xf numFmtId="0" fontId="3" fillId="0" borderId="1" xfId="0" applyFont="1" applyBorder="1" applyAlignment="1">
      <alignment vertical="center" wrapText="1"/>
    </xf>
    <xf numFmtId="0" fontId="7" fillId="0" borderId="1" xfId="0" applyFont="1" applyBorder="1" applyAlignment="1">
      <alignment vertical="center"/>
    </xf>
    <xf numFmtId="0" fontId="11" fillId="0" borderId="1" xfId="0" applyFont="1" applyBorder="1" applyAlignment="1">
      <alignment horizontal="left" vertical="center" wrapText="1"/>
    </xf>
    <xf numFmtId="0" fontId="12" fillId="0" borderId="1" xfId="0" applyFont="1" applyBorder="1" applyAlignment="1">
      <alignment vertical="center"/>
    </xf>
    <xf numFmtId="0" fontId="3" fillId="0" borderId="1" xfId="0" applyFont="1" applyBorder="1" applyAlignment="1">
      <alignment wrapText="1"/>
    </xf>
    <xf numFmtId="6" fontId="0" fillId="0" borderId="0" xfId="0" applyNumberFormat="1"/>
    <xf numFmtId="3" fontId="0" fillId="0" borderId="0" xfId="0" applyNumberFormat="1"/>
    <xf numFmtId="0" fontId="16" fillId="0" borderId="0" xfId="0" applyFont="1" applyAlignment="1">
      <alignment vertical="center"/>
    </xf>
    <xf numFmtId="0" fontId="14" fillId="0" borderId="1"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2" xfId="0" applyBorder="1"/>
    <xf numFmtId="0" fontId="0" fillId="0" borderId="3" xfId="0" applyBorder="1"/>
    <xf numFmtId="0" fontId="0" fillId="0" borderId="4" xfId="0" applyBorder="1"/>
    <xf numFmtId="3" fontId="0" fillId="0" borderId="5" xfId="0" applyNumberFormat="1" applyBorder="1"/>
    <xf numFmtId="0" fontId="0" fillId="0" borderId="6" xfId="0" applyBorder="1"/>
    <xf numFmtId="6" fontId="0" fillId="0" borderId="5" xfId="0" applyNumberFormat="1" applyBorder="1"/>
    <xf numFmtId="0" fontId="0" fillId="0" borderId="7" xfId="0" applyBorder="1"/>
    <xf numFmtId="0" fontId="0" fillId="0" borderId="8" xfId="0" applyBorder="1"/>
    <xf numFmtId="0" fontId="0" fillId="0" borderId="9" xfId="0" applyBorder="1"/>
    <xf numFmtId="0" fontId="18" fillId="0" borderId="1" xfId="0" applyFont="1" applyBorder="1" applyAlignment="1">
      <alignment horizontal="center" vertical="center" wrapText="1"/>
    </xf>
    <xf numFmtId="1" fontId="0" fillId="0" borderId="0" xfId="0" applyNumberFormat="1"/>
    <xf numFmtId="0" fontId="0" fillId="0" borderId="0" xfId="0" applyAlignment="1">
      <alignment horizontal="right"/>
    </xf>
    <xf numFmtId="166" fontId="5" fillId="0" borderId="1" xfId="1" applyNumberFormat="1" applyFont="1" applyBorder="1" applyAlignment="1">
      <alignment horizontal="center" vertical="center" wrapText="1"/>
    </xf>
    <xf numFmtId="165" fontId="12" fillId="0" borderId="1" xfId="0" applyNumberFormat="1" applyFont="1" applyBorder="1"/>
    <xf numFmtId="3" fontId="2" fillId="0" borderId="0" xfId="0" applyNumberFormat="1" applyFont="1"/>
    <xf numFmtId="0" fontId="13" fillId="0" borderId="0" xfId="0" applyFont="1" applyAlignment="1">
      <alignment vertical="center"/>
    </xf>
    <xf numFmtId="0" fontId="2" fillId="0" borderId="0" xfId="0" applyFont="1" applyAlignment="1">
      <alignment vertical="center"/>
    </xf>
    <xf numFmtId="0" fontId="9" fillId="0" borderId="0" xfId="0" applyFont="1" applyAlignment="1">
      <alignment vertical="center" wrapText="1"/>
    </xf>
    <xf numFmtId="0" fontId="15" fillId="0" borderId="5" xfId="0" applyFont="1" applyBorder="1" applyAlignment="1">
      <alignment horizontal="center" vertical="center" wrapText="1"/>
    </xf>
    <xf numFmtId="0" fontId="23" fillId="0" borderId="0" xfId="0" applyFont="1"/>
    <xf numFmtId="0" fontId="0" fillId="0" borderId="0" xfId="0" applyAlignment="1">
      <alignment horizontal="left"/>
    </xf>
    <xf numFmtId="0" fontId="24" fillId="0" borderId="0" xfId="0" applyFont="1"/>
    <xf numFmtId="0" fontId="25" fillId="0" borderId="0" xfId="0" applyFont="1"/>
    <xf numFmtId="0" fontId="0" fillId="0" borderId="0" xfId="0" applyAlignment="1">
      <alignment horizontal="center"/>
    </xf>
    <xf numFmtId="0" fontId="2" fillId="0" borderId="0" xfId="0" applyFont="1" applyAlignment="1">
      <alignment horizontal="left" vertical="top" wrapText="1"/>
    </xf>
    <xf numFmtId="0" fontId="12" fillId="0" borderId="1" xfId="0" applyFont="1" applyBorder="1" applyAlignment="1">
      <alignment horizontal="center"/>
    </xf>
    <xf numFmtId="1"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6"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vertical="center" wrapText="1"/>
    </xf>
    <xf numFmtId="0" fontId="14" fillId="0" borderId="0" xfId="0" applyFont="1" applyAlignment="1">
      <alignment horizontal="center" vertical="center" wrapText="1"/>
    </xf>
    <xf numFmtId="0" fontId="5" fillId="0" borderId="0" xfId="0" applyFont="1" applyAlignment="1">
      <alignment horizontal="left" vertical="top" wrapText="1"/>
    </xf>
    <xf numFmtId="0" fontId="1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8" fillId="0" borderId="1"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7546-A8ED-486B-B636-BB948A8CFCF3}">
  <dimension ref="A1:B8"/>
  <sheetViews>
    <sheetView workbookViewId="0">
      <selection activeCell="B7" sqref="B7"/>
    </sheetView>
  </sheetViews>
  <sheetFormatPr defaultRowHeight="15" x14ac:dyDescent="0.25"/>
  <cols>
    <col min="1" max="1" width="25.7109375" bestFit="1" customWidth="1"/>
    <col min="2" max="2" width="12.85546875" bestFit="1" customWidth="1"/>
  </cols>
  <sheetData>
    <row r="1" spans="1:2" x14ac:dyDescent="0.25">
      <c r="A1" s="55" t="s">
        <v>0</v>
      </c>
      <c r="B1" s="55"/>
    </row>
    <row r="2" spans="1:2" x14ac:dyDescent="0.25">
      <c r="A2" t="s">
        <v>1</v>
      </c>
      <c r="B2" s="24">
        <f>'Table 1a'!L33</f>
        <v>52</v>
      </c>
    </row>
    <row r="3" spans="1:2" x14ac:dyDescent="0.25">
      <c r="A3" t="s">
        <v>2</v>
      </c>
      <c r="B3">
        <f>Respondents!G16</f>
        <v>47</v>
      </c>
    </row>
    <row r="4" spans="1:2" x14ac:dyDescent="0.25">
      <c r="A4" t="s">
        <v>3</v>
      </c>
      <c r="B4" s="24">
        <f>'Table 1a'!L31</f>
        <v>4860</v>
      </c>
    </row>
    <row r="5" spans="1:2" x14ac:dyDescent="0.25">
      <c r="A5" t="s">
        <v>4</v>
      </c>
      <c r="B5" s="23">
        <f>'Table 1a'!I34+'Table 1b'!I34</f>
        <v>697000</v>
      </c>
    </row>
    <row r="6" spans="1:2" x14ac:dyDescent="0.25">
      <c r="A6" t="s">
        <v>5</v>
      </c>
      <c r="B6" s="23">
        <f>'Capital O&amp;M'!J6</f>
        <v>187000</v>
      </c>
    </row>
    <row r="7" spans="1:2" x14ac:dyDescent="0.25">
      <c r="A7" t="s">
        <v>6</v>
      </c>
      <c r="B7" s="42">
        <f>Responses!F19</f>
        <v>94</v>
      </c>
    </row>
    <row r="8" spans="1:2" x14ac:dyDescent="0.25">
      <c r="A8" t="s">
        <v>7</v>
      </c>
      <c r="B8" s="43" t="s">
        <v>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opLeftCell="A21" workbookViewId="0">
      <selection activeCell="L33" sqref="L33"/>
    </sheetView>
  </sheetViews>
  <sheetFormatPr defaultRowHeight="15" x14ac:dyDescent="0.25"/>
  <cols>
    <col min="1" max="1" width="50.7109375" customWidth="1"/>
    <col min="2" max="2" width="10.5703125" customWidth="1"/>
    <col min="3" max="3" width="10.7109375" customWidth="1"/>
    <col min="5" max="5" width="11.42578125" customWidth="1"/>
    <col min="9" max="9" width="11.28515625" customWidth="1"/>
    <col min="11" max="11" width="11" bestFit="1" customWidth="1"/>
    <col min="12" max="12" width="11.28515625" customWidth="1"/>
  </cols>
  <sheetData>
    <row r="1" spans="1:12" ht="15.75" x14ac:dyDescent="0.25">
      <c r="A1" s="14" t="s">
        <v>9</v>
      </c>
    </row>
    <row r="2" spans="1:12" x14ac:dyDescent="0.25">
      <c r="A2" s="1"/>
    </row>
    <row r="4" spans="1:12" ht="89.25" x14ac:dyDescent="0.25">
      <c r="A4" s="2" t="s">
        <v>10</v>
      </c>
      <c r="B4" s="2" t="s">
        <v>11</v>
      </c>
      <c r="C4" s="2" t="s">
        <v>12</v>
      </c>
      <c r="D4" s="2" t="s">
        <v>13</v>
      </c>
      <c r="E4" s="2" t="s">
        <v>14</v>
      </c>
      <c r="F4" s="2" t="s">
        <v>15</v>
      </c>
      <c r="G4" s="2" t="s">
        <v>16</v>
      </c>
      <c r="H4" s="2" t="s">
        <v>17</v>
      </c>
      <c r="I4" s="2" t="s">
        <v>18</v>
      </c>
    </row>
    <row r="5" spans="1:12" x14ac:dyDescent="0.25">
      <c r="A5" s="9" t="s">
        <v>19</v>
      </c>
      <c r="B5" s="3" t="s">
        <v>20</v>
      </c>
      <c r="C5" s="3"/>
      <c r="D5" s="3"/>
      <c r="E5" s="3"/>
      <c r="F5" s="3"/>
      <c r="G5" s="3"/>
      <c r="H5" s="3"/>
      <c r="I5" s="3"/>
      <c r="K5" s="57" t="s">
        <v>21</v>
      </c>
      <c r="L5" s="57"/>
    </row>
    <row r="6" spans="1:12" x14ac:dyDescent="0.25">
      <c r="A6" s="9" t="s">
        <v>22</v>
      </c>
      <c r="B6" s="3" t="s">
        <v>20</v>
      </c>
      <c r="C6" s="3"/>
      <c r="D6" s="3"/>
      <c r="E6" s="3"/>
      <c r="F6" s="3"/>
      <c r="G6" s="3"/>
      <c r="H6" s="3"/>
      <c r="I6" s="3"/>
      <c r="K6" s="21" t="s">
        <v>23</v>
      </c>
      <c r="L6" s="45">
        <v>184.86</v>
      </c>
    </row>
    <row r="7" spans="1:12" x14ac:dyDescent="0.25">
      <c r="A7" s="9" t="s">
        <v>24</v>
      </c>
      <c r="B7" s="3"/>
      <c r="C7" s="3"/>
      <c r="D7" s="3"/>
      <c r="E7" s="3"/>
      <c r="F7" s="3"/>
      <c r="G7" s="3"/>
      <c r="H7" s="3"/>
      <c r="I7" s="3"/>
      <c r="K7" s="21" t="s">
        <v>25</v>
      </c>
      <c r="L7" s="45">
        <v>148.44999999999999</v>
      </c>
    </row>
    <row r="8" spans="1:12" ht="15.75" x14ac:dyDescent="0.25">
      <c r="A8" s="9" t="s">
        <v>26</v>
      </c>
      <c r="B8" s="3">
        <v>1</v>
      </c>
      <c r="C8" s="3">
        <v>1</v>
      </c>
      <c r="D8" s="3">
        <f>B8*C8</f>
        <v>1</v>
      </c>
      <c r="E8" s="3">
        <v>26</v>
      </c>
      <c r="F8" s="3">
        <f>+D8*E8</f>
        <v>26</v>
      </c>
      <c r="G8" s="3">
        <f>F8*0.05</f>
        <v>1.3</v>
      </c>
      <c r="H8" s="3">
        <f>+F8*0.1</f>
        <v>2.6</v>
      </c>
      <c r="I8" s="11">
        <f>+$L$7*F8+$L$6*G8+$L$8*H8</f>
        <v>4298.71</v>
      </c>
      <c r="K8" s="21" t="s">
        <v>27</v>
      </c>
      <c r="L8" s="45">
        <v>76.42</v>
      </c>
    </row>
    <row r="9" spans="1:12" x14ac:dyDescent="0.25">
      <c r="A9" s="9" t="s">
        <v>28</v>
      </c>
      <c r="B9" s="7"/>
      <c r="C9" s="7"/>
      <c r="D9" s="3"/>
      <c r="E9" s="7"/>
      <c r="F9" s="3"/>
      <c r="G9" s="3"/>
      <c r="H9" s="3"/>
      <c r="I9" s="6"/>
    </row>
    <row r="10" spans="1:12" ht="15.75" x14ac:dyDescent="0.25">
      <c r="A10" s="9" t="s">
        <v>29</v>
      </c>
      <c r="B10" s="3">
        <v>200</v>
      </c>
      <c r="C10" s="3">
        <v>1</v>
      </c>
      <c r="D10" s="3">
        <f>B10*C10</f>
        <v>200</v>
      </c>
      <c r="E10" s="3">
        <v>0</v>
      </c>
      <c r="F10" s="3">
        <f t="shared" ref="F10:F19" si="0">+D10*E10</f>
        <v>0</v>
      </c>
      <c r="G10" s="3">
        <f t="shared" ref="G10:G19" si="1">F10*0.05</f>
        <v>0</v>
      </c>
      <c r="H10" s="3">
        <f t="shared" ref="H10:H19" si="2">+F10*0.1</f>
        <v>0</v>
      </c>
      <c r="I10" s="6">
        <f>+$L$7*F10+$L$6*G10+$L$8*H10</f>
        <v>0</v>
      </c>
    </row>
    <row r="11" spans="1:12" x14ac:dyDescent="0.25">
      <c r="A11" s="9" t="s">
        <v>30</v>
      </c>
      <c r="B11" s="3" t="s">
        <v>31</v>
      </c>
      <c r="C11" s="7"/>
      <c r="D11" s="3"/>
      <c r="E11" s="7"/>
      <c r="F11" s="3"/>
      <c r="G11" s="3"/>
      <c r="H11" s="3"/>
      <c r="I11" s="6"/>
    </row>
    <row r="12" spans="1:12" x14ac:dyDescent="0.25">
      <c r="A12" s="9" t="s">
        <v>32</v>
      </c>
      <c r="B12" s="3" t="s">
        <v>33</v>
      </c>
      <c r="C12" s="7"/>
      <c r="D12" s="3"/>
      <c r="E12" s="7"/>
      <c r="F12" s="3"/>
      <c r="G12" s="3"/>
      <c r="H12" s="3"/>
      <c r="I12" s="6"/>
    </row>
    <row r="13" spans="1:12" x14ac:dyDescent="0.25">
      <c r="A13" s="9" t="s">
        <v>34</v>
      </c>
      <c r="B13" s="7"/>
      <c r="C13" s="7"/>
      <c r="D13" s="3"/>
      <c r="E13" s="7"/>
      <c r="F13" s="3"/>
      <c r="G13" s="3"/>
      <c r="H13" s="3"/>
      <c r="I13" s="6"/>
    </row>
    <row r="14" spans="1:12" ht="15.75" x14ac:dyDescent="0.25">
      <c r="A14" s="9" t="s">
        <v>35</v>
      </c>
      <c r="B14" s="3">
        <v>2</v>
      </c>
      <c r="C14" s="3">
        <v>1</v>
      </c>
      <c r="D14" s="3">
        <f t="shared" ref="D14:D28" si="3">B14*C14</f>
        <v>2</v>
      </c>
      <c r="E14" s="3">
        <v>0</v>
      </c>
      <c r="F14" s="3">
        <f t="shared" si="0"/>
        <v>0</v>
      </c>
      <c r="G14" s="3">
        <f t="shared" si="1"/>
        <v>0</v>
      </c>
      <c r="H14" s="3">
        <f t="shared" si="2"/>
        <v>0</v>
      </c>
      <c r="I14" s="6">
        <f t="shared" ref="I14:I19" si="4">+$L$7*F14+$L$6*G14+$L$8*H14</f>
        <v>0</v>
      </c>
    </row>
    <row r="15" spans="1:12" ht="15.75" x14ac:dyDescent="0.25">
      <c r="A15" s="9" t="s">
        <v>36</v>
      </c>
      <c r="B15" s="3">
        <v>2</v>
      </c>
      <c r="C15" s="3">
        <v>1</v>
      </c>
      <c r="D15" s="3">
        <f t="shared" si="3"/>
        <v>2</v>
      </c>
      <c r="E15" s="3">
        <v>0</v>
      </c>
      <c r="F15" s="3">
        <f t="shared" si="0"/>
        <v>0</v>
      </c>
      <c r="G15" s="3">
        <f t="shared" si="1"/>
        <v>0</v>
      </c>
      <c r="H15" s="3">
        <f t="shared" si="2"/>
        <v>0</v>
      </c>
      <c r="I15" s="6">
        <f t="shared" si="4"/>
        <v>0</v>
      </c>
    </row>
    <row r="16" spans="1:12" ht="25.5" x14ac:dyDescent="0.25">
      <c r="A16" s="9" t="s">
        <v>37</v>
      </c>
      <c r="B16" s="3">
        <v>2</v>
      </c>
      <c r="C16" s="3">
        <v>1</v>
      </c>
      <c r="D16" s="3">
        <f t="shared" si="3"/>
        <v>2</v>
      </c>
      <c r="E16" s="3">
        <v>0</v>
      </c>
      <c r="F16" s="3">
        <f t="shared" si="0"/>
        <v>0</v>
      </c>
      <c r="G16" s="3">
        <f t="shared" si="1"/>
        <v>0</v>
      </c>
      <c r="H16" s="3">
        <f t="shared" si="2"/>
        <v>0</v>
      </c>
      <c r="I16" s="6">
        <f t="shared" si="4"/>
        <v>0</v>
      </c>
    </row>
    <row r="17" spans="1:14" ht="15.75" x14ac:dyDescent="0.25">
      <c r="A17" s="9" t="s">
        <v>38</v>
      </c>
      <c r="B17" s="3">
        <v>2</v>
      </c>
      <c r="C17" s="3">
        <v>1</v>
      </c>
      <c r="D17" s="3">
        <f t="shared" si="3"/>
        <v>2</v>
      </c>
      <c r="E17" s="3">
        <v>0</v>
      </c>
      <c r="F17" s="3">
        <f t="shared" si="0"/>
        <v>0</v>
      </c>
      <c r="G17" s="3">
        <f t="shared" si="1"/>
        <v>0</v>
      </c>
      <c r="H17" s="3">
        <f t="shared" si="2"/>
        <v>0</v>
      </c>
      <c r="I17" s="6">
        <f t="shared" si="4"/>
        <v>0</v>
      </c>
    </row>
    <row r="18" spans="1:14" ht="15.75" x14ac:dyDescent="0.25">
      <c r="A18" s="9" t="s">
        <v>39</v>
      </c>
      <c r="B18" s="3">
        <v>4</v>
      </c>
      <c r="C18" s="3">
        <v>1</v>
      </c>
      <c r="D18" s="3">
        <f t="shared" si="3"/>
        <v>4</v>
      </c>
      <c r="E18" s="3">
        <v>0</v>
      </c>
      <c r="F18" s="3">
        <f t="shared" si="0"/>
        <v>0</v>
      </c>
      <c r="G18" s="3">
        <f t="shared" si="1"/>
        <v>0</v>
      </c>
      <c r="H18" s="3">
        <f t="shared" si="2"/>
        <v>0</v>
      </c>
      <c r="I18" s="6">
        <f t="shared" si="4"/>
        <v>0</v>
      </c>
    </row>
    <row r="19" spans="1:14" ht="15.75" x14ac:dyDescent="0.25">
      <c r="A19" s="9" t="s">
        <v>40</v>
      </c>
      <c r="B19" s="3">
        <v>4</v>
      </c>
      <c r="C19" s="3">
        <v>1</v>
      </c>
      <c r="D19" s="3">
        <f t="shared" si="3"/>
        <v>4</v>
      </c>
      <c r="E19" s="3">
        <v>0</v>
      </c>
      <c r="F19" s="3">
        <f t="shared" si="0"/>
        <v>0</v>
      </c>
      <c r="G19" s="3">
        <f t="shared" si="1"/>
        <v>0</v>
      </c>
      <c r="H19" s="3">
        <f t="shared" si="2"/>
        <v>0</v>
      </c>
      <c r="I19" s="6">
        <f t="shared" si="4"/>
        <v>0</v>
      </c>
    </row>
    <row r="20" spans="1:14" x14ac:dyDescent="0.25">
      <c r="A20" s="20" t="s">
        <v>41</v>
      </c>
      <c r="B20" s="7"/>
      <c r="C20" s="7"/>
      <c r="D20" s="3"/>
      <c r="E20" s="7"/>
      <c r="F20" s="58">
        <f>SUM(F5:H19)</f>
        <v>29.900000000000002</v>
      </c>
      <c r="G20" s="58"/>
      <c r="H20" s="58"/>
      <c r="I20" s="8">
        <f>+SUM(I5:I19)</f>
        <v>4298.71</v>
      </c>
    </row>
    <row r="21" spans="1:14" x14ac:dyDescent="0.25">
      <c r="A21" s="9" t="s">
        <v>42</v>
      </c>
      <c r="B21" s="3"/>
      <c r="C21" s="3"/>
      <c r="D21" s="3"/>
      <c r="E21" s="3"/>
      <c r="F21" s="3"/>
      <c r="G21" s="3"/>
      <c r="H21" s="3"/>
      <c r="I21" s="3"/>
    </row>
    <row r="22" spans="1:14" ht="15.75" x14ac:dyDescent="0.25">
      <c r="A22" s="9" t="s">
        <v>26</v>
      </c>
      <c r="B22" s="3" t="s">
        <v>43</v>
      </c>
      <c r="C22" s="3"/>
      <c r="D22" s="3"/>
      <c r="E22" s="3"/>
      <c r="F22" s="3"/>
      <c r="G22" s="3"/>
      <c r="H22" s="3"/>
      <c r="I22" s="3"/>
    </row>
    <row r="23" spans="1:14" x14ac:dyDescent="0.25">
      <c r="A23" s="9" t="s">
        <v>44</v>
      </c>
      <c r="B23" s="3" t="s">
        <v>43</v>
      </c>
      <c r="C23" s="3"/>
      <c r="D23" s="3"/>
      <c r="E23" s="3"/>
      <c r="F23" s="3"/>
      <c r="G23" s="3"/>
      <c r="H23" s="3"/>
      <c r="I23" s="3"/>
    </row>
    <row r="24" spans="1:14" x14ac:dyDescent="0.25">
      <c r="A24" s="9" t="s">
        <v>45</v>
      </c>
      <c r="B24" s="3" t="s">
        <v>43</v>
      </c>
      <c r="C24" s="3"/>
      <c r="D24" s="3"/>
      <c r="E24" s="3"/>
      <c r="F24" s="3"/>
      <c r="G24" s="3"/>
      <c r="H24" s="3"/>
      <c r="I24" s="3"/>
    </row>
    <row r="25" spans="1:14" x14ac:dyDescent="0.25">
      <c r="A25" s="9" t="s">
        <v>46</v>
      </c>
      <c r="B25" s="3" t="s">
        <v>20</v>
      </c>
      <c r="C25" s="7"/>
      <c r="D25" s="3"/>
      <c r="E25" s="7"/>
      <c r="F25" s="7"/>
      <c r="G25" s="7"/>
      <c r="H25" s="7"/>
      <c r="I25" s="3"/>
    </row>
    <row r="26" spans="1:14" x14ac:dyDescent="0.25">
      <c r="A26" s="9" t="s">
        <v>47</v>
      </c>
      <c r="B26" s="7"/>
      <c r="C26" s="7"/>
      <c r="D26" s="3"/>
      <c r="E26" s="7"/>
      <c r="F26" s="7"/>
      <c r="G26" s="7"/>
      <c r="H26" s="7"/>
      <c r="I26" s="3"/>
    </row>
    <row r="27" spans="1:14" ht="38.25" x14ac:dyDescent="0.25">
      <c r="A27" s="9" t="s">
        <v>48</v>
      </c>
      <c r="B27" s="3">
        <v>1.5</v>
      </c>
      <c r="C27" s="3">
        <v>1</v>
      </c>
      <c r="D27" s="3">
        <f t="shared" si="3"/>
        <v>1.5</v>
      </c>
      <c r="E27" s="3">
        <v>26</v>
      </c>
      <c r="F27" s="3">
        <f t="shared" ref="F27" si="5">+D27*E27</f>
        <v>39</v>
      </c>
      <c r="G27" s="3">
        <f t="shared" ref="G27:G28" si="6">F27*0.05</f>
        <v>1.9500000000000002</v>
      </c>
      <c r="H27" s="13">
        <f t="shared" ref="H27" si="7">+F27*0.1</f>
        <v>3.9000000000000004</v>
      </c>
      <c r="I27" s="11">
        <f>+$L$7*F27+$L$6*G27+$L$8*H27</f>
        <v>6448.0649999999987</v>
      </c>
    </row>
    <row r="28" spans="1:14" ht="15.75" x14ac:dyDescent="0.25">
      <c r="A28" s="9" t="s">
        <v>49</v>
      </c>
      <c r="B28" s="3">
        <v>0.25</v>
      </c>
      <c r="C28" s="3">
        <v>350</v>
      </c>
      <c r="D28" s="3">
        <f t="shared" si="3"/>
        <v>87.5</v>
      </c>
      <c r="E28" s="3">
        <v>26</v>
      </c>
      <c r="F28" s="5">
        <f>+D28*E28</f>
        <v>2275</v>
      </c>
      <c r="G28" s="3">
        <f t="shared" si="6"/>
        <v>113.75</v>
      </c>
      <c r="H28" s="3">
        <f t="shared" ref="H28" si="8">+F28*0.1</f>
        <v>227.5</v>
      </c>
      <c r="I28" s="11">
        <f>+$L$7*F28+$L$6*G28+$L$8*H28</f>
        <v>376137.125</v>
      </c>
    </row>
    <row r="29" spans="1:14" x14ac:dyDescent="0.25">
      <c r="A29" s="9" t="s">
        <v>50</v>
      </c>
      <c r="B29" s="3" t="s">
        <v>20</v>
      </c>
      <c r="C29" s="7"/>
      <c r="D29" s="7"/>
      <c r="E29" s="7"/>
      <c r="F29" s="7"/>
      <c r="G29" s="7"/>
      <c r="H29" s="7"/>
      <c r="I29" s="3"/>
    </row>
    <row r="30" spans="1:14" x14ac:dyDescent="0.25">
      <c r="A30" s="9" t="s">
        <v>51</v>
      </c>
      <c r="B30" s="3" t="s">
        <v>20</v>
      </c>
      <c r="C30" s="7"/>
      <c r="D30" s="7"/>
      <c r="E30" s="7"/>
      <c r="F30" s="7"/>
      <c r="G30" s="7"/>
      <c r="H30" s="7"/>
      <c r="I30" s="3"/>
      <c r="L30" s="32" t="s">
        <v>52</v>
      </c>
      <c r="M30" s="33"/>
      <c r="N30" s="34"/>
    </row>
    <row r="31" spans="1:14" x14ac:dyDescent="0.25">
      <c r="A31" s="20" t="s">
        <v>53</v>
      </c>
      <c r="B31" s="3"/>
      <c r="C31" s="3"/>
      <c r="D31" s="3"/>
      <c r="E31" s="3"/>
      <c r="F31" s="59">
        <f>+SUM(F21:H30)</f>
        <v>2661.1</v>
      </c>
      <c r="G31" s="59"/>
      <c r="H31" s="59"/>
      <c r="I31" s="8">
        <f>+SUM(I21:I30)</f>
        <v>382585.19</v>
      </c>
      <c r="L31" s="35">
        <f>F32+'Table 1b'!F32</f>
        <v>4860</v>
      </c>
      <c r="M31" t="s">
        <v>54</v>
      </c>
      <c r="N31" s="36"/>
    </row>
    <row r="32" spans="1:14" ht="16.5" x14ac:dyDescent="0.25">
      <c r="A32" s="22" t="s">
        <v>55</v>
      </c>
      <c r="B32" s="4"/>
      <c r="C32" s="4"/>
      <c r="D32" s="4"/>
      <c r="E32" s="4"/>
      <c r="F32" s="59">
        <f>ROUND(F20+F31,-1)</f>
        <v>2690</v>
      </c>
      <c r="G32" s="59"/>
      <c r="H32" s="59"/>
      <c r="I32" s="8">
        <f>ROUND(I20+I31,-3)</f>
        <v>387000</v>
      </c>
      <c r="L32" s="37">
        <f>I32+'Table 1b'!I32</f>
        <v>510000</v>
      </c>
      <c r="M32" t="s">
        <v>56</v>
      </c>
      <c r="N32" s="36"/>
    </row>
    <row r="33" spans="1:14" ht="15" customHeight="1" x14ac:dyDescent="0.25">
      <c r="A33" s="22" t="s">
        <v>57</v>
      </c>
      <c r="B33" s="4"/>
      <c r="C33" s="4"/>
      <c r="D33" s="4"/>
      <c r="E33" s="4"/>
      <c r="F33" s="10"/>
      <c r="G33" s="10"/>
      <c r="H33" s="10"/>
      <c r="I33" s="8">
        <f>ROUND('Capital O&amp;M'!J6*26/47,-3)</f>
        <v>103000</v>
      </c>
      <c r="J33" s="23"/>
      <c r="L33" s="38">
        <f>ROUND(L31/Responses!F19,0)</f>
        <v>52</v>
      </c>
      <c r="M33" s="39" t="s">
        <v>58</v>
      </c>
      <c r="N33" s="40"/>
    </row>
    <row r="34" spans="1:14" ht="16.5" x14ac:dyDescent="0.25">
      <c r="A34" s="22" t="s">
        <v>59</v>
      </c>
      <c r="B34" s="4"/>
      <c r="C34" s="4"/>
      <c r="D34" s="4"/>
      <c r="E34" s="4"/>
      <c r="F34" s="10"/>
      <c r="G34" s="10"/>
      <c r="H34" s="10"/>
      <c r="I34" s="8">
        <f>ROUND(+I33+I32,-3)</f>
        <v>490000</v>
      </c>
      <c r="L34" s="23">
        <f>I34+'Table 1b'!I34</f>
        <v>697000</v>
      </c>
      <c r="M34" t="s">
        <v>60</v>
      </c>
    </row>
    <row r="36" spans="1:14" x14ac:dyDescent="0.25">
      <c r="A36" s="12" t="s">
        <v>61</v>
      </c>
    </row>
    <row r="37" spans="1:14" ht="31.5" customHeight="1" x14ac:dyDescent="0.25">
      <c r="A37" s="56" t="s">
        <v>62</v>
      </c>
      <c r="B37" s="56"/>
      <c r="C37" s="56"/>
      <c r="D37" s="56"/>
      <c r="E37" s="56"/>
      <c r="F37" s="56"/>
      <c r="G37" s="56"/>
      <c r="H37" s="56"/>
      <c r="I37" s="56"/>
    </row>
    <row r="38" spans="1:14" ht="60.6" customHeight="1" x14ac:dyDescent="0.25">
      <c r="A38" s="56" t="s">
        <v>63</v>
      </c>
      <c r="B38" s="56"/>
      <c r="C38" s="56"/>
      <c r="D38" s="56"/>
      <c r="E38" s="56"/>
      <c r="F38" s="56"/>
      <c r="G38" s="56"/>
      <c r="H38" s="56"/>
      <c r="I38" s="56"/>
      <c r="J38" s="49"/>
    </row>
    <row r="39" spans="1:14" x14ac:dyDescent="0.25">
      <c r="A39" s="56" t="s">
        <v>64</v>
      </c>
      <c r="B39" s="56"/>
      <c r="C39" s="56"/>
      <c r="D39" s="56"/>
      <c r="E39" s="56"/>
      <c r="F39" s="56"/>
      <c r="G39" s="56"/>
      <c r="H39" s="56"/>
      <c r="I39" s="56"/>
    </row>
    <row r="40" spans="1:14" x14ac:dyDescent="0.25">
      <c r="A40" s="56" t="s">
        <v>65</v>
      </c>
      <c r="B40" s="56"/>
      <c r="C40" s="56"/>
      <c r="D40" s="56"/>
      <c r="E40" s="56"/>
      <c r="F40" s="56"/>
      <c r="G40" s="56"/>
      <c r="H40" s="56"/>
      <c r="I40" s="56"/>
    </row>
    <row r="41" spans="1:14" x14ac:dyDescent="0.25">
      <c r="A41" s="56" t="s">
        <v>66</v>
      </c>
      <c r="B41" s="56"/>
      <c r="C41" s="56"/>
      <c r="D41" s="56"/>
      <c r="E41" s="56"/>
      <c r="F41" s="56"/>
      <c r="G41" s="56"/>
      <c r="H41" s="56"/>
      <c r="I41" s="56"/>
    </row>
    <row r="42" spans="1:14" x14ac:dyDescent="0.25">
      <c r="A42" s="56" t="s">
        <v>67</v>
      </c>
      <c r="B42" s="56"/>
      <c r="C42" s="56"/>
      <c r="D42" s="56"/>
      <c r="E42" s="56"/>
      <c r="F42" s="56"/>
      <c r="G42" s="56"/>
      <c r="H42" s="56"/>
      <c r="I42" s="56"/>
    </row>
    <row r="43" spans="1:14" x14ac:dyDescent="0.25">
      <c r="A43" s="56" t="s">
        <v>68</v>
      </c>
      <c r="B43" s="56"/>
      <c r="C43" s="56"/>
      <c r="D43" s="56"/>
      <c r="E43" s="56"/>
      <c r="F43" s="56"/>
      <c r="G43" s="56"/>
      <c r="H43" s="56"/>
      <c r="I43" s="56"/>
    </row>
    <row r="44" spans="1:14" x14ac:dyDescent="0.25">
      <c r="A44" s="56" t="s">
        <v>69</v>
      </c>
      <c r="B44" s="56"/>
      <c r="C44" s="56"/>
      <c r="D44" s="56"/>
      <c r="E44" s="56"/>
      <c r="F44" s="56"/>
      <c r="G44" s="56"/>
      <c r="H44" s="56"/>
      <c r="I44" s="56"/>
    </row>
  </sheetData>
  <mergeCells count="12">
    <mergeCell ref="K5:L5"/>
    <mergeCell ref="A37:I37"/>
    <mergeCell ref="A39:I39"/>
    <mergeCell ref="F20:H20"/>
    <mergeCell ref="F31:H31"/>
    <mergeCell ref="F32:H32"/>
    <mergeCell ref="A38:I38"/>
    <mergeCell ref="A40:I40"/>
    <mergeCell ref="A41:I41"/>
    <mergeCell ref="A42:I42"/>
    <mergeCell ref="A43:I43"/>
    <mergeCell ref="A44:I4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606A-60C0-4C42-8FB8-42E74181E003}">
  <dimension ref="A1:L44"/>
  <sheetViews>
    <sheetView topLeftCell="A4" workbookViewId="0">
      <selection activeCell="A2" sqref="A2"/>
    </sheetView>
  </sheetViews>
  <sheetFormatPr defaultRowHeight="15" x14ac:dyDescent="0.25"/>
  <cols>
    <col min="1" max="1" width="50.7109375" customWidth="1"/>
    <col min="2" max="2" width="10.5703125" customWidth="1"/>
    <col min="3" max="3" width="10.7109375" customWidth="1"/>
    <col min="5" max="5" width="11.42578125" customWidth="1"/>
    <col min="9" max="9" width="11.28515625" customWidth="1"/>
    <col min="11" max="11" width="11" bestFit="1" customWidth="1"/>
  </cols>
  <sheetData>
    <row r="1" spans="1:12" ht="15.75" x14ac:dyDescent="0.25">
      <c r="A1" s="14" t="s">
        <v>70</v>
      </c>
    </row>
    <row r="2" spans="1:12" x14ac:dyDescent="0.25">
      <c r="A2" s="53"/>
      <c r="B2" s="54"/>
      <c r="C2" s="54"/>
      <c r="D2" s="54"/>
      <c r="E2" s="54"/>
      <c r="F2" s="54"/>
      <c r="G2" s="54"/>
      <c r="H2" s="54"/>
      <c r="I2" s="54"/>
    </row>
    <row r="3" spans="1:12" x14ac:dyDescent="0.25">
      <c r="A3" s="54"/>
      <c r="B3" s="54"/>
      <c r="C3" s="54"/>
      <c r="D3" s="54"/>
      <c r="E3" s="54"/>
      <c r="F3" s="54"/>
      <c r="G3" s="54"/>
      <c r="H3" s="54"/>
      <c r="I3" s="54"/>
    </row>
    <row r="4" spans="1:12" ht="89.25" x14ac:dyDescent="0.25">
      <c r="A4" s="2" t="s">
        <v>10</v>
      </c>
      <c r="B4" s="2" t="s">
        <v>11</v>
      </c>
      <c r="C4" s="2" t="s">
        <v>12</v>
      </c>
      <c r="D4" s="2" t="s">
        <v>13</v>
      </c>
      <c r="E4" s="2" t="s">
        <v>14</v>
      </c>
      <c r="F4" s="2" t="s">
        <v>15</v>
      </c>
      <c r="G4" s="2" t="s">
        <v>16</v>
      </c>
      <c r="H4" s="2" t="s">
        <v>17</v>
      </c>
      <c r="I4" s="2" t="s">
        <v>18</v>
      </c>
    </row>
    <row r="5" spans="1:12" x14ac:dyDescent="0.25">
      <c r="A5" s="9" t="s">
        <v>19</v>
      </c>
      <c r="B5" s="3" t="s">
        <v>20</v>
      </c>
      <c r="C5" s="3"/>
      <c r="D5" s="3"/>
      <c r="E5" s="3"/>
      <c r="F5" s="3"/>
      <c r="G5" s="3"/>
      <c r="H5" s="3"/>
      <c r="I5" s="3"/>
      <c r="K5" s="57" t="s">
        <v>21</v>
      </c>
      <c r="L5" s="57"/>
    </row>
    <row r="6" spans="1:12" x14ac:dyDescent="0.25">
      <c r="A6" s="9" t="s">
        <v>22</v>
      </c>
      <c r="B6" s="3" t="s">
        <v>20</v>
      </c>
      <c r="C6" s="3"/>
      <c r="D6" s="3"/>
      <c r="E6" s="3"/>
      <c r="F6" s="3"/>
      <c r="G6" s="3"/>
      <c r="H6" s="3"/>
      <c r="I6" s="3"/>
      <c r="K6" s="21" t="s">
        <v>23</v>
      </c>
      <c r="L6" s="45">
        <v>78.22</v>
      </c>
    </row>
    <row r="7" spans="1:12" x14ac:dyDescent="0.25">
      <c r="A7" s="9" t="s">
        <v>24</v>
      </c>
      <c r="B7" s="3"/>
      <c r="C7" s="3"/>
      <c r="D7" s="3"/>
      <c r="E7" s="3"/>
      <c r="F7" s="3"/>
      <c r="G7" s="3"/>
      <c r="H7" s="3"/>
      <c r="I7" s="3"/>
      <c r="K7" s="21" t="s">
        <v>25</v>
      </c>
      <c r="L7" s="45">
        <v>58.05</v>
      </c>
    </row>
    <row r="8" spans="1:12" ht="15.75" x14ac:dyDescent="0.25">
      <c r="A8" s="9" t="s">
        <v>26</v>
      </c>
      <c r="B8" s="3">
        <v>1</v>
      </c>
      <c r="C8" s="3">
        <v>1</v>
      </c>
      <c r="D8" s="3">
        <f>B8*C8</f>
        <v>1</v>
      </c>
      <c r="E8" s="3">
        <v>21</v>
      </c>
      <c r="F8" s="3">
        <f>+D8*E8</f>
        <v>21</v>
      </c>
      <c r="G8" s="3">
        <f>F8*0.05</f>
        <v>1.05</v>
      </c>
      <c r="H8" s="3">
        <f>+F8*0.1</f>
        <v>2.1</v>
      </c>
      <c r="I8" s="11">
        <f>+$L$7*F8+$L$6*G8+$L$8*H8</f>
        <v>1367.1420000000001</v>
      </c>
      <c r="K8" s="21" t="s">
        <v>27</v>
      </c>
      <c r="L8" s="45">
        <v>31.41</v>
      </c>
    </row>
    <row r="9" spans="1:12" x14ac:dyDescent="0.25">
      <c r="A9" s="9" t="s">
        <v>28</v>
      </c>
      <c r="B9" s="7"/>
      <c r="C9" s="7"/>
      <c r="D9" s="3"/>
      <c r="E9" s="7"/>
      <c r="F9" s="3"/>
      <c r="G9" s="3"/>
      <c r="H9" s="3"/>
      <c r="I9" s="6"/>
    </row>
    <row r="10" spans="1:12" ht="15.75" x14ac:dyDescent="0.25">
      <c r="A10" s="9" t="s">
        <v>29</v>
      </c>
      <c r="B10" s="3">
        <v>200</v>
      </c>
      <c r="C10" s="3">
        <v>1</v>
      </c>
      <c r="D10" s="3">
        <f t="shared" ref="D10" si="0">B10*C10</f>
        <v>200</v>
      </c>
      <c r="E10" s="3">
        <v>0</v>
      </c>
      <c r="F10" s="3">
        <f t="shared" ref="F10" si="1">+D10*E10</f>
        <v>0</v>
      </c>
      <c r="G10" s="3">
        <f t="shared" ref="G10" si="2">F10*0.05</f>
        <v>0</v>
      </c>
      <c r="H10" s="3">
        <f t="shared" ref="H10" si="3">+F10*0.1</f>
        <v>0</v>
      </c>
      <c r="I10" s="6">
        <f>+$F$3*F10+$G$3*G10+$H$3*H10</f>
        <v>0</v>
      </c>
    </row>
    <row r="11" spans="1:12" x14ac:dyDescent="0.25">
      <c r="A11" s="9" t="s">
        <v>30</v>
      </c>
      <c r="B11" s="3" t="s">
        <v>31</v>
      </c>
      <c r="C11" s="7"/>
      <c r="D11" s="3"/>
      <c r="E11" s="7"/>
      <c r="F11" s="3"/>
      <c r="G11" s="3"/>
      <c r="H11" s="3"/>
      <c r="I11" s="6"/>
    </row>
    <row r="12" spans="1:12" x14ac:dyDescent="0.25">
      <c r="A12" s="9" t="s">
        <v>32</v>
      </c>
      <c r="B12" s="3" t="s">
        <v>33</v>
      </c>
      <c r="C12" s="7"/>
      <c r="D12" s="3"/>
      <c r="E12" s="7"/>
      <c r="F12" s="3"/>
      <c r="G12" s="3"/>
      <c r="H12" s="3"/>
      <c r="I12" s="6"/>
    </row>
    <row r="13" spans="1:12" x14ac:dyDescent="0.25">
      <c r="A13" s="9" t="s">
        <v>34</v>
      </c>
      <c r="B13" s="7"/>
      <c r="C13" s="7"/>
      <c r="D13" s="3"/>
      <c r="E13" s="7"/>
      <c r="F13" s="3"/>
      <c r="G13" s="3"/>
      <c r="H13" s="3"/>
      <c r="I13" s="6"/>
    </row>
    <row r="14" spans="1:12" ht="15.75" x14ac:dyDescent="0.25">
      <c r="A14" s="9" t="s">
        <v>35</v>
      </c>
      <c r="B14" s="3">
        <v>2</v>
      </c>
      <c r="C14" s="3">
        <v>1</v>
      </c>
      <c r="D14" s="3">
        <f t="shared" ref="D14:D19" si="4">B14*C14</f>
        <v>2</v>
      </c>
      <c r="E14" s="3">
        <v>0</v>
      </c>
      <c r="F14" s="3">
        <f>+D14*E14</f>
        <v>0</v>
      </c>
      <c r="G14" s="3">
        <f>F14*0.05</f>
        <v>0</v>
      </c>
      <c r="H14" s="3">
        <f>+F14*0.1</f>
        <v>0</v>
      </c>
      <c r="I14" s="6">
        <f t="shared" ref="I14:I19" si="5">+$L$7*F14+$L$6*G14+$L$8*H14</f>
        <v>0</v>
      </c>
    </row>
    <row r="15" spans="1:12" ht="15.75" x14ac:dyDescent="0.25">
      <c r="A15" s="9" t="s">
        <v>36</v>
      </c>
      <c r="B15" s="3">
        <v>2</v>
      </c>
      <c r="C15" s="3">
        <v>1</v>
      </c>
      <c r="D15" s="3">
        <f t="shared" si="4"/>
        <v>2</v>
      </c>
      <c r="E15" s="3">
        <v>0</v>
      </c>
      <c r="F15" s="3">
        <f t="shared" ref="F15:F19" si="6">+D15*E15</f>
        <v>0</v>
      </c>
      <c r="G15" s="3">
        <f t="shared" ref="G15:G19" si="7">F15*0.05</f>
        <v>0</v>
      </c>
      <c r="H15" s="3">
        <f t="shared" ref="H15:H19" si="8">+F15*0.1</f>
        <v>0</v>
      </c>
      <c r="I15" s="6">
        <f t="shared" si="5"/>
        <v>0</v>
      </c>
    </row>
    <row r="16" spans="1:12" ht="25.5" x14ac:dyDescent="0.25">
      <c r="A16" s="9" t="s">
        <v>37</v>
      </c>
      <c r="B16" s="3">
        <v>2</v>
      </c>
      <c r="C16" s="3">
        <v>1</v>
      </c>
      <c r="D16" s="3">
        <f t="shared" si="4"/>
        <v>2</v>
      </c>
      <c r="E16" s="3">
        <v>0</v>
      </c>
      <c r="F16" s="3">
        <f t="shared" si="6"/>
        <v>0</v>
      </c>
      <c r="G16" s="3">
        <f t="shared" si="7"/>
        <v>0</v>
      </c>
      <c r="H16" s="3">
        <f t="shared" si="8"/>
        <v>0</v>
      </c>
      <c r="I16" s="6">
        <f t="shared" si="5"/>
        <v>0</v>
      </c>
    </row>
    <row r="17" spans="1:9" ht="15.75" x14ac:dyDescent="0.25">
      <c r="A17" s="9" t="s">
        <v>38</v>
      </c>
      <c r="B17" s="3">
        <v>2</v>
      </c>
      <c r="C17" s="3">
        <v>1</v>
      </c>
      <c r="D17" s="3">
        <f t="shared" si="4"/>
        <v>2</v>
      </c>
      <c r="E17" s="3">
        <v>0</v>
      </c>
      <c r="F17" s="3">
        <f t="shared" si="6"/>
        <v>0</v>
      </c>
      <c r="G17" s="3">
        <f t="shared" si="7"/>
        <v>0</v>
      </c>
      <c r="H17" s="3">
        <f t="shared" si="8"/>
        <v>0</v>
      </c>
      <c r="I17" s="6">
        <f t="shared" si="5"/>
        <v>0</v>
      </c>
    </row>
    <row r="18" spans="1:9" ht="15.75" x14ac:dyDescent="0.25">
      <c r="A18" s="9" t="s">
        <v>39</v>
      </c>
      <c r="B18" s="3">
        <v>4</v>
      </c>
      <c r="C18" s="3">
        <v>1</v>
      </c>
      <c r="D18" s="3">
        <f t="shared" si="4"/>
        <v>4</v>
      </c>
      <c r="E18" s="3">
        <v>0</v>
      </c>
      <c r="F18" s="3">
        <f t="shared" si="6"/>
        <v>0</v>
      </c>
      <c r="G18" s="3">
        <f t="shared" si="7"/>
        <v>0</v>
      </c>
      <c r="H18" s="3">
        <f t="shared" si="8"/>
        <v>0</v>
      </c>
      <c r="I18" s="6">
        <f t="shared" si="5"/>
        <v>0</v>
      </c>
    </row>
    <row r="19" spans="1:9" ht="15.75" x14ac:dyDescent="0.25">
      <c r="A19" s="9" t="s">
        <v>40</v>
      </c>
      <c r="B19" s="3">
        <v>4</v>
      </c>
      <c r="C19" s="3">
        <v>1</v>
      </c>
      <c r="D19" s="3">
        <f t="shared" si="4"/>
        <v>4</v>
      </c>
      <c r="E19" s="3">
        <v>0</v>
      </c>
      <c r="F19" s="3">
        <f t="shared" si="6"/>
        <v>0</v>
      </c>
      <c r="G19" s="3">
        <f t="shared" si="7"/>
        <v>0</v>
      </c>
      <c r="H19" s="3">
        <f t="shared" si="8"/>
        <v>0</v>
      </c>
      <c r="I19" s="6">
        <f t="shared" si="5"/>
        <v>0</v>
      </c>
    </row>
    <row r="20" spans="1:9" x14ac:dyDescent="0.25">
      <c r="A20" s="20" t="s">
        <v>41</v>
      </c>
      <c r="B20" s="7"/>
      <c r="C20" s="7"/>
      <c r="D20" s="3"/>
      <c r="E20" s="7"/>
      <c r="F20" s="58">
        <f>SUM(F5:H19)</f>
        <v>24.150000000000002</v>
      </c>
      <c r="G20" s="58"/>
      <c r="H20" s="58"/>
      <c r="I20" s="8">
        <f>+SUM(I5:I19)</f>
        <v>1367.1420000000001</v>
      </c>
    </row>
    <row r="21" spans="1:9" x14ac:dyDescent="0.25">
      <c r="A21" s="9" t="s">
        <v>42</v>
      </c>
      <c r="B21" s="3"/>
      <c r="C21" s="3"/>
      <c r="D21" s="3"/>
      <c r="E21" s="3"/>
      <c r="F21" s="3"/>
      <c r="G21" s="3"/>
      <c r="H21" s="3"/>
      <c r="I21" s="3"/>
    </row>
    <row r="22" spans="1:9" ht="15.75" x14ac:dyDescent="0.25">
      <c r="A22" s="9" t="s">
        <v>26</v>
      </c>
      <c r="B22" s="3" t="s">
        <v>43</v>
      </c>
      <c r="C22" s="3"/>
      <c r="D22" s="3"/>
      <c r="E22" s="3"/>
      <c r="F22" s="3"/>
      <c r="G22" s="3"/>
      <c r="H22" s="3"/>
      <c r="I22" s="3"/>
    </row>
    <row r="23" spans="1:9" x14ac:dyDescent="0.25">
      <c r="A23" s="9" t="s">
        <v>44</v>
      </c>
      <c r="B23" s="3" t="s">
        <v>43</v>
      </c>
      <c r="C23" s="3"/>
      <c r="D23" s="3"/>
      <c r="E23" s="3"/>
      <c r="F23" s="3"/>
      <c r="G23" s="3"/>
      <c r="H23" s="3"/>
      <c r="I23" s="3"/>
    </row>
    <row r="24" spans="1:9" x14ac:dyDescent="0.25">
      <c r="A24" s="9" t="s">
        <v>45</v>
      </c>
      <c r="B24" s="3" t="s">
        <v>43</v>
      </c>
      <c r="C24" s="3"/>
      <c r="D24" s="3"/>
      <c r="E24" s="3"/>
      <c r="F24" s="3"/>
      <c r="G24" s="3"/>
      <c r="H24" s="3"/>
      <c r="I24" s="3"/>
    </row>
    <row r="25" spans="1:9" x14ac:dyDescent="0.25">
      <c r="A25" s="9" t="s">
        <v>46</v>
      </c>
      <c r="B25" s="3" t="s">
        <v>20</v>
      </c>
      <c r="C25" s="7"/>
      <c r="D25" s="3"/>
      <c r="E25" s="7"/>
      <c r="F25" s="7"/>
      <c r="G25" s="7"/>
      <c r="H25" s="7"/>
      <c r="I25" s="3"/>
    </row>
    <row r="26" spans="1:9" x14ac:dyDescent="0.25">
      <c r="A26" s="9" t="s">
        <v>47</v>
      </c>
      <c r="B26" s="7"/>
      <c r="C26" s="7"/>
      <c r="D26" s="3"/>
      <c r="E26" s="7"/>
      <c r="F26" s="7"/>
      <c r="G26" s="7"/>
      <c r="H26" s="7"/>
      <c r="I26" s="3"/>
    </row>
    <row r="27" spans="1:9" ht="38.25" x14ac:dyDescent="0.25">
      <c r="A27" s="9" t="s">
        <v>48</v>
      </c>
      <c r="B27" s="3">
        <v>1.5</v>
      </c>
      <c r="C27" s="3">
        <v>1</v>
      </c>
      <c r="D27" s="3">
        <f t="shared" ref="D27:D28" si="9">B27*C27</f>
        <v>1.5</v>
      </c>
      <c r="E27" s="3">
        <v>21</v>
      </c>
      <c r="F27" s="3">
        <f>+D27*E27</f>
        <v>31.5</v>
      </c>
      <c r="G27" s="3">
        <f t="shared" ref="G27:G28" si="10">F27*0.05</f>
        <v>1.5750000000000002</v>
      </c>
      <c r="H27" s="13">
        <f t="shared" ref="H27:H28" si="11">+F27*0.1</f>
        <v>3.1500000000000004</v>
      </c>
      <c r="I27" s="11">
        <f>+$L$7*F27+$L$6*G27+$L$8*H27</f>
        <v>2050.7129999999997</v>
      </c>
    </row>
    <row r="28" spans="1:9" ht="15.75" x14ac:dyDescent="0.25">
      <c r="A28" s="9" t="s">
        <v>49</v>
      </c>
      <c r="B28" s="3">
        <v>0.25</v>
      </c>
      <c r="C28" s="3">
        <v>350</v>
      </c>
      <c r="D28" s="3">
        <f t="shared" si="9"/>
        <v>87.5</v>
      </c>
      <c r="E28" s="3">
        <v>21</v>
      </c>
      <c r="F28" s="5">
        <f t="shared" ref="F28" si="12">+D28*E28</f>
        <v>1837.5</v>
      </c>
      <c r="G28" s="3">
        <f t="shared" si="10"/>
        <v>91.875</v>
      </c>
      <c r="H28" s="3">
        <f t="shared" si="11"/>
        <v>183.75</v>
      </c>
      <c r="I28" s="11">
        <f>+$L$7*F28+$L$6*G28+$L$8*H28</f>
        <v>119624.92499999999</v>
      </c>
    </row>
    <row r="29" spans="1:9" x14ac:dyDescent="0.25">
      <c r="A29" s="9" t="s">
        <v>50</v>
      </c>
      <c r="B29" s="3" t="s">
        <v>20</v>
      </c>
      <c r="C29" s="7"/>
      <c r="D29" s="7"/>
      <c r="E29" s="7"/>
      <c r="F29" s="7"/>
      <c r="G29" s="7"/>
      <c r="H29" s="7"/>
      <c r="I29" s="3"/>
    </row>
    <row r="30" spans="1:9" x14ac:dyDescent="0.25">
      <c r="A30" s="9" t="s">
        <v>51</v>
      </c>
      <c r="B30" s="3" t="s">
        <v>20</v>
      </c>
      <c r="C30" s="7"/>
      <c r="D30" s="7"/>
      <c r="E30" s="7"/>
      <c r="F30" s="7"/>
      <c r="G30" s="7"/>
      <c r="H30" s="7"/>
      <c r="I30" s="3"/>
    </row>
    <row r="31" spans="1:9" x14ac:dyDescent="0.25">
      <c r="A31" s="20" t="s">
        <v>53</v>
      </c>
      <c r="B31" s="3"/>
      <c r="C31" s="3"/>
      <c r="D31" s="3"/>
      <c r="E31" s="3"/>
      <c r="F31" s="59">
        <f>+SUM(F21:H30)</f>
        <v>2149.35</v>
      </c>
      <c r="G31" s="59"/>
      <c r="H31" s="59"/>
      <c r="I31" s="8">
        <f>+SUM(I21:I30)</f>
        <v>121675.63799999999</v>
      </c>
    </row>
    <row r="32" spans="1:9" ht="16.5" x14ac:dyDescent="0.25">
      <c r="A32" s="22" t="s">
        <v>55</v>
      </c>
      <c r="B32" s="4"/>
      <c r="C32" s="4"/>
      <c r="D32" s="4"/>
      <c r="E32" s="4"/>
      <c r="F32" s="59">
        <f>ROUND(F20+F31,-1)</f>
        <v>2170</v>
      </c>
      <c r="G32" s="59"/>
      <c r="H32" s="59"/>
      <c r="I32" s="8">
        <f>ROUND(I20+I31,-3)</f>
        <v>123000</v>
      </c>
    </row>
    <row r="33" spans="1:12" ht="15" customHeight="1" x14ac:dyDescent="0.25">
      <c r="A33" s="22" t="s">
        <v>57</v>
      </c>
      <c r="B33" s="4"/>
      <c r="C33" s="4"/>
      <c r="D33" s="4"/>
      <c r="E33" s="4"/>
      <c r="F33" s="10"/>
      <c r="G33" s="10"/>
      <c r="H33" s="10"/>
      <c r="I33" s="8">
        <f>ROUND('Capital O&amp;M'!J6*21/47,-2)</f>
        <v>83600</v>
      </c>
    </row>
    <row r="34" spans="1:12" ht="16.5" x14ac:dyDescent="0.25">
      <c r="A34" s="22" t="s">
        <v>59</v>
      </c>
      <c r="B34" s="4"/>
      <c r="C34" s="4"/>
      <c r="D34" s="4"/>
      <c r="E34" s="4"/>
      <c r="F34" s="10"/>
      <c r="G34" s="10"/>
      <c r="H34" s="10"/>
      <c r="I34" s="8">
        <f>ROUND(+I33+I32,-3)</f>
        <v>207000</v>
      </c>
    </row>
    <row r="36" spans="1:12" x14ac:dyDescent="0.25">
      <c r="A36" s="12" t="s">
        <v>61</v>
      </c>
    </row>
    <row r="37" spans="1:12" ht="31.5" customHeight="1" x14ac:dyDescent="0.25">
      <c r="A37" s="56" t="s">
        <v>62</v>
      </c>
      <c r="B37" s="56"/>
      <c r="C37" s="56"/>
      <c r="D37" s="56"/>
      <c r="E37" s="56"/>
      <c r="F37" s="56"/>
      <c r="G37" s="56"/>
      <c r="H37" s="56"/>
      <c r="I37" s="56"/>
    </row>
    <row r="38" spans="1:12" ht="53.1" customHeight="1" x14ac:dyDescent="0.25">
      <c r="A38" s="60" t="s">
        <v>71</v>
      </c>
      <c r="B38" s="60"/>
      <c r="C38" s="60"/>
      <c r="D38" s="60"/>
      <c r="E38" s="60"/>
      <c r="F38" s="60"/>
      <c r="G38" s="60"/>
      <c r="H38" s="60"/>
      <c r="I38" s="60"/>
      <c r="J38" s="49"/>
      <c r="K38" s="49"/>
      <c r="L38" s="49"/>
    </row>
    <row r="39" spans="1:12" x14ac:dyDescent="0.25">
      <c r="A39" s="56" t="s">
        <v>64</v>
      </c>
      <c r="B39" s="56"/>
      <c r="C39" s="56"/>
      <c r="D39" s="56"/>
      <c r="E39" s="56"/>
      <c r="F39" s="56"/>
      <c r="G39" s="56"/>
      <c r="H39" s="56"/>
      <c r="I39" s="56"/>
    </row>
    <row r="40" spans="1:12" x14ac:dyDescent="0.25">
      <c r="A40" s="56" t="s">
        <v>65</v>
      </c>
      <c r="B40" s="56"/>
      <c r="C40" s="56"/>
      <c r="D40" s="56"/>
      <c r="E40" s="56"/>
      <c r="F40" s="56"/>
      <c r="G40" s="56"/>
      <c r="H40" s="56"/>
      <c r="I40" s="56"/>
    </row>
    <row r="41" spans="1:12" x14ac:dyDescent="0.25">
      <c r="A41" s="56" t="s">
        <v>66</v>
      </c>
      <c r="B41" s="56"/>
      <c r="C41" s="56"/>
      <c r="D41" s="56"/>
      <c r="E41" s="56"/>
      <c r="F41" s="56"/>
      <c r="G41" s="56"/>
      <c r="H41" s="56"/>
      <c r="I41" s="56"/>
    </row>
    <row r="42" spans="1:12" x14ac:dyDescent="0.25">
      <c r="A42" s="56" t="s">
        <v>67</v>
      </c>
      <c r="B42" s="56"/>
      <c r="C42" s="56"/>
      <c r="D42" s="56"/>
      <c r="E42" s="56"/>
      <c r="F42" s="56"/>
      <c r="G42" s="56"/>
      <c r="H42" s="56"/>
      <c r="I42" s="56"/>
    </row>
    <row r="43" spans="1:12" x14ac:dyDescent="0.25">
      <c r="A43" s="56" t="s">
        <v>68</v>
      </c>
      <c r="B43" s="56"/>
      <c r="C43" s="56"/>
      <c r="D43" s="56"/>
      <c r="E43" s="56"/>
      <c r="F43" s="56"/>
      <c r="G43" s="56"/>
      <c r="H43" s="56"/>
      <c r="I43" s="56"/>
    </row>
    <row r="44" spans="1:12" x14ac:dyDescent="0.25">
      <c r="A44" s="56" t="s">
        <v>69</v>
      </c>
      <c r="B44" s="56"/>
      <c r="C44" s="56"/>
      <c r="D44" s="56"/>
      <c r="E44" s="56"/>
      <c r="F44" s="56"/>
      <c r="G44" s="56"/>
      <c r="H44" s="56"/>
      <c r="I44" s="56"/>
    </row>
  </sheetData>
  <mergeCells count="12">
    <mergeCell ref="F32:H32"/>
    <mergeCell ref="K5:L5"/>
    <mergeCell ref="A44:I44"/>
    <mergeCell ref="A43:I43"/>
    <mergeCell ref="A42:I42"/>
    <mergeCell ref="A41:I41"/>
    <mergeCell ref="A40:I40"/>
    <mergeCell ref="A39:I39"/>
    <mergeCell ref="F20:H20"/>
    <mergeCell ref="F31:H31"/>
    <mergeCell ref="A37:I37"/>
    <mergeCell ref="A38:I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zoomScaleNormal="100" workbookViewId="0">
      <selection activeCell="A2" sqref="A2"/>
    </sheetView>
  </sheetViews>
  <sheetFormatPr defaultRowHeight="15" x14ac:dyDescent="0.25"/>
  <cols>
    <col min="1" max="1" width="45.42578125" customWidth="1"/>
    <col min="2" max="2" width="10.7109375" customWidth="1"/>
    <col min="3" max="3" width="11.28515625" customWidth="1"/>
    <col min="4" max="4" width="11" customWidth="1"/>
    <col min="5" max="5" width="12.42578125" customWidth="1"/>
    <col min="6" max="6" width="9.42578125" customWidth="1"/>
    <col min="7" max="7" width="12.7109375" customWidth="1"/>
    <col min="8" max="8" width="10.7109375" customWidth="1"/>
    <col min="9" max="9" width="12.28515625" customWidth="1"/>
    <col min="11" max="11" width="11.28515625" bestFit="1" customWidth="1"/>
  </cols>
  <sheetData>
    <row r="1" spans="1:12" ht="15.75" x14ac:dyDescent="0.25">
      <c r="A1" s="14" t="s">
        <v>72</v>
      </c>
    </row>
    <row r="3" spans="1:12" ht="89.25" x14ac:dyDescent="0.25">
      <c r="A3" s="18" t="s">
        <v>10</v>
      </c>
      <c r="B3" s="2" t="s">
        <v>11</v>
      </c>
      <c r="C3" s="2" t="s">
        <v>73</v>
      </c>
      <c r="D3" s="2" t="s">
        <v>74</v>
      </c>
      <c r="E3" s="2" t="s">
        <v>14</v>
      </c>
      <c r="F3" s="2" t="s">
        <v>75</v>
      </c>
      <c r="G3" s="2" t="s">
        <v>76</v>
      </c>
      <c r="H3" s="2" t="s">
        <v>77</v>
      </c>
      <c r="I3" s="2" t="s">
        <v>18</v>
      </c>
    </row>
    <row r="4" spans="1:12" ht="15.75" x14ac:dyDescent="0.25">
      <c r="A4" s="15" t="s">
        <v>78</v>
      </c>
      <c r="B4" s="3">
        <v>2</v>
      </c>
      <c r="C4" s="3">
        <v>1</v>
      </c>
      <c r="D4" s="3">
        <f>+B4*C4</f>
        <v>2</v>
      </c>
      <c r="E4" s="3">
        <v>0</v>
      </c>
      <c r="F4" s="3">
        <f>+D4*E4</f>
        <v>0</v>
      </c>
      <c r="G4" s="3">
        <f>+F4*0.05</f>
        <v>0</v>
      </c>
      <c r="H4" s="3">
        <f>+F4*0.1</f>
        <v>0</v>
      </c>
      <c r="I4" s="16">
        <f t="shared" ref="I4:I8" si="0">+$L$6*F4+$L$5*G4+$L$7*H4</f>
        <v>0</v>
      </c>
      <c r="K4" s="57" t="s">
        <v>21</v>
      </c>
      <c r="L4" s="57"/>
    </row>
    <row r="5" spans="1:12" ht="15.75" x14ac:dyDescent="0.25">
      <c r="A5" s="15" t="s">
        <v>79</v>
      </c>
      <c r="B5" s="3">
        <v>2</v>
      </c>
      <c r="C5" s="3">
        <v>1</v>
      </c>
      <c r="D5" s="3">
        <f t="shared" ref="D5:D9" si="1">+B5*C5</f>
        <v>2</v>
      </c>
      <c r="E5" s="3">
        <v>0</v>
      </c>
      <c r="F5" s="3">
        <f t="shared" ref="F5:F9" si="2">+D5*E5</f>
        <v>0</v>
      </c>
      <c r="G5" s="3">
        <f t="shared" ref="G5:G9" si="3">+F5*0.05</f>
        <v>0</v>
      </c>
      <c r="H5" s="3">
        <f t="shared" ref="H5:H9" si="4">+F5*0.1</f>
        <v>0</v>
      </c>
      <c r="I5" s="16">
        <f t="shared" si="0"/>
        <v>0</v>
      </c>
      <c r="K5" s="21" t="s">
        <v>23</v>
      </c>
      <c r="L5" s="45">
        <v>78.22</v>
      </c>
    </row>
    <row r="6" spans="1:12" ht="25.5" x14ac:dyDescent="0.25">
      <c r="A6" s="15" t="s">
        <v>80</v>
      </c>
      <c r="B6" s="3">
        <v>2</v>
      </c>
      <c r="C6" s="3">
        <v>1</v>
      </c>
      <c r="D6" s="3">
        <f t="shared" si="1"/>
        <v>2</v>
      </c>
      <c r="E6" s="3">
        <v>0</v>
      </c>
      <c r="F6" s="3">
        <f t="shared" si="2"/>
        <v>0</v>
      </c>
      <c r="G6" s="3">
        <f t="shared" si="3"/>
        <v>0</v>
      </c>
      <c r="H6" s="3">
        <f t="shared" si="4"/>
        <v>0</v>
      </c>
      <c r="I6" s="16">
        <f t="shared" si="0"/>
        <v>0</v>
      </c>
      <c r="K6" s="21" t="s">
        <v>25</v>
      </c>
      <c r="L6" s="45">
        <v>58.05</v>
      </c>
    </row>
    <row r="7" spans="1:12" ht="15.75" x14ac:dyDescent="0.25">
      <c r="A7" s="15" t="s">
        <v>81</v>
      </c>
      <c r="B7" s="3">
        <v>4</v>
      </c>
      <c r="C7" s="3">
        <v>1</v>
      </c>
      <c r="D7" s="3">
        <f t="shared" si="1"/>
        <v>4</v>
      </c>
      <c r="E7" s="3">
        <v>0</v>
      </c>
      <c r="F7" s="3">
        <f t="shared" si="2"/>
        <v>0</v>
      </c>
      <c r="G7" s="3">
        <f t="shared" si="3"/>
        <v>0</v>
      </c>
      <c r="H7" s="3">
        <f t="shared" si="4"/>
        <v>0</v>
      </c>
      <c r="I7" s="16">
        <f t="shared" si="0"/>
        <v>0</v>
      </c>
      <c r="K7" s="21" t="s">
        <v>27</v>
      </c>
      <c r="L7" s="45">
        <v>31.41</v>
      </c>
    </row>
    <row r="8" spans="1:12" ht="15.75" x14ac:dyDescent="0.25">
      <c r="A8" s="15" t="s">
        <v>82</v>
      </c>
      <c r="B8" s="3">
        <v>8</v>
      </c>
      <c r="C8" s="3">
        <v>1</v>
      </c>
      <c r="D8" s="3">
        <f t="shared" si="1"/>
        <v>8</v>
      </c>
      <c r="E8" s="3">
        <v>0</v>
      </c>
      <c r="F8" s="3">
        <f t="shared" si="2"/>
        <v>0</v>
      </c>
      <c r="G8" s="3">
        <f t="shared" si="3"/>
        <v>0</v>
      </c>
      <c r="H8" s="3">
        <f t="shared" si="4"/>
        <v>0</v>
      </c>
      <c r="I8" s="16">
        <f t="shared" si="0"/>
        <v>0</v>
      </c>
    </row>
    <row r="9" spans="1:12" ht="15.75" x14ac:dyDescent="0.25">
      <c r="A9" s="15" t="s">
        <v>83</v>
      </c>
      <c r="B9" s="3">
        <v>6</v>
      </c>
      <c r="C9" s="3">
        <v>1</v>
      </c>
      <c r="D9" s="3">
        <f t="shared" si="1"/>
        <v>6</v>
      </c>
      <c r="E9" s="3">
        <f>ROUND(47*0.1, 0)</f>
        <v>5</v>
      </c>
      <c r="F9" s="3">
        <f t="shared" si="2"/>
        <v>30</v>
      </c>
      <c r="G9" s="3">
        <f t="shared" si="3"/>
        <v>1.5</v>
      </c>
      <c r="H9" s="3">
        <f t="shared" si="4"/>
        <v>3</v>
      </c>
      <c r="I9" s="16">
        <f>+$L$6*F9+$L$5*G9+$L$7*H9</f>
        <v>1953.06</v>
      </c>
    </row>
    <row r="10" spans="1:12" ht="15.75" x14ac:dyDescent="0.25">
      <c r="A10" s="19" t="s">
        <v>84</v>
      </c>
      <c r="B10" s="19"/>
      <c r="C10" s="19"/>
      <c r="D10" s="19"/>
      <c r="E10" s="19"/>
      <c r="F10" s="58">
        <f>+SUM(F4:H9)</f>
        <v>34.5</v>
      </c>
      <c r="G10" s="58"/>
      <c r="H10" s="58"/>
      <c r="I10" s="17">
        <f>ROUND(SUM(I4:I9), -1)</f>
        <v>1950</v>
      </c>
    </row>
    <row r="12" spans="1:12" ht="15.75" customHeight="1" x14ac:dyDescent="0.25">
      <c r="A12" s="12" t="s">
        <v>61</v>
      </c>
    </row>
    <row r="13" spans="1:12" ht="36" customHeight="1" x14ac:dyDescent="0.25">
      <c r="A13" s="61" t="s">
        <v>85</v>
      </c>
      <c r="B13" s="61"/>
      <c r="C13" s="61"/>
      <c r="D13" s="61"/>
      <c r="E13" s="61"/>
      <c r="F13" s="61"/>
      <c r="G13" s="61"/>
      <c r="H13" s="61"/>
      <c r="I13" s="61"/>
    </row>
    <row r="14" spans="1:12" ht="59.45" customHeight="1" x14ac:dyDescent="0.25">
      <c r="A14" s="60" t="s">
        <v>71</v>
      </c>
      <c r="B14" s="60"/>
      <c r="C14" s="60"/>
      <c r="D14" s="60"/>
      <c r="E14" s="60"/>
      <c r="F14" s="60"/>
      <c r="G14" s="60"/>
      <c r="H14" s="60"/>
      <c r="I14" s="60"/>
    </row>
    <row r="15" spans="1:12" x14ac:dyDescent="0.25">
      <c r="A15" s="56" t="s">
        <v>86</v>
      </c>
      <c r="B15" s="56"/>
      <c r="C15" s="56"/>
      <c r="D15" s="56"/>
      <c r="E15" s="56"/>
      <c r="F15" s="56"/>
      <c r="G15" s="56"/>
      <c r="H15" s="56"/>
      <c r="I15" s="56"/>
    </row>
    <row r="16" spans="1:12" x14ac:dyDescent="0.25">
      <c r="A16" s="56" t="s">
        <v>65</v>
      </c>
      <c r="B16" s="56"/>
      <c r="C16" s="56"/>
      <c r="D16" s="56"/>
      <c r="E16" s="56"/>
      <c r="F16" s="56"/>
      <c r="G16" s="56"/>
      <c r="H16" s="56"/>
      <c r="I16" s="56"/>
    </row>
    <row r="17" spans="1:9" x14ac:dyDescent="0.25">
      <c r="A17" s="56" t="s">
        <v>87</v>
      </c>
      <c r="B17" s="56"/>
      <c r="C17" s="56"/>
      <c r="D17" s="56"/>
      <c r="E17" s="56"/>
      <c r="F17" s="56"/>
      <c r="G17" s="56"/>
      <c r="H17" s="56"/>
      <c r="I17" s="56"/>
    </row>
    <row r="18" spans="1:9" x14ac:dyDescent="0.25">
      <c r="A18" s="56" t="s">
        <v>88</v>
      </c>
      <c r="B18" s="56"/>
      <c r="C18" s="56"/>
      <c r="D18" s="56"/>
      <c r="E18" s="56"/>
      <c r="F18" s="56"/>
      <c r="G18" s="56"/>
      <c r="H18" s="56"/>
      <c r="I18" s="56"/>
    </row>
    <row r="19" spans="1:9" x14ac:dyDescent="0.25">
      <c r="A19" s="56" t="s">
        <v>89</v>
      </c>
      <c r="B19" s="56"/>
      <c r="C19" s="56"/>
      <c r="D19" s="56"/>
      <c r="E19" s="56"/>
      <c r="F19" s="56"/>
      <c r="G19" s="56"/>
      <c r="H19" s="56"/>
      <c r="I19" s="56"/>
    </row>
    <row r="20" spans="1:9" x14ac:dyDescent="0.25">
      <c r="A20" s="56" t="s">
        <v>69</v>
      </c>
      <c r="B20" s="56"/>
      <c r="C20" s="56"/>
      <c r="D20" s="56"/>
      <c r="E20" s="56"/>
      <c r="F20" s="56"/>
      <c r="G20" s="56"/>
      <c r="H20" s="56"/>
      <c r="I20" s="56"/>
    </row>
  </sheetData>
  <mergeCells count="10">
    <mergeCell ref="F10:H10"/>
    <mergeCell ref="K4:L4"/>
    <mergeCell ref="A13:I13"/>
    <mergeCell ref="A15:I15"/>
    <mergeCell ref="A14:I14"/>
    <mergeCell ref="A16:I16"/>
    <mergeCell ref="A17:I17"/>
    <mergeCell ref="A18:I18"/>
    <mergeCell ref="A19:I19"/>
    <mergeCell ref="A20:I2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361A0-F7F9-4D4C-8B65-D054BE363FD1}">
  <dimension ref="B2:M43"/>
  <sheetViews>
    <sheetView workbookViewId="0"/>
  </sheetViews>
  <sheetFormatPr defaultRowHeight="15" x14ac:dyDescent="0.25"/>
  <cols>
    <col min="2" max="2" width="21.42578125" customWidth="1"/>
    <col min="3" max="8" width="13.5703125" customWidth="1"/>
    <col min="12" max="12" width="13.28515625" customWidth="1"/>
    <col min="13" max="13" width="12.85546875" customWidth="1"/>
  </cols>
  <sheetData>
    <row r="2" spans="2:13" ht="15.75" x14ac:dyDescent="0.25">
      <c r="B2" s="62"/>
      <c r="C2" s="62"/>
      <c r="D2" s="62"/>
      <c r="E2" s="62"/>
      <c r="F2" s="62"/>
      <c r="G2" s="62"/>
      <c r="H2" s="62"/>
    </row>
    <row r="3" spans="2:13" ht="15.75" x14ac:dyDescent="0.25">
      <c r="B3" s="63" t="s">
        <v>90</v>
      </c>
      <c r="C3" s="63"/>
      <c r="D3" s="63"/>
      <c r="E3" s="63"/>
      <c r="F3" s="63"/>
      <c r="G3" s="63"/>
      <c r="H3" s="63"/>
      <c r="L3" s="55" t="s">
        <v>91</v>
      </c>
      <c r="M3" s="55"/>
    </row>
    <row r="4" spans="2:13" x14ac:dyDescent="0.25">
      <c r="B4" s="3" t="s">
        <v>92</v>
      </c>
      <c r="C4" s="3" t="s">
        <v>93</v>
      </c>
      <c r="D4" s="3" t="s">
        <v>94</v>
      </c>
      <c r="E4" s="3" t="s">
        <v>95</v>
      </c>
      <c r="F4" s="3" t="s">
        <v>96</v>
      </c>
      <c r="G4" s="3" t="s">
        <v>97</v>
      </c>
      <c r="H4" s="3" t="s">
        <v>98</v>
      </c>
      <c r="L4">
        <v>2007</v>
      </c>
      <c r="M4">
        <v>525.4</v>
      </c>
    </row>
    <row r="5" spans="2:13" ht="41.25" x14ac:dyDescent="0.25">
      <c r="B5" s="3" t="s">
        <v>99</v>
      </c>
      <c r="C5" s="3" t="s">
        <v>100</v>
      </c>
      <c r="D5" s="3" t="s">
        <v>101</v>
      </c>
      <c r="E5" s="3" t="s">
        <v>102</v>
      </c>
      <c r="F5" s="3" t="s">
        <v>103</v>
      </c>
      <c r="G5" s="3" t="s">
        <v>104</v>
      </c>
      <c r="H5" s="3" t="s">
        <v>105</v>
      </c>
      <c r="L5">
        <v>2018</v>
      </c>
      <c r="M5">
        <v>603.1</v>
      </c>
    </row>
    <row r="6" spans="2:13" x14ac:dyDescent="0.25">
      <c r="B6" s="3" t="s">
        <v>106</v>
      </c>
      <c r="C6" s="6">
        <f>5000*(796.2/525.4)</f>
        <v>7577.0841263799011</v>
      </c>
      <c r="D6" s="3">
        <v>0</v>
      </c>
      <c r="E6" s="6">
        <f>C6*D6</f>
        <v>0</v>
      </c>
      <c r="F6" s="6">
        <f>3009*(796.2/603.1)</f>
        <v>3972.4188360139278</v>
      </c>
      <c r="G6" s="3">
        <v>47</v>
      </c>
      <c r="H6" s="44">
        <f>F6*G6</f>
        <v>186703.68529265461</v>
      </c>
      <c r="J6" s="46">
        <f>ROUND(G6*F6,-3)</f>
        <v>187000</v>
      </c>
      <c r="L6">
        <v>2024</v>
      </c>
      <c r="M6">
        <v>796.2</v>
      </c>
    </row>
    <row r="7" spans="2:13" ht="13.15" customHeight="1" x14ac:dyDescent="0.25"/>
    <row r="8" spans="2:13" ht="31.15" customHeight="1" x14ac:dyDescent="0.25">
      <c r="B8" s="64" t="s">
        <v>107</v>
      </c>
      <c r="C8" s="64"/>
      <c r="D8" s="64"/>
      <c r="E8" s="64"/>
      <c r="F8" s="64"/>
      <c r="G8" s="64"/>
      <c r="H8" s="64"/>
    </row>
    <row r="9" spans="2:13" ht="32.450000000000003" customHeight="1" x14ac:dyDescent="0.25">
      <c r="B9" s="64" t="s">
        <v>108</v>
      </c>
      <c r="C9" s="64"/>
      <c r="D9" s="64"/>
      <c r="E9" s="64"/>
      <c r="F9" s="64"/>
      <c r="G9" s="64"/>
      <c r="H9" s="64"/>
    </row>
    <row r="10" spans="2:13" ht="15.75" x14ac:dyDescent="0.25">
      <c r="B10" s="48" t="s">
        <v>109</v>
      </c>
    </row>
    <row r="11" spans="2:13" ht="15.75" x14ac:dyDescent="0.25">
      <c r="B11" s="47"/>
      <c r="C11" s="47"/>
      <c r="D11" s="47"/>
      <c r="E11" s="47"/>
      <c r="F11" s="47"/>
      <c r="G11" s="47"/>
    </row>
    <row r="12" spans="2:13" ht="15.75" customHeight="1" x14ac:dyDescent="0.25">
      <c r="B12" s="47"/>
      <c r="C12" s="47"/>
      <c r="D12" s="47"/>
      <c r="E12" s="47"/>
      <c r="F12" s="47"/>
      <c r="G12" s="47"/>
    </row>
    <row r="28" spans="2:6" ht="15.75" x14ac:dyDescent="0.25">
      <c r="B28" s="62"/>
      <c r="C28" s="62"/>
      <c r="D28" s="62"/>
      <c r="E28" s="62"/>
      <c r="F28" s="62"/>
    </row>
    <row r="35" ht="69" customHeight="1" x14ac:dyDescent="0.25"/>
    <row r="36" ht="30.75" customHeight="1" x14ac:dyDescent="0.25"/>
    <row r="42" ht="67.5" customHeight="1" x14ac:dyDescent="0.25"/>
    <row r="43" ht="26.25" customHeight="1" x14ac:dyDescent="0.25"/>
  </sheetData>
  <mergeCells count="6">
    <mergeCell ref="L3:M3"/>
    <mergeCell ref="B28:F28"/>
    <mergeCell ref="B2:H2"/>
    <mergeCell ref="B3:H3"/>
    <mergeCell ref="B9:H9"/>
    <mergeCell ref="B8:H8"/>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A91E-6F6A-4BC2-BF4B-49F307AF0545}">
  <dimension ref="B2:F19"/>
  <sheetViews>
    <sheetView topLeftCell="A7" workbookViewId="0">
      <selection activeCell="M15" sqref="M15"/>
    </sheetView>
  </sheetViews>
  <sheetFormatPr defaultRowHeight="15" x14ac:dyDescent="0.25"/>
  <cols>
    <col min="2" max="6" width="14.140625" customWidth="1"/>
  </cols>
  <sheetData>
    <row r="2" spans="2:6" ht="15.75" x14ac:dyDescent="0.25">
      <c r="B2" s="65" t="s">
        <v>6</v>
      </c>
      <c r="C2" s="65"/>
      <c r="D2" s="65"/>
      <c r="E2" s="65"/>
      <c r="F2" s="65"/>
    </row>
    <row r="3" spans="2:6" x14ac:dyDescent="0.25">
      <c r="B3" s="28" t="s">
        <v>92</v>
      </c>
      <c r="C3" s="28" t="s">
        <v>93</v>
      </c>
      <c r="D3" s="28" t="s">
        <v>94</v>
      </c>
      <c r="E3" s="28" t="s">
        <v>95</v>
      </c>
      <c r="F3" s="28" t="s">
        <v>96</v>
      </c>
    </row>
    <row r="4" spans="2:6" ht="72" x14ac:dyDescent="0.25">
      <c r="B4" s="28" t="s">
        <v>110</v>
      </c>
      <c r="C4" s="28" t="s">
        <v>2</v>
      </c>
      <c r="D4" s="28" t="s">
        <v>111</v>
      </c>
      <c r="E4" s="28" t="s">
        <v>112</v>
      </c>
      <c r="F4" s="28" t="s">
        <v>113</v>
      </c>
    </row>
    <row r="5" spans="2:6" x14ac:dyDescent="0.25">
      <c r="B5" s="66" t="s">
        <v>120</v>
      </c>
      <c r="C5" s="66"/>
      <c r="D5" s="66"/>
      <c r="E5" s="66"/>
      <c r="F5" s="66"/>
    </row>
    <row r="6" spans="2:6" ht="24" x14ac:dyDescent="0.25">
      <c r="B6" s="29" t="s">
        <v>115</v>
      </c>
      <c r="C6" s="30">
        <v>0</v>
      </c>
      <c r="D6" s="30">
        <v>0</v>
      </c>
      <c r="E6" s="30">
        <v>0</v>
      </c>
      <c r="F6" s="30">
        <f>(C6*D6)+E6</f>
        <v>0</v>
      </c>
    </row>
    <row r="7" spans="2:6" ht="24" x14ac:dyDescent="0.25">
      <c r="B7" s="29" t="s">
        <v>116</v>
      </c>
      <c r="C7" s="30">
        <v>0</v>
      </c>
      <c r="D7" s="30">
        <v>0</v>
      </c>
      <c r="E7" s="30">
        <v>0</v>
      </c>
      <c r="F7" s="30">
        <f>(C7*D7)+E7</f>
        <v>0</v>
      </c>
    </row>
    <row r="8" spans="2:6" ht="96" x14ac:dyDescent="0.25">
      <c r="B8" s="29" t="s">
        <v>117</v>
      </c>
      <c r="C8" s="30">
        <v>0</v>
      </c>
      <c r="D8" s="30">
        <v>0</v>
      </c>
      <c r="E8" s="30">
        <v>26</v>
      </c>
      <c r="F8" s="30">
        <f>(C8*D8)+E8</f>
        <v>26</v>
      </c>
    </row>
    <row r="9" spans="2:6" ht="36" x14ac:dyDescent="0.25">
      <c r="B9" s="29" t="s">
        <v>118</v>
      </c>
      <c r="C9" s="30">
        <v>0</v>
      </c>
      <c r="D9" s="30">
        <v>0</v>
      </c>
      <c r="E9" s="30">
        <v>26</v>
      </c>
      <c r="F9" s="30">
        <f>(C9*D9)+E9</f>
        <v>26</v>
      </c>
    </row>
    <row r="10" spans="2:6" x14ac:dyDescent="0.25">
      <c r="B10" s="67"/>
      <c r="C10" s="67"/>
      <c r="D10" s="67"/>
      <c r="E10" s="67" t="s">
        <v>119</v>
      </c>
      <c r="F10" s="67">
        <f>SUM(F6:F9)</f>
        <v>52</v>
      </c>
    </row>
    <row r="11" spans="2:6" x14ac:dyDescent="0.25">
      <c r="B11" s="67"/>
      <c r="C11" s="67"/>
      <c r="D11" s="67"/>
      <c r="E11" s="67"/>
      <c r="F11" s="67"/>
    </row>
    <row r="12" spans="2:6" x14ac:dyDescent="0.25">
      <c r="B12" s="66" t="s">
        <v>114</v>
      </c>
      <c r="C12" s="66"/>
      <c r="D12" s="66"/>
      <c r="E12" s="66"/>
      <c r="F12" s="66"/>
    </row>
    <row r="13" spans="2:6" ht="24" x14ac:dyDescent="0.25">
      <c r="B13" s="29" t="s">
        <v>115</v>
      </c>
      <c r="C13" s="30">
        <v>0</v>
      </c>
      <c r="D13" s="30">
        <v>0</v>
      </c>
      <c r="E13" s="30">
        <v>0</v>
      </c>
      <c r="F13" s="30">
        <f>(C13*D13)+E13</f>
        <v>0</v>
      </c>
    </row>
    <row r="14" spans="2:6" ht="24" x14ac:dyDescent="0.25">
      <c r="B14" s="29" t="s">
        <v>116</v>
      </c>
      <c r="C14" s="30">
        <v>0</v>
      </c>
      <c r="D14" s="30">
        <v>0</v>
      </c>
      <c r="E14" s="30">
        <v>0</v>
      </c>
      <c r="F14" s="30">
        <f t="shared" ref="F14:F16" si="0">(C14*D14)+E14</f>
        <v>0</v>
      </c>
    </row>
    <row r="15" spans="2:6" ht="108" x14ac:dyDescent="0.25">
      <c r="B15" s="29" t="s">
        <v>117</v>
      </c>
      <c r="C15" s="30">
        <v>0</v>
      </c>
      <c r="D15" s="30">
        <v>0</v>
      </c>
      <c r="E15" s="30">
        <v>21</v>
      </c>
      <c r="F15" s="30">
        <f t="shared" si="0"/>
        <v>21</v>
      </c>
    </row>
    <row r="16" spans="2:6" ht="36" x14ac:dyDescent="0.25">
      <c r="B16" s="29" t="s">
        <v>118</v>
      </c>
      <c r="C16" s="30">
        <v>0</v>
      </c>
      <c r="D16" s="30">
        <v>0</v>
      </c>
      <c r="E16" s="30">
        <v>21</v>
      </c>
      <c r="F16" s="30">
        <f t="shared" si="0"/>
        <v>21</v>
      </c>
    </row>
    <row r="17" spans="2:6" x14ac:dyDescent="0.25">
      <c r="B17" s="68"/>
      <c r="C17" s="67"/>
      <c r="D17" s="67"/>
      <c r="E17" s="67" t="s">
        <v>119</v>
      </c>
      <c r="F17" s="67">
        <f>SUM(F13:F16)</f>
        <v>42</v>
      </c>
    </row>
    <row r="18" spans="2:6" x14ac:dyDescent="0.25">
      <c r="B18" s="68"/>
      <c r="C18" s="67"/>
      <c r="D18" s="67"/>
      <c r="E18" s="67"/>
      <c r="F18" s="67"/>
    </row>
    <row r="19" spans="2:6" x14ac:dyDescent="0.25">
      <c r="B19" s="29"/>
      <c r="C19" s="30"/>
      <c r="D19" s="30"/>
      <c r="E19" s="31" t="s">
        <v>121</v>
      </c>
      <c r="F19" s="31">
        <f>F10+F17</f>
        <v>94</v>
      </c>
    </row>
  </sheetData>
  <mergeCells count="13">
    <mergeCell ref="B12:F12"/>
    <mergeCell ref="B17:B18"/>
    <mergeCell ref="C17:C18"/>
    <mergeCell ref="D17:D18"/>
    <mergeCell ref="E17:E18"/>
    <mergeCell ref="F17:F18"/>
    <mergeCell ref="B2:F2"/>
    <mergeCell ref="B5:F5"/>
    <mergeCell ref="B10:B11"/>
    <mergeCell ref="C10:C11"/>
    <mergeCell ref="D10:D11"/>
    <mergeCell ref="E10:E11"/>
    <mergeCell ref="F10:F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1AB3-B0A5-4971-8CF4-DA3D4887B353}">
  <dimension ref="B2:K17"/>
  <sheetViews>
    <sheetView tabSelected="1" workbookViewId="0">
      <selection activeCell="Q12" sqref="Q12"/>
    </sheetView>
  </sheetViews>
  <sheetFormatPr defaultRowHeight="15" x14ac:dyDescent="0.25"/>
  <cols>
    <col min="2" max="7" width="13" customWidth="1"/>
    <col min="10" max="10" width="8.5703125" customWidth="1"/>
  </cols>
  <sheetData>
    <row r="2" spans="2:11" ht="15.75" x14ac:dyDescent="0.25">
      <c r="B2" s="65" t="s">
        <v>2</v>
      </c>
      <c r="C2" s="65"/>
      <c r="D2" s="65"/>
      <c r="E2" s="65"/>
      <c r="F2" s="65"/>
      <c r="G2" s="65"/>
      <c r="I2" s="51"/>
    </row>
    <row r="3" spans="2:11" ht="48" x14ac:dyDescent="0.25">
      <c r="B3" s="26"/>
      <c r="C3" s="70" t="s">
        <v>122</v>
      </c>
      <c r="D3" s="70"/>
      <c r="E3" s="27" t="s">
        <v>123</v>
      </c>
      <c r="F3" s="27"/>
      <c r="G3" s="27"/>
    </row>
    <row r="4" spans="2:11" x14ac:dyDescent="0.25">
      <c r="B4" s="15"/>
      <c r="C4" s="3" t="s">
        <v>92</v>
      </c>
      <c r="D4" s="3" t="s">
        <v>93</v>
      </c>
      <c r="E4" s="3" t="s">
        <v>94</v>
      </c>
      <c r="F4" s="3" t="s">
        <v>95</v>
      </c>
      <c r="G4" s="3" t="s">
        <v>96</v>
      </c>
    </row>
    <row r="5" spans="2:11" ht="89.25" x14ac:dyDescent="0.25">
      <c r="B5" s="3" t="s">
        <v>124</v>
      </c>
      <c r="C5" s="15" t="s">
        <v>125</v>
      </c>
      <c r="D5" s="15" t="s">
        <v>126</v>
      </c>
      <c r="E5" s="15" t="s">
        <v>127</v>
      </c>
      <c r="F5" s="15" t="s">
        <v>128</v>
      </c>
      <c r="G5" s="15" t="s">
        <v>129</v>
      </c>
    </row>
    <row r="6" spans="2:11" x14ac:dyDescent="0.25">
      <c r="B6" s="71" t="s">
        <v>120</v>
      </c>
      <c r="C6" s="71"/>
      <c r="D6" s="71"/>
      <c r="E6" s="71"/>
      <c r="F6" s="71"/>
      <c r="G6" s="71"/>
    </row>
    <row r="7" spans="2:11" x14ac:dyDescent="0.25">
      <c r="B7" s="28">
        <v>1</v>
      </c>
      <c r="C7" s="28">
        <v>0</v>
      </c>
      <c r="D7" s="28">
        <v>26</v>
      </c>
      <c r="E7" s="28">
        <v>0</v>
      </c>
      <c r="F7" s="28">
        <v>0</v>
      </c>
      <c r="G7" s="28">
        <f>C7+D7+E7-F7</f>
        <v>26</v>
      </c>
      <c r="I7" t="s">
        <v>130</v>
      </c>
      <c r="J7" t="s">
        <v>131</v>
      </c>
    </row>
    <row r="8" spans="2:11" x14ac:dyDescent="0.25">
      <c r="B8" s="28">
        <v>2</v>
      </c>
      <c r="C8" s="28">
        <v>0</v>
      </c>
      <c r="D8" s="28">
        <v>26</v>
      </c>
      <c r="E8" s="28">
        <v>0</v>
      </c>
      <c r="F8" s="28">
        <v>0</v>
      </c>
      <c r="G8" s="28">
        <f t="shared" ref="G8:G9" si="0">C8+D8+E8-F8</f>
        <v>26</v>
      </c>
      <c r="I8" s="50">
        <v>20</v>
      </c>
      <c r="J8" s="42">
        <f>(J10/I10)*I8</f>
        <v>26.111111111111111</v>
      </c>
      <c r="K8">
        <f>J10*0.586</f>
        <v>27.541999999999998</v>
      </c>
    </row>
    <row r="9" spans="2:11" x14ac:dyDescent="0.25">
      <c r="B9" s="28">
        <v>3</v>
      </c>
      <c r="C9" s="28">
        <v>0</v>
      </c>
      <c r="D9" s="28">
        <v>26</v>
      </c>
      <c r="E9" s="28">
        <v>0</v>
      </c>
      <c r="F9" s="28">
        <v>0</v>
      </c>
      <c r="G9" s="28">
        <f t="shared" si="0"/>
        <v>26</v>
      </c>
      <c r="I9" s="50">
        <v>16</v>
      </c>
      <c r="J9" s="42">
        <f>(J10/I10)*I9</f>
        <v>20.888888888888889</v>
      </c>
    </row>
    <row r="10" spans="2:11" x14ac:dyDescent="0.25">
      <c r="B10" s="28" t="s">
        <v>132</v>
      </c>
      <c r="C10" s="28">
        <f>AVERAGE(C7:C9)</f>
        <v>0</v>
      </c>
      <c r="D10" s="28">
        <f t="shared" ref="D10:G10" si="1">AVERAGE(D7:D9)</f>
        <v>26</v>
      </c>
      <c r="E10" s="28">
        <f t="shared" si="1"/>
        <v>0</v>
      </c>
      <c r="F10" s="28">
        <f t="shared" si="1"/>
        <v>0</v>
      </c>
      <c r="G10" s="28">
        <f t="shared" si="1"/>
        <v>26</v>
      </c>
      <c r="I10">
        <v>36</v>
      </c>
      <c r="J10">
        <v>47</v>
      </c>
    </row>
    <row r="11" spans="2:11" x14ac:dyDescent="0.25">
      <c r="B11" s="71" t="s">
        <v>114</v>
      </c>
      <c r="C11" s="71"/>
      <c r="D11" s="71"/>
      <c r="E11" s="71"/>
      <c r="F11" s="71"/>
      <c r="G11" s="71"/>
    </row>
    <row r="12" spans="2:11" x14ac:dyDescent="0.25">
      <c r="B12" s="28">
        <v>1</v>
      </c>
      <c r="C12" s="28">
        <v>0</v>
      </c>
      <c r="D12" s="28">
        <v>21</v>
      </c>
      <c r="E12" s="28">
        <v>0</v>
      </c>
      <c r="F12" s="28">
        <v>0</v>
      </c>
      <c r="G12" s="28">
        <f t="shared" ref="G12:G14" si="2">C12+D12+E12+F12</f>
        <v>21</v>
      </c>
      <c r="J12">
        <f>J8/J10</f>
        <v>0.55555555555555558</v>
      </c>
      <c r="K12" s="52" t="s">
        <v>133</v>
      </c>
    </row>
    <row r="13" spans="2:11" x14ac:dyDescent="0.25">
      <c r="B13" s="28">
        <v>2</v>
      </c>
      <c r="C13" s="28">
        <v>0</v>
      </c>
      <c r="D13" s="28">
        <v>21</v>
      </c>
      <c r="E13" s="28">
        <v>0</v>
      </c>
      <c r="F13" s="28">
        <v>0</v>
      </c>
      <c r="G13" s="28">
        <f t="shared" si="2"/>
        <v>21</v>
      </c>
      <c r="J13">
        <f>J9/J10</f>
        <v>0.44444444444444448</v>
      </c>
    </row>
    <row r="14" spans="2:11" x14ac:dyDescent="0.25">
      <c r="B14" s="28">
        <v>3</v>
      </c>
      <c r="C14" s="28">
        <v>0</v>
      </c>
      <c r="D14" s="28">
        <v>21</v>
      </c>
      <c r="E14" s="28">
        <v>0</v>
      </c>
      <c r="F14" s="28">
        <v>0</v>
      </c>
      <c r="G14" s="28">
        <f t="shared" si="2"/>
        <v>21</v>
      </c>
    </row>
    <row r="15" spans="2:11" x14ac:dyDescent="0.25">
      <c r="B15" s="28" t="s">
        <v>132</v>
      </c>
      <c r="C15" s="28">
        <f>AVERAGE(C12:C14)</f>
        <v>0</v>
      </c>
      <c r="D15" s="28">
        <f t="shared" ref="D15" si="3">AVERAGE(D12:D14)</f>
        <v>21</v>
      </c>
      <c r="E15" s="28">
        <f t="shared" ref="E15" si="4">AVERAGE(E12:E14)</f>
        <v>0</v>
      </c>
      <c r="F15" s="28">
        <f t="shared" ref="F15" si="5">AVERAGE(F12:F14)</f>
        <v>0</v>
      </c>
      <c r="G15" s="28">
        <f t="shared" ref="G15" si="6">AVERAGE(G12:G14)</f>
        <v>21</v>
      </c>
    </row>
    <row r="16" spans="2:11" x14ac:dyDescent="0.25">
      <c r="B16" s="69"/>
      <c r="C16" s="69"/>
      <c r="D16" s="69"/>
      <c r="E16" s="69"/>
      <c r="F16" s="41" t="s">
        <v>119</v>
      </c>
      <c r="G16" s="28">
        <f>G10+G15</f>
        <v>47</v>
      </c>
    </row>
    <row r="17" spans="2:2" ht="18.75" x14ac:dyDescent="0.25">
      <c r="B17" s="25" t="s">
        <v>134</v>
      </c>
    </row>
  </sheetData>
  <mergeCells count="5">
    <mergeCell ref="B2:G2"/>
    <mergeCell ref="B16:E16"/>
    <mergeCell ref="C3:D3"/>
    <mergeCell ref="B6:G6"/>
    <mergeCell ref="B11:G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fe02c4-dc41-46ff-9d52-90c0a1b1f611">
      <Terms xmlns="http://schemas.microsoft.com/office/infopath/2007/PartnerControls"/>
    </lcf76f155ced4ddcb4097134ff3c332f>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2025-08-25T19:51:51+00:00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SharedWithUsers xmlns="96fc5250-dc30-4f01-945b-7e46a880eeb3">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60D2C03-2C2C-4518-A032-67A852EC8ADF}">
  <ds:schemaRefs>
    <ds:schemaRef ds:uri="http://purl.org/dc/elements/1.1/"/>
    <ds:schemaRef ds:uri="http://schemas.microsoft.com/office/2006/documentManagement/types"/>
    <ds:schemaRef ds:uri="http://purl.org/dc/dcmitype/"/>
    <ds:schemaRef ds:uri="http://schemas.microsoft.com/office/infopath/2007/PartnerControls"/>
    <ds:schemaRef ds:uri="1891fcec-84c2-4840-9468-b51a784ab0d1"/>
    <ds:schemaRef ds:uri="http://www.w3.org/XML/1998/namespace"/>
    <ds:schemaRef ds:uri="http://schemas.openxmlformats.org/package/2006/metadata/core-properties"/>
    <ds:schemaRef ds:uri="4d6aed1e-57d3-46e3-9aba-f706adbce63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D9C0EF-C545-43FC-BA2E-8B87A79C9D4A}"/>
</file>

<file path=customXml/itemProps3.xml><?xml version="1.0" encoding="utf-8"?>
<ds:datastoreItem xmlns:ds="http://schemas.openxmlformats.org/officeDocument/2006/customXml" ds:itemID="{A1779B60-FB3A-41BE-BC09-6E82BBF2361E}">
  <ds:schemaRefs>
    <ds:schemaRef ds:uri="http://schemas.microsoft.com/sharepoint/v3/contenttype/forms"/>
  </ds:schemaRefs>
</ds:datastoreItem>
</file>

<file path=customXml/itemProps4.xml><?xml version="1.0" encoding="utf-8"?>
<ds:datastoreItem xmlns:ds="http://schemas.openxmlformats.org/officeDocument/2006/customXml" ds:itemID="{51E837B6-B4C8-405C-939A-C533C8F676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Table 1a</vt:lpstr>
      <vt:lpstr>Table 1b</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ERG</cp:lastModifiedBy>
  <cp:revision/>
  <dcterms:created xsi:type="dcterms:W3CDTF">2016-03-28T13:07:50Z</dcterms:created>
  <dcterms:modified xsi:type="dcterms:W3CDTF">2025-08-25T18:57:38Z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Order">
    <vt:r8>1921200</vt:r8>
  </property>
  <property fmtid="{D5CDD505-2E9C-101B-9397-08002B2CF9AE}" pid="5" name="TaxKeyword">
    <vt:lpwstr/>
  </property>
  <property fmtid="{D5CDD505-2E9C-101B-9397-08002B2CF9AE}" pid="6" name="Document_x0020_Type">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EPA Subject">
    <vt:lpwstr/>
  </property>
  <property fmtid="{D5CDD505-2E9C-101B-9397-08002B2CF9AE}" pid="11" name="_ExtendedDescription">
    <vt:lpwstr/>
  </property>
  <property fmtid="{D5CDD505-2E9C-101B-9397-08002B2CF9AE}" pid="12" name="Document Type">
    <vt:lpwstr/>
  </property>
  <property fmtid="{D5CDD505-2E9C-101B-9397-08002B2CF9AE}" pid="13" name="e3f09c3df709400db2417a7161762d62">
    <vt:lpwstr/>
  </property>
  <property fmtid="{D5CDD505-2E9C-101B-9397-08002B2CF9AE}" pid="14" name="Records Status">
    <vt:lpwstr>Pending</vt:lpwstr>
  </property>
  <property fmtid="{D5CDD505-2E9C-101B-9397-08002B2CF9AE}" pid="15" name="EPA_x0020_Subject">
    <vt:lpwstr/>
  </property>
  <property fmtid="{D5CDD505-2E9C-101B-9397-08002B2CF9AE}" pid="16" name="TriggerFlowInfo">
    <vt:lpwstr/>
  </property>
</Properties>
</file>