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141" documentId="13_ncr:1_{23620959-0AED-42EC-869A-DA9CFA80E15F}" xr6:coauthVersionLast="47" xr6:coauthVersionMax="47" xr10:uidLastSave="{9DDC9819-050D-4AE6-AB8F-75CE39B5CBC9}"/>
  <bookViews>
    <workbookView xWindow="20052" yWindow="-540" windowWidth="23256" windowHeight="12456" xr2:uid="{00000000-000D-0000-FFFF-FFFF00000000}"/>
  </bookViews>
  <sheets>
    <sheet name="ROCIS Summary" sheetId="17" r:id="rId1"/>
    <sheet name="YR1" sheetId="1" r:id="rId2"/>
    <sheet name="YR2" sheetId="5" r:id="rId3"/>
    <sheet name="YR3" sheetId="6" r:id="rId4"/>
    <sheet name="Respondent_Summary" sheetId="9" r:id="rId5"/>
    <sheet name="EPA_Yr1" sheetId="10" r:id="rId6"/>
    <sheet name="EPA_Yr2" sheetId="11" r:id="rId7"/>
    <sheet name="EPA_Yr3" sheetId="12" r:id="rId8"/>
    <sheet name="EPA_Summary" sheetId="13" r:id="rId9"/>
    <sheet name="O&amp;M" sheetId="14" r:id="rId10"/>
    <sheet name="Respondents" sheetId="15" r:id="rId11"/>
    <sheet name="Responses"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6" l="1"/>
  <c r="E38" i="5"/>
  <c r="E38" i="1"/>
  <c r="L25" i="1"/>
  <c r="B10" i="16"/>
  <c r="E10" i="16" s="1"/>
  <c r="E13" i="16"/>
  <c r="E12" i="16"/>
  <c r="E11" i="16"/>
  <c r="E9" i="16"/>
  <c r="E8" i="16"/>
  <c r="E7" i="16"/>
  <c r="E6" i="16"/>
  <c r="E5" i="16"/>
  <c r="E4" i="16"/>
  <c r="F21" i="12"/>
  <c r="G21" i="12" s="1"/>
  <c r="D22" i="12"/>
  <c r="D21" i="12"/>
  <c r="E20" i="12"/>
  <c r="D20" i="12"/>
  <c r="F14" i="12"/>
  <c r="G14" i="12" s="1"/>
  <c r="D15" i="12"/>
  <c r="F15" i="12" s="1"/>
  <c r="D14" i="12"/>
  <c r="D13" i="12"/>
  <c r="F13" i="12" s="1"/>
  <c r="D12" i="12"/>
  <c r="F12" i="12" s="1"/>
  <c r="D22" i="11"/>
  <c r="D21" i="11"/>
  <c r="F21" i="11" s="1"/>
  <c r="G21" i="11" s="1"/>
  <c r="E20" i="11"/>
  <c r="D20" i="11"/>
  <c r="F13" i="11"/>
  <c r="H13" i="11" s="1"/>
  <c r="F14" i="11"/>
  <c r="G14" i="11"/>
  <c r="H14" i="11"/>
  <c r="I14" i="11"/>
  <c r="F12" i="11"/>
  <c r="D15" i="11"/>
  <c r="F15" i="11" s="1"/>
  <c r="D14" i="11"/>
  <c r="D13" i="11"/>
  <c r="D12" i="11"/>
  <c r="D21" i="10"/>
  <c r="F21" i="10" s="1"/>
  <c r="D12" i="10"/>
  <c r="F12" i="10" s="1"/>
  <c r="D13" i="10"/>
  <c r="F13" i="10" s="1"/>
  <c r="G13" i="10" s="1"/>
  <c r="D14" i="10"/>
  <c r="F14" i="10" s="1"/>
  <c r="G12" i="12" l="1"/>
  <c r="G13" i="12"/>
  <c r="H13" i="12"/>
  <c r="I13" i="12"/>
  <c r="G15" i="12"/>
  <c r="H15" i="12"/>
  <c r="I15" i="12" s="1"/>
  <c r="I14" i="12"/>
  <c r="H14" i="12"/>
  <c r="H15" i="11"/>
  <c r="I15" i="11" s="1"/>
  <c r="G15" i="11"/>
  <c r="G21" i="10"/>
  <c r="I21" i="10" s="1"/>
  <c r="H21" i="10"/>
  <c r="H21" i="12"/>
  <c r="I21" i="12" s="1"/>
  <c r="H12" i="12"/>
  <c r="H21" i="11"/>
  <c r="I21" i="11" s="1"/>
  <c r="G13" i="11"/>
  <c r="I13" i="11" s="1"/>
  <c r="G12" i="11"/>
  <c r="H12" i="11"/>
  <c r="G14" i="10"/>
  <c r="I14" i="10" s="1"/>
  <c r="H14" i="10"/>
  <c r="H12" i="10"/>
  <c r="G12" i="10"/>
  <c r="H13" i="10"/>
  <c r="I13" i="10" s="1"/>
  <c r="I12" i="10"/>
  <c r="I12" i="12" l="1"/>
  <c r="I12" i="11"/>
  <c r="G12" i="14"/>
  <c r="C25" i="6"/>
  <c r="C18" i="6"/>
  <c r="C25" i="5"/>
  <c r="C18" i="5"/>
  <c r="C25" i="1"/>
  <c r="C18" i="1" l="1"/>
  <c r="L52" i="6" l="1"/>
  <c r="M57" i="6"/>
  <c r="L57" i="6"/>
  <c r="M56" i="6"/>
  <c r="L56" i="6"/>
  <c r="M55" i="6"/>
  <c r="L55" i="6"/>
  <c r="M54" i="6"/>
  <c r="L54" i="6"/>
  <c r="G54" i="6"/>
  <c r="M53" i="6"/>
  <c r="L53" i="6"/>
  <c r="G53" i="6"/>
  <c r="M57" i="5"/>
  <c r="L57" i="5"/>
  <c r="G57" i="5"/>
  <c r="H57" i="5" s="1"/>
  <c r="M56" i="5"/>
  <c r="L56" i="5"/>
  <c r="M55" i="5"/>
  <c r="L55" i="5"/>
  <c r="M54" i="5"/>
  <c r="L54" i="5"/>
  <c r="G54" i="5"/>
  <c r="I54" i="5" s="1"/>
  <c r="M53" i="5"/>
  <c r="L53" i="5"/>
  <c r="G53" i="5"/>
  <c r="H53" i="5" s="1"/>
  <c r="K53" i="1"/>
  <c r="L54" i="1"/>
  <c r="L55" i="1"/>
  <c r="L56" i="1"/>
  <c r="L57" i="1"/>
  <c r="L53" i="1"/>
  <c r="M57" i="1"/>
  <c r="M56" i="1"/>
  <c r="M55" i="1"/>
  <c r="G54" i="1"/>
  <c r="K54" i="1" s="1"/>
  <c r="H54" i="1"/>
  <c r="I54" i="1"/>
  <c r="J54" i="1"/>
  <c r="M54" i="1"/>
  <c r="G53" i="1"/>
  <c r="H53" i="1"/>
  <c r="J53" i="1" s="1"/>
  <c r="I53" i="1"/>
  <c r="M53" i="1"/>
  <c r="E57" i="1"/>
  <c r="G57" i="1" s="1"/>
  <c r="E56" i="1"/>
  <c r="G56" i="1" s="1"/>
  <c r="H56" i="1" s="1"/>
  <c r="E55" i="1"/>
  <c r="G55" i="1" s="1"/>
  <c r="E54" i="1"/>
  <c r="E53" i="1"/>
  <c r="E57" i="5"/>
  <c r="E56" i="5"/>
  <c r="G56" i="5" s="1"/>
  <c r="E55" i="5"/>
  <c r="G55" i="5" s="1"/>
  <c r="H55" i="5" s="1"/>
  <c r="E54" i="5"/>
  <c r="E53" i="5"/>
  <c r="E57" i="6"/>
  <c r="G57" i="6" s="1"/>
  <c r="E56" i="6"/>
  <c r="G56" i="6" s="1"/>
  <c r="E55" i="6"/>
  <c r="G55" i="6" s="1"/>
  <c r="I55" i="6" s="1"/>
  <c r="E54" i="6"/>
  <c r="E53" i="6"/>
  <c r="M39" i="6"/>
  <c r="L39" i="6"/>
  <c r="E39" i="6"/>
  <c r="G39" i="6" s="1"/>
  <c r="M38" i="6"/>
  <c r="L38" i="6"/>
  <c r="G38" i="6"/>
  <c r="H38" i="6" s="1"/>
  <c r="M39" i="5"/>
  <c r="L39" i="5"/>
  <c r="E39" i="5"/>
  <c r="G39" i="5" s="1"/>
  <c r="M38" i="5"/>
  <c r="L38" i="5"/>
  <c r="G38" i="5"/>
  <c r="M39" i="1"/>
  <c r="L39" i="1"/>
  <c r="E39" i="1"/>
  <c r="G39" i="1" s="1"/>
  <c r="M38" i="1"/>
  <c r="L38" i="1"/>
  <c r="G38" i="1"/>
  <c r="I38" i="1" s="1"/>
  <c r="M27" i="6"/>
  <c r="L27" i="6"/>
  <c r="G27" i="6"/>
  <c r="M27" i="1"/>
  <c r="L27" i="1"/>
  <c r="G27" i="1"/>
  <c r="M27" i="5"/>
  <c r="L27" i="5"/>
  <c r="G27" i="5"/>
  <c r="L25" i="5"/>
  <c r="L20" i="5"/>
  <c r="L26" i="5"/>
  <c r="I56" i="5" l="1"/>
  <c r="H56" i="5"/>
  <c r="K56" i="5" s="1"/>
  <c r="H56" i="6"/>
  <c r="K56" i="6" s="1"/>
  <c r="I56" i="6"/>
  <c r="G59" i="1"/>
  <c r="H57" i="1"/>
  <c r="I57" i="1"/>
  <c r="I55" i="1"/>
  <c r="H55" i="1"/>
  <c r="H57" i="6"/>
  <c r="K55" i="6"/>
  <c r="I57" i="6"/>
  <c r="J57" i="6" s="1"/>
  <c r="H53" i="6"/>
  <c r="J53" i="6" s="1"/>
  <c r="I53" i="6"/>
  <c r="K53" i="6"/>
  <c r="H55" i="6"/>
  <c r="J55" i="6" s="1"/>
  <c r="H54" i="6"/>
  <c r="J54" i="6" s="1"/>
  <c r="I54" i="6"/>
  <c r="I53" i="5"/>
  <c r="J53" i="5"/>
  <c r="K53" i="5"/>
  <c r="I57" i="5"/>
  <c r="J57" i="5"/>
  <c r="K57" i="5"/>
  <c r="I55" i="5"/>
  <c r="K55" i="5" s="1"/>
  <c r="J55" i="5"/>
  <c r="H54" i="5"/>
  <c r="I56" i="1"/>
  <c r="J56" i="1" s="1"/>
  <c r="I38" i="6"/>
  <c r="J38" i="6" s="1"/>
  <c r="I39" i="6"/>
  <c r="H39" i="6"/>
  <c r="K39" i="6" s="1"/>
  <c r="I39" i="5"/>
  <c r="H39" i="5"/>
  <c r="K39" i="5" s="1"/>
  <c r="H38" i="5"/>
  <c r="I38" i="5"/>
  <c r="J38" i="5"/>
  <c r="I39" i="1"/>
  <c r="H39" i="1"/>
  <c r="K39" i="1" s="1"/>
  <c r="H38" i="1"/>
  <c r="J38" i="1" s="1"/>
  <c r="I27" i="1"/>
  <c r="H27" i="6"/>
  <c r="J27" i="6" s="1"/>
  <c r="I27" i="6"/>
  <c r="K27" i="6" s="1"/>
  <c r="H27" i="1"/>
  <c r="J27" i="1"/>
  <c r="I27" i="5"/>
  <c r="H27" i="5"/>
  <c r="J56" i="6" l="1"/>
  <c r="J56" i="5"/>
  <c r="K57" i="6"/>
  <c r="K57" i="1"/>
  <c r="H59" i="1"/>
  <c r="J57" i="1"/>
  <c r="J55" i="1"/>
  <c r="K55" i="1"/>
  <c r="K54" i="6"/>
  <c r="J54" i="5"/>
  <c r="K54" i="5"/>
  <c r="K56" i="1"/>
  <c r="K38" i="6"/>
  <c r="J27" i="5"/>
  <c r="K38" i="5"/>
  <c r="K27" i="1"/>
  <c r="K38" i="1"/>
  <c r="J39" i="6"/>
  <c r="J39" i="5"/>
  <c r="J39" i="1"/>
  <c r="K27" i="5"/>
  <c r="L52" i="5"/>
  <c r="L52" i="1"/>
  <c r="L20" i="1"/>
  <c r="J59" i="1" l="1"/>
  <c r="L20" i="6"/>
  <c r="B3" i="17"/>
  <c r="E8" i="15"/>
  <c r="D8" i="15"/>
  <c r="B8" i="15"/>
  <c r="F5" i="15"/>
  <c r="F6" i="15" l="1"/>
  <c r="C7" i="15" s="1"/>
  <c r="F7" i="15" s="1"/>
  <c r="F8" i="15"/>
  <c r="C8" i="15" l="1"/>
  <c r="C30" i="9" l="1"/>
  <c r="G21" i="9"/>
  <c r="L10" i="6"/>
  <c r="E10" i="6"/>
  <c r="G10" i="6" s="1"/>
  <c r="I10" i="6" s="1"/>
  <c r="M9" i="6"/>
  <c r="L9" i="6"/>
  <c r="E9" i="6"/>
  <c r="G9" i="6" s="1"/>
  <c r="C21" i="9" s="1"/>
  <c r="L10" i="5"/>
  <c r="E10" i="5"/>
  <c r="G10" i="5" s="1"/>
  <c r="M9" i="5"/>
  <c r="L9" i="5"/>
  <c r="H20" i="9" s="1"/>
  <c r="E9" i="5"/>
  <c r="G9" i="5" s="1"/>
  <c r="C20" i="9" s="1"/>
  <c r="L10" i="1"/>
  <c r="E10" i="1"/>
  <c r="G10" i="1" s="1"/>
  <c r="F30" i="9" l="1"/>
  <c r="F29" i="9"/>
  <c r="I9" i="6"/>
  <c r="H9" i="6"/>
  <c r="E28" i="9" s="1"/>
  <c r="G28" i="9" s="1"/>
  <c r="H10" i="6"/>
  <c r="J10" i="6" s="1"/>
  <c r="I9" i="5"/>
  <c r="D20" i="9" s="1"/>
  <c r="H9" i="5"/>
  <c r="H10" i="5"/>
  <c r="I10" i="5"/>
  <c r="H10" i="1"/>
  <c r="I10" i="1"/>
  <c r="K10" i="6" l="1"/>
  <c r="K9" i="6"/>
  <c r="H21" i="9" s="1"/>
  <c r="I21" i="9" s="1"/>
  <c r="D21" i="9"/>
  <c r="E21" i="9"/>
  <c r="J10" i="5"/>
  <c r="K9" i="5"/>
  <c r="G20" i="9" s="1"/>
  <c r="I20" i="9" s="1"/>
  <c r="E27" i="9"/>
  <c r="G27" i="9" s="1"/>
  <c r="E20" i="9"/>
  <c r="F20" i="9" s="1"/>
  <c r="K10" i="1"/>
  <c r="J9" i="6"/>
  <c r="J9" i="5"/>
  <c r="K10" i="5"/>
  <c r="J10" i="1"/>
  <c r="F21" i="9" l="1"/>
  <c r="F50" i="6"/>
  <c r="F40" i="6"/>
  <c r="F40" i="5"/>
  <c r="F50" i="5"/>
  <c r="F50" i="1"/>
  <c r="F40" i="1"/>
  <c r="D11" i="14" l="1"/>
  <c r="B10" i="14"/>
  <c r="D10" i="14" s="1"/>
  <c r="M41" i="6"/>
  <c r="L41" i="6"/>
  <c r="E41" i="6"/>
  <c r="G41" i="6" s="1"/>
  <c r="M41" i="5"/>
  <c r="L41" i="5"/>
  <c r="E41" i="5"/>
  <c r="G41" i="5" s="1"/>
  <c r="L24" i="6"/>
  <c r="E13" i="5"/>
  <c r="C14" i="5"/>
  <c r="E14" i="5"/>
  <c r="F14" i="5"/>
  <c r="E15" i="5"/>
  <c r="C16" i="5"/>
  <c r="E16" i="5"/>
  <c r="F16" i="5"/>
  <c r="E18" i="5"/>
  <c r="E20" i="5"/>
  <c r="E21" i="5"/>
  <c r="E25" i="5"/>
  <c r="E26" i="5"/>
  <c r="E31" i="5"/>
  <c r="E32" i="5"/>
  <c r="E34" i="5"/>
  <c r="E35" i="5"/>
  <c r="E37" i="5"/>
  <c r="E40" i="5"/>
  <c r="L35" i="6"/>
  <c r="M35" i="6"/>
  <c r="E35" i="6"/>
  <c r="G35" i="6" s="1"/>
  <c r="L41" i="1"/>
  <c r="M41" i="1"/>
  <c r="E41" i="1"/>
  <c r="G41" i="1" s="1"/>
  <c r="L24" i="5" l="1"/>
  <c r="E23" i="6"/>
  <c r="G23" i="6" s="1"/>
  <c r="H23" i="6" s="1"/>
  <c r="L23" i="5"/>
  <c r="E23" i="5"/>
  <c r="G23" i="5" s="1"/>
  <c r="H23" i="5" s="1"/>
  <c r="E24" i="5"/>
  <c r="G24" i="5" s="1"/>
  <c r="I24" i="5" s="1"/>
  <c r="H41" i="1"/>
  <c r="I41" i="1"/>
  <c r="H41" i="6"/>
  <c r="I41" i="6"/>
  <c r="I41" i="5"/>
  <c r="H41" i="5"/>
  <c r="E24" i="6"/>
  <c r="G24" i="6" s="1"/>
  <c r="L23" i="6"/>
  <c r="I35" i="6"/>
  <c r="H35" i="6"/>
  <c r="I23" i="6" l="1"/>
  <c r="J23" i="6" s="1"/>
  <c r="J41" i="1"/>
  <c r="H24" i="5"/>
  <c r="K24" i="5" s="1"/>
  <c r="K41" i="5"/>
  <c r="K41" i="1"/>
  <c r="K35" i="6"/>
  <c r="J41" i="6"/>
  <c r="K41" i="6"/>
  <c r="I23" i="5"/>
  <c r="J23" i="5" s="1"/>
  <c r="J41" i="5"/>
  <c r="K23" i="5"/>
  <c r="K23" i="6"/>
  <c r="I24" i="6"/>
  <c r="H24" i="6"/>
  <c r="J35" i="6"/>
  <c r="J24" i="5" l="1"/>
  <c r="K24" i="6"/>
  <c r="J24" i="6"/>
  <c r="E23" i="1" l="1"/>
  <c r="G23" i="1" s="1"/>
  <c r="L23" i="1" l="1"/>
  <c r="L24" i="1"/>
  <c r="E24" i="1"/>
  <c r="G24" i="1" s="1"/>
  <c r="H23" i="1"/>
  <c r="I23" i="1"/>
  <c r="J23" i="1" l="1"/>
  <c r="K23" i="1"/>
  <c r="I24" i="1"/>
  <c r="H24" i="1"/>
  <c r="K24" i="1" l="1"/>
  <c r="J24" i="1"/>
  <c r="C14" i="9" l="1"/>
  <c r="E24" i="10" l="1"/>
  <c r="E23" i="10"/>
  <c r="F9" i="14"/>
  <c r="E9" i="14"/>
  <c r="E8" i="14"/>
  <c r="G8" i="14" s="1"/>
  <c r="E11" i="14"/>
  <c r="E10" i="14"/>
  <c r="B9" i="14"/>
  <c r="D9" i="14" s="1"/>
  <c r="B8" i="14"/>
  <c r="D8" i="14" s="1"/>
  <c r="E23" i="12"/>
  <c r="B14" i="16" s="1"/>
  <c r="E14" i="16" s="1"/>
  <c r="E15" i="16" s="1"/>
  <c r="E23" i="11"/>
  <c r="D27" i="9" l="1"/>
  <c r="D11" i="9"/>
  <c r="D28" i="9"/>
  <c r="D26" i="9"/>
  <c r="D12" i="9"/>
  <c r="D10" i="9"/>
  <c r="G9" i="14"/>
  <c r="D12" i="14"/>
  <c r="E20" i="10"/>
  <c r="F22" i="12" l="1"/>
  <c r="G22" i="12" s="1"/>
  <c r="D18" i="12"/>
  <c r="F18" i="12" s="1"/>
  <c r="G18" i="12" s="1"/>
  <c r="F22" i="11"/>
  <c r="H22" i="11" s="1"/>
  <c r="D18" i="11"/>
  <c r="F18" i="11" s="1"/>
  <c r="D22" i="10"/>
  <c r="F22" i="10" s="1"/>
  <c r="G22" i="10" s="1"/>
  <c r="D18" i="10"/>
  <c r="F18" i="10" s="1"/>
  <c r="G18" i="10" s="1"/>
  <c r="H18" i="11" l="1"/>
  <c r="G18" i="11"/>
  <c r="H22" i="12"/>
  <c r="I22" i="12" s="1"/>
  <c r="H18" i="12"/>
  <c r="I18" i="12" s="1"/>
  <c r="G22" i="11"/>
  <c r="I22" i="11" s="1"/>
  <c r="I18" i="11"/>
  <c r="H22" i="10"/>
  <c r="I22" i="10" s="1"/>
  <c r="H18" i="10"/>
  <c r="I18" i="10" s="1"/>
  <c r="L35" i="1" l="1"/>
  <c r="M35" i="1"/>
  <c r="E35" i="1"/>
  <c r="G35" i="1" s="1"/>
  <c r="H35" i="1" s="1"/>
  <c r="I35" i="1" l="1"/>
  <c r="J35" i="1" s="1"/>
  <c r="K35" i="1" l="1"/>
  <c r="L35" i="5"/>
  <c r="M35" i="5"/>
  <c r="G35" i="5"/>
  <c r="H35" i="5" l="1"/>
  <c r="I35" i="5"/>
  <c r="J35" i="5" l="1"/>
  <c r="K35" i="5"/>
  <c r="G11" i="14" l="1"/>
  <c r="G10" i="14"/>
  <c r="H7" i="13" l="1"/>
  <c r="H6" i="13"/>
  <c r="D24" i="12" l="1"/>
  <c r="F24" i="12" s="1"/>
  <c r="D23" i="12"/>
  <c r="F23" i="12" s="1"/>
  <c r="F20" i="12"/>
  <c r="G20" i="12" s="1"/>
  <c r="D17" i="12"/>
  <c r="F17" i="12" s="1"/>
  <c r="D24" i="11"/>
  <c r="F24" i="11" s="1"/>
  <c r="D23" i="11"/>
  <c r="F23" i="11" s="1"/>
  <c r="F20" i="11"/>
  <c r="G20" i="11" s="1"/>
  <c r="D17" i="11"/>
  <c r="F17" i="11" s="1"/>
  <c r="F25" i="11" s="1"/>
  <c r="D24" i="10"/>
  <c r="F24" i="10" s="1"/>
  <c r="D23" i="10"/>
  <c r="D20" i="10"/>
  <c r="F20" i="10" s="1"/>
  <c r="D17" i="10"/>
  <c r="F17" i="10" s="1"/>
  <c r="D15" i="10"/>
  <c r="F15" i="10" s="1"/>
  <c r="F25" i="12" l="1"/>
  <c r="F25" i="10"/>
  <c r="F23" i="10"/>
  <c r="H23" i="10" s="1"/>
  <c r="G24" i="12"/>
  <c r="H24" i="12"/>
  <c r="G23" i="12"/>
  <c r="H23" i="12"/>
  <c r="C5" i="13"/>
  <c r="H17" i="12"/>
  <c r="G17" i="12"/>
  <c r="G25" i="12" s="1"/>
  <c r="H20" i="12"/>
  <c r="I20" i="12" s="1"/>
  <c r="H23" i="11"/>
  <c r="G23" i="11"/>
  <c r="H24" i="11"/>
  <c r="G24" i="11"/>
  <c r="C4" i="13"/>
  <c r="G17" i="11"/>
  <c r="H17" i="11"/>
  <c r="H20" i="11"/>
  <c r="I20" i="11" s="1"/>
  <c r="G24" i="10"/>
  <c r="H24" i="10"/>
  <c r="G20" i="10"/>
  <c r="H20" i="10"/>
  <c r="H15" i="10"/>
  <c r="G15" i="10"/>
  <c r="H17" i="10"/>
  <c r="G17" i="10"/>
  <c r="H25" i="12" l="1"/>
  <c r="H25" i="11"/>
  <c r="G25" i="11"/>
  <c r="H25" i="10"/>
  <c r="G23" i="10"/>
  <c r="I23" i="10" s="1"/>
  <c r="I20" i="10"/>
  <c r="C3" i="13"/>
  <c r="C6" i="13" s="1"/>
  <c r="I24" i="11"/>
  <c r="I17" i="12"/>
  <c r="I24" i="12"/>
  <c r="I23" i="12"/>
  <c r="I17" i="11"/>
  <c r="I25" i="11" s="1"/>
  <c r="I17" i="10"/>
  <c r="I24" i="10"/>
  <c r="E4" i="13"/>
  <c r="I23" i="11"/>
  <c r="E3" i="13"/>
  <c r="E5" i="13"/>
  <c r="D5" i="13"/>
  <c r="D4" i="13"/>
  <c r="I15" i="10"/>
  <c r="I25" i="12" l="1"/>
  <c r="I25" i="10"/>
  <c r="G3" i="13" s="1"/>
  <c r="G25" i="10"/>
  <c r="G5" i="13"/>
  <c r="I5" i="13" s="1"/>
  <c r="G4" i="13"/>
  <c r="F5" i="13"/>
  <c r="C7" i="13"/>
  <c r="F4" i="13"/>
  <c r="D3" i="13"/>
  <c r="E6" i="13"/>
  <c r="E7" i="13"/>
  <c r="I4" i="13" l="1"/>
  <c r="G6" i="13"/>
  <c r="G7" i="13"/>
  <c r="I3" i="13"/>
  <c r="D6" i="13"/>
  <c r="D7" i="13"/>
  <c r="F3" i="13"/>
  <c r="L25" i="6"/>
  <c r="F7" i="13" l="1"/>
  <c r="F6" i="13"/>
  <c r="I6" i="13"/>
  <c r="I7" i="13"/>
  <c r="F16" i="6"/>
  <c r="M16" i="6" s="1"/>
  <c r="F14" i="6"/>
  <c r="M14" i="6" s="1"/>
  <c r="E52" i="6"/>
  <c r="G52" i="6" s="1"/>
  <c r="I52" i="6" s="1"/>
  <c r="L51" i="6"/>
  <c r="E51" i="6"/>
  <c r="G51" i="6" s="1"/>
  <c r="I51" i="6" s="1"/>
  <c r="E50" i="6"/>
  <c r="L49" i="6"/>
  <c r="E49" i="6"/>
  <c r="G49" i="6" s="1"/>
  <c r="E40" i="6"/>
  <c r="M37" i="6"/>
  <c r="L37" i="6"/>
  <c r="E37" i="6"/>
  <c r="G37" i="6" s="1"/>
  <c r="I37" i="6" s="1"/>
  <c r="M34" i="6"/>
  <c r="L34" i="6"/>
  <c r="E34" i="6"/>
  <c r="G34" i="6" s="1"/>
  <c r="M32" i="6"/>
  <c r="L32" i="6"/>
  <c r="E32" i="6"/>
  <c r="G32" i="6" s="1"/>
  <c r="I32" i="6" s="1"/>
  <c r="M31" i="6"/>
  <c r="L31" i="6"/>
  <c r="E31" i="6"/>
  <c r="G31" i="6" s="1"/>
  <c r="M26" i="6"/>
  <c r="L26" i="6"/>
  <c r="E26" i="6"/>
  <c r="G26" i="6" s="1"/>
  <c r="I26" i="6" s="1"/>
  <c r="E25" i="6"/>
  <c r="G25" i="6" s="1"/>
  <c r="I25" i="6" s="1"/>
  <c r="M21" i="6"/>
  <c r="L21" i="6"/>
  <c r="E21" i="6"/>
  <c r="G21" i="6" s="1"/>
  <c r="E20" i="6"/>
  <c r="G20" i="6" s="1"/>
  <c r="H20" i="6" s="1"/>
  <c r="M19" i="6"/>
  <c r="L19" i="6"/>
  <c r="M18" i="6"/>
  <c r="L18" i="6"/>
  <c r="E18" i="6"/>
  <c r="G18" i="6" s="1"/>
  <c r="M17" i="6"/>
  <c r="L17" i="6"/>
  <c r="E16" i="6"/>
  <c r="C16" i="6"/>
  <c r="M15" i="6"/>
  <c r="L15" i="6"/>
  <c r="E15" i="6"/>
  <c r="G15" i="6" s="1"/>
  <c r="E14" i="6"/>
  <c r="C14" i="6"/>
  <c r="M13" i="6"/>
  <c r="L13" i="6"/>
  <c r="E13" i="6"/>
  <c r="G13" i="6" s="1"/>
  <c r="M14" i="5"/>
  <c r="E52" i="5"/>
  <c r="G52" i="5" s="1"/>
  <c r="I52" i="5" s="1"/>
  <c r="L51" i="5"/>
  <c r="E51" i="5"/>
  <c r="G51" i="5" s="1"/>
  <c r="I51" i="5" s="1"/>
  <c r="E50" i="5"/>
  <c r="L49" i="5"/>
  <c r="E49" i="5"/>
  <c r="G49" i="5" s="1"/>
  <c r="G40" i="5"/>
  <c r="M37" i="5"/>
  <c r="L37" i="5"/>
  <c r="G37" i="5"/>
  <c r="M34" i="5"/>
  <c r="L34" i="5"/>
  <c r="G34" i="5"/>
  <c r="M32" i="5"/>
  <c r="L32" i="5"/>
  <c r="G32" i="5"/>
  <c r="M31" i="5"/>
  <c r="L31" i="5"/>
  <c r="G31" i="5"/>
  <c r="M26" i="5"/>
  <c r="G26" i="5"/>
  <c r="G25" i="5"/>
  <c r="M21" i="5"/>
  <c r="L21" i="5"/>
  <c r="G21" i="5"/>
  <c r="G20" i="5"/>
  <c r="M19" i="5"/>
  <c r="L19" i="5"/>
  <c r="M18" i="5"/>
  <c r="L18" i="5"/>
  <c r="G18" i="5"/>
  <c r="M17" i="5"/>
  <c r="L17" i="5"/>
  <c r="M16" i="5"/>
  <c r="G16" i="5"/>
  <c r="H16" i="5" s="1"/>
  <c r="L16" i="5"/>
  <c r="M15" i="5"/>
  <c r="L15" i="5"/>
  <c r="G15" i="5"/>
  <c r="G14" i="5"/>
  <c r="M13" i="5"/>
  <c r="L13" i="5"/>
  <c r="G13" i="5"/>
  <c r="L40" i="1"/>
  <c r="M16" i="1"/>
  <c r="M14" i="1"/>
  <c r="L50" i="1"/>
  <c r="E52" i="1"/>
  <c r="G52" i="1" s="1"/>
  <c r="H52" i="1" s="1"/>
  <c r="L51" i="1"/>
  <c r="E51" i="1"/>
  <c r="G51" i="1" s="1"/>
  <c r="I51" i="1" s="1"/>
  <c r="E50" i="1"/>
  <c r="L49" i="1"/>
  <c r="E49" i="1"/>
  <c r="G49" i="1" s="1"/>
  <c r="E40" i="1"/>
  <c r="M37" i="1"/>
  <c r="L37" i="1"/>
  <c r="E37" i="1"/>
  <c r="G37" i="1" s="1"/>
  <c r="M34" i="1"/>
  <c r="L34" i="1"/>
  <c r="E34" i="1"/>
  <c r="G34" i="1" s="1"/>
  <c r="I34" i="1" s="1"/>
  <c r="M32" i="1"/>
  <c r="L32" i="1"/>
  <c r="E32" i="1"/>
  <c r="G32" i="1" s="1"/>
  <c r="H32" i="1" s="1"/>
  <c r="M31" i="1"/>
  <c r="L31" i="1"/>
  <c r="E31" i="1"/>
  <c r="G31" i="1" s="1"/>
  <c r="I31" i="1" s="1"/>
  <c r="M26" i="1"/>
  <c r="L26" i="1"/>
  <c r="E26" i="1"/>
  <c r="G26" i="1" s="1"/>
  <c r="H26" i="1" s="1"/>
  <c r="E25" i="1"/>
  <c r="G25" i="1" s="1"/>
  <c r="I25" i="1" s="1"/>
  <c r="M21" i="1"/>
  <c r="L21" i="1"/>
  <c r="E21" i="1"/>
  <c r="G21" i="1" s="1"/>
  <c r="I21" i="1" s="1"/>
  <c r="E20" i="1"/>
  <c r="G20" i="1" s="1"/>
  <c r="I20" i="1" s="1"/>
  <c r="M19" i="1"/>
  <c r="L19" i="1"/>
  <c r="M18" i="1"/>
  <c r="L18" i="1"/>
  <c r="E18" i="1"/>
  <c r="G18" i="1" s="1"/>
  <c r="I18" i="1" s="1"/>
  <c r="M17" i="1"/>
  <c r="L17" i="1"/>
  <c r="E16" i="1"/>
  <c r="C16" i="1"/>
  <c r="M15" i="1"/>
  <c r="L15" i="1"/>
  <c r="E15" i="1"/>
  <c r="G15" i="1" s="1"/>
  <c r="E14" i="1"/>
  <c r="C14" i="1"/>
  <c r="M13" i="1"/>
  <c r="L13" i="1"/>
  <c r="E13" i="1"/>
  <c r="G13" i="1" s="1"/>
  <c r="M9" i="1"/>
  <c r="L9" i="1"/>
  <c r="H19" i="9" s="1"/>
  <c r="E9" i="1"/>
  <c r="G9" i="1" s="1"/>
  <c r="L14" i="6" l="1"/>
  <c r="D29" i="9"/>
  <c r="D30" i="9"/>
  <c r="C19" i="9"/>
  <c r="C23" i="9" s="1"/>
  <c r="H23" i="9"/>
  <c r="H22" i="9"/>
  <c r="G42" i="5"/>
  <c r="H37" i="1"/>
  <c r="H37" i="6"/>
  <c r="J37" i="6" s="1"/>
  <c r="L14" i="5"/>
  <c r="I13" i="6"/>
  <c r="H13" i="6"/>
  <c r="I31" i="6"/>
  <c r="H31" i="6"/>
  <c r="H26" i="6"/>
  <c r="K26" i="6" s="1"/>
  <c r="G40" i="6"/>
  <c r="I40" i="6" s="1"/>
  <c r="G50" i="6"/>
  <c r="I50" i="6" s="1"/>
  <c r="G50" i="5"/>
  <c r="L14" i="1"/>
  <c r="H49" i="6"/>
  <c r="I49" i="6"/>
  <c r="M59" i="6"/>
  <c r="I34" i="6"/>
  <c r="H21" i="6"/>
  <c r="I21" i="6"/>
  <c r="M40" i="6"/>
  <c r="L16" i="6"/>
  <c r="H34" i="6"/>
  <c r="G16" i="6"/>
  <c r="I16" i="6" s="1"/>
  <c r="H32" i="6"/>
  <c r="K32" i="6" s="1"/>
  <c r="I20" i="6"/>
  <c r="K20" i="6" s="1"/>
  <c r="H25" i="6"/>
  <c r="K25" i="6" s="1"/>
  <c r="H15" i="6"/>
  <c r="I15" i="6"/>
  <c r="I18" i="6"/>
  <c r="H18" i="6"/>
  <c r="G14" i="6"/>
  <c r="L40" i="6"/>
  <c r="L50" i="6"/>
  <c r="L59" i="6" s="1"/>
  <c r="H40" i="6"/>
  <c r="J40" i="6" s="1"/>
  <c r="H51" i="6"/>
  <c r="K51" i="6" s="1"/>
  <c r="H52" i="6"/>
  <c r="J52" i="6" s="1"/>
  <c r="H14" i="5"/>
  <c r="I14" i="5"/>
  <c r="H15" i="5"/>
  <c r="I15" i="5"/>
  <c r="I40" i="5"/>
  <c r="H40" i="5"/>
  <c r="I18" i="5"/>
  <c r="H18" i="5"/>
  <c r="I16" i="5"/>
  <c r="J16" i="5" s="1"/>
  <c r="L40" i="5"/>
  <c r="L50" i="5"/>
  <c r="L59" i="5" s="1"/>
  <c r="M40" i="5"/>
  <c r="M42" i="5" s="1"/>
  <c r="M59" i="5"/>
  <c r="H13" i="5"/>
  <c r="H20" i="5"/>
  <c r="H21" i="5"/>
  <c r="H25" i="5"/>
  <c r="H26" i="5"/>
  <c r="H31" i="5"/>
  <c r="H32" i="5"/>
  <c r="H34" i="5"/>
  <c r="H37" i="5"/>
  <c r="H49" i="5"/>
  <c r="I13" i="5"/>
  <c r="I20" i="5"/>
  <c r="I21" i="5"/>
  <c r="I25" i="5"/>
  <c r="I26" i="5"/>
  <c r="I31" i="5"/>
  <c r="I32" i="5"/>
  <c r="I34" i="5"/>
  <c r="I37" i="5"/>
  <c r="I49" i="5"/>
  <c r="H51" i="5"/>
  <c r="H52" i="5"/>
  <c r="I26" i="1"/>
  <c r="J26" i="1" s="1"/>
  <c r="G16" i="1"/>
  <c r="H16" i="1" s="1"/>
  <c r="G50" i="1"/>
  <c r="M59" i="1"/>
  <c r="L59" i="1"/>
  <c r="H49" i="1"/>
  <c r="I49" i="1"/>
  <c r="I37" i="1"/>
  <c r="H25" i="1"/>
  <c r="J25" i="1" s="1"/>
  <c r="H21" i="1"/>
  <c r="J21" i="1" s="1"/>
  <c r="I32" i="1"/>
  <c r="J32" i="1" s="1"/>
  <c r="M40" i="1"/>
  <c r="M42" i="1" s="1"/>
  <c r="H20" i="1"/>
  <c r="J20" i="1" s="1"/>
  <c r="H31" i="1"/>
  <c r="J31" i="1" s="1"/>
  <c r="G40" i="1"/>
  <c r="I40" i="1" s="1"/>
  <c r="H34" i="1"/>
  <c r="J34" i="1" s="1"/>
  <c r="L16" i="1"/>
  <c r="I15" i="1"/>
  <c r="H15" i="1"/>
  <c r="I13" i="1"/>
  <c r="H13" i="1"/>
  <c r="H9" i="1"/>
  <c r="K9" i="1" s="1"/>
  <c r="I9" i="1"/>
  <c r="D19" i="9" s="1"/>
  <c r="G14" i="1"/>
  <c r="H18" i="1"/>
  <c r="H51" i="1"/>
  <c r="J51" i="1" s="1"/>
  <c r="I52" i="1"/>
  <c r="J52" i="1" s="1"/>
  <c r="C22" i="9" l="1"/>
  <c r="L42" i="1"/>
  <c r="L60" i="1" s="1"/>
  <c r="H3" i="9" s="1"/>
  <c r="L42" i="6"/>
  <c r="L60" i="6" s="1"/>
  <c r="H5" i="9" s="1"/>
  <c r="G42" i="6"/>
  <c r="I16" i="1"/>
  <c r="J16" i="1" s="1"/>
  <c r="M60" i="1"/>
  <c r="M60" i="5"/>
  <c r="G60" i="5"/>
  <c r="L42" i="5"/>
  <c r="L60" i="5" s="1"/>
  <c r="H4" i="9" s="1"/>
  <c r="J13" i="6"/>
  <c r="G42" i="1"/>
  <c r="G60" i="1" s="1"/>
  <c r="C3" i="9" s="1"/>
  <c r="D22" i="9"/>
  <c r="D23" i="9"/>
  <c r="E19" i="9"/>
  <c r="I59" i="6"/>
  <c r="G59" i="6"/>
  <c r="K37" i="6"/>
  <c r="H42" i="5"/>
  <c r="I42" i="5"/>
  <c r="J15" i="6"/>
  <c r="J34" i="6"/>
  <c r="K31" i="6"/>
  <c r="J37" i="1"/>
  <c r="K25" i="1"/>
  <c r="H50" i="6"/>
  <c r="H59" i="6" s="1"/>
  <c r="I50" i="5"/>
  <c r="I59" i="5" s="1"/>
  <c r="G59" i="5"/>
  <c r="K40" i="5"/>
  <c r="H16" i="6"/>
  <c r="K16" i="6" s="1"/>
  <c r="K13" i="6"/>
  <c r="H50" i="5"/>
  <c r="H59" i="5" s="1"/>
  <c r="J40" i="5"/>
  <c r="J49" i="5"/>
  <c r="K15" i="5"/>
  <c r="J14" i="5"/>
  <c r="K40" i="6"/>
  <c r="J49" i="6"/>
  <c r="J18" i="6"/>
  <c r="J26" i="6"/>
  <c r="J31" i="6"/>
  <c r="J21" i="6"/>
  <c r="K34" i="6"/>
  <c r="J34" i="5"/>
  <c r="K14" i="5"/>
  <c r="J49" i="1"/>
  <c r="K26" i="1"/>
  <c r="K51" i="1"/>
  <c r="G19" i="9"/>
  <c r="K21" i="1"/>
  <c r="K37" i="1"/>
  <c r="K49" i="6"/>
  <c r="J20" i="6"/>
  <c r="K21" i="6"/>
  <c r="K15" i="6"/>
  <c r="J32" i="6"/>
  <c r="J25" i="6"/>
  <c r="M42" i="6"/>
  <c r="M60" i="6" s="1"/>
  <c r="K18" i="6"/>
  <c r="K52" i="6"/>
  <c r="J51" i="6"/>
  <c r="H14" i="6"/>
  <c r="I14" i="6"/>
  <c r="J37" i="5"/>
  <c r="K32" i="5"/>
  <c r="K18" i="5"/>
  <c r="K31" i="5"/>
  <c r="J20" i="5"/>
  <c r="K26" i="5"/>
  <c r="J21" i="5"/>
  <c r="J52" i="5"/>
  <c r="K52" i="5"/>
  <c r="K51" i="5"/>
  <c r="J51" i="5"/>
  <c r="J31" i="5"/>
  <c r="K16" i="5"/>
  <c r="J32" i="5"/>
  <c r="K25" i="5"/>
  <c r="J25" i="5"/>
  <c r="K21" i="5"/>
  <c r="K20" i="5"/>
  <c r="J18" i="5"/>
  <c r="K37" i="5"/>
  <c r="K13" i="5"/>
  <c r="J15" i="5"/>
  <c r="J26" i="5"/>
  <c r="K49" i="5"/>
  <c r="K34" i="5"/>
  <c r="J13" i="5"/>
  <c r="J13" i="1"/>
  <c r="I50" i="1"/>
  <c r="I59" i="1" s="1"/>
  <c r="H50" i="1"/>
  <c r="K52" i="1"/>
  <c r="K49" i="1"/>
  <c r="K20" i="1"/>
  <c r="J9" i="1"/>
  <c r="K32" i="1"/>
  <c r="J15" i="1"/>
  <c r="K13" i="1"/>
  <c r="K34" i="1"/>
  <c r="K31" i="1"/>
  <c r="H40" i="1"/>
  <c r="J40" i="1" s="1"/>
  <c r="K15" i="1"/>
  <c r="K18" i="1"/>
  <c r="J18" i="1"/>
  <c r="H14" i="1"/>
  <c r="I14" i="1"/>
  <c r="I42" i="1" s="1"/>
  <c r="E26" i="9" l="1"/>
  <c r="E29" i="9" s="1"/>
  <c r="J42" i="1"/>
  <c r="J60" i="1" s="1"/>
  <c r="J42" i="5"/>
  <c r="K16" i="1"/>
  <c r="G60" i="6"/>
  <c r="C5" i="9" s="1"/>
  <c r="C4" i="9"/>
  <c r="H6" i="9"/>
  <c r="H7" i="9"/>
  <c r="B6" i="17" s="1"/>
  <c r="G26" i="9"/>
  <c r="E23" i="9"/>
  <c r="E22" i="9"/>
  <c r="G22" i="9"/>
  <c r="G23" i="9"/>
  <c r="I19" i="9"/>
  <c r="F19" i="9"/>
  <c r="J16" i="6"/>
  <c r="K50" i="6"/>
  <c r="K59" i="6" s="1"/>
  <c r="K42" i="5"/>
  <c r="H42" i="1"/>
  <c r="H60" i="1" s="1"/>
  <c r="E3" i="9" s="1"/>
  <c r="H42" i="6"/>
  <c r="H60" i="6" s="1"/>
  <c r="E5" i="9" s="1"/>
  <c r="J50" i="6"/>
  <c r="J59" i="6" s="1"/>
  <c r="F12" i="9" s="1"/>
  <c r="I60" i="5"/>
  <c r="D4" i="9" s="1"/>
  <c r="J50" i="5"/>
  <c r="J59" i="5" s="1"/>
  <c r="F11" i="9" s="1"/>
  <c r="K50" i="5"/>
  <c r="K59" i="5" s="1"/>
  <c r="K14" i="6"/>
  <c r="K42" i="6" s="1"/>
  <c r="K50" i="1"/>
  <c r="K59" i="1" s="1"/>
  <c r="J50" i="1"/>
  <c r="F10" i="9" s="1"/>
  <c r="J14" i="6"/>
  <c r="I42" i="6"/>
  <c r="I60" i="6" s="1"/>
  <c r="D5" i="9" s="1"/>
  <c r="H60" i="5"/>
  <c r="E4" i="9" s="1"/>
  <c r="I60" i="1"/>
  <c r="D3" i="9" s="1"/>
  <c r="K14" i="1"/>
  <c r="K42" i="1" s="1"/>
  <c r="K40" i="1"/>
  <c r="J14" i="1"/>
  <c r="E30" i="9" l="1"/>
  <c r="F3" i="9"/>
  <c r="C7" i="9"/>
  <c r="K60" i="6"/>
  <c r="G5" i="9" s="1"/>
  <c r="I5" i="9" s="1"/>
  <c r="C6" i="9"/>
  <c r="K60" i="5"/>
  <c r="D14" i="9"/>
  <c r="B14" i="17" s="1"/>
  <c r="D13" i="9"/>
  <c r="I23" i="9"/>
  <c r="I22" i="9"/>
  <c r="I26" i="9"/>
  <c r="H26" i="9"/>
  <c r="H30" i="9" s="1"/>
  <c r="G29" i="9"/>
  <c r="G30" i="9"/>
  <c r="I30" i="9" s="1"/>
  <c r="F22" i="9"/>
  <c r="F23" i="9"/>
  <c r="J42" i="6"/>
  <c r="K60" i="1"/>
  <c r="G3" i="9" s="1"/>
  <c r="F5" i="9"/>
  <c r="F4" i="9"/>
  <c r="J60" i="5"/>
  <c r="E11" i="9"/>
  <c r="G11" i="9" s="1"/>
  <c r="F13" i="9"/>
  <c r="F14" i="9"/>
  <c r="E10" i="9"/>
  <c r="F6" i="9" l="1"/>
  <c r="F7" i="9"/>
  <c r="E12" i="9"/>
  <c r="G12" i="9" s="1"/>
  <c r="H12" i="9" s="1"/>
  <c r="J60" i="6"/>
  <c r="I11" i="9"/>
  <c r="H11" i="9"/>
  <c r="G4" i="9"/>
  <c r="I4" i="9" s="1"/>
  <c r="H29" i="9"/>
  <c r="I29" i="9"/>
  <c r="E7" i="9"/>
  <c r="E6" i="9"/>
  <c r="D6" i="9"/>
  <c r="D7" i="9"/>
  <c r="G10" i="9"/>
  <c r="H10" i="9" s="1"/>
  <c r="E13" i="9" l="1"/>
  <c r="E14" i="9"/>
  <c r="I12" i="9"/>
  <c r="G7" i="9"/>
  <c r="G6" i="9"/>
  <c r="G14" i="9"/>
  <c r="B15" i="17" s="1"/>
  <c r="H14" i="9"/>
  <c r="B2" i="17" s="1"/>
  <c r="G13" i="9"/>
  <c r="H13" i="9" s="1"/>
  <c r="I10" i="9"/>
  <c r="I13" i="9" l="1"/>
  <c r="I14" i="9"/>
  <c r="B4" i="17"/>
  <c r="I3" i="9"/>
  <c r="I7" i="9" s="1"/>
  <c r="I6" i="9" l="1"/>
  <c r="B5" i="17"/>
</calcChain>
</file>

<file path=xl/sharedStrings.xml><?xml version="1.0" encoding="utf-8"?>
<sst xmlns="http://schemas.openxmlformats.org/spreadsheetml/2006/main" count="569" uniqueCount="232">
  <si>
    <t>ICR Summary Information</t>
  </si>
  <si>
    <t>Hours Per Response</t>
  </si>
  <si>
    <t>Number of Respondents</t>
  </si>
  <si>
    <t>Total Estimated Burden Hours</t>
  </si>
  <si>
    <t>Total Estimated Costs</t>
  </si>
  <si>
    <t>Annualized Capital O&amp;M</t>
  </si>
  <si>
    <t>Form Number</t>
  </si>
  <si>
    <t>5900-560 and 5900-561</t>
  </si>
  <si>
    <t>Burden Change Table</t>
  </si>
  <si>
    <t>Inventory as of this Action</t>
  </si>
  <si>
    <t>Previously Approved</t>
  </si>
  <si>
    <t>Respondents</t>
  </si>
  <si>
    <t>Responses</t>
  </si>
  <si>
    <t>Time Burden (Hours)</t>
  </si>
  <si>
    <t>Cost Burden (Dollars)</t>
  </si>
  <si>
    <t>Table 1: Annual Respondent Burden and Cost – NSPS for Other Solid Waste Incineration Units (40 CFR Part 60, Subpart EEEE) (Final Rule) - Year 1 Burden</t>
  </si>
  <si>
    <t>Updated to 2024 labor rates</t>
  </si>
  <si>
    <t>Person-hours per year</t>
  </si>
  <si>
    <t>Burden item</t>
  </si>
  <si>
    <t>(A)
Person hours per occurrence</t>
  </si>
  <si>
    <t>(B)
Non-Labor Costs Per Occurrence</t>
  </si>
  <si>
    <t>(C)
No. of occurrences per respondent per year</t>
  </si>
  <si>
    <t>(D)
Person hours per respondent per year
(C=AxB)</t>
  </si>
  <si>
    <r>
      <t>(E)
Respondents per year</t>
    </r>
    <r>
      <rPr>
        <vertAlign val="superscript"/>
        <sz val="10"/>
        <rFont val="Times New Roman"/>
        <family val="1"/>
      </rPr>
      <t>a</t>
    </r>
  </si>
  <si>
    <t>(F)
Technical person- hours per year
(E=CxD)</t>
  </si>
  <si>
    <t>(G)
Management person hours per year
(Ex0.05)</t>
  </si>
  <si>
    <t>(H)
Clerical person hours per year
(Ex0.1)</t>
  </si>
  <si>
    <t>(I)
Total Hours per Year
(F + G + H)</t>
  </si>
  <si>
    <r>
      <t>(J)
Total Labor Cost per year</t>
    </r>
    <r>
      <rPr>
        <vertAlign val="superscript"/>
        <sz val="10"/>
        <rFont val="Times New Roman"/>
        <family val="1"/>
      </rPr>
      <t>b</t>
    </r>
  </si>
  <si>
    <t>(K)
Total Non-Labor Costs Per Year 
(B x C x E)</t>
  </si>
  <si>
    <t>(L)
Total Number of Responses per Year
(C X E)</t>
  </si>
  <si>
    <t>1.  Applications</t>
  </si>
  <si>
    <t>N/A</t>
  </si>
  <si>
    <t>2.  Survey and Studies</t>
  </si>
  <si>
    <t>3.  Reporting requirements</t>
  </si>
  <si>
    <r>
      <t xml:space="preserve">     A.  Familiarize with rule requirements</t>
    </r>
    <r>
      <rPr>
        <vertAlign val="superscript"/>
        <sz val="10"/>
        <color theme="1"/>
        <rFont val="Times New Roman"/>
        <family val="1"/>
      </rPr>
      <t>c</t>
    </r>
  </si>
  <si>
    <t>1) Initial review and familiarization with final revisions (new sources)</t>
  </si>
  <si>
    <t xml:space="preserve">          2) Familiarize with rule (existing burden)</t>
  </si>
  <si>
    <t xml:space="preserve">     B.  Required activities</t>
  </si>
  <si>
    <t>1)  Initial performance test and reports</t>
  </si>
  <si>
    <r>
      <t xml:space="preserve">a) Initial performance tests (PM, dioxins/furans, opacity, fugitives, HCl, Cd, Pb, Hg) </t>
    </r>
    <r>
      <rPr>
        <vertAlign val="superscript"/>
        <sz val="10"/>
        <color rgb="FF000000"/>
        <rFont val="Times New Roman"/>
        <family val="1"/>
      </rPr>
      <t>c</t>
    </r>
  </si>
  <si>
    <r>
      <t xml:space="preserve">b) Repeat of initial performance tests </t>
    </r>
    <r>
      <rPr>
        <vertAlign val="superscript"/>
        <sz val="10"/>
        <color rgb="FF000000"/>
        <rFont val="Times New Roman"/>
        <family val="1"/>
      </rPr>
      <t>c,d</t>
    </r>
  </si>
  <si>
    <r>
      <t xml:space="preserve">c) Initial performance tests - Air Curtain Incinerators (opacity) </t>
    </r>
    <r>
      <rPr>
        <vertAlign val="superscript"/>
        <sz val="10"/>
        <color rgb="FF000000"/>
        <rFont val="Times New Roman"/>
        <family val="1"/>
      </rPr>
      <t>c</t>
    </r>
  </si>
  <si>
    <r>
      <t xml:space="preserve">d) Repeat of initial performance tests - Air Curtain Incinerators </t>
    </r>
    <r>
      <rPr>
        <vertAlign val="superscript"/>
        <sz val="10"/>
        <color rgb="FF000000"/>
        <rFont val="Times New Roman"/>
        <family val="1"/>
      </rPr>
      <t>c,d</t>
    </r>
  </si>
  <si>
    <t>2)  CEMS demonstration (CO, O2)</t>
  </si>
  <si>
    <r>
      <t xml:space="preserve">a) Initial demonstration </t>
    </r>
    <r>
      <rPr>
        <vertAlign val="superscript"/>
        <sz val="10"/>
        <color rgb="FF000000"/>
        <rFont val="Times New Roman"/>
        <family val="1"/>
      </rPr>
      <t>e</t>
    </r>
  </si>
  <si>
    <t>b) Annual Costs</t>
  </si>
  <si>
    <t>See 3.B.5</t>
  </si>
  <si>
    <r>
      <t>3)  Annual performance tests and test reports (PM, dioxins/furans, opacity, fugitives, HCl, Cd, Pb, Hg)</t>
    </r>
    <r>
      <rPr>
        <vertAlign val="superscript"/>
        <sz val="10"/>
        <color rgb="FF000000"/>
        <rFont val="Times New Roman"/>
        <family val="1"/>
      </rPr>
      <t>f</t>
    </r>
  </si>
  <si>
    <r>
      <t>4)  Annual performance tests and test reports - Air Curtain Incinerators (opacity)</t>
    </r>
    <r>
      <rPr>
        <vertAlign val="superscript"/>
        <sz val="10"/>
        <color rgb="FF000000"/>
        <rFont val="Times New Roman"/>
        <family val="1"/>
      </rPr>
      <t>f</t>
    </r>
  </si>
  <si>
    <t xml:space="preserve">        5)  Quarterly Appendix F audits of CEMS (CO)</t>
  </si>
  <si>
    <r>
      <t xml:space="preserve">a)  RATA audit (one per year) </t>
    </r>
    <r>
      <rPr>
        <vertAlign val="superscript"/>
        <sz val="10"/>
        <color theme="1"/>
        <rFont val="Times New Roman"/>
        <family val="1"/>
      </rPr>
      <t>f</t>
    </r>
  </si>
  <si>
    <r>
      <t xml:space="preserve">b)  RAA audit (three per year) </t>
    </r>
    <r>
      <rPr>
        <vertAlign val="superscript"/>
        <sz val="10"/>
        <color theme="1"/>
        <rFont val="Times New Roman"/>
        <family val="1"/>
      </rPr>
      <t>f</t>
    </r>
  </si>
  <si>
    <r>
      <t xml:space="preserve">c)  Daily calibration and operation </t>
    </r>
    <r>
      <rPr>
        <vertAlign val="superscript"/>
        <sz val="10"/>
        <color rgb="FF000000"/>
        <rFont val="Times New Roman"/>
        <family val="1"/>
      </rPr>
      <t>f</t>
    </r>
  </si>
  <si>
    <r>
      <t xml:space="preserve">      6) Waste management plan </t>
    </r>
    <r>
      <rPr>
        <vertAlign val="superscript"/>
        <sz val="10"/>
        <rFont val="Times New Roman"/>
        <family val="1"/>
      </rPr>
      <t>c</t>
    </r>
  </si>
  <si>
    <r>
      <t xml:space="preserve">      7) Notification of intent to use substitute
           means of compliance </t>
    </r>
    <r>
      <rPr>
        <vertAlign val="superscript"/>
        <sz val="10"/>
        <rFont val="Times New Roman"/>
        <family val="1"/>
      </rPr>
      <t>c</t>
    </r>
  </si>
  <si>
    <t xml:space="preserve">     C.  Create information</t>
  </si>
  <si>
    <t>See 3B</t>
  </si>
  <si>
    <t xml:space="preserve">     D.  Gather existing information</t>
  </si>
  <si>
    <t>See 3E</t>
  </si>
  <si>
    <t xml:space="preserve">     E.  Write Report</t>
  </si>
  <si>
    <r>
      <t>1)  Preconstruction report</t>
    </r>
    <r>
      <rPr>
        <vertAlign val="superscript"/>
        <sz val="10"/>
        <color rgb="FF000000"/>
        <rFont val="Times New Roman"/>
        <family val="1"/>
      </rPr>
      <t>c</t>
    </r>
    <r>
      <rPr>
        <sz val="10"/>
        <color rgb="FF000000"/>
        <rFont val="Times New Roman"/>
        <family val="1"/>
      </rPr>
      <t xml:space="preserve"> </t>
    </r>
  </si>
  <si>
    <r>
      <t>2)  Startup notification</t>
    </r>
    <r>
      <rPr>
        <vertAlign val="superscript"/>
        <sz val="10"/>
        <color rgb="FF000000"/>
        <rFont val="Times New Roman"/>
        <family val="1"/>
      </rPr>
      <t>c</t>
    </r>
  </si>
  <si>
    <r>
      <t xml:space="preserve">3)  Initial test report </t>
    </r>
    <r>
      <rPr>
        <vertAlign val="superscript"/>
        <sz val="10"/>
        <color rgb="FF000000"/>
        <rFont val="Times New Roman"/>
        <family val="1"/>
      </rPr>
      <t>c</t>
    </r>
  </si>
  <si>
    <r>
      <t xml:space="preserve">a) Initial test report (non-ACI) </t>
    </r>
    <r>
      <rPr>
        <vertAlign val="superscript"/>
        <sz val="10"/>
        <color rgb="FF000000"/>
        <rFont val="Times New Roman"/>
        <family val="1"/>
      </rPr>
      <t>c</t>
    </r>
  </si>
  <si>
    <r>
      <t xml:space="preserve">b) Initial test report (ACI) </t>
    </r>
    <r>
      <rPr>
        <vertAlign val="superscript"/>
        <sz val="10"/>
        <color rgb="FF000000"/>
        <rFont val="Times New Roman"/>
        <family val="1"/>
      </rPr>
      <t>c</t>
    </r>
  </si>
  <si>
    <t>4)  Annual compliance reports</t>
  </si>
  <si>
    <r>
      <t xml:space="preserve">a) Annual compliance report (non-ACI, for units using stack tests) </t>
    </r>
    <r>
      <rPr>
        <vertAlign val="superscript"/>
        <sz val="10"/>
        <color rgb="FF000000"/>
        <rFont val="Times New Roman"/>
        <family val="1"/>
      </rPr>
      <t>f</t>
    </r>
  </si>
  <si>
    <r>
      <t xml:space="preserve">b) Annual compliance report (non-ACI, for units using the SMOC or AWC) </t>
    </r>
    <r>
      <rPr>
        <vertAlign val="superscript"/>
        <sz val="10"/>
        <rFont val="Times New Roman"/>
        <family val="1"/>
      </rPr>
      <t>f</t>
    </r>
  </si>
  <si>
    <r>
      <t xml:space="preserve">c) Annual compliance report (ACI) </t>
    </r>
    <r>
      <rPr>
        <vertAlign val="superscript"/>
        <sz val="10"/>
        <rFont val="Times New Roman"/>
        <family val="1"/>
      </rPr>
      <t>g</t>
    </r>
  </si>
  <si>
    <r>
      <t>5)  Semiannual deviation reports</t>
    </r>
    <r>
      <rPr>
        <vertAlign val="superscript"/>
        <sz val="10"/>
        <color rgb="FF000000"/>
        <rFont val="Times New Roman"/>
        <family val="1"/>
      </rPr>
      <t xml:space="preserve"> i</t>
    </r>
  </si>
  <si>
    <t>6)  Notification of final compliance</t>
  </si>
  <si>
    <t>Subtotal for Reporting Requirements</t>
  </si>
  <si>
    <t>4.  Recordkeeping requirements</t>
  </si>
  <si>
    <r>
      <t xml:space="preserve">     A. Familiarize with rule requirements</t>
    </r>
    <r>
      <rPr>
        <vertAlign val="superscript"/>
        <sz val="10"/>
        <rFont val="Times New Roman"/>
        <family val="1"/>
      </rPr>
      <t>c</t>
    </r>
  </si>
  <si>
    <t>See 3A</t>
  </si>
  <si>
    <t xml:space="preserve">     B.  Plan activities</t>
  </si>
  <si>
    <t xml:space="preserve">     C.  Implement activities</t>
  </si>
  <si>
    <t xml:space="preserve">     D.  Develop record system</t>
  </si>
  <si>
    <t xml:space="preserve">     E.  Record information</t>
  </si>
  <si>
    <r>
      <t xml:space="preserve">1)  Records of </t>
    </r>
    <r>
      <rPr>
        <sz val="10"/>
        <rFont val="Times New Roman"/>
        <family val="1"/>
      </rPr>
      <t>malfunctions</t>
    </r>
    <r>
      <rPr>
        <sz val="10"/>
        <color rgb="FF000000"/>
        <rFont val="Times New Roman"/>
        <family val="1"/>
      </rPr>
      <t xml:space="preserve"> </t>
    </r>
    <r>
      <rPr>
        <vertAlign val="superscript"/>
        <sz val="10"/>
        <color rgb="FF000000"/>
        <rFont val="Times New Roman"/>
        <family val="1"/>
      </rPr>
      <t>h</t>
    </r>
  </si>
  <si>
    <r>
      <t xml:space="preserve">2)  Records of emission rate computations, all emission exceedances and periods when there is no data </t>
    </r>
    <r>
      <rPr>
        <vertAlign val="superscript"/>
        <sz val="10"/>
        <color rgb="FF000000"/>
        <rFont val="Times New Roman"/>
        <family val="1"/>
      </rPr>
      <t>i,k</t>
    </r>
  </si>
  <si>
    <t xml:space="preserve">3)  Records of employee review of operations manual </t>
  </si>
  <si>
    <r>
      <t xml:space="preserve">4)  Record of control devices operating parameters </t>
    </r>
    <r>
      <rPr>
        <vertAlign val="superscript"/>
        <sz val="10"/>
        <color rgb="FF000000"/>
        <rFont val="Times New Roman"/>
        <family val="1"/>
      </rPr>
      <t>k,f</t>
    </r>
  </si>
  <si>
    <t>5)  Initial Records of waste burned and information on representative test (weekly)</t>
  </si>
  <si>
    <t>6)  Copy of representative performance test and documention</t>
  </si>
  <si>
    <t>7)  Records of quarterly waste burned and operating information</t>
  </si>
  <si>
    <t>8) Quarterly records of waste characterization, including % of each waste category</t>
  </si>
  <si>
    <t>9) Records of deviations</t>
  </si>
  <si>
    <t>F.  Perform Audits</t>
  </si>
  <si>
    <t>Subtotal for Recordkeeping Requirements</t>
  </si>
  <si>
    <r>
      <t>TOTAL (rounded)</t>
    </r>
    <r>
      <rPr>
        <b/>
        <vertAlign val="superscript"/>
        <sz val="10"/>
        <rFont val="Times New Roman"/>
        <family val="1"/>
      </rPr>
      <t>j</t>
    </r>
  </si>
  <si>
    <t>Assumptions:</t>
  </si>
  <si>
    <r>
      <t>a</t>
    </r>
    <r>
      <rPr>
        <sz val="10"/>
        <rFont val="Times New Roman"/>
        <family val="1"/>
      </rPr>
      <t xml:space="preserve"> EPA estimates that there are 2 existing facilities subject to 40 CFR 60, Subpart EEEE with capacities greater than or equal to 10 tons per day.  These 2 have already conducted initial testing. There is no incremental burden to the respondents due to the final rule requirements.</t>
    </r>
  </si>
  <si>
    <r>
      <t xml:space="preserve">b  </t>
    </r>
    <r>
      <rPr>
        <sz val="10"/>
        <rFont val="Times New Roman"/>
        <family val="1"/>
      </rPr>
      <t>This ICR uses the following labor rates: $145.99 (technical), $177.98 (managerial), and $74.28 (clerical).  These rates are from the United States Department of Labor, Bureau of Labor Statistics, September 2024, “Table 2. Civilian workers, by occupational and industry group.”  The rates are from column 1, “Total compensation.”  They have been increased by 110 percent to account for the benefit packages available to those employed by private industry.</t>
    </r>
  </si>
  <si>
    <r>
      <t>c</t>
    </r>
    <r>
      <rPr>
        <sz val="10"/>
        <rFont val="Times New Roman"/>
        <family val="1"/>
      </rPr>
      <t xml:space="preserve">  This estimate includes additional burden for a one-time only cost for new respondents from revisions to the final rule.</t>
    </r>
    <r>
      <rPr>
        <vertAlign val="superscript"/>
        <sz val="10"/>
        <rFont val="Times New Roman"/>
        <family val="1"/>
      </rPr>
      <t xml:space="preserve"> </t>
    </r>
    <r>
      <rPr>
        <sz val="10"/>
        <rFont val="Times New Roman"/>
        <family val="1"/>
      </rPr>
      <t>Note that the waste management plan is submitted as part of the preconstruction report.  We have assumed that the existing units have already completed the waste management plan.</t>
    </r>
  </si>
  <si>
    <r>
      <t>d</t>
    </r>
    <r>
      <rPr>
        <sz val="10"/>
        <rFont val="Times New Roman"/>
        <family val="1"/>
      </rPr>
      <t xml:space="preserve">  We have assumed that no respondents would be required to repeat a performance test.</t>
    </r>
  </si>
  <si>
    <r>
      <t xml:space="preserve">e </t>
    </r>
    <r>
      <rPr>
        <sz val="10"/>
        <rFont val="Times New Roman"/>
        <family val="1"/>
      </rPr>
      <t>We have assumed that the two existing units subject to EEEE have CEMS, and these two units have already completed the initial demonstration; therefore no respondents will submit an intitial demonstration report.</t>
    </r>
  </si>
  <si>
    <r>
      <t>f</t>
    </r>
    <r>
      <rPr>
        <sz val="10"/>
        <rFont val="Times New Roman"/>
        <family val="1"/>
      </rPr>
      <t xml:space="preserve">  We have assumed that the two respondents will continue to record daily calibration and operation or control device operating parameters and conduct annual performance tests. </t>
    </r>
  </si>
  <si>
    <r>
      <rPr>
        <vertAlign val="superscript"/>
        <sz val="10"/>
        <rFont val="Times New Roman"/>
        <family val="1"/>
      </rPr>
      <t>g</t>
    </r>
    <r>
      <rPr>
        <sz val="10"/>
        <rFont val="Times New Roman"/>
        <family val="1"/>
      </rPr>
      <t xml:space="preserve">  We have assumed that the facilities not conducting initial performance tests will submit an annual compliance report. However, these are existing requirements and there is no incremental burden due to the proposed requirements.</t>
    </r>
  </si>
  <si>
    <r>
      <t xml:space="preserve">h </t>
    </r>
    <r>
      <rPr>
        <sz val="10"/>
        <rFont val="Times New Roman"/>
        <family val="1"/>
      </rPr>
      <t xml:space="preserve"> We have assumed that each respondent will record information 52 times per year.</t>
    </r>
  </si>
  <si>
    <r>
      <t xml:space="preserve">i </t>
    </r>
    <r>
      <rPr>
        <sz val="10"/>
        <color rgb="FF000000"/>
        <rFont val="Times New Roman"/>
        <family val="1"/>
      </rPr>
      <t>We have assumed that 10 percent of the non-ACI respondents will report exceedances.</t>
    </r>
  </si>
  <si>
    <r>
      <t xml:space="preserve">j </t>
    </r>
    <r>
      <rPr>
        <sz val="10"/>
        <color rgb="FF000000"/>
        <rFont val="Times New Roman"/>
        <family val="1"/>
      </rPr>
      <t>Totals have been rounded to 3 significant figures. Figures may not add exactly due to rounding.</t>
    </r>
  </si>
  <si>
    <r>
      <rPr>
        <vertAlign val="superscript"/>
        <sz val="10"/>
        <rFont val="Times New Roman"/>
        <family val="1"/>
      </rPr>
      <t>k</t>
    </r>
    <r>
      <rPr>
        <sz val="10"/>
        <rFont val="Times New Roman"/>
        <family val="1"/>
      </rPr>
      <t xml:space="preserve"> We have assumed that each respondent will record information 52 times per year. The non-labor costs shown for control device operating parameters are total cost for the entire year, not the cost per occurrence.</t>
    </r>
  </si>
  <si>
    <t>Table 2: Annual Respondent Burden and Cost – NSPS for Other Solid Waste Incineration Units (40 CFR Part 60, Subpart EEEE) (Final Rule) - Year 2  Burden</t>
  </si>
  <si>
    <r>
      <t xml:space="preserve">     A.  Familiarize with rule requirements</t>
    </r>
    <r>
      <rPr>
        <vertAlign val="superscript"/>
        <sz val="10"/>
        <rFont val="Times New Roman"/>
        <family val="1"/>
      </rPr>
      <t>c</t>
    </r>
  </si>
  <si>
    <r>
      <t xml:space="preserve">a) Initial performance tests (PM, dioxins/furans, opacity, fugitives, HCl, Cd, Pb, Hg) </t>
    </r>
    <r>
      <rPr>
        <vertAlign val="superscript"/>
        <sz val="10"/>
        <rFont val="Times New Roman"/>
        <family val="1"/>
      </rPr>
      <t>c</t>
    </r>
  </si>
  <si>
    <r>
      <t xml:space="preserve">b) Repeat of initial performance tests </t>
    </r>
    <r>
      <rPr>
        <vertAlign val="superscript"/>
        <sz val="10"/>
        <rFont val="Times New Roman"/>
        <family val="1"/>
      </rPr>
      <t>c,d</t>
    </r>
  </si>
  <si>
    <r>
      <t xml:space="preserve">c) Initial performance tests - Air Curtain Incinerators (opacity) </t>
    </r>
    <r>
      <rPr>
        <vertAlign val="superscript"/>
        <sz val="10"/>
        <rFont val="Times New Roman"/>
        <family val="1"/>
      </rPr>
      <t>c</t>
    </r>
  </si>
  <si>
    <r>
      <t xml:space="preserve">d) Repeat of initial performance tests - Air Curtain Incinerators </t>
    </r>
    <r>
      <rPr>
        <vertAlign val="superscript"/>
        <sz val="10"/>
        <rFont val="Times New Roman"/>
        <family val="1"/>
      </rPr>
      <t>c,d</t>
    </r>
  </si>
  <si>
    <r>
      <t xml:space="preserve">a) Initial demonstration </t>
    </r>
    <r>
      <rPr>
        <vertAlign val="superscript"/>
        <sz val="10"/>
        <rFont val="Times New Roman"/>
        <family val="1"/>
      </rPr>
      <t>e</t>
    </r>
  </si>
  <si>
    <r>
      <t>3)  Annual performance tests and test reports (PM, dioxins/furans, opacity, fugitives, HCl, Cd, Pb, Hg)</t>
    </r>
    <r>
      <rPr>
        <vertAlign val="superscript"/>
        <sz val="10"/>
        <rFont val="Times New Roman"/>
        <family val="1"/>
      </rPr>
      <t>f</t>
    </r>
  </si>
  <si>
    <r>
      <t>4)  Annual performance tests and test reports - Air Curtain Incinerators (opacity)</t>
    </r>
    <r>
      <rPr>
        <vertAlign val="superscript"/>
        <sz val="10"/>
        <rFont val="Times New Roman"/>
        <family val="1"/>
      </rPr>
      <t>f</t>
    </r>
  </si>
  <si>
    <r>
      <t xml:space="preserve">a)  RATA audit (one per year) </t>
    </r>
    <r>
      <rPr>
        <vertAlign val="superscript"/>
        <sz val="10"/>
        <rFont val="Times New Roman"/>
        <family val="1"/>
      </rPr>
      <t>f</t>
    </r>
  </si>
  <si>
    <r>
      <t xml:space="preserve">b)  RAA audit (three per year) </t>
    </r>
    <r>
      <rPr>
        <vertAlign val="superscript"/>
        <sz val="10"/>
        <rFont val="Times New Roman"/>
        <family val="1"/>
      </rPr>
      <t>f</t>
    </r>
  </si>
  <si>
    <r>
      <t xml:space="preserve">c)  Daily calibration and operation </t>
    </r>
    <r>
      <rPr>
        <vertAlign val="superscript"/>
        <sz val="10"/>
        <rFont val="Times New Roman"/>
        <family val="1"/>
      </rPr>
      <t>f</t>
    </r>
  </si>
  <si>
    <r>
      <t>1)  Preconstruction report</t>
    </r>
    <r>
      <rPr>
        <vertAlign val="superscript"/>
        <sz val="10"/>
        <rFont val="Times New Roman"/>
        <family val="1"/>
      </rPr>
      <t>c</t>
    </r>
    <r>
      <rPr>
        <sz val="10"/>
        <rFont val="Times New Roman"/>
        <family val="1"/>
      </rPr>
      <t xml:space="preserve"> </t>
    </r>
  </si>
  <si>
    <r>
      <t>2)  Startup notification</t>
    </r>
    <r>
      <rPr>
        <vertAlign val="superscript"/>
        <sz val="10"/>
        <rFont val="Times New Roman"/>
        <family val="1"/>
      </rPr>
      <t>c</t>
    </r>
  </si>
  <si>
    <r>
      <t xml:space="preserve">3)  Initial test report </t>
    </r>
    <r>
      <rPr>
        <vertAlign val="superscript"/>
        <sz val="10"/>
        <rFont val="Times New Roman"/>
        <family val="1"/>
      </rPr>
      <t>c</t>
    </r>
  </si>
  <si>
    <r>
      <t xml:space="preserve">a) Initial test report (non-ACI) </t>
    </r>
    <r>
      <rPr>
        <vertAlign val="superscript"/>
        <sz val="10"/>
        <rFont val="Times New Roman"/>
        <family val="1"/>
      </rPr>
      <t>c</t>
    </r>
  </si>
  <si>
    <r>
      <t xml:space="preserve">b) Initial test report (ACI) </t>
    </r>
    <r>
      <rPr>
        <vertAlign val="superscript"/>
        <sz val="10"/>
        <rFont val="Times New Roman"/>
        <family val="1"/>
      </rPr>
      <t>c</t>
    </r>
  </si>
  <si>
    <r>
      <t>5)  Semiannual deviation reports</t>
    </r>
    <r>
      <rPr>
        <vertAlign val="superscript"/>
        <sz val="10"/>
        <rFont val="Times New Roman"/>
        <family val="1"/>
      </rPr>
      <t xml:space="preserve"> i</t>
    </r>
  </si>
  <si>
    <r>
      <t xml:space="preserve">1)  Records of malfunctions </t>
    </r>
    <r>
      <rPr>
        <vertAlign val="superscript"/>
        <sz val="10"/>
        <rFont val="Times New Roman"/>
        <family val="1"/>
      </rPr>
      <t>h</t>
    </r>
  </si>
  <si>
    <r>
      <t xml:space="preserve">2)  Records of emission rate computations, all emission exceedances and periods when there is no data </t>
    </r>
    <r>
      <rPr>
        <vertAlign val="superscript"/>
        <sz val="10"/>
        <rFont val="Times New Roman"/>
        <family val="1"/>
      </rPr>
      <t>i,k</t>
    </r>
  </si>
  <si>
    <r>
      <t xml:space="preserve">4)  Record of control devices operating parameters </t>
    </r>
    <r>
      <rPr>
        <vertAlign val="superscript"/>
        <sz val="10"/>
        <rFont val="Times New Roman"/>
        <family val="1"/>
      </rPr>
      <t>k,f</t>
    </r>
  </si>
  <si>
    <r>
      <t xml:space="preserve">i </t>
    </r>
    <r>
      <rPr>
        <sz val="10"/>
        <rFont val="Times New Roman"/>
        <family val="1"/>
      </rPr>
      <t>We have assumed that 10 percent of the non-ACI respondents will report exceedances.</t>
    </r>
  </si>
  <si>
    <r>
      <t xml:space="preserve">j </t>
    </r>
    <r>
      <rPr>
        <sz val="10"/>
        <rFont val="Times New Roman"/>
        <family val="1"/>
      </rPr>
      <t>Totals have been rounded to 3 significant figures. Figures may not add exactly due to rounding.</t>
    </r>
  </si>
  <si>
    <t>Table 3: Annual Respondent Burden and Cost – NSPS for Other Solid Waste Incineration Units (40 CFR Part 60, Subpart EEEE) (Final Rule) - Year 3 Burden</t>
  </si>
  <si>
    <t>Table 4 - Summary of Annual Respondent Burden and Cost of Recordkeeping and Reporting Requirements - NSPS for Other Solid Waste Incineration Units (40 CFR Part 60, Subpart EEEE) (Final Rule)</t>
  </si>
  <si>
    <t>Year</t>
  </si>
  <si>
    <t>Technical Hours</t>
  </si>
  <si>
    <t>Clerical Hours</t>
  </si>
  <si>
    <t>Management Hours</t>
  </si>
  <si>
    <t>Total Labor Hours</t>
  </si>
  <si>
    <t>Labor Costs</t>
  </si>
  <si>
    <t>Non-Labor (Capital/Startup and O&amp;M) Costs</t>
  </si>
  <si>
    <t>Total Costs</t>
  </si>
  <si>
    <t>Total</t>
  </si>
  <si>
    <t>Average</t>
  </si>
  <si>
    <t>Number of Responses</t>
  </si>
  <si>
    <t>Reporting Hours</t>
  </si>
  <si>
    <t>Recordkeeping Hours</t>
  </si>
  <si>
    <t>Total Hours</t>
  </si>
  <si>
    <t>Hours per Response</t>
  </si>
  <si>
    <t>Hours Per Respondent</t>
  </si>
  <si>
    <t>Table 5 - Summary of Incremental Respondent Burden and Cost of Recordkeeping and Reporting Requirements - NSPS for Other Solid Waste Incineration Units (40 CFR Part 60, Subpart EEEE) (Final Rule)</t>
  </si>
  <si>
    <t>Table 6:  Average Annual EPA Burden and Cost – NSPS for Other Solid Waste Incineration Units (40 CFR Part 60, Subpart EEEE) (Final Rule) - Year 1 Burden</t>
  </si>
  <si>
    <t>Updated to 2024 dollars</t>
  </si>
  <si>
    <t>Activity</t>
  </si>
  <si>
    <t>(A)</t>
  </si>
  <si>
    <t>(B)</t>
  </si>
  <si>
    <t>(C)</t>
  </si>
  <si>
    <t>(D)</t>
  </si>
  <si>
    <t>(E)</t>
  </si>
  <si>
    <t>(F)</t>
  </si>
  <si>
    <t>(G)</t>
  </si>
  <si>
    <t>(H)</t>
  </si>
  <si>
    <t>EPA person- hours per occurrence</t>
  </si>
  <si>
    <t>No. of occurrences per plant per year</t>
  </si>
  <si>
    <t>EPA person- hours per plant per year (C=AxB)</t>
  </si>
  <si>
    <r>
      <t xml:space="preserve">Plants per year  </t>
    </r>
    <r>
      <rPr>
        <b/>
        <vertAlign val="superscript"/>
        <sz val="12"/>
        <rFont val="Times New Roman"/>
        <family val="1"/>
      </rPr>
      <t>a</t>
    </r>
  </si>
  <si>
    <t>Technical person- hours per year (E=CxD)</t>
  </si>
  <si>
    <t>Management person-hours per year (Ex0.05)</t>
  </si>
  <si>
    <t>Clerical person-hours per year (Ex0.1)</t>
  </si>
  <si>
    <r>
      <t xml:space="preserve">Cost, $ </t>
    </r>
    <r>
      <rPr>
        <b/>
        <vertAlign val="superscript"/>
        <sz val="12"/>
        <rFont val="Times New Roman"/>
        <family val="1"/>
      </rPr>
      <t>b</t>
    </r>
  </si>
  <si>
    <t>2.  Familiarization with rule requirements</t>
  </si>
  <si>
    <t>3.  Required activities</t>
  </si>
  <si>
    <t xml:space="preserve">     A.  Create information</t>
  </si>
  <si>
    <t xml:space="preserve">     B.  Gather information</t>
  </si>
  <si>
    <t xml:space="preserve">     C.  Report reviews</t>
  </si>
  <si>
    <t xml:space="preserve">          1) Review Notifications</t>
  </si>
  <si>
    <t>a)  Preconstruction report</t>
  </si>
  <si>
    <t>b)  Startup notification</t>
  </si>
  <si>
    <t>c) Notification of intent to use substitute means of compliance</t>
  </si>
  <si>
    <r>
      <t xml:space="preserve">d) Notification of final compliance </t>
    </r>
    <r>
      <rPr>
        <vertAlign val="superscript"/>
        <sz val="10"/>
        <rFont val="Times New Roman"/>
        <family val="1"/>
      </rPr>
      <t>c</t>
    </r>
  </si>
  <si>
    <t xml:space="preserve">          2) Review initial compliance test report</t>
  </si>
  <si>
    <t xml:space="preserve">          3) Review annual compliance report </t>
  </si>
  <si>
    <t>a) Annual compliance report (non-ACI, for units using stack tests)</t>
  </si>
  <si>
    <t>b) Annual compliance report (non-ACI, for units using the SMOC or AWC)</t>
  </si>
  <si>
    <t>c) Annual compliance report (ACI)</t>
  </si>
  <si>
    <t xml:space="preserve">          4) Review semiannual deviation reports</t>
  </si>
  <si>
    <r>
      <t xml:space="preserve">          5)  Review waste management plan </t>
    </r>
    <r>
      <rPr>
        <vertAlign val="superscript"/>
        <sz val="10"/>
        <rFont val="Times New Roman"/>
        <family val="1"/>
      </rPr>
      <t>c</t>
    </r>
  </si>
  <si>
    <r>
      <t>TOTAL ANNUAL BURDEN AND COST (rounded)</t>
    </r>
    <r>
      <rPr>
        <b/>
        <vertAlign val="superscript"/>
        <sz val="10"/>
        <rFont val="Times New Roman"/>
        <family val="1"/>
      </rPr>
      <t>d</t>
    </r>
  </si>
  <si>
    <r>
      <t>a</t>
    </r>
    <r>
      <rPr>
        <sz val="10"/>
        <rFont val="Times New Roman"/>
        <family val="1"/>
      </rPr>
      <t xml:space="preserve">  We have assumed that there are 2 existing respondents, with no additional new or reconstructed sources becoming subject to the rule over the next three years. We assume that the two existing respondents have capacities greater than 10 TPD and would have no new testing, monitoring, recordkeeping, or reporting requirements.  Therefore there is no incremental burden to EPA associated with the proposed requirements for the 2 respondents.</t>
    </r>
  </si>
  <si>
    <r>
      <t>b</t>
    </r>
    <r>
      <rPr>
        <sz val="10"/>
        <rFont val="Times New Roman"/>
        <family val="1"/>
      </rPr>
      <t xml:space="preserve">  This ICR uses the following labor rates: $57.07 (technical), $76.91 (managerial), and $30.88 (clerical).  These rates are from the Office of Personnel Management (OPM), 2024 General Schedule, which excludes locality rates of pay.  The rates have been increased by 60 percent to account for the benefit packages available to government employees.</t>
    </r>
  </si>
  <si>
    <r>
      <t>c</t>
    </r>
    <r>
      <rPr>
        <sz val="12"/>
        <rFont val="Times New Roman"/>
        <family val="1"/>
      </rPr>
      <t xml:space="preserve"> </t>
    </r>
    <r>
      <rPr>
        <sz val="10"/>
        <rFont val="Times New Roman"/>
        <family val="1"/>
      </rPr>
      <t>We have assumed that this is a one-time only cost applicable to new sources.</t>
    </r>
  </si>
  <si>
    <r>
      <rPr>
        <vertAlign val="superscript"/>
        <sz val="12"/>
        <rFont val="Times New Roman"/>
        <family val="1"/>
      </rPr>
      <t>d</t>
    </r>
    <r>
      <rPr>
        <vertAlign val="superscript"/>
        <sz val="10"/>
        <rFont val="Times New Roman"/>
        <family val="1"/>
      </rPr>
      <t xml:space="preserve">  </t>
    </r>
    <r>
      <rPr>
        <sz val="10"/>
        <rFont val="Times New Roman"/>
        <family val="1"/>
      </rPr>
      <t>Totals have been rounded to 3 significant figures.  Figures may not add exactly due to rounding.</t>
    </r>
  </si>
  <si>
    <t>Table7:  Average Annual EPA Burden and Cost – NSPS for Other Solid Waste Incineration Units (40 CFR Part 60, Subpart EEEE) (Final Rule) - Year 2 Burden</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</si>
  <si>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</si>
  <si>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</si>
  <si>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r>
      <t xml:space="preserve">          5)  Review waste management plan </t>
    </r>
    <r>
      <rPr>
        <vertAlign val="superscript"/>
        <sz val="10"/>
        <color theme="1"/>
        <rFont val="Times New Roman"/>
        <family val="1"/>
      </rPr>
      <t>c</t>
    </r>
  </si>
  <si>
    <t>Table 8:  Average Annual EPA Burden and Cost – NSPS for Other Solid Waste Incineration Units (40 CFR Part 60, Subpart EEEE) (Final Rule) - Year 3 Burden</t>
  </si>
  <si>
    <t>Table 9 - Summary of Annual Agency Burden and Cost - NSPS for Existing Other Solid Waste Incineration Units (40 CFR Part 60, Subpart EEEE) (Final Rule)</t>
  </si>
  <si>
    <t>Non-Labor Costs</t>
  </si>
  <si>
    <t>Note: There are no incremental costs to the Agency associated with the final rule amendments.</t>
  </si>
  <si>
    <t>Capital/Startup vs. Operation and Maintenance (O&amp;M) Costs</t>
  </si>
  <si>
    <t>Cost Description</t>
  </si>
  <si>
    <t>Capital/Startup Cost for One Respondent</t>
  </si>
  <si>
    <t xml:space="preserve">Number of New Respondents </t>
  </si>
  <si>
    <t>Total Capital/Startup Cost, (B X C)</t>
  </si>
  <si>
    <t>Annual O&amp;M Costs for One Respondent</t>
  </si>
  <si>
    <t>Number of Respondents with O&amp;M</t>
  </si>
  <si>
    <t>Total O&amp;M,</t>
  </si>
  <si>
    <t>(E X F)</t>
  </si>
  <si>
    <t>Performance Tests (Non-ACI)</t>
  </si>
  <si>
    <t>Performance Tests (ACI)</t>
  </si>
  <si>
    <t>CEMS (CO and O2)</t>
  </si>
  <si>
    <t xml:space="preserve">Control Device </t>
  </si>
  <si>
    <t>Total (rounded)</t>
  </si>
  <si>
    <t>Respondents That Submit Reports</t>
  </si>
  <si>
    <t>Respondents That Do Not Submit Any Reports</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</si>
  <si>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</si>
  <si>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</si>
  <si>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</si>
  <si>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</si>
  <si>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</si>
  <si>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</si>
  <si>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</si>
  <si>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</si>
  <si>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Existing Respondents That Keep Records But Do Not Submit Reports</t>
  </si>
  <si>
    <t>Total Annual Responses
E=(BxC)+D</t>
  </si>
  <si>
    <t>Preconstruction Report</t>
  </si>
  <si>
    <t>Startup notification</t>
  </si>
  <si>
    <t>Notification of intent to use substitute means of compliance</t>
  </si>
  <si>
    <t>Notification of final compliance</t>
  </si>
  <si>
    <t>Initial test report (non-ACI)</t>
  </si>
  <si>
    <t>Initial test report (ACI)</t>
  </si>
  <si>
    <t>Waste Management Plan</t>
  </si>
  <si>
    <t>Semiannual deviation report</t>
  </si>
  <si>
    <t>Annual compliance reports (non-ACI, for units using stack tests)</t>
  </si>
  <si>
    <t>Annual compliance reports (non-ACI, for units using the SMOC)</t>
  </si>
  <si>
    <t>Annual compliance reports (ACI)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</si>
</sst>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3" formatCode="_(* #,##0.00_);_(* \(#,##0.00\);_(* &quot;-&quot;??_);_(@_)"/>
    <numFmt numFmtId="164" formatCode="&quot;$&quot;#,##0"/>
    <numFmt numFmtId="165" formatCode="General_)"/>
    <numFmt numFmtId="166" formatCode="&quot;$&quot;#,##0.00"/>
    <numFmt numFmtId="167" formatCode="0.0"/>
  </numFmts>
  <fonts count="34" x14ac:knownFonts="1">
    <fon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vertAlign val="superscript"/>
      <sz val="10"/>
      <color theme="1"/>
      <name val="Times New Roman"/>
      <family val="1"/>
    </font>
    <font>
      <vertAlign val="superscript"/>
      <sz val="10"/>
      <color rgb="FF000000"/>
      <name val="Times New Roman"/>
      <family val="1"/>
    </font>
    <font>
      <sz val="12"/>
      <color rgb="FF000000"/>
      <name val="Times New Roman"/>
      <family val="1"/>
    </font>
    <font>
      <sz val="11"/>
      <color theme="1"/>
      <name val="Calibri"/>
      <family val="2"/>
      <scheme val="minor"/>
    </font>
    <font>
      <sz val="11"/>
      <color rgb="FFFF0000"/>
      <name val="Calibri"/>
      <family val="2"/>
      <scheme val="minor"/>
    </font>
    <font>
      <b/>
      <sz val="12"/>
      <color rgb="FF000000"/>
      <name val="Times New Roman"/>
      <family val="1"/>
    </font>
    <font>
      <sz val="10"/>
      <name val="Times New Roman"/>
      <family val="1"/>
    </font>
    <font>
      <vertAlign val="superscript"/>
      <sz val="10"/>
      <name val="Times New Roman"/>
      <family val="1"/>
    </font>
    <font>
      <sz val="12"/>
      <color theme="1"/>
      <name val="Times New Roman"/>
      <family val="1"/>
    </font>
    <font>
      <sz val="8"/>
      <name val="Arial"/>
      <family val="2"/>
    </font>
    <font>
      <sz val="10"/>
      <name val="Arial"/>
      <family val="2"/>
    </font>
    <font>
      <sz val="11"/>
      <color theme="1"/>
      <name val="Arial"/>
      <family val="2"/>
    </font>
    <font>
      <sz val="11"/>
      <color theme="1"/>
      <name val="Times New Roman"/>
      <family val="1"/>
    </font>
    <font>
      <b/>
      <vertAlign val="superscript"/>
      <sz val="12"/>
      <color theme="1"/>
      <name val="Times New Roman"/>
      <family val="1"/>
    </font>
    <font>
      <sz val="12"/>
      <name val="Times New Roman"/>
      <family val="1"/>
    </font>
    <font>
      <sz val="11"/>
      <name val="Calibri"/>
      <family val="2"/>
      <scheme val="minor"/>
    </font>
    <font>
      <b/>
      <i/>
      <sz val="10"/>
      <name val="Times New Roman"/>
      <family val="1"/>
    </font>
    <font>
      <b/>
      <sz val="10"/>
      <name val="Times New Roman"/>
      <family val="1"/>
    </font>
    <font>
      <b/>
      <vertAlign val="superscript"/>
      <sz val="10"/>
      <name val="Times New Roman"/>
      <family val="1"/>
    </font>
    <font>
      <vertAlign val="superscript"/>
      <sz val="12"/>
      <name val="Times New Roman"/>
      <family val="1"/>
    </font>
    <font>
      <sz val="11"/>
      <name val="Times New Roman"/>
      <family val="1"/>
    </font>
    <font>
      <b/>
      <sz val="10"/>
      <color rgb="FF000000"/>
      <name val="Times New Roman"/>
      <family val="1"/>
    </font>
    <font>
      <b/>
      <sz val="11"/>
      <color rgb="FF000000"/>
      <name val="Times New Roman"/>
      <family val="1"/>
    </font>
    <font>
      <b/>
      <vertAlign val="superscript"/>
      <sz val="12"/>
      <name val="Times New Roman"/>
      <family val="1"/>
    </font>
    <font>
      <sz val="10"/>
      <name val="Calibri"/>
      <family val="2"/>
      <scheme val="minor"/>
    </font>
    <font>
      <sz val="11"/>
      <color rgb="FF000000"/>
      <name val="Times New Roman"/>
      <family val="1"/>
    </font>
    <font>
      <b/>
      <sz val="11"/>
      <color theme="1"/>
      <name val="Times New Roman"/>
      <family val="1"/>
    </font>
    <font>
      <strike/>
      <sz val="11"/>
      <color theme="1"/>
      <name val="Calibri"/>
      <family val="2"/>
      <scheme val="minor"/>
    </font>
    <font>
      <strike/>
      <sz val="11"/>
      <color theme="1"/>
      <name val="Arial"/>
      <family val="2"/>
    </font>
    <font>
      <b/>
      <i/>
      <strike/>
      <sz val="10"/>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top/>
      <bottom style="thin">
        <color indexed="64"/>
      </bottom>
      <diagonal/>
    </border>
  </borders>
  <cellStyleXfs count="2">
    <xf numFmtId="0" fontId="0" fillId="0" borderId="0"/>
    <xf numFmtId="43" fontId="7" fillId="0" borderId="0" applyFont="0" applyFill="0" applyBorder="0" applyAlignment="0" applyProtection="0"/>
  </cellStyleXfs>
  <cellXfs count="18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7"/>
    </xf>
    <xf numFmtId="0" fontId="1" fillId="0" borderId="1" xfId="0" applyFont="1" applyBorder="1" applyAlignment="1">
      <alignment vertical="center" wrapText="1"/>
    </xf>
    <xf numFmtId="0" fontId="8" fillId="0" borderId="0" xfId="0" applyFont="1"/>
    <xf numFmtId="6" fontId="0" fillId="0" borderId="0" xfId="0" applyNumberFormat="1"/>
    <xf numFmtId="0" fontId="12" fillId="0" borderId="0" xfId="0" applyFont="1"/>
    <xf numFmtId="0" fontId="1" fillId="0" borderId="0" xfId="0" applyFont="1"/>
    <xf numFmtId="0" fontId="1" fillId="0" borderId="1" xfId="0" applyFont="1" applyBorder="1" applyAlignment="1">
      <alignment horizontal="left" wrapText="1"/>
    </xf>
    <xf numFmtId="0" fontId="10" fillId="0" borderId="1" xfId="0" applyFont="1" applyBorder="1" applyAlignment="1">
      <alignment horizontal="left" wrapText="1"/>
    </xf>
    <xf numFmtId="0" fontId="5" fillId="0" borderId="0" xfId="0" applyFont="1"/>
    <xf numFmtId="165" fontId="14" fillId="2" borderId="13" xfId="0" applyNumberFormat="1" applyFont="1" applyFill="1" applyBorder="1" applyAlignment="1">
      <alignment horizontal="center"/>
    </xf>
    <xf numFmtId="165" fontId="14" fillId="2" borderId="14" xfId="0" applyNumberFormat="1" applyFont="1" applyFill="1" applyBorder="1" applyAlignment="1">
      <alignment horizontal="center" wrapText="1"/>
    </xf>
    <xf numFmtId="165" fontId="14" fillId="2" borderId="15" xfId="0" applyNumberFormat="1" applyFont="1" applyFill="1" applyBorder="1" applyAlignment="1">
      <alignment horizontal="center" wrapText="1"/>
    </xf>
    <xf numFmtId="165" fontId="14" fillId="2" borderId="0" xfId="0" applyNumberFormat="1" applyFont="1" applyFill="1" applyAlignment="1">
      <alignment horizontal="left"/>
    </xf>
    <xf numFmtId="165" fontId="14" fillId="2" borderId="16" xfId="0" applyNumberFormat="1" applyFont="1" applyFill="1" applyBorder="1" applyAlignment="1">
      <alignment horizontal="center"/>
    </xf>
    <xf numFmtId="3" fontId="14" fillId="2" borderId="17" xfId="0" applyNumberFormat="1" applyFont="1" applyFill="1" applyBorder="1" applyAlignment="1">
      <alignment horizontal="center"/>
    </xf>
    <xf numFmtId="164" fontId="14" fillId="2" borderId="17" xfId="0" applyNumberFormat="1" applyFont="1" applyFill="1" applyBorder="1" applyAlignment="1">
      <alignment horizontal="center"/>
    </xf>
    <xf numFmtId="164" fontId="14" fillId="2" borderId="18" xfId="0" applyNumberFormat="1" applyFont="1" applyFill="1" applyBorder="1" applyAlignment="1">
      <alignment horizontal="center"/>
    </xf>
    <xf numFmtId="165" fontId="14" fillId="2" borderId="19" xfId="0" applyNumberFormat="1" applyFont="1" applyFill="1" applyBorder="1" applyAlignment="1">
      <alignment horizontal="center"/>
    </xf>
    <xf numFmtId="3" fontId="14" fillId="2" borderId="1" xfId="0" applyNumberFormat="1" applyFont="1" applyFill="1" applyBorder="1" applyAlignment="1">
      <alignment horizontal="center"/>
    </xf>
    <xf numFmtId="164" fontId="14" fillId="2" borderId="1" xfId="0" applyNumberFormat="1" applyFont="1" applyFill="1" applyBorder="1" applyAlignment="1">
      <alignment horizontal="center"/>
    </xf>
    <xf numFmtId="164" fontId="14" fillId="2" borderId="20" xfId="0" applyNumberFormat="1" applyFont="1" applyFill="1" applyBorder="1" applyAlignment="1">
      <alignment horizontal="center"/>
    </xf>
    <xf numFmtId="165" fontId="14" fillId="2" borderId="21" xfId="0" applyNumberFormat="1" applyFont="1" applyFill="1" applyBorder="1" applyAlignment="1">
      <alignment horizontal="center"/>
    </xf>
    <xf numFmtId="3" fontId="14" fillId="2" borderId="22" xfId="0" applyNumberFormat="1" applyFont="1" applyFill="1" applyBorder="1" applyAlignment="1">
      <alignment horizontal="center"/>
    </xf>
    <xf numFmtId="164" fontId="14" fillId="2" borderId="22" xfId="0" applyNumberFormat="1" applyFont="1" applyFill="1" applyBorder="1" applyAlignment="1">
      <alignment horizontal="center"/>
    </xf>
    <xf numFmtId="164" fontId="14" fillId="2" borderId="23" xfId="0" applyNumberFormat="1" applyFont="1" applyFill="1" applyBorder="1" applyAlignment="1">
      <alignment horizontal="center"/>
    </xf>
    <xf numFmtId="165" fontId="14" fillId="2" borderId="24" xfId="0" applyNumberFormat="1" applyFont="1" applyFill="1" applyBorder="1" applyAlignment="1">
      <alignment horizontal="center"/>
    </xf>
    <xf numFmtId="3" fontId="14" fillId="2" borderId="25" xfId="0" applyNumberFormat="1" applyFont="1" applyFill="1" applyBorder="1" applyAlignment="1">
      <alignment horizontal="center"/>
    </xf>
    <xf numFmtId="164" fontId="14" fillId="0" borderId="25" xfId="0" applyNumberFormat="1" applyFont="1" applyBorder="1" applyAlignment="1">
      <alignment horizontal="center"/>
    </xf>
    <xf numFmtId="164" fontId="14" fillId="2" borderId="25" xfId="0" applyNumberFormat="1" applyFont="1" applyFill="1" applyBorder="1" applyAlignment="1">
      <alignment horizontal="center"/>
    </xf>
    <xf numFmtId="164" fontId="14" fillId="2" borderId="26" xfId="0" applyNumberFormat="1" applyFont="1" applyFill="1" applyBorder="1" applyAlignment="1">
      <alignment horizontal="center"/>
    </xf>
    <xf numFmtId="0" fontId="15" fillId="3" borderId="27" xfId="0" applyFont="1" applyFill="1" applyBorder="1"/>
    <xf numFmtId="0" fontId="15" fillId="3" borderId="0" xfId="0" applyFont="1" applyFill="1"/>
    <xf numFmtId="0" fontId="15" fillId="3" borderId="28" xfId="0" applyFont="1" applyFill="1" applyBorder="1"/>
    <xf numFmtId="165" fontId="14" fillId="0" borderId="14" xfId="0" applyNumberFormat="1" applyFont="1" applyBorder="1" applyAlignment="1">
      <alignment horizontal="center" wrapText="1"/>
    </xf>
    <xf numFmtId="165" fontId="14" fillId="0" borderId="15" xfId="0" applyNumberFormat="1" applyFont="1" applyBorder="1" applyAlignment="1">
      <alignment horizontal="center" wrapText="1"/>
    </xf>
    <xf numFmtId="3" fontId="14" fillId="0" borderId="17" xfId="0" applyNumberFormat="1" applyFont="1" applyBorder="1" applyAlignment="1">
      <alignment horizontal="center"/>
    </xf>
    <xf numFmtId="3" fontId="14" fillId="0" borderId="18" xfId="0" applyNumberFormat="1" applyFont="1" applyBorder="1" applyAlignment="1">
      <alignment horizontal="center"/>
    </xf>
    <xf numFmtId="3" fontId="14" fillId="0" borderId="1" xfId="0" applyNumberFormat="1" applyFont="1" applyBorder="1" applyAlignment="1">
      <alignment horizontal="center"/>
    </xf>
    <xf numFmtId="3" fontId="14" fillId="0" borderId="22" xfId="0" applyNumberFormat="1" applyFont="1" applyBorder="1" applyAlignment="1">
      <alignment horizontal="center"/>
    </xf>
    <xf numFmtId="3" fontId="14" fillId="0" borderId="23" xfId="0" applyNumberFormat="1" applyFont="1" applyBorder="1" applyAlignment="1">
      <alignment horizontal="center"/>
    </xf>
    <xf numFmtId="3" fontId="14" fillId="0" borderId="26" xfId="0" applyNumberFormat="1" applyFont="1" applyBorder="1" applyAlignment="1">
      <alignment horizontal="center"/>
    </xf>
    <xf numFmtId="0" fontId="16" fillId="0" borderId="0" xfId="0" applyFont="1"/>
    <xf numFmtId="0" fontId="1" fillId="0" borderId="1" xfId="0" applyFont="1" applyBorder="1" applyAlignment="1">
      <alignment horizontal="right" vertical="center" wrapText="1" indent="1"/>
    </xf>
    <xf numFmtId="6" fontId="1" fillId="0" borderId="1" xfId="0" applyNumberFormat="1" applyFont="1" applyBorder="1" applyAlignment="1">
      <alignment horizontal="right" vertical="center" wrapText="1" indent="1"/>
    </xf>
    <xf numFmtId="0" fontId="18" fillId="0" borderId="0" xfId="0" applyFont="1"/>
    <xf numFmtId="0" fontId="10" fillId="0" borderId="0" xfId="0" applyFont="1"/>
    <xf numFmtId="0" fontId="19" fillId="0" borderId="0" xfId="0" applyFont="1"/>
    <xf numFmtId="0" fontId="10" fillId="0" borderId="0" xfId="0" applyFont="1" applyAlignment="1">
      <alignment horizontal="center" wrapText="1"/>
    </xf>
    <xf numFmtId="0" fontId="10" fillId="0" borderId="1" xfId="0" applyFont="1" applyBorder="1" applyAlignment="1">
      <alignment wrapText="1"/>
    </xf>
    <xf numFmtId="0" fontId="10" fillId="0" borderId="1" xfId="0" applyFont="1" applyBorder="1" applyAlignment="1">
      <alignment horizontal="center" wrapText="1"/>
    </xf>
    <xf numFmtId="0" fontId="10" fillId="0" borderId="1" xfId="0" applyFont="1" applyBorder="1" applyAlignment="1">
      <alignment horizontal="right" wrapText="1"/>
    </xf>
    <xf numFmtId="0" fontId="10" fillId="0" borderId="1" xfId="0" applyFont="1" applyBorder="1"/>
    <xf numFmtId="3" fontId="20" fillId="0" borderId="2" xfId="1" applyNumberFormat="1" applyFont="1" applyFill="1" applyBorder="1" applyAlignment="1">
      <alignment wrapText="1"/>
    </xf>
    <xf numFmtId="0" fontId="9" fillId="0" borderId="31" xfId="0" applyFont="1" applyBorder="1" applyAlignment="1">
      <alignment vertical="center" wrapText="1"/>
    </xf>
    <xf numFmtId="0" fontId="3" fillId="0" borderId="28" xfId="0" applyFont="1" applyBorder="1" applyAlignment="1">
      <alignmen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vertical="center" wrapText="1"/>
    </xf>
    <xf numFmtId="0" fontId="0" fillId="0" borderId="31" xfId="0" applyBorder="1" applyAlignment="1">
      <alignment vertical="top" wrapText="1"/>
    </xf>
    <xf numFmtId="0" fontId="0" fillId="0" borderId="28" xfId="0" applyBorder="1" applyAlignment="1">
      <alignment vertical="top" wrapText="1"/>
    </xf>
    <xf numFmtId="6" fontId="3"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164" fontId="14" fillId="0" borderId="17" xfId="0" applyNumberFormat="1" applyFont="1" applyBorder="1" applyAlignment="1">
      <alignment horizontal="center"/>
    </xf>
    <xf numFmtId="164" fontId="14" fillId="0" borderId="1" xfId="0" applyNumberFormat="1" applyFont="1" applyBorder="1" applyAlignment="1">
      <alignment horizontal="center"/>
    </xf>
    <xf numFmtId="164" fontId="14" fillId="0" borderId="22" xfId="0" applyNumberFormat="1" applyFont="1" applyBorder="1" applyAlignment="1">
      <alignment horizontal="center"/>
    </xf>
    <xf numFmtId="166" fontId="0" fillId="0" borderId="0" xfId="0" applyNumberFormat="1"/>
    <xf numFmtId="0" fontId="10" fillId="0" borderId="1" xfId="0" applyFont="1" applyBorder="1" applyAlignment="1">
      <alignment horizontal="center" vertical="center" wrapText="1"/>
    </xf>
    <xf numFmtId="0" fontId="10" fillId="0" borderId="1" xfId="0" applyFont="1" applyBorder="1" applyAlignment="1">
      <alignment horizontal="right" vertical="center" wrapText="1" indent="1"/>
    </xf>
    <xf numFmtId="3" fontId="14" fillId="0" borderId="25" xfId="0" applyNumberFormat="1" applyFont="1" applyBorder="1" applyAlignment="1">
      <alignment horizontal="center"/>
    </xf>
    <xf numFmtId="3" fontId="10" fillId="0" borderId="1" xfId="0" applyNumberFormat="1" applyFont="1" applyBorder="1" applyAlignment="1">
      <alignment horizontal="center" wrapText="1"/>
    </xf>
    <xf numFmtId="0" fontId="11" fillId="0" borderId="0" xfId="0" applyFont="1"/>
    <xf numFmtId="0" fontId="11" fillId="0" borderId="0" xfId="0" applyFont="1" applyAlignment="1">
      <alignment vertical="center"/>
    </xf>
    <xf numFmtId="0" fontId="24" fillId="0" borderId="0" xfId="0" applyFont="1"/>
    <xf numFmtId="164" fontId="1" fillId="0" borderId="1" xfId="0" applyNumberFormat="1" applyFont="1" applyBorder="1" applyAlignment="1">
      <alignment horizontal="right" vertical="center" wrapText="1" indent="1"/>
    </xf>
    <xf numFmtId="0" fontId="25" fillId="0" borderId="1" xfId="0" applyFont="1" applyBorder="1" applyAlignment="1">
      <alignment vertical="center" wrapText="1"/>
    </xf>
    <xf numFmtId="0" fontId="3" fillId="0" borderId="0" xfId="0" applyFont="1"/>
    <xf numFmtId="0" fontId="25" fillId="0" borderId="1" xfId="0" applyFont="1" applyBorder="1" applyAlignment="1">
      <alignment horizontal="center" vertical="center" wrapText="1"/>
    </xf>
    <xf numFmtId="0" fontId="3" fillId="0" borderId="0" xfId="0" applyFont="1" applyAlignment="1">
      <alignment horizontal="left" wrapText="1" indent="3"/>
    </xf>
    <xf numFmtId="0" fontId="3" fillId="0" borderId="1" xfId="0" applyFont="1" applyBorder="1" applyAlignment="1">
      <alignment horizontal="left" vertical="center" wrapText="1"/>
    </xf>
    <xf numFmtId="0" fontId="16" fillId="0" borderId="0" xfId="0" applyFont="1" applyAlignment="1">
      <alignment vertical="center" wrapText="1"/>
    </xf>
    <xf numFmtId="3" fontId="16" fillId="0" borderId="0" xfId="0" applyNumberFormat="1" applyFont="1"/>
    <xf numFmtId="6" fontId="16" fillId="0" borderId="0" xfId="0" applyNumberFormat="1" applyFont="1"/>
    <xf numFmtId="6" fontId="10" fillId="0" borderId="1" xfId="0" applyNumberFormat="1" applyFont="1" applyBorder="1" applyAlignment="1">
      <alignment horizontal="center" wrapText="1"/>
    </xf>
    <xf numFmtId="8" fontId="10" fillId="0" borderId="1" xfId="0" applyNumberFormat="1" applyFont="1" applyBorder="1" applyAlignment="1">
      <alignment horizontal="right" wrapText="1"/>
    </xf>
    <xf numFmtId="164" fontId="10" fillId="0" borderId="1" xfId="0" applyNumberFormat="1" applyFont="1" applyBorder="1"/>
    <xf numFmtId="0" fontId="3" fillId="0" borderId="1" xfId="0" applyFont="1" applyBorder="1" applyAlignment="1">
      <alignment horizontal="left" wrapText="1" indent="3"/>
    </xf>
    <xf numFmtId="0" fontId="3" fillId="0" borderId="1" xfId="0" applyFont="1" applyBorder="1" applyAlignment="1">
      <alignment horizontal="left" wrapText="1" indent="4"/>
    </xf>
    <xf numFmtId="164" fontId="10" fillId="0" borderId="1" xfId="0" applyNumberFormat="1" applyFont="1" applyBorder="1" applyAlignment="1">
      <alignment horizontal="right" wrapText="1"/>
    </xf>
    <xf numFmtId="164" fontId="10" fillId="0" borderId="0" xfId="0" applyNumberFormat="1" applyFont="1"/>
    <xf numFmtId="0" fontId="1" fillId="0" borderId="1" xfId="0" applyFont="1" applyBorder="1" applyAlignment="1">
      <alignment horizontal="left" vertical="center" wrapText="1"/>
    </xf>
    <xf numFmtId="164" fontId="10" fillId="0" borderId="1" xfId="0" applyNumberFormat="1" applyFont="1" applyBorder="1" applyAlignment="1">
      <alignment horizontal="center" wrapText="1"/>
    </xf>
    <xf numFmtId="0" fontId="1" fillId="0" borderId="1" xfId="0" applyFont="1" applyBorder="1" applyAlignment="1">
      <alignment horizontal="left" vertical="center" wrapText="1" indent="4"/>
    </xf>
    <xf numFmtId="0" fontId="10" fillId="0" borderId="1" xfId="0" applyFont="1" applyBorder="1" applyAlignment="1">
      <alignment horizontal="left" wrapText="1" indent="1"/>
    </xf>
    <xf numFmtId="0" fontId="3" fillId="0" borderId="1" xfId="0" applyFont="1" applyBorder="1" applyAlignment="1">
      <alignment horizontal="left" vertical="center" wrapText="1" indent="4"/>
    </xf>
    <xf numFmtId="0" fontId="3" fillId="0" borderId="1" xfId="0" applyFont="1" applyBorder="1" applyAlignment="1">
      <alignment horizontal="left" vertical="center" wrapText="1" indent="3"/>
    </xf>
    <xf numFmtId="38" fontId="20" fillId="0" borderId="1" xfId="0" applyNumberFormat="1" applyFont="1" applyBorder="1" applyAlignment="1">
      <alignment horizontal="center" wrapText="1"/>
    </xf>
    <xf numFmtId="6" fontId="20" fillId="0" borderId="1" xfId="0" applyNumberFormat="1" applyFont="1" applyBorder="1" applyAlignment="1">
      <alignment horizontal="right" wrapText="1"/>
    </xf>
    <xf numFmtId="164" fontId="20" fillId="0" borderId="1" xfId="0" applyNumberFormat="1" applyFont="1" applyBorder="1" applyAlignment="1">
      <alignment horizontal="right" wrapText="1"/>
    </xf>
    <xf numFmtId="38" fontId="20" fillId="0" borderId="1" xfId="0" applyNumberFormat="1" applyFont="1" applyBorder="1" applyAlignment="1">
      <alignment horizontal="right" wrapText="1"/>
    </xf>
    <xf numFmtId="6" fontId="10" fillId="0" borderId="1" xfId="0" applyNumberFormat="1" applyFont="1" applyBorder="1" applyAlignment="1">
      <alignment horizontal="right" wrapText="1"/>
    </xf>
    <xf numFmtId="0" fontId="10" fillId="0" borderId="5" xfId="0" applyFont="1" applyBorder="1" applyAlignment="1">
      <alignment horizontal="center" wrapText="1"/>
    </xf>
    <xf numFmtId="38" fontId="20" fillId="0" borderId="4" xfId="0" applyNumberFormat="1" applyFont="1" applyBorder="1" applyAlignment="1">
      <alignment horizontal="right" wrapText="1"/>
    </xf>
    <xf numFmtId="6" fontId="20" fillId="0" borderId="4" xfId="0" applyNumberFormat="1" applyFont="1" applyBorder="1" applyAlignment="1">
      <alignment horizontal="right" wrapText="1"/>
    </xf>
    <xf numFmtId="164" fontId="20" fillId="0" borderId="4" xfId="0" applyNumberFormat="1" applyFont="1" applyBorder="1" applyAlignment="1">
      <alignment horizontal="right" wrapText="1"/>
    </xf>
    <xf numFmtId="6" fontId="10" fillId="0" borderId="0" xfId="0" applyNumberFormat="1" applyFont="1"/>
    <xf numFmtId="0" fontId="21" fillId="0" borderId="10" xfId="0" applyFont="1" applyBorder="1" applyAlignment="1">
      <alignment wrapText="1"/>
    </xf>
    <xf numFmtId="0" fontId="21" fillId="0" borderId="11" xfId="0" applyFont="1" applyBorder="1" applyAlignment="1">
      <alignment wrapText="1"/>
    </xf>
    <xf numFmtId="165" fontId="13" fillId="0" borderId="0" xfId="0" applyNumberFormat="1" applyFont="1" applyAlignment="1">
      <alignment horizontal="center" vertical="center"/>
    </xf>
    <xf numFmtId="3" fontId="13" fillId="0" borderId="0" xfId="0" applyNumberFormat="1" applyFont="1" applyAlignment="1">
      <alignment horizontal="center" vertical="center"/>
    </xf>
    <xf numFmtId="5" fontId="13" fillId="0" borderId="0" xfId="0" applyNumberFormat="1" applyFont="1" applyAlignment="1">
      <alignment horizontal="center" vertical="center"/>
    </xf>
    <xf numFmtId="0" fontId="10" fillId="0" borderId="11" xfId="0" applyFont="1" applyBorder="1"/>
    <xf numFmtId="0" fontId="21" fillId="0" borderId="0" xfId="0" applyFont="1"/>
    <xf numFmtId="3" fontId="10" fillId="0" borderId="9" xfId="0" applyNumberFormat="1" applyFont="1" applyBorder="1" applyAlignment="1">
      <alignment horizontal="center" wrapText="1"/>
    </xf>
    <xf numFmtId="0" fontId="10" fillId="0" borderId="1" xfId="0" applyFont="1" applyBorder="1" applyAlignment="1">
      <alignment horizontal="left" wrapText="1" indent="3"/>
    </xf>
    <xf numFmtId="0" fontId="10" fillId="0" borderId="1" xfId="0" applyFont="1" applyBorder="1" applyAlignment="1">
      <alignment horizontal="left" vertical="center" wrapText="1" indent="4"/>
    </xf>
    <xf numFmtId="6" fontId="19" fillId="0" borderId="0" xfId="0" applyNumberFormat="1" applyFont="1"/>
    <xf numFmtId="0" fontId="10" fillId="0" borderId="1" xfId="0" applyFont="1" applyBorder="1" applyAlignment="1">
      <alignment horizontal="left" vertical="center" wrapText="1" indent="1"/>
    </xf>
    <xf numFmtId="6" fontId="10" fillId="0" borderId="1" xfId="0" applyNumberFormat="1" applyFont="1" applyBorder="1" applyAlignment="1">
      <alignment horizontal="right" vertical="center" wrapText="1" indent="1"/>
    </xf>
    <xf numFmtId="0" fontId="10" fillId="0" borderId="1" xfId="0" applyFont="1" applyBorder="1" applyAlignment="1">
      <alignment horizontal="left" vertical="center" wrapText="1" indent="7"/>
    </xf>
    <xf numFmtId="164" fontId="10" fillId="0" borderId="1" xfId="0" applyNumberFormat="1" applyFont="1" applyBorder="1" applyAlignment="1">
      <alignment horizontal="right" vertical="center" wrapText="1" indent="1"/>
    </xf>
    <xf numFmtId="0" fontId="21" fillId="0" borderId="1" xfId="0" applyFont="1" applyBorder="1" applyAlignment="1">
      <alignment horizontal="left" vertical="center" wrapText="1" indent="1"/>
    </xf>
    <xf numFmtId="3" fontId="21" fillId="0" borderId="2" xfId="0" applyNumberFormat="1" applyFont="1" applyBorder="1" applyAlignment="1">
      <alignment horizontal="center" vertical="center" wrapText="1"/>
    </xf>
    <xf numFmtId="6" fontId="21" fillId="0" borderId="1" xfId="0" applyNumberFormat="1" applyFont="1" applyBorder="1" applyAlignment="1">
      <alignment horizontal="center" vertical="center" wrapText="1"/>
    </xf>
    <xf numFmtId="0" fontId="21" fillId="0" borderId="0" xfId="0" applyFont="1" applyAlignment="1">
      <alignment vertical="center"/>
    </xf>
    <xf numFmtId="0" fontId="28" fillId="0" borderId="0" xfId="0" applyFont="1"/>
    <xf numFmtId="0" fontId="26" fillId="0" borderId="1" xfId="0" applyFont="1" applyBorder="1" applyAlignment="1">
      <alignment horizontal="center" vertical="center" wrapText="1"/>
    </xf>
    <xf numFmtId="0" fontId="16" fillId="0" borderId="1" xfId="0" applyFont="1" applyBorder="1"/>
    <xf numFmtId="0" fontId="29" fillId="0" borderId="1" xfId="0" applyFont="1" applyBorder="1" applyAlignment="1">
      <alignment vertical="center" wrapText="1"/>
    </xf>
    <xf numFmtId="0" fontId="29" fillId="0" borderId="1" xfId="0" applyFont="1" applyBorder="1" applyAlignment="1">
      <alignment horizontal="right" vertical="center" wrapText="1"/>
    </xf>
    <xf numFmtId="3" fontId="29" fillId="0" borderId="1" xfId="0" applyNumberFormat="1" applyFont="1" applyBorder="1" applyAlignment="1">
      <alignment horizontal="right" vertical="center" wrapText="1"/>
    </xf>
    <xf numFmtId="164" fontId="0" fillId="0" borderId="0" xfId="0" applyNumberFormat="1"/>
    <xf numFmtId="6" fontId="1" fillId="0" borderId="1" xfId="0" applyNumberFormat="1" applyFont="1" applyBorder="1" applyAlignment="1">
      <alignment horizontal="center" vertical="center" wrapText="1"/>
    </xf>
    <xf numFmtId="0" fontId="24" fillId="0" borderId="1" xfId="0" applyFont="1" applyBorder="1"/>
    <xf numFmtId="0" fontId="3" fillId="0" borderId="1" xfId="0" applyFont="1" applyBorder="1"/>
    <xf numFmtId="1" fontId="16" fillId="0" borderId="0" xfId="0" applyNumberFormat="1" applyFont="1"/>
    <xf numFmtId="0" fontId="31" fillId="0" borderId="0" xfId="0" applyFont="1"/>
    <xf numFmtId="0" fontId="32" fillId="3" borderId="27" xfId="0" applyFont="1" applyFill="1" applyBorder="1"/>
    <xf numFmtId="0" fontId="32" fillId="3" borderId="0" xfId="0" applyFont="1" applyFill="1"/>
    <xf numFmtId="0" fontId="32" fillId="3" borderId="28" xfId="0" applyFont="1" applyFill="1" applyBorder="1"/>
    <xf numFmtId="0" fontId="10" fillId="0" borderId="1" xfId="0" applyFont="1" applyBorder="1" applyAlignment="1">
      <alignment horizontal="left" wrapText="1" indent="4"/>
    </xf>
    <xf numFmtId="0" fontId="10" fillId="0" borderId="1" xfId="0" applyFont="1" applyBorder="1" applyAlignment="1">
      <alignment horizontal="left" vertical="center" wrapText="1"/>
    </xf>
    <xf numFmtId="0" fontId="10" fillId="0" borderId="1" xfId="0" applyFont="1" applyBorder="1" applyAlignment="1">
      <alignment horizontal="left" vertical="center" wrapText="1" indent="3"/>
    </xf>
    <xf numFmtId="167" fontId="10" fillId="0" borderId="1" xfId="0" applyNumberFormat="1" applyFont="1" applyBorder="1" applyAlignment="1">
      <alignment horizontal="center" vertical="center" wrapText="1"/>
    </xf>
    <xf numFmtId="0" fontId="19" fillId="0" borderId="1" xfId="0" applyFont="1" applyBorder="1"/>
    <xf numFmtId="165" fontId="14" fillId="0" borderId="13" xfId="0" applyNumberFormat="1" applyFont="1" applyBorder="1" applyAlignment="1">
      <alignment horizontal="center"/>
    </xf>
    <xf numFmtId="165" fontId="14" fillId="0" borderId="16" xfId="0" applyNumberFormat="1" applyFont="1" applyBorder="1" applyAlignment="1">
      <alignment horizontal="center"/>
    </xf>
    <xf numFmtId="165" fontId="14" fillId="0" borderId="19" xfId="0" applyNumberFormat="1" applyFont="1" applyBorder="1" applyAlignment="1">
      <alignment horizontal="center"/>
    </xf>
    <xf numFmtId="165" fontId="14" fillId="0" borderId="21" xfId="0" applyNumberFormat="1" applyFont="1" applyBorder="1" applyAlignment="1">
      <alignment horizontal="center"/>
    </xf>
    <xf numFmtId="165" fontId="14" fillId="0" borderId="24" xfId="0" applyNumberFormat="1" applyFont="1" applyBorder="1" applyAlignment="1">
      <alignment horizontal="center"/>
    </xf>
    <xf numFmtId="3" fontId="33" fillId="0" borderId="0" xfId="1" applyNumberFormat="1" applyFont="1" applyFill="1" applyBorder="1" applyAlignment="1">
      <alignment wrapText="1"/>
    </xf>
    <xf numFmtId="6" fontId="33" fillId="0" borderId="0" xfId="0" applyNumberFormat="1" applyFont="1" applyAlignment="1">
      <alignment horizontal="right" wrapText="1"/>
    </xf>
    <xf numFmtId="164" fontId="33" fillId="0" borderId="0" xfId="0" applyNumberFormat="1" applyFont="1" applyAlignment="1">
      <alignment horizontal="right" wrapText="1"/>
    </xf>
    <xf numFmtId="38" fontId="33" fillId="0" borderId="0" xfId="0" applyNumberFormat="1" applyFont="1" applyAlignment="1">
      <alignment horizontal="right" wrapText="1"/>
    </xf>
    <xf numFmtId="164" fontId="8" fillId="0" borderId="0" xfId="0" applyNumberFormat="1" applyFont="1"/>
    <xf numFmtId="0" fontId="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16" fillId="0" borderId="0" xfId="0" applyFont="1" applyAlignment="1">
      <alignment horizontal="right"/>
    </xf>
    <xf numFmtId="0" fontId="10" fillId="0" borderId="1" xfId="0" applyFont="1" applyBorder="1" applyAlignment="1">
      <alignment vertical="center" wrapText="1"/>
    </xf>
    <xf numFmtId="0" fontId="26" fillId="0" borderId="0" xfId="0" applyFont="1" applyAlignment="1">
      <alignment horizontal="center"/>
    </xf>
    <xf numFmtId="0" fontId="30" fillId="0" borderId="32" xfId="0" applyFont="1" applyBorder="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20" fillId="0" borderId="1" xfId="0" applyFont="1" applyBorder="1" applyAlignment="1">
      <alignment horizontal="left" wrapText="1"/>
    </xf>
    <xf numFmtId="0" fontId="20" fillId="0" borderId="2" xfId="0" applyFont="1" applyBorder="1" applyAlignment="1">
      <alignment horizontal="left" wrapText="1"/>
    </xf>
    <xf numFmtId="0" fontId="10" fillId="0" borderId="0" xfId="0" applyFont="1" applyAlignment="1">
      <alignment horizontal="left" wrapText="1"/>
    </xf>
    <xf numFmtId="0" fontId="11" fillId="0" borderId="0" xfId="0" applyFont="1" applyAlignment="1">
      <alignment horizontal="left" wrapText="1"/>
    </xf>
    <xf numFmtId="0" fontId="21" fillId="0" borderId="1" xfId="0" applyFont="1" applyBorder="1" applyAlignment="1">
      <alignment horizontal="left" wrapText="1"/>
    </xf>
    <xf numFmtId="0" fontId="21" fillId="0" borderId="1"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 fillId="0" borderId="1"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9"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1" xfId="0" applyFont="1" applyBorder="1" applyAlignment="1">
      <alignment horizontal="left" vertical="top"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314DD-C5A6-48AA-8CF5-713AA9721875}">
  <dimension ref="A1:C16"/>
  <sheetViews>
    <sheetView tabSelected="1" workbookViewId="0">
      <selection activeCell="E7" sqref="E7"/>
    </sheetView>
  </sheetViews>
  <sheetFormatPr defaultRowHeight="15" x14ac:dyDescent="0.25"/>
  <cols>
    <col min="1" max="1" width="27.140625" bestFit="1" customWidth="1"/>
    <col min="2" max="2" width="28" customWidth="1"/>
    <col min="3" max="3" width="34" customWidth="1"/>
  </cols>
  <sheetData>
    <row r="1" spans="1:3" x14ac:dyDescent="0.25">
      <c r="A1" s="164" t="s">
        <v>0</v>
      </c>
      <c r="B1" s="164"/>
    </row>
    <row r="2" spans="1:3" x14ac:dyDescent="0.25">
      <c r="A2" s="83" t="s">
        <v>1</v>
      </c>
      <c r="B2" s="138">
        <f>Respondent_Summary!H14</f>
        <v>408.36500000000001</v>
      </c>
    </row>
    <row r="3" spans="1:3" x14ac:dyDescent="0.25">
      <c r="A3" s="83" t="s">
        <v>2</v>
      </c>
      <c r="B3" s="84">
        <f>Respondent_Summary!C14</f>
        <v>2</v>
      </c>
    </row>
    <row r="4" spans="1:3" x14ac:dyDescent="0.25">
      <c r="A4" s="83" t="s">
        <v>3</v>
      </c>
      <c r="B4" s="84">
        <f>Respondent_Summary!G14</f>
        <v>816.73</v>
      </c>
    </row>
    <row r="5" spans="1:3" x14ac:dyDescent="0.25">
      <c r="A5" s="83" t="s">
        <v>4</v>
      </c>
      <c r="B5" s="85">
        <f>Respondent_Summary!I7</f>
        <v>421000</v>
      </c>
    </row>
    <row r="6" spans="1:3" x14ac:dyDescent="0.25">
      <c r="A6" s="83" t="s">
        <v>5</v>
      </c>
      <c r="B6" s="85">
        <f>Respondent_Summary!H7</f>
        <v>306000</v>
      </c>
    </row>
    <row r="7" spans="1:3" x14ac:dyDescent="0.25">
      <c r="A7" s="83" t="s">
        <v>6</v>
      </c>
      <c r="B7" s="162" t="s">
        <v>7</v>
      </c>
    </row>
    <row r="11" spans="1:3" x14ac:dyDescent="0.25">
      <c r="A11" s="165" t="s">
        <v>8</v>
      </c>
      <c r="B11" s="165"/>
      <c r="C11" s="165"/>
    </row>
    <row r="12" spans="1:3" ht="28.5" customHeight="1" x14ac:dyDescent="0.25">
      <c r="A12" s="129"/>
      <c r="B12" s="130" t="s">
        <v>9</v>
      </c>
      <c r="C12" s="130" t="s">
        <v>10</v>
      </c>
    </row>
    <row r="13" spans="1:3" ht="28.5" customHeight="1" x14ac:dyDescent="0.25">
      <c r="A13" s="131" t="s">
        <v>11</v>
      </c>
      <c r="B13" s="130">
        <v>2</v>
      </c>
      <c r="C13" s="130">
        <v>110</v>
      </c>
    </row>
    <row r="14" spans="1:3" x14ac:dyDescent="0.25">
      <c r="A14" s="131" t="s">
        <v>12</v>
      </c>
      <c r="B14" s="133">
        <f>Respondent_Summary!D14</f>
        <v>2</v>
      </c>
      <c r="C14" s="132">
        <v>242</v>
      </c>
    </row>
    <row r="15" spans="1:3" x14ac:dyDescent="0.25">
      <c r="A15" s="131" t="s">
        <v>13</v>
      </c>
      <c r="B15" s="133">
        <f>Respondent_Summary!G14</f>
        <v>816.73</v>
      </c>
      <c r="C15" s="133">
        <v>80771</v>
      </c>
    </row>
    <row r="16" spans="1:3" x14ac:dyDescent="0.25">
      <c r="A16" s="131" t="s">
        <v>14</v>
      </c>
      <c r="B16" s="133">
        <v>306000</v>
      </c>
      <c r="C16" s="133">
        <v>2720000</v>
      </c>
    </row>
  </sheetData>
  <mergeCells count="2">
    <mergeCell ref="A1:B1"/>
    <mergeCell ref="A11:C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77BB-50DA-4CA9-A17A-D0482F4308D2}">
  <dimension ref="A1:G15"/>
  <sheetViews>
    <sheetView workbookViewId="0">
      <selection activeCell="D15" sqref="D15"/>
    </sheetView>
  </sheetViews>
  <sheetFormatPr defaultRowHeight="15" x14ac:dyDescent="0.25"/>
  <cols>
    <col min="1" max="1" width="32.42578125" customWidth="1"/>
    <col min="2" max="2" width="19.85546875" customWidth="1"/>
    <col min="3" max="3" width="15.7109375" customWidth="1"/>
    <col min="4" max="4" width="16.5703125" customWidth="1"/>
    <col min="5" max="5" width="16.140625" customWidth="1"/>
    <col min="6" max="6" width="14.7109375" customWidth="1"/>
    <col min="7" max="7" width="10.7109375" customWidth="1"/>
  </cols>
  <sheetData>
    <row r="1" spans="1:7" ht="15.75" thickBot="1" x14ac:dyDescent="0.3"/>
    <row r="2" spans="1:7" ht="15.75" x14ac:dyDescent="0.25">
      <c r="A2" s="178"/>
      <c r="B2" s="179"/>
      <c r="C2" s="179"/>
      <c r="D2" s="179"/>
      <c r="E2" s="179"/>
      <c r="F2" s="179"/>
      <c r="G2" s="180"/>
    </row>
    <row r="3" spans="1:7" ht="16.5" thickBot="1" x14ac:dyDescent="0.3">
      <c r="A3" s="181" t="s">
        <v>195</v>
      </c>
      <c r="B3" s="182"/>
      <c r="C3" s="182"/>
      <c r="D3" s="182"/>
      <c r="E3" s="182"/>
      <c r="F3" s="182"/>
      <c r="G3" s="183"/>
    </row>
    <row r="4" spans="1:7" ht="15.75" x14ac:dyDescent="0.25">
      <c r="A4" s="57"/>
      <c r="B4" s="58"/>
      <c r="C4" s="58"/>
      <c r="D4" s="58"/>
      <c r="E4" s="58"/>
      <c r="F4" s="58"/>
      <c r="G4" s="58"/>
    </row>
    <row r="5" spans="1:7" x14ac:dyDescent="0.25">
      <c r="A5" s="59" t="s">
        <v>149</v>
      </c>
      <c r="B5" s="60" t="s">
        <v>150</v>
      </c>
      <c r="C5" s="60" t="s">
        <v>151</v>
      </c>
      <c r="D5" s="60" t="s">
        <v>152</v>
      </c>
      <c r="E5" s="60" t="s">
        <v>153</v>
      </c>
      <c r="F5" s="60" t="s">
        <v>154</v>
      </c>
      <c r="G5" s="60" t="s">
        <v>155</v>
      </c>
    </row>
    <row r="6" spans="1:7" ht="38.25" x14ac:dyDescent="0.25">
      <c r="A6" s="61" t="s">
        <v>196</v>
      </c>
      <c r="B6" s="58" t="s">
        <v>197</v>
      </c>
      <c r="C6" s="58" t="s">
        <v>198</v>
      </c>
      <c r="D6" s="58" t="s">
        <v>199</v>
      </c>
      <c r="E6" s="58" t="s">
        <v>200</v>
      </c>
      <c r="F6" s="58" t="s">
        <v>201</v>
      </c>
      <c r="G6" s="58" t="s">
        <v>202</v>
      </c>
    </row>
    <row r="7" spans="1:7" x14ac:dyDescent="0.25">
      <c r="A7" s="62"/>
      <c r="B7" s="63"/>
      <c r="C7" s="63"/>
      <c r="D7" s="63"/>
      <c r="E7" s="63"/>
      <c r="F7" s="63"/>
      <c r="G7" s="58" t="s">
        <v>203</v>
      </c>
    </row>
    <row r="8" spans="1:7" x14ac:dyDescent="0.25">
      <c r="A8" s="5" t="s">
        <v>204</v>
      </c>
      <c r="B8" s="135">
        <f>'YR1'!C13</f>
        <v>76666.666666666657</v>
      </c>
      <c r="C8" s="3">
        <v>0</v>
      </c>
      <c r="D8" s="64">
        <f>B8*C8</f>
        <v>0</v>
      </c>
      <c r="E8" s="64">
        <f>'YR2'!C20</f>
        <v>76666.666666666657</v>
      </c>
      <c r="F8" s="3">
        <v>2</v>
      </c>
      <c r="G8" s="64">
        <f>E8*F8</f>
        <v>153333.33333333331</v>
      </c>
    </row>
    <row r="9" spans="1:7" x14ac:dyDescent="0.25">
      <c r="A9" s="5" t="s">
        <v>205</v>
      </c>
      <c r="B9" s="135">
        <f>'YR1'!C15</f>
        <v>3000</v>
      </c>
      <c r="C9" s="3">
        <v>0</v>
      </c>
      <c r="D9" s="64">
        <f>B9*C9</f>
        <v>0</v>
      </c>
      <c r="E9" s="64">
        <f>'YR2'!C21</f>
        <v>3000</v>
      </c>
      <c r="F9" s="3">
        <f>'YR2'!F21</f>
        <v>0</v>
      </c>
      <c r="G9" s="64">
        <f>E9*F9</f>
        <v>0</v>
      </c>
    </row>
    <row r="10" spans="1:7" x14ac:dyDescent="0.25">
      <c r="A10" s="5" t="s">
        <v>206</v>
      </c>
      <c r="B10" s="135">
        <f>'YR1'!C18</f>
        <v>395000</v>
      </c>
      <c r="C10" s="3">
        <v>0</v>
      </c>
      <c r="D10" s="64">
        <f t="shared" ref="D10:D11" si="0">B10*C10</f>
        <v>0</v>
      </c>
      <c r="E10" s="64">
        <f>'YR2'!C25</f>
        <v>73700</v>
      </c>
      <c r="F10" s="3">
        <v>2</v>
      </c>
      <c r="G10" s="64">
        <f>E10*F10</f>
        <v>147400</v>
      </c>
    </row>
    <row r="11" spans="1:7" x14ac:dyDescent="0.25">
      <c r="A11" s="5" t="s">
        <v>207</v>
      </c>
      <c r="B11" s="135">
        <v>33800</v>
      </c>
      <c r="C11" s="3">
        <v>0</v>
      </c>
      <c r="D11" s="64">
        <f t="shared" si="0"/>
        <v>0</v>
      </c>
      <c r="E11" s="64">
        <f>'YR2'!C52</f>
        <v>2500</v>
      </c>
      <c r="F11" s="3">
        <v>2</v>
      </c>
      <c r="G11" s="64">
        <f>E11*F11</f>
        <v>5000</v>
      </c>
    </row>
    <row r="12" spans="1:7" x14ac:dyDescent="0.25">
      <c r="A12" s="65" t="s">
        <v>208</v>
      </c>
      <c r="B12" s="1"/>
      <c r="C12" s="3"/>
      <c r="D12" s="64">
        <f>ROUND(SUM(D8:D9),-4)</f>
        <v>0</v>
      </c>
      <c r="E12" s="3"/>
      <c r="F12" s="3"/>
      <c r="G12" s="64">
        <f>ROUND(SUM(G8:G11),-3)</f>
        <v>306000</v>
      </c>
    </row>
    <row r="13" spans="1:7" ht="15.75" x14ac:dyDescent="0.25">
      <c r="A13" s="8"/>
    </row>
    <row r="15" spans="1:7" x14ac:dyDescent="0.25">
      <c r="G15" s="7"/>
    </row>
  </sheetData>
  <mergeCells count="2">
    <mergeCell ref="A2:G2"/>
    <mergeCell ref="A3:G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4729-ED3C-40B8-9008-1E7806EA081B}">
  <dimension ref="A1:F9"/>
  <sheetViews>
    <sheetView workbookViewId="0">
      <selection activeCell="E12" sqref="E12"/>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184" t="s">
        <v>2</v>
      </c>
      <c r="B1" s="184"/>
      <c r="C1" s="184"/>
      <c r="D1" s="184"/>
      <c r="E1" s="184"/>
      <c r="F1" s="184"/>
    </row>
    <row r="2" spans="1:6" ht="25.5" x14ac:dyDescent="0.25">
      <c r="A2" s="78"/>
      <c r="B2" s="185" t="s">
        <v>209</v>
      </c>
      <c r="C2" s="185"/>
      <c r="D2" s="161" t="s">
        <v>210</v>
      </c>
      <c r="E2" s="161"/>
      <c r="F2" s="161"/>
    </row>
    <row r="3" spans="1:6" x14ac:dyDescent="0.25">
      <c r="A3" s="161"/>
      <c r="B3" s="3" t="s">
        <v>149</v>
      </c>
      <c r="C3" s="3" t="s">
        <v>150</v>
      </c>
      <c r="D3" s="3" t="s">
        <v>151</v>
      </c>
      <c r="E3" s="3" t="s">
        <v>152</v>
      </c>
      <c r="F3" s="3" t="s">
        <v>153</v>
      </c>
    </row>
    <row r="4" spans="1:6" ht="51" x14ac:dyDescent="0.25">
      <c r="A4" s="3" t="s">
        <v>129</v>
      </c>
      <c r="B4" s="161" t="s">
        <v>211</v>
      </c>
      <c r="C4" s="161" t="s">
        <v>212</v>
      </c>
      <c r="D4" s="161" t="s">
        <v>213</v>
      </c>
      <c r="E4" s="161" t="s">
        <v>214</v>
      </c>
      <c r="F4" s="161" t="s">
        <v>215</v>
      </c>
    </row>
    <row r="5" spans="1:6" x14ac:dyDescent="0.25">
      <c r="A5" s="3">
        <v>1</v>
      </c>
      <c r="B5" s="3">
        <v>0</v>
      </c>
      <c r="C5" s="3">
        <v>2</v>
      </c>
      <c r="D5" s="3">
        <v>0</v>
      </c>
      <c r="E5" s="3">
        <v>0</v>
      </c>
      <c r="F5" s="3">
        <f>B5+C5+D5-E5</f>
        <v>2</v>
      </c>
    </row>
    <row r="6" spans="1:6" x14ac:dyDescent="0.25">
      <c r="A6" s="3">
        <v>2</v>
      </c>
      <c r="B6" s="3">
        <v>0</v>
      </c>
      <c r="C6" s="3">
        <v>2</v>
      </c>
      <c r="D6" s="3">
        <v>0</v>
      </c>
      <c r="E6" s="3">
        <v>0</v>
      </c>
      <c r="F6" s="3">
        <f t="shared" ref="F6:F7" si="0">B6+C6+D6-E6</f>
        <v>2</v>
      </c>
    </row>
    <row r="7" spans="1:6" x14ac:dyDescent="0.25">
      <c r="A7" s="3">
        <v>3</v>
      </c>
      <c r="B7" s="3">
        <v>0</v>
      </c>
      <c r="C7" s="3">
        <f>F6</f>
        <v>2</v>
      </c>
      <c r="D7" s="3">
        <v>0</v>
      </c>
      <c r="E7" s="3">
        <v>0</v>
      </c>
      <c r="F7" s="3">
        <f t="shared" si="0"/>
        <v>2</v>
      </c>
    </row>
    <row r="8" spans="1:6" x14ac:dyDescent="0.25">
      <c r="A8" s="161" t="s">
        <v>138</v>
      </c>
      <c r="B8" s="3">
        <f>AVERAGE(B5:B7)</f>
        <v>0</v>
      </c>
      <c r="C8" s="3">
        <f>AVERAGE(C5:C7)</f>
        <v>2</v>
      </c>
      <c r="D8" s="3">
        <f t="shared" ref="D8:E8" si="1">AVERAGE(D5:D7)</f>
        <v>0</v>
      </c>
      <c r="E8" s="3">
        <f t="shared" si="1"/>
        <v>0</v>
      </c>
      <c r="F8" s="3">
        <f>AVERAGE(F5:F7)</f>
        <v>2</v>
      </c>
    </row>
    <row r="9" spans="1:6" ht="15.75" x14ac:dyDescent="0.25">
      <c r="A9" s="186" t="s">
        <v>216</v>
      </c>
      <c r="B9" s="186"/>
      <c r="C9" s="186"/>
      <c r="D9" s="186"/>
      <c r="E9" s="186"/>
      <c r="F9" s="186"/>
    </row>
  </sheetData>
  <mergeCells count="3">
    <mergeCell ref="A1:F1"/>
    <mergeCell ref="B2:C2"/>
    <mergeCell ref="A9:F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1CDC-B7C5-443B-812F-3CDCA04006D8}">
  <dimension ref="A1:E23"/>
  <sheetViews>
    <sheetView workbookViewId="0">
      <selection activeCell="A10" sqref="A10:A12"/>
    </sheetView>
  </sheetViews>
  <sheetFormatPr defaultColWidth="13.7109375" defaultRowHeight="12.75" x14ac:dyDescent="0.2"/>
  <cols>
    <col min="1" max="1" width="28.28515625" style="79" customWidth="1"/>
    <col min="2" max="2" width="13.7109375" style="79"/>
    <col min="3" max="3" width="25.7109375" style="79" customWidth="1"/>
    <col min="4" max="5" width="13.7109375" style="79"/>
    <col min="6" max="6" width="15.7109375" style="79" customWidth="1"/>
    <col min="7" max="16384" width="13.7109375" style="79"/>
  </cols>
  <sheetData>
    <row r="1" spans="1:5" ht="15.75" x14ac:dyDescent="0.2">
      <c r="A1" s="184" t="s">
        <v>217</v>
      </c>
      <c r="B1" s="184"/>
      <c r="C1" s="184"/>
      <c r="D1" s="184"/>
      <c r="E1" s="184"/>
    </row>
    <row r="2" spans="1:5" x14ac:dyDescent="0.2">
      <c r="A2" s="3" t="s">
        <v>149</v>
      </c>
      <c r="B2" s="3" t="s">
        <v>150</v>
      </c>
      <c r="C2" s="3" t="s">
        <v>151</v>
      </c>
      <c r="D2" s="3" t="s">
        <v>152</v>
      </c>
      <c r="E2" s="3" t="s">
        <v>153</v>
      </c>
    </row>
    <row r="3" spans="1:5" ht="89.25" x14ac:dyDescent="0.2">
      <c r="A3" s="3" t="s">
        <v>218</v>
      </c>
      <c r="B3" s="3" t="s">
        <v>2</v>
      </c>
      <c r="C3" s="3" t="s">
        <v>139</v>
      </c>
      <c r="D3" s="3" t="s">
        <v>219</v>
      </c>
      <c r="E3" s="3" t="s">
        <v>220</v>
      </c>
    </row>
    <row r="4" spans="1:5" x14ac:dyDescent="0.2">
      <c r="A4" s="5" t="s">
        <v>221</v>
      </c>
      <c r="B4" s="1">
        <v>0</v>
      </c>
      <c r="C4" s="1">
        <v>1</v>
      </c>
      <c r="D4" s="3" t="s">
        <v>32</v>
      </c>
      <c r="E4" s="3">
        <f t="shared" ref="E4:E9" si="0">B4*C4</f>
        <v>0</v>
      </c>
    </row>
    <row r="5" spans="1:5" x14ac:dyDescent="0.2">
      <c r="A5" s="5" t="s">
        <v>222</v>
      </c>
      <c r="B5" s="1">
        <v>0</v>
      </c>
      <c r="C5" s="1">
        <v>1</v>
      </c>
      <c r="D5" s="3" t="s">
        <v>32</v>
      </c>
      <c r="E5" s="3">
        <f t="shared" si="0"/>
        <v>0</v>
      </c>
    </row>
    <row r="6" spans="1:5" ht="25.5" x14ac:dyDescent="0.2">
      <c r="A6" s="5" t="s">
        <v>223</v>
      </c>
      <c r="B6" s="1">
        <v>0</v>
      </c>
      <c r="C6" s="1">
        <v>1</v>
      </c>
      <c r="D6" s="3" t="s">
        <v>32</v>
      </c>
      <c r="E6" s="3">
        <f t="shared" si="0"/>
        <v>0</v>
      </c>
    </row>
    <row r="7" spans="1:5" ht="34.5" customHeight="1" x14ac:dyDescent="0.2">
      <c r="A7" s="5" t="s">
        <v>224</v>
      </c>
      <c r="B7" s="1">
        <v>0</v>
      </c>
      <c r="C7" s="1">
        <v>1</v>
      </c>
      <c r="D7" s="3" t="s">
        <v>32</v>
      </c>
      <c r="E7" s="3">
        <f t="shared" si="0"/>
        <v>0</v>
      </c>
    </row>
    <row r="8" spans="1:5" x14ac:dyDescent="0.2">
      <c r="A8" s="5" t="s">
        <v>225</v>
      </c>
      <c r="B8" s="1">
        <v>0</v>
      </c>
      <c r="C8" s="1">
        <v>1</v>
      </c>
      <c r="D8" s="3" t="s">
        <v>32</v>
      </c>
      <c r="E8" s="3">
        <f t="shared" si="0"/>
        <v>0</v>
      </c>
    </row>
    <row r="9" spans="1:5" x14ac:dyDescent="0.2">
      <c r="A9" s="5" t="s">
        <v>226</v>
      </c>
      <c r="B9" s="1">
        <v>0</v>
      </c>
      <c r="C9" s="1">
        <v>1</v>
      </c>
      <c r="D9" s="3" t="s">
        <v>32</v>
      </c>
      <c r="E9" s="3">
        <f t="shared" si="0"/>
        <v>0</v>
      </c>
    </row>
    <row r="10" spans="1:5" ht="25.5" x14ac:dyDescent="0.2">
      <c r="A10" s="163" t="s">
        <v>229</v>
      </c>
      <c r="B10" s="1">
        <f>EPA_Yr3!E20</f>
        <v>2</v>
      </c>
      <c r="C10" s="1">
        <v>1</v>
      </c>
      <c r="D10" s="3" t="s">
        <v>32</v>
      </c>
      <c r="E10" s="3">
        <f t="shared" ref="E10:E14" si="1">B10*C10</f>
        <v>2</v>
      </c>
    </row>
    <row r="11" spans="1:5" ht="25.5" x14ac:dyDescent="0.2">
      <c r="A11" s="163" t="s">
        <v>230</v>
      </c>
      <c r="B11" s="1">
        <v>0</v>
      </c>
      <c r="C11" s="1">
        <v>1</v>
      </c>
      <c r="D11" s="3" t="s">
        <v>32</v>
      </c>
      <c r="E11" s="3">
        <f t="shared" si="1"/>
        <v>0</v>
      </c>
    </row>
    <row r="12" spans="1:5" x14ac:dyDescent="0.2">
      <c r="A12" s="163" t="s">
        <v>231</v>
      </c>
      <c r="B12" s="1">
        <v>0</v>
      </c>
      <c r="C12" s="1">
        <v>1</v>
      </c>
      <c r="D12" s="3" t="s">
        <v>32</v>
      </c>
      <c r="E12" s="3">
        <f t="shared" si="1"/>
        <v>0</v>
      </c>
    </row>
    <row r="13" spans="1:5" x14ac:dyDescent="0.2">
      <c r="A13" s="82" t="s">
        <v>227</v>
      </c>
      <c r="B13" s="3">
        <v>0</v>
      </c>
      <c r="C13" s="3">
        <v>1</v>
      </c>
      <c r="D13" s="3" t="s">
        <v>32</v>
      </c>
      <c r="E13" s="3">
        <f t="shared" si="1"/>
        <v>0</v>
      </c>
    </row>
    <row r="14" spans="1:5" x14ac:dyDescent="0.2">
      <c r="A14" s="5" t="s">
        <v>228</v>
      </c>
      <c r="B14" s="1">
        <f>EPA_Yr3!E23</f>
        <v>0.2</v>
      </c>
      <c r="C14" s="1">
        <v>2</v>
      </c>
      <c r="D14" s="3" t="s">
        <v>32</v>
      </c>
      <c r="E14" s="3">
        <f t="shared" si="1"/>
        <v>0.4</v>
      </c>
    </row>
    <row r="15" spans="1:5" x14ac:dyDescent="0.2">
      <c r="A15" s="137"/>
      <c r="B15" s="3"/>
      <c r="C15" s="187" t="s">
        <v>208</v>
      </c>
      <c r="D15" s="188"/>
      <c r="E15" s="80">
        <f>ROUND(SUM(E4:E14),0)</f>
        <v>2</v>
      </c>
    </row>
    <row r="16" spans="1:5" ht="27" customHeight="1" x14ac:dyDescent="0.2"/>
    <row r="17" spans="1:1" x14ac:dyDescent="0.2">
      <c r="A17" s="81"/>
    </row>
    <row r="18" spans="1:1" x14ac:dyDescent="0.2">
      <c r="A18" s="81"/>
    </row>
    <row r="19" spans="1:1" x14ac:dyDescent="0.2">
      <c r="A19" s="81"/>
    </row>
    <row r="20" spans="1:1" x14ac:dyDescent="0.2">
      <c r="A20" s="81"/>
    </row>
    <row r="21" spans="1:1" x14ac:dyDescent="0.2">
      <c r="A21" s="81"/>
    </row>
    <row r="22" spans="1:1" x14ac:dyDescent="0.2">
      <c r="A22" s="81"/>
    </row>
    <row r="23" spans="1:1" x14ac:dyDescent="0.2">
      <c r="A23" s="81"/>
    </row>
  </sheetData>
  <mergeCells count="2">
    <mergeCell ref="A1:E1"/>
    <mergeCell ref="C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opLeftCell="A42" zoomScaleNormal="100" workbookViewId="0">
      <selection activeCell="A38" sqref="A38"/>
    </sheetView>
  </sheetViews>
  <sheetFormatPr defaultColWidth="9.140625" defaultRowHeight="12.75" x14ac:dyDescent="0.2"/>
  <cols>
    <col min="1" max="1" width="47.28515625" style="49" customWidth="1"/>
    <col min="2" max="3" width="12.42578125" style="49" customWidth="1"/>
    <col min="4" max="4" width="12.5703125" style="49" customWidth="1"/>
    <col min="5" max="5" width="11.7109375" style="49" customWidth="1"/>
    <col min="6" max="6" width="12.5703125" style="49" customWidth="1"/>
    <col min="7" max="7" width="12.7109375" style="49" customWidth="1"/>
    <col min="8" max="8" width="12.42578125" style="49" customWidth="1"/>
    <col min="9" max="9" width="11.5703125" style="49" customWidth="1"/>
    <col min="10" max="10" width="12.140625" style="49" customWidth="1"/>
    <col min="11" max="11" width="14.42578125" style="49" customWidth="1"/>
    <col min="12" max="12" width="13.5703125" style="49" customWidth="1"/>
    <col min="13" max="16384" width="9.140625" style="49"/>
  </cols>
  <sheetData>
    <row r="1" spans="1:14" ht="15.75" x14ac:dyDescent="0.25">
      <c r="A1" s="48" t="s">
        <v>15</v>
      </c>
    </row>
    <row r="2" spans="1:14" x14ac:dyDescent="0.2">
      <c r="H2" s="49">
        <v>145.99</v>
      </c>
      <c r="I2" s="49">
        <v>177.98</v>
      </c>
      <c r="K2" s="49">
        <v>74.28</v>
      </c>
      <c r="L2" s="49" t="s">
        <v>16</v>
      </c>
    </row>
    <row r="3" spans="1:14" x14ac:dyDescent="0.2">
      <c r="G3" s="166" t="s">
        <v>17</v>
      </c>
      <c r="H3" s="167"/>
      <c r="I3" s="168"/>
      <c r="J3" s="51"/>
    </row>
    <row r="4" spans="1:14" ht="76.5" x14ac:dyDescent="0.2">
      <c r="A4" s="52" t="s">
        <v>18</v>
      </c>
      <c r="B4" s="53" t="s">
        <v>19</v>
      </c>
      <c r="C4" s="53" t="s">
        <v>20</v>
      </c>
      <c r="D4" s="53" t="s">
        <v>21</v>
      </c>
      <c r="E4" s="53" t="s">
        <v>22</v>
      </c>
      <c r="F4" s="53" t="s">
        <v>23</v>
      </c>
      <c r="G4" s="53" t="s">
        <v>24</v>
      </c>
      <c r="H4" s="53" t="s">
        <v>25</v>
      </c>
      <c r="I4" s="53" t="s">
        <v>26</v>
      </c>
      <c r="J4" s="53" t="s">
        <v>27</v>
      </c>
      <c r="K4" s="53" t="s">
        <v>28</v>
      </c>
      <c r="L4" s="73" t="s">
        <v>29</v>
      </c>
      <c r="M4" s="73" t="s">
        <v>30</v>
      </c>
    </row>
    <row r="5" spans="1:14" x14ac:dyDescent="0.2">
      <c r="A5" s="10" t="s">
        <v>31</v>
      </c>
      <c r="B5" s="53" t="s">
        <v>32</v>
      </c>
      <c r="C5" s="53"/>
      <c r="D5" s="11"/>
      <c r="E5" s="53"/>
      <c r="F5" s="53"/>
      <c r="G5" s="53"/>
      <c r="H5" s="53"/>
      <c r="I5" s="53"/>
      <c r="J5" s="53"/>
      <c r="K5" s="54"/>
      <c r="L5" s="55"/>
      <c r="M5" s="55"/>
    </row>
    <row r="6" spans="1:14" x14ac:dyDescent="0.2">
      <c r="A6" s="10" t="s">
        <v>33</v>
      </c>
      <c r="B6" s="53" t="s">
        <v>32</v>
      </c>
      <c r="C6" s="53"/>
      <c r="D6" s="11"/>
      <c r="E6" s="53"/>
      <c r="F6" s="53"/>
      <c r="G6" s="53"/>
      <c r="H6" s="53"/>
      <c r="I6" s="53"/>
      <c r="J6" s="53"/>
      <c r="K6" s="54"/>
      <c r="L6" s="55"/>
      <c r="M6" s="55"/>
    </row>
    <row r="7" spans="1:14" x14ac:dyDescent="0.2">
      <c r="A7" s="10" t="s">
        <v>34</v>
      </c>
      <c r="B7" s="53"/>
      <c r="C7" s="53"/>
      <c r="D7" s="53"/>
      <c r="E7" s="53"/>
      <c r="F7" s="53"/>
      <c r="G7" s="53"/>
      <c r="H7" s="53"/>
      <c r="I7" s="53"/>
      <c r="J7" s="53"/>
      <c r="K7" s="54"/>
      <c r="L7" s="55"/>
      <c r="M7" s="55"/>
    </row>
    <row r="8" spans="1:14" ht="15.75" x14ac:dyDescent="0.2">
      <c r="A8" s="10" t="s">
        <v>35</v>
      </c>
      <c r="B8" s="55"/>
      <c r="C8" s="55"/>
      <c r="D8" s="55"/>
      <c r="E8" s="55"/>
      <c r="F8" s="55"/>
      <c r="G8" s="55"/>
      <c r="H8" s="55"/>
      <c r="I8" s="55"/>
      <c r="J8" s="55"/>
      <c r="K8" s="55"/>
      <c r="L8" s="55"/>
      <c r="M8" s="55"/>
    </row>
    <row r="9" spans="1:14" ht="25.5" x14ac:dyDescent="0.2">
      <c r="A9" s="89" t="s">
        <v>36</v>
      </c>
      <c r="B9" s="53">
        <v>18</v>
      </c>
      <c r="C9" s="86">
        <v>0</v>
      </c>
      <c r="D9" s="53">
        <v>1</v>
      </c>
      <c r="E9" s="53">
        <f>B9*D9</f>
        <v>18</v>
      </c>
      <c r="F9" s="53">
        <v>0</v>
      </c>
      <c r="G9" s="53">
        <f>+F9*E9</f>
        <v>0</v>
      </c>
      <c r="H9" s="53">
        <f>+G9*0.05</f>
        <v>0</v>
      </c>
      <c r="I9" s="53">
        <f>+G9*0.1</f>
        <v>0</v>
      </c>
      <c r="J9" s="53">
        <f>G9+H9+I9</f>
        <v>0</v>
      </c>
      <c r="K9" s="87">
        <f>+G9*$H$2+H9*$I$2+I9*$K$2</f>
        <v>0</v>
      </c>
      <c r="L9" s="88">
        <f>C9*D9*F9</f>
        <v>0</v>
      </c>
      <c r="M9" s="55">
        <f>D9*F9</f>
        <v>0</v>
      </c>
    </row>
    <row r="10" spans="1:14" x14ac:dyDescent="0.2">
      <c r="A10" s="10" t="s">
        <v>37</v>
      </c>
      <c r="B10" s="53">
        <v>4</v>
      </c>
      <c r="C10" s="86">
        <v>0</v>
      </c>
      <c r="D10" s="53">
        <v>1</v>
      </c>
      <c r="E10" s="53">
        <f>B10*D10</f>
        <v>4</v>
      </c>
      <c r="F10" s="53">
        <v>2</v>
      </c>
      <c r="G10" s="53">
        <f>+F10*E10</f>
        <v>8</v>
      </c>
      <c r="H10" s="53">
        <f>+G10*0.05</f>
        <v>0.4</v>
      </c>
      <c r="I10" s="53">
        <f>+G10*0.1</f>
        <v>0.8</v>
      </c>
      <c r="J10" s="53">
        <f>G10+H10+I10</f>
        <v>9.2000000000000011</v>
      </c>
      <c r="K10" s="91">
        <f>+G10*$H$2+H10*$I$2+I10*$K$2</f>
        <v>1298.5360000000001</v>
      </c>
      <c r="L10" s="88">
        <f>C10*D10*F10</f>
        <v>0</v>
      </c>
      <c r="M10" s="55">
        <v>0</v>
      </c>
    </row>
    <row r="11" spans="1:14" x14ac:dyDescent="0.2">
      <c r="A11" s="10" t="s">
        <v>38</v>
      </c>
      <c r="B11" s="53"/>
      <c r="C11" s="53"/>
      <c r="D11" s="53"/>
      <c r="E11" s="53"/>
      <c r="F11" s="53"/>
      <c r="G11" s="53"/>
      <c r="H11" s="53"/>
      <c r="I11" s="53"/>
      <c r="J11" s="53"/>
      <c r="K11" s="54"/>
      <c r="L11" s="88"/>
      <c r="M11" s="55"/>
    </row>
    <row r="12" spans="1:14" x14ac:dyDescent="0.2">
      <c r="A12" s="89" t="s">
        <v>39</v>
      </c>
      <c r="B12" s="53"/>
      <c r="C12" s="53"/>
      <c r="D12" s="53"/>
      <c r="E12" s="53"/>
      <c r="F12" s="53"/>
      <c r="G12" s="53"/>
      <c r="H12" s="53"/>
      <c r="I12" s="53"/>
      <c r="J12" s="53"/>
      <c r="K12" s="54"/>
      <c r="L12" s="88"/>
      <c r="M12" s="55"/>
    </row>
    <row r="13" spans="1:14" ht="28.5" x14ac:dyDescent="0.2">
      <c r="A13" s="90" t="s">
        <v>40</v>
      </c>
      <c r="B13" s="53">
        <v>24</v>
      </c>
      <c r="C13" s="86">
        <v>76666.666666666657</v>
      </c>
      <c r="D13" s="53">
        <v>1</v>
      </c>
      <c r="E13" s="53">
        <f t="shared" ref="E13:E16" si="0">B13*D13</f>
        <v>24</v>
      </c>
      <c r="F13" s="53">
        <v>0</v>
      </c>
      <c r="G13" s="53">
        <f>+F13*E13</f>
        <v>0</v>
      </c>
      <c r="H13" s="53">
        <f>+G13*0.05</f>
        <v>0</v>
      </c>
      <c r="I13" s="53">
        <f>+G13*0.1</f>
        <v>0</v>
      </c>
      <c r="J13" s="53">
        <f t="shared" ref="J13:J16" si="1">G13+H13+I13</f>
        <v>0</v>
      </c>
      <c r="K13" s="91">
        <f>+G13*$H$2+H13*$I$2+I13*$K$2</f>
        <v>0</v>
      </c>
      <c r="L13" s="88">
        <f t="shared" ref="L13:L27" si="2">C13*D13*F13</f>
        <v>0</v>
      </c>
      <c r="M13" s="55">
        <f t="shared" ref="M13:M27" si="3">D13*F13</f>
        <v>0</v>
      </c>
    </row>
    <row r="14" spans="1:14" ht="15.75" x14ac:dyDescent="0.2">
      <c r="A14" s="90" t="s">
        <v>41</v>
      </c>
      <c r="B14" s="53">
        <v>24</v>
      </c>
      <c r="C14" s="86">
        <f>ROUND(C13*0.2,0)</f>
        <v>15333</v>
      </c>
      <c r="D14" s="53">
        <v>1</v>
      </c>
      <c r="E14" s="53">
        <f t="shared" si="0"/>
        <v>24</v>
      </c>
      <c r="F14" s="53">
        <v>0</v>
      </c>
      <c r="G14" s="53">
        <f>+F14*E14</f>
        <v>0</v>
      </c>
      <c r="H14" s="53">
        <f>+G14*0.05</f>
        <v>0</v>
      </c>
      <c r="I14" s="53">
        <f>+G14*0.1</f>
        <v>0</v>
      </c>
      <c r="J14" s="53">
        <f t="shared" si="1"/>
        <v>0</v>
      </c>
      <c r="K14" s="91">
        <f>+G14*$H$2+H14*$I$2+I14*$K$2</f>
        <v>0</v>
      </c>
      <c r="L14" s="88">
        <f t="shared" si="2"/>
        <v>0</v>
      </c>
      <c r="M14" s="55">
        <f t="shared" si="3"/>
        <v>0</v>
      </c>
      <c r="N14" s="92"/>
    </row>
    <row r="15" spans="1:14" ht="28.5" x14ac:dyDescent="0.2">
      <c r="A15" s="90" t="s">
        <v>42</v>
      </c>
      <c r="B15" s="53">
        <v>3</v>
      </c>
      <c r="C15" s="86">
        <v>3000</v>
      </c>
      <c r="D15" s="53">
        <v>1</v>
      </c>
      <c r="E15" s="53">
        <f t="shared" si="0"/>
        <v>3</v>
      </c>
      <c r="F15" s="53">
        <v>0</v>
      </c>
      <c r="G15" s="53">
        <f>+F15*E15</f>
        <v>0</v>
      </c>
      <c r="H15" s="53">
        <f>+G15*0.05</f>
        <v>0</v>
      </c>
      <c r="I15" s="53">
        <f>+G15*0.1</f>
        <v>0</v>
      </c>
      <c r="J15" s="53">
        <f t="shared" si="1"/>
        <v>0</v>
      </c>
      <c r="K15" s="91">
        <f>+G15*$H$2+H15*$I$2+I15*$K$2</f>
        <v>0</v>
      </c>
      <c r="L15" s="88">
        <f t="shared" si="2"/>
        <v>0</v>
      </c>
      <c r="M15" s="55">
        <f t="shared" si="3"/>
        <v>0</v>
      </c>
    </row>
    <row r="16" spans="1:14" ht="28.5" x14ac:dyDescent="0.2">
      <c r="A16" s="90" t="s">
        <v>43</v>
      </c>
      <c r="B16" s="53">
        <v>3</v>
      </c>
      <c r="C16" s="86">
        <f>ROUND(C15*0.2,0)</f>
        <v>600</v>
      </c>
      <c r="D16" s="53">
        <v>1</v>
      </c>
      <c r="E16" s="53">
        <f t="shared" si="0"/>
        <v>3</v>
      </c>
      <c r="F16" s="53">
        <v>0</v>
      </c>
      <c r="G16" s="53">
        <f>+F16*E16</f>
        <v>0</v>
      </c>
      <c r="H16" s="53">
        <f>+G16*0.05</f>
        <v>0</v>
      </c>
      <c r="I16" s="53">
        <f>+G16*0.1</f>
        <v>0</v>
      </c>
      <c r="J16" s="53">
        <f t="shared" si="1"/>
        <v>0</v>
      </c>
      <c r="K16" s="91">
        <f>+G16*$H$2+H16*$I$2+I16*$K$2</f>
        <v>0</v>
      </c>
      <c r="L16" s="88">
        <f t="shared" si="2"/>
        <v>0</v>
      </c>
      <c r="M16" s="55">
        <f t="shared" si="3"/>
        <v>0</v>
      </c>
    </row>
    <row r="17" spans="1:13" x14ac:dyDescent="0.2">
      <c r="A17" s="89" t="s">
        <v>44</v>
      </c>
      <c r="B17" s="53"/>
      <c r="C17" s="53"/>
      <c r="D17" s="53"/>
      <c r="E17" s="53"/>
      <c r="F17" s="53"/>
      <c r="G17" s="53"/>
      <c r="H17" s="53"/>
      <c r="I17" s="53"/>
      <c r="J17" s="53"/>
      <c r="K17" s="91"/>
      <c r="L17" s="88">
        <f t="shared" si="2"/>
        <v>0</v>
      </c>
      <c r="M17" s="55">
        <f t="shared" si="3"/>
        <v>0</v>
      </c>
    </row>
    <row r="18" spans="1:13" ht="15.75" x14ac:dyDescent="0.2">
      <c r="A18" s="90" t="s">
        <v>45</v>
      </c>
      <c r="B18" s="53">
        <v>229</v>
      </c>
      <c r="C18" s="86">
        <f>185000+210000</f>
        <v>395000</v>
      </c>
      <c r="D18" s="53">
        <v>1</v>
      </c>
      <c r="E18" s="53">
        <f>B18*D18</f>
        <v>229</v>
      </c>
      <c r="F18" s="53">
        <v>0</v>
      </c>
      <c r="G18" s="53">
        <f>+F18*E18</f>
        <v>0</v>
      </c>
      <c r="H18" s="53">
        <f>+G18*0.05</f>
        <v>0</v>
      </c>
      <c r="I18" s="53">
        <f>+G18*0.1</f>
        <v>0</v>
      </c>
      <c r="J18" s="53">
        <f>G18+H18+I18</f>
        <v>0</v>
      </c>
      <c r="K18" s="91">
        <f>+G18*$H$2+H18*$I$2+I18*$K$2</f>
        <v>0</v>
      </c>
      <c r="L18" s="88">
        <f t="shared" si="2"/>
        <v>0</v>
      </c>
      <c r="M18" s="55">
        <f t="shared" si="3"/>
        <v>0</v>
      </c>
    </row>
    <row r="19" spans="1:13" x14ac:dyDescent="0.2">
      <c r="A19" s="90" t="s">
        <v>46</v>
      </c>
      <c r="B19" s="53" t="s">
        <v>47</v>
      </c>
      <c r="C19" s="53"/>
      <c r="D19" s="53"/>
      <c r="E19" s="53"/>
      <c r="F19" s="53"/>
      <c r="G19" s="53"/>
      <c r="H19" s="53"/>
      <c r="I19" s="53"/>
      <c r="J19" s="53"/>
      <c r="K19" s="91"/>
      <c r="L19" s="88">
        <f t="shared" si="2"/>
        <v>0</v>
      </c>
      <c r="M19" s="55">
        <f t="shared" si="3"/>
        <v>0</v>
      </c>
    </row>
    <row r="20" spans="1:13" ht="28.5" x14ac:dyDescent="0.2">
      <c r="A20" s="89" t="s">
        <v>48</v>
      </c>
      <c r="B20" s="53">
        <v>24</v>
      </c>
      <c r="C20" s="86">
        <v>76666.666666666657</v>
      </c>
      <c r="D20" s="53">
        <v>1</v>
      </c>
      <c r="E20" s="53">
        <f>B20*D20</f>
        <v>24</v>
      </c>
      <c r="F20" s="53">
        <v>2</v>
      </c>
      <c r="G20" s="53">
        <f>+F20*E20</f>
        <v>48</v>
      </c>
      <c r="H20" s="53">
        <f>+G20*0.05</f>
        <v>2.4000000000000004</v>
      </c>
      <c r="I20" s="53">
        <f>+G20*0.1</f>
        <v>4.8000000000000007</v>
      </c>
      <c r="J20" s="53">
        <f t="shared" ref="J20:J27" si="4">G20+H20+I20</f>
        <v>55.2</v>
      </c>
      <c r="K20" s="91">
        <f>+G20*$H$2+H20*$I$2+I20*$K$2</f>
        <v>7791.2160000000003</v>
      </c>
      <c r="L20" s="88">
        <f>C20*D20*F20</f>
        <v>153333.33333333331</v>
      </c>
      <c r="M20" s="55">
        <v>0</v>
      </c>
    </row>
    <row r="21" spans="1:13" ht="28.5" x14ac:dyDescent="0.2">
      <c r="A21" s="89" t="s">
        <v>49</v>
      </c>
      <c r="B21" s="53">
        <v>3</v>
      </c>
      <c r="C21" s="86">
        <v>3000</v>
      </c>
      <c r="D21" s="53">
        <v>1</v>
      </c>
      <c r="E21" s="53">
        <f>B21*D21</f>
        <v>3</v>
      </c>
      <c r="F21" s="53">
        <v>0</v>
      </c>
      <c r="G21" s="53">
        <f>+F21*E21</f>
        <v>0</v>
      </c>
      <c r="H21" s="53">
        <f>+G21*0.05</f>
        <v>0</v>
      </c>
      <c r="I21" s="53">
        <f>+G21*0.1</f>
        <v>0</v>
      </c>
      <c r="J21" s="53">
        <f t="shared" si="4"/>
        <v>0</v>
      </c>
      <c r="K21" s="91">
        <f>+G21*$H$2+H21*$I$2+I21*$K$2</f>
        <v>0</v>
      </c>
      <c r="L21" s="88">
        <f t="shared" si="2"/>
        <v>0</v>
      </c>
      <c r="M21" s="55">
        <f t="shared" si="3"/>
        <v>0</v>
      </c>
    </row>
    <row r="22" spans="1:13" x14ac:dyDescent="0.2">
      <c r="A22" s="93" t="s">
        <v>50</v>
      </c>
      <c r="B22" s="89"/>
      <c r="C22" s="53"/>
      <c r="D22" s="86"/>
      <c r="E22" s="53"/>
      <c r="F22" s="53"/>
      <c r="G22" s="53"/>
      <c r="H22" s="53"/>
      <c r="I22" s="53"/>
      <c r="J22" s="53"/>
      <c r="K22" s="94"/>
      <c r="L22" s="87"/>
      <c r="M22" s="88"/>
    </row>
    <row r="23" spans="1:13" ht="15.75" x14ac:dyDescent="0.2">
      <c r="A23" s="95" t="s">
        <v>51</v>
      </c>
      <c r="B23" s="1">
        <v>16</v>
      </c>
      <c r="C23" s="86">
        <v>0</v>
      </c>
      <c r="D23" s="158">
        <v>1</v>
      </c>
      <c r="E23" s="53">
        <f>B23*D23</f>
        <v>16</v>
      </c>
      <c r="F23" s="53">
        <v>2</v>
      </c>
      <c r="G23" s="53">
        <f t="shared" ref="G23:G24" si="5">+F23*E23</f>
        <v>32</v>
      </c>
      <c r="H23" s="53">
        <f t="shared" ref="H23:H24" si="6">+G23*0.05</f>
        <v>1.6</v>
      </c>
      <c r="I23" s="53">
        <f t="shared" ref="I23:I24" si="7">+G23*0.1</f>
        <v>3.2</v>
      </c>
      <c r="J23" s="53">
        <f t="shared" ref="J23:J24" si="8">G23+H23+I23</f>
        <v>36.800000000000004</v>
      </c>
      <c r="K23" s="91">
        <f t="shared" ref="K23:K24" si="9">+G23*$H$2+H23*$I$2+I23*$K$2</f>
        <v>5194.1440000000002</v>
      </c>
      <c r="L23" s="88">
        <f t="shared" ref="L23:L24" si="10">C23*D23*F23</f>
        <v>0</v>
      </c>
      <c r="M23" s="55">
        <v>0</v>
      </c>
    </row>
    <row r="24" spans="1:13" ht="15.75" x14ac:dyDescent="0.2">
      <c r="A24" s="95" t="s">
        <v>52</v>
      </c>
      <c r="B24" s="1">
        <v>16</v>
      </c>
      <c r="C24" s="86">
        <v>0</v>
      </c>
      <c r="D24" s="158">
        <v>3</v>
      </c>
      <c r="E24" s="53">
        <f>B24*D24</f>
        <v>48</v>
      </c>
      <c r="F24" s="53">
        <v>2</v>
      </c>
      <c r="G24" s="53">
        <f t="shared" si="5"/>
        <v>96</v>
      </c>
      <c r="H24" s="53">
        <f t="shared" si="6"/>
        <v>4.8000000000000007</v>
      </c>
      <c r="I24" s="53">
        <f t="shared" si="7"/>
        <v>9.6000000000000014</v>
      </c>
      <c r="J24" s="53">
        <f t="shared" si="8"/>
        <v>110.4</v>
      </c>
      <c r="K24" s="91">
        <f t="shared" si="9"/>
        <v>15582.432000000001</v>
      </c>
      <c r="L24" s="88">
        <f t="shared" si="10"/>
        <v>0</v>
      </c>
      <c r="M24" s="55">
        <v>0</v>
      </c>
    </row>
    <row r="25" spans="1:13" ht="15.75" x14ac:dyDescent="0.2">
      <c r="A25" s="90" t="s">
        <v>53</v>
      </c>
      <c r="B25" s="53">
        <v>0.25</v>
      </c>
      <c r="C25" s="86">
        <f>38100+35600</f>
        <v>73700</v>
      </c>
      <c r="D25" s="53">
        <v>250</v>
      </c>
      <c r="E25" s="53">
        <f>B25*D25</f>
        <v>62.5</v>
      </c>
      <c r="F25" s="53">
        <v>2</v>
      </c>
      <c r="G25" s="53">
        <f>+F25*E25</f>
        <v>125</v>
      </c>
      <c r="H25" s="53">
        <f>+G25*0.05</f>
        <v>6.25</v>
      </c>
      <c r="I25" s="53">
        <f>+G25*0.1</f>
        <v>12.5</v>
      </c>
      <c r="J25" s="53">
        <f t="shared" si="4"/>
        <v>143.75</v>
      </c>
      <c r="K25" s="91">
        <f>+G25*$H$2+H25*$I$2+I25*$K$2</f>
        <v>20289.625</v>
      </c>
      <c r="L25" s="88">
        <f>C25*F25</f>
        <v>147400</v>
      </c>
      <c r="M25" s="55">
        <v>0</v>
      </c>
    </row>
    <row r="26" spans="1:13" ht="15.75" x14ac:dyDescent="0.2">
      <c r="A26" s="96" t="s">
        <v>54</v>
      </c>
      <c r="B26" s="53">
        <v>20</v>
      </c>
      <c r="C26" s="86">
        <v>0</v>
      </c>
      <c r="D26" s="53">
        <v>1</v>
      </c>
      <c r="E26" s="53">
        <f>B26*D26</f>
        <v>20</v>
      </c>
      <c r="F26" s="53">
        <v>0</v>
      </c>
      <c r="G26" s="53">
        <f>+F26*E26</f>
        <v>0</v>
      </c>
      <c r="H26" s="53">
        <f>+G26*0.05</f>
        <v>0</v>
      </c>
      <c r="I26" s="53">
        <f>+G26*0.1</f>
        <v>0</v>
      </c>
      <c r="J26" s="53">
        <f t="shared" si="4"/>
        <v>0</v>
      </c>
      <c r="K26" s="91">
        <f>+G26*$H$2+H26*$I$2+I26*$K$2</f>
        <v>0</v>
      </c>
      <c r="L26" s="88">
        <f t="shared" si="2"/>
        <v>0</v>
      </c>
      <c r="M26" s="55">
        <f t="shared" si="3"/>
        <v>0</v>
      </c>
    </row>
    <row r="27" spans="1:13" ht="28.5" x14ac:dyDescent="0.2">
      <c r="A27" s="96" t="s">
        <v>55</v>
      </c>
      <c r="B27" s="53">
        <v>4</v>
      </c>
      <c r="C27" s="86">
        <v>0</v>
      </c>
      <c r="D27" s="53">
        <v>1</v>
      </c>
      <c r="E27" s="53">
        <v>4</v>
      </c>
      <c r="F27" s="53">
        <v>0</v>
      </c>
      <c r="G27" s="53">
        <f>+F27*E27</f>
        <v>0</v>
      </c>
      <c r="H27" s="53">
        <f>+G27*0.05</f>
        <v>0</v>
      </c>
      <c r="I27" s="53">
        <f>+G27*0.1</f>
        <v>0</v>
      </c>
      <c r="J27" s="53">
        <f t="shared" si="4"/>
        <v>0</v>
      </c>
      <c r="K27" s="91">
        <f>+G27*$H$2+H27*$I$2+I27*$K$2</f>
        <v>0</v>
      </c>
      <c r="L27" s="88">
        <f t="shared" si="2"/>
        <v>0</v>
      </c>
      <c r="M27" s="55">
        <f t="shared" si="3"/>
        <v>0</v>
      </c>
    </row>
    <row r="28" spans="1:13" x14ac:dyDescent="0.2">
      <c r="A28" s="10" t="s">
        <v>56</v>
      </c>
      <c r="B28" s="53" t="s">
        <v>57</v>
      </c>
      <c r="C28" s="53"/>
      <c r="D28" s="53"/>
      <c r="E28" s="53"/>
      <c r="F28" s="53"/>
      <c r="G28" s="53"/>
      <c r="H28" s="53"/>
      <c r="I28" s="53"/>
      <c r="J28" s="53"/>
      <c r="K28" s="91"/>
      <c r="L28" s="88"/>
      <c r="M28" s="55"/>
    </row>
    <row r="29" spans="1:13" x14ac:dyDescent="0.2">
      <c r="A29" s="10" t="s">
        <v>58</v>
      </c>
      <c r="B29" s="53" t="s">
        <v>59</v>
      </c>
      <c r="C29" s="53"/>
      <c r="D29" s="53"/>
      <c r="E29" s="53"/>
      <c r="F29" s="53"/>
      <c r="G29" s="53"/>
      <c r="H29" s="53"/>
      <c r="I29" s="53"/>
      <c r="J29" s="53"/>
      <c r="K29" s="91"/>
      <c r="L29" s="88"/>
      <c r="M29" s="55"/>
    </row>
    <row r="30" spans="1:13" x14ac:dyDescent="0.2">
      <c r="A30" s="10" t="s">
        <v>60</v>
      </c>
      <c r="B30" s="53"/>
      <c r="C30" s="53"/>
      <c r="D30" s="53"/>
      <c r="E30" s="53"/>
      <c r="F30" s="53"/>
      <c r="G30" s="53"/>
      <c r="H30" s="53"/>
      <c r="I30" s="53"/>
      <c r="J30" s="53"/>
      <c r="K30" s="91"/>
      <c r="L30" s="88"/>
      <c r="M30" s="55"/>
    </row>
    <row r="31" spans="1:13" ht="15.75" x14ac:dyDescent="0.2">
      <c r="A31" s="89" t="s">
        <v>61</v>
      </c>
      <c r="B31" s="53">
        <v>8</v>
      </c>
      <c r="C31" s="86">
        <v>0</v>
      </c>
      <c r="D31" s="53">
        <v>1</v>
      </c>
      <c r="E31" s="53">
        <f>B31*D31</f>
        <v>8</v>
      </c>
      <c r="F31" s="53">
        <v>0</v>
      </c>
      <c r="G31" s="53">
        <f>+F31*E31</f>
        <v>0</v>
      </c>
      <c r="H31" s="53">
        <f>+G31*0.05</f>
        <v>0</v>
      </c>
      <c r="I31" s="53">
        <f>+G31*0.1</f>
        <v>0</v>
      </c>
      <c r="J31" s="53">
        <f t="shared" ref="J31:J40" si="11">G31+H31+I31</f>
        <v>0</v>
      </c>
      <c r="K31" s="91">
        <f>+G31*$H$2+H31*$I$2+I31*$K$2</f>
        <v>0</v>
      </c>
      <c r="L31" s="88">
        <f t="shared" ref="L31:L40" si="12">C31*D31*F31</f>
        <v>0</v>
      </c>
      <c r="M31" s="55">
        <f t="shared" ref="M31:M40" si="13">D31*F31</f>
        <v>0</v>
      </c>
    </row>
    <row r="32" spans="1:13" ht="15.75" x14ac:dyDescent="0.2">
      <c r="A32" s="89" t="s">
        <v>62</v>
      </c>
      <c r="B32" s="53">
        <v>2</v>
      </c>
      <c r="C32" s="86">
        <v>0</v>
      </c>
      <c r="D32" s="53">
        <v>1</v>
      </c>
      <c r="E32" s="53">
        <f>B32*D32</f>
        <v>2</v>
      </c>
      <c r="F32" s="53">
        <v>0</v>
      </c>
      <c r="G32" s="53">
        <f>+F32*E32</f>
        <v>0</v>
      </c>
      <c r="H32" s="53">
        <f>+G32*0.05</f>
        <v>0</v>
      </c>
      <c r="I32" s="53">
        <f>+G32*0.1</f>
        <v>0</v>
      </c>
      <c r="J32" s="53">
        <f t="shared" si="11"/>
        <v>0</v>
      </c>
      <c r="K32" s="91">
        <f>+G32*$H$2+H32*$I$2+I32*$K$2</f>
        <v>0</v>
      </c>
      <c r="L32" s="88">
        <f t="shared" si="12"/>
        <v>0</v>
      </c>
      <c r="M32" s="55">
        <f t="shared" si="13"/>
        <v>0</v>
      </c>
    </row>
    <row r="33" spans="1:13" ht="15.75" x14ac:dyDescent="0.2">
      <c r="A33" s="89" t="s">
        <v>63</v>
      </c>
      <c r="B33" s="53"/>
      <c r="C33" s="86"/>
      <c r="D33" s="53"/>
      <c r="E33" s="53"/>
      <c r="F33" s="53"/>
      <c r="G33" s="53"/>
      <c r="H33" s="53"/>
      <c r="I33" s="53"/>
      <c r="J33" s="53"/>
      <c r="K33" s="91"/>
      <c r="L33" s="88"/>
      <c r="M33" s="55"/>
    </row>
    <row r="34" spans="1:13" ht="15.75" x14ac:dyDescent="0.2">
      <c r="A34" s="97" t="s">
        <v>64</v>
      </c>
      <c r="B34" s="53">
        <v>40</v>
      </c>
      <c r="C34" s="86">
        <v>0</v>
      </c>
      <c r="D34" s="53">
        <v>1</v>
      </c>
      <c r="E34" s="53">
        <f>B34*D34</f>
        <v>40</v>
      </c>
      <c r="F34" s="53">
        <v>0</v>
      </c>
      <c r="G34" s="53">
        <f>+F34*E34</f>
        <v>0</v>
      </c>
      <c r="H34" s="53">
        <f>+G34*0.05</f>
        <v>0</v>
      </c>
      <c r="I34" s="53">
        <f>+G34*0.1</f>
        <v>0</v>
      </c>
      <c r="J34" s="53">
        <f t="shared" si="11"/>
        <v>0</v>
      </c>
      <c r="K34" s="91">
        <f>+G34*$H$2+H34*$I$2+I34*$K$2</f>
        <v>0</v>
      </c>
      <c r="L34" s="88">
        <f t="shared" si="12"/>
        <v>0</v>
      </c>
      <c r="M34" s="55">
        <f t="shared" si="13"/>
        <v>0</v>
      </c>
    </row>
    <row r="35" spans="1:13" ht="15.75" x14ac:dyDescent="0.2">
      <c r="A35" s="97" t="s">
        <v>65</v>
      </c>
      <c r="B35" s="53">
        <v>10</v>
      </c>
      <c r="C35" s="86">
        <v>0</v>
      </c>
      <c r="D35" s="53">
        <v>1</v>
      </c>
      <c r="E35" s="53">
        <f>B35*D35</f>
        <v>10</v>
      </c>
      <c r="F35" s="53">
        <v>0</v>
      </c>
      <c r="G35" s="53">
        <f>+F35*E35</f>
        <v>0</v>
      </c>
      <c r="H35" s="53">
        <f>+G35*0.05</f>
        <v>0</v>
      </c>
      <c r="I35" s="53">
        <f>+G35*0.1</f>
        <v>0</v>
      </c>
      <c r="J35" s="53">
        <f t="shared" ref="J35" si="14">G35+H35+I35</f>
        <v>0</v>
      </c>
      <c r="K35" s="91">
        <f>+G35*$H$2+H35*$I$2+I35*$K$2</f>
        <v>0</v>
      </c>
      <c r="L35" s="88">
        <f t="shared" ref="L35" si="15">C35*D35*F35</f>
        <v>0</v>
      </c>
      <c r="M35" s="55">
        <f t="shared" ref="M35" si="16">D35*F35</f>
        <v>0</v>
      </c>
    </row>
    <row r="36" spans="1:13" x14ac:dyDescent="0.2">
      <c r="A36" s="98" t="s">
        <v>66</v>
      </c>
      <c r="B36" s="53"/>
      <c r="C36" s="53"/>
      <c r="D36" s="53"/>
      <c r="E36" s="53"/>
      <c r="F36" s="53"/>
      <c r="G36" s="53"/>
      <c r="H36" s="53"/>
      <c r="I36" s="53"/>
      <c r="J36" s="53"/>
      <c r="K36" s="91"/>
      <c r="L36" s="88"/>
      <c r="M36" s="55"/>
    </row>
    <row r="37" spans="1:13" ht="28.5" x14ac:dyDescent="0.2">
      <c r="A37" s="118" t="s">
        <v>67</v>
      </c>
      <c r="B37" s="53">
        <v>28</v>
      </c>
      <c r="C37" s="86">
        <v>0</v>
      </c>
      <c r="D37" s="53">
        <v>1</v>
      </c>
      <c r="E37" s="53">
        <f>B37*D37</f>
        <v>28</v>
      </c>
      <c r="F37" s="53">
        <v>2</v>
      </c>
      <c r="G37" s="53">
        <f>+F37*E37</f>
        <v>56</v>
      </c>
      <c r="H37" s="53">
        <f>+G37*0.05</f>
        <v>2.8000000000000003</v>
      </c>
      <c r="I37" s="53">
        <f>+G37*0.1</f>
        <v>5.6000000000000005</v>
      </c>
      <c r="J37" s="53">
        <f t="shared" si="11"/>
        <v>64.399999999999991</v>
      </c>
      <c r="K37" s="91">
        <f>+G37*$H$2+H37*$I$2+I37*$K$2</f>
        <v>9089.7520000000004</v>
      </c>
      <c r="L37" s="88">
        <f t="shared" si="12"/>
        <v>0</v>
      </c>
      <c r="M37" s="55">
        <f t="shared" si="13"/>
        <v>2</v>
      </c>
    </row>
    <row r="38" spans="1:13" ht="28.5" x14ac:dyDescent="0.2">
      <c r="A38" s="118" t="s">
        <v>68</v>
      </c>
      <c r="B38" s="53">
        <v>28</v>
      </c>
      <c r="C38" s="86">
        <v>0</v>
      </c>
      <c r="D38" s="53">
        <v>1</v>
      </c>
      <c r="E38" s="53">
        <f>B38*D38</f>
        <v>28</v>
      </c>
      <c r="F38" s="53">
        <v>0</v>
      </c>
      <c r="G38" s="53">
        <f>+F38*E38</f>
        <v>0</v>
      </c>
      <c r="H38" s="53">
        <f>+G38*0.05</f>
        <v>0</v>
      </c>
      <c r="I38" s="53">
        <f>+G38*0.1</f>
        <v>0</v>
      </c>
      <c r="J38" s="53">
        <f t="shared" si="11"/>
        <v>0</v>
      </c>
      <c r="K38" s="103">
        <f>+G38*$H$2+H38*$I$2+I38*$K$2</f>
        <v>0</v>
      </c>
      <c r="L38" s="88">
        <f t="shared" si="12"/>
        <v>0</v>
      </c>
      <c r="M38" s="55">
        <f t="shared" si="13"/>
        <v>0</v>
      </c>
    </row>
    <row r="39" spans="1:13" ht="15.75" x14ac:dyDescent="0.2">
      <c r="A39" s="118" t="s">
        <v>69</v>
      </c>
      <c r="B39" s="53">
        <v>10</v>
      </c>
      <c r="C39" s="86">
        <v>0</v>
      </c>
      <c r="D39" s="53">
        <v>1</v>
      </c>
      <c r="E39" s="53">
        <f>B39*D39</f>
        <v>10</v>
      </c>
      <c r="F39" s="53">
        <v>0</v>
      </c>
      <c r="G39" s="53">
        <f>+F39*E39</f>
        <v>0</v>
      </c>
      <c r="H39" s="53">
        <f>+G39*0.05</f>
        <v>0</v>
      </c>
      <c r="I39" s="53">
        <f>+G39*0.1</f>
        <v>0</v>
      </c>
      <c r="J39" s="53">
        <f t="shared" si="11"/>
        <v>0</v>
      </c>
      <c r="K39" s="103">
        <f>+G39*$H$2+H39*$I$2+I39*$K$2</f>
        <v>0</v>
      </c>
      <c r="L39" s="88">
        <f t="shared" si="12"/>
        <v>0</v>
      </c>
      <c r="M39" s="55">
        <f t="shared" si="13"/>
        <v>0</v>
      </c>
    </row>
    <row r="40" spans="1:13" ht="15.75" x14ac:dyDescent="0.2">
      <c r="A40" s="89" t="s">
        <v>70</v>
      </c>
      <c r="B40" s="53">
        <v>24</v>
      </c>
      <c r="C40" s="86">
        <v>0</v>
      </c>
      <c r="D40" s="53">
        <v>2</v>
      </c>
      <c r="E40" s="53">
        <f>B40*D40</f>
        <v>48</v>
      </c>
      <c r="F40" s="53">
        <f>ROUND(2*0.1,1)</f>
        <v>0.2</v>
      </c>
      <c r="G40" s="53">
        <f>+F40*E40</f>
        <v>9.6000000000000014</v>
      </c>
      <c r="H40" s="53">
        <f>+G40*0.05</f>
        <v>0.48000000000000009</v>
      </c>
      <c r="I40" s="53">
        <f>+G40*0.1</f>
        <v>0.96000000000000019</v>
      </c>
      <c r="J40" s="53">
        <f t="shared" si="11"/>
        <v>11.040000000000003</v>
      </c>
      <c r="K40" s="91">
        <f>+G40*$H$2+H40*$I$2+I40*$K$2</f>
        <v>1558.2432000000003</v>
      </c>
      <c r="L40" s="88">
        <f t="shared" si="12"/>
        <v>0</v>
      </c>
      <c r="M40" s="55">
        <f t="shared" si="13"/>
        <v>0.4</v>
      </c>
    </row>
    <row r="41" spans="1:13" x14ac:dyDescent="0.2">
      <c r="A41" s="89" t="s">
        <v>71</v>
      </c>
      <c r="B41" s="53">
        <v>1</v>
      </c>
      <c r="C41" s="86">
        <v>0</v>
      </c>
      <c r="D41" s="53">
        <v>1</v>
      </c>
      <c r="E41" s="53">
        <f>B41*D41</f>
        <v>1</v>
      </c>
      <c r="F41" s="53">
        <v>0</v>
      </c>
      <c r="G41" s="53">
        <f>+F41*E41</f>
        <v>0</v>
      </c>
      <c r="H41" s="53">
        <f>+G41*0.05</f>
        <v>0</v>
      </c>
      <c r="I41" s="53">
        <f>+G41*0.1</f>
        <v>0</v>
      </c>
      <c r="J41" s="53">
        <f t="shared" ref="J41" si="17">G41+H41+I41</f>
        <v>0</v>
      </c>
      <c r="K41" s="91">
        <f>+G41*$H$2+H41*$I$2+I41*$K$2</f>
        <v>0</v>
      </c>
      <c r="L41" s="88">
        <f t="shared" ref="L41" si="18">C41*D41*F41</f>
        <v>0</v>
      </c>
      <c r="M41" s="55">
        <f t="shared" ref="M41" si="19">D41*F41</f>
        <v>0</v>
      </c>
    </row>
    <row r="42" spans="1:13" ht="13.5" x14ac:dyDescent="0.25">
      <c r="A42" s="169" t="s">
        <v>72</v>
      </c>
      <c r="B42" s="169"/>
      <c r="C42" s="169"/>
      <c r="D42" s="169"/>
      <c r="E42" s="169"/>
      <c r="F42" s="169"/>
      <c r="G42" s="99">
        <f t="shared" ref="G42:M42" si="20">SUM(G9:G41)</f>
        <v>374.6</v>
      </c>
      <c r="H42" s="99">
        <f t="shared" si="20"/>
        <v>18.73</v>
      </c>
      <c r="I42" s="99">
        <f t="shared" si="20"/>
        <v>37.46</v>
      </c>
      <c r="J42" s="99">
        <f>SUM(J9:J41)</f>
        <v>430.79</v>
      </c>
      <c r="K42" s="100">
        <f>SUM(K9:K41)</f>
        <v>60803.948199999999</v>
      </c>
      <c r="L42" s="101">
        <f t="shared" si="20"/>
        <v>300733.33333333331</v>
      </c>
      <c r="M42" s="102">
        <f t="shared" si="20"/>
        <v>2.4</v>
      </c>
    </row>
    <row r="43" spans="1:13" x14ac:dyDescent="0.2">
      <c r="A43" s="10" t="s">
        <v>73</v>
      </c>
      <c r="B43" s="53"/>
      <c r="C43" s="53"/>
      <c r="D43" s="53"/>
      <c r="E43" s="53"/>
      <c r="F43" s="53"/>
      <c r="G43" s="53"/>
      <c r="H43" s="53"/>
      <c r="I43" s="53"/>
      <c r="J43" s="53"/>
      <c r="K43" s="54"/>
      <c r="L43" s="88"/>
      <c r="M43" s="55"/>
    </row>
    <row r="44" spans="1:13" ht="15.75" x14ac:dyDescent="0.2">
      <c r="A44" s="11" t="s">
        <v>74</v>
      </c>
      <c r="B44" s="53" t="s">
        <v>75</v>
      </c>
      <c r="C44" s="53"/>
      <c r="D44" s="53"/>
      <c r="E44" s="53"/>
      <c r="F44" s="53"/>
      <c r="G44" s="53"/>
      <c r="H44" s="53"/>
      <c r="I44" s="53"/>
      <c r="J44" s="53"/>
      <c r="K44" s="53"/>
      <c r="L44" s="88"/>
      <c r="M44" s="55"/>
    </row>
    <row r="45" spans="1:13" x14ac:dyDescent="0.2">
      <c r="A45" s="10" t="s">
        <v>76</v>
      </c>
      <c r="B45" s="53" t="s">
        <v>57</v>
      </c>
      <c r="C45" s="53"/>
      <c r="D45" s="53"/>
      <c r="E45" s="53"/>
      <c r="F45" s="53"/>
      <c r="G45" s="53"/>
      <c r="H45" s="53"/>
      <c r="I45" s="53"/>
      <c r="J45" s="53"/>
      <c r="K45" s="54"/>
      <c r="L45" s="88"/>
      <c r="M45" s="55"/>
    </row>
    <row r="46" spans="1:13" x14ac:dyDescent="0.2">
      <c r="A46" s="10" t="s">
        <v>77</v>
      </c>
      <c r="B46" s="53" t="s">
        <v>57</v>
      </c>
      <c r="C46" s="53"/>
      <c r="D46" s="53"/>
      <c r="E46" s="53"/>
      <c r="F46" s="53"/>
      <c r="G46" s="53"/>
      <c r="H46" s="53"/>
      <c r="I46" s="53"/>
      <c r="J46" s="53"/>
      <c r="K46" s="54"/>
      <c r="L46" s="88"/>
      <c r="M46" s="55"/>
    </row>
    <row r="47" spans="1:13" x14ac:dyDescent="0.2">
      <c r="A47" s="10" t="s">
        <v>78</v>
      </c>
      <c r="B47" s="53" t="s">
        <v>32</v>
      </c>
      <c r="C47" s="53"/>
      <c r="D47" s="53"/>
      <c r="E47" s="53"/>
      <c r="F47" s="53"/>
      <c r="G47" s="53"/>
      <c r="H47" s="53"/>
      <c r="I47" s="53"/>
      <c r="J47" s="53"/>
      <c r="K47" s="54"/>
      <c r="L47" s="88"/>
      <c r="M47" s="55"/>
    </row>
    <row r="48" spans="1:13" x14ac:dyDescent="0.2">
      <c r="A48" s="10" t="s">
        <v>79</v>
      </c>
      <c r="B48" s="53"/>
      <c r="C48" s="53"/>
      <c r="D48" s="53"/>
      <c r="E48" s="53"/>
      <c r="F48" s="53"/>
      <c r="G48" s="53"/>
      <c r="H48" s="53"/>
      <c r="I48" s="53"/>
      <c r="J48" s="53"/>
      <c r="K48" s="54"/>
      <c r="L48" s="88"/>
      <c r="M48" s="55"/>
    </row>
    <row r="49" spans="1:14" ht="15.75" x14ac:dyDescent="0.2">
      <c r="A49" s="89" t="s">
        <v>80</v>
      </c>
      <c r="B49" s="53">
        <v>1.5</v>
      </c>
      <c r="C49" s="86">
        <v>0</v>
      </c>
      <c r="D49" s="53">
        <v>52</v>
      </c>
      <c r="E49" s="53">
        <f t="shared" ref="E49:E57" si="21">B49*D49</f>
        <v>78</v>
      </c>
      <c r="F49" s="53">
        <v>2</v>
      </c>
      <c r="G49" s="53">
        <f>+F49*E49</f>
        <v>156</v>
      </c>
      <c r="H49" s="53">
        <f>+G49*0.05</f>
        <v>7.8000000000000007</v>
      </c>
      <c r="I49" s="53">
        <f>+G49*0.1</f>
        <v>15.600000000000001</v>
      </c>
      <c r="J49" s="53">
        <f t="shared" ref="J49:J57" si="22">G49+H49+I49</f>
        <v>179.4</v>
      </c>
      <c r="K49" s="103">
        <f>+G49*$H$2+H49*$I$2+I49*$K$2</f>
        <v>25321.452000000001</v>
      </c>
      <c r="L49" s="88">
        <f t="shared" ref="L49:L51" si="23">C49*D49*F49</f>
        <v>0</v>
      </c>
      <c r="M49" s="55">
        <v>0</v>
      </c>
    </row>
    <row r="50" spans="1:14" ht="28.5" x14ac:dyDescent="0.2">
      <c r="A50" s="89" t="s">
        <v>81</v>
      </c>
      <c r="B50" s="53">
        <v>1.5</v>
      </c>
      <c r="C50" s="86">
        <v>0</v>
      </c>
      <c r="D50" s="53">
        <v>52</v>
      </c>
      <c r="E50" s="53">
        <f t="shared" si="21"/>
        <v>78</v>
      </c>
      <c r="F50" s="53">
        <f>ROUND(2*0.1,1)</f>
        <v>0.2</v>
      </c>
      <c r="G50" s="53">
        <f t="shared" ref="G50:G57" si="24">+F50*E50</f>
        <v>15.600000000000001</v>
      </c>
      <c r="H50" s="53">
        <f t="shared" ref="H50:H57" si="25">+G50*0.05</f>
        <v>0.78000000000000014</v>
      </c>
      <c r="I50" s="53">
        <f t="shared" ref="I50:I57" si="26">+G50*0.1</f>
        <v>1.5600000000000003</v>
      </c>
      <c r="J50" s="53">
        <f t="shared" si="22"/>
        <v>17.940000000000001</v>
      </c>
      <c r="K50" s="103">
        <f t="shared" ref="K50:K57" si="27">+G50*$H$2+H50*$I$2+I50*$K$2</f>
        <v>2532.1452000000004</v>
      </c>
      <c r="L50" s="88">
        <f t="shared" si="23"/>
        <v>0</v>
      </c>
      <c r="M50" s="55">
        <v>0</v>
      </c>
    </row>
    <row r="51" spans="1:14" x14ac:dyDescent="0.2">
      <c r="A51" s="89" t="s">
        <v>82</v>
      </c>
      <c r="B51" s="53">
        <v>4</v>
      </c>
      <c r="C51" s="86">
        <v>0</v>
      </c>
      <c r="D51" s="53">
        <v>1</v>
      </c>
      <c r="E51" s="53">
        <f t="shared" si="21"/>
        <v>4</v>
      </c>
      <c r="F51" s="53">
        <v>2</v>
      </c>
      <c r="G51" s="53">
        <f t="shared" si="24"/>
        <v>8</v>
      </c>
      <c r="H51" s="53">
        <f t="shared" si="25"/>
        <v>0.4</v>
      </c>
      <c r="I51" s="53">
        <f t="shared" si="26"/>
        <v>0.8</v>
      </c>
      <c r="J51" s="53">
        <f t="shared" si="22"/>
        <v>9.2000000000000011</v>
      </c>
      <c r="K51" s="103">
        <f t="shared" si="27"/>
        <v>1298.5360000000001</v>
      </c>
      <c r="L51" s="88">
        <f t="shared" si="23"/>
        <v>0</v>
      </c>
      <c r="M51" s="55">
        <v>0</v>
      </c>
    </row>
    <row r="52" spans="1:14" ht="15.75" x14ac:dyDescent="0.2">
      <c r="A52" s="89" t="s">
        <v>83</v>
      </c>
      <c r="B52" s="53">
        <v>1.5</v>
      </c>
      <c r="C52" s="86">
        <v>2500</v>
      </c>
      <c r="D52" s="53">
        <v>52</v>
      </c>
      <c r="E52" s="53">
        <f t="shared" si="21"/>
        <v>78</v>
      </c>
      <c r="F52" s="53">
        <v>2</v>
      </c>
      <c r="G52" s="53">
        <f t="shared" si="24"/>
        <v>156</v>
      </c>
      <c r="H52" s="53">
        <f t="shared" si="25"/>
        <v>7.8000000000000007</v>
      </c>
      <c r="I52" s="53">
        <f t="shared" si="26"/>
        <v>15.600000000000001</v>
      </c>
      <c r="J52" s="53">
        <f t="shared" si="22"/>
        <v>179.4</v>
      </c>
      <c r="K52" s="103">
        <f t="shared" si="27"/>
        <v>25321.452000000001</v>
      </c>
      <c r="L52" s="88">
        <f>C52*F52</f>
        <v>5000</v>
      </c>
      <c r="M52" s="55">
        <v>0</v>
      </c>
    </row>
    <row r="53" spans="1:14" ht="25.5" x14ac:dyDescent="0.2">
      <c r="A53" s="117" t="s">
        <v>84</v>
      </c>
      <c r="B53" s="53">
        <v>0.5</v>
      </c>
      <c r="C53" s="86">
        <v>0</v>
      </c>
      <c r="D53" s="53">
        <v>52</v>
      </c>
      <c r="E53" s="53">
        <f t="shared" si="21"/>
        <v>26</v>
      </c>
      <c r="F53" s="53">
        <v>0</v>
      </c>
      <c r="G53" s="104">
        <f t="shared" si="24"/>
        <v>0</v>
      </c>
      <c r="H53" s="104">
        <f t="shared" si="25"/>
        <v>0</v>
      </c>
      <c r="I53" s="104">
        <f t="shared" si="26"/>
        <v>0</v>
      </c>
      <c r="J53" s="104">
        <f t="shared" si="22"/>
        <v>0</v>
      </c>
      <c r="K53" s="103">
        <f>+G53*$H$2+H53*$I$2+I53*$K$2</f>
        <v>0</v>
      </c>
      <c r="L53" s="88">
        <f t="shared" ref="L53:L57" si="28">C53*D53*F53</f>
        <v>0</v>
      </c>
      <c r="M53" s="55">
        <f t="shared" ref="M53:M57" si="29">D53*F53</f>
        <v>0</v>
      </c>
    </row>
    <row r="54" spans="1:14" ht="25.5" x14ac:dyDescent="0.2">
      <c r="A54" s="117" t="s">
        <v>85</v>
      </c>
      <c r="B54" s="53">
        <v>4</v>
      </c>
      <c r="C54" s="86">
        <v>0</v>
      </c>
      <c r="D54" s="53">
        <v>1</v>
      </c>
      <c r="E54" s="53">
        <f t="shared" si="21"/>
        <v>4</v>
      </c>
      <c r="F54" s="53">
        <v>0</v>
      </c>
      <c r="G54" s="104">
        <f t="shared" si="24"/>
        <v>0</v>
      </c>
      <c r="H54" s="104">
        <f t="shared" si="25"/>
        <v>0</v>
      </c>
      <c r="I54" s="104">
        <f t="shared" si="26"/>
        <v>0</v>
      </c>
      <c r="J54" s="104">
        <f t="shared" si="22"/>
        <v>0</v>
      </c>
      <c r="K54" s="103">
        <f t="shared" si="27"/>
        <v>0</v>
      </c>
      <c r="L54" s="88">
        <f t="shared" si="28"/>
        <v>0</v>
      </c>
      <c r="M54" s="55">
        <f t="shared" si="29"/>
        <v>0</v>
      </c>
    </row>
    <row r="55" spans="1:14" ht="25.5" x14ac:dyDescent="0.2">
      <c r="A55" s="117" t="s">
        <v>86</v>
      </c>
      <c r="B55" s="53">
        <v>1</v>
      </c>
      <c r="C55" s="86">
        <v>0</v>
      </c>
      <c r="D55" s="53">
        <v>4</v>
      </c>
      <c r="E55" s="53">
        <f t="shared" si="21"/>
        <v>4</v>
      </c>
      <c r="F55" s="53">
        <v>0</v>
      </c>
      <c r="G55" s="104">
        <f t="shared" si="24"/>
        <v>0</v>
      </c>
      <c r="H55" s="104">
        <f t="shared" si="25"/>
        <v>0</v>
      </c>
      <c r="I55" s="104">
        <f t="shared" si="26"/>
        <v>0</v>
      </c>
      <c r="J55" s="104">
        <f t="shared" si="22"/>
        <v>0</v>
      </c>
      <c r="K55" s="103">
        <f t="shared" si="27"/>
        <v>0</v>
      </c>
      <c r="L55" s="88">
        <f t="shared" si="28"/>
        <v>0</v>
      </c>
      <c r="M55" s="55">
        <f t="shared" si="29"/>
        <v>0</v>
      </c>
    </row>
    <row r="56" spans="1:14" ht="25.5" x14ac:dyDescent="0.2">
      <c r="A56" s="117" t="s">
        <v>87</v>
      </c>
      <c r="B56" s="53">
        <v>1</v>
      </c>
      <c r="C56" s="86">
        <v>0</v>
      </c>
      <c r="D56" s="53">
        <v>4</v>
      </c>
      <c r="E56" s="53">
        <f t="shared" si="21"/>
        <v>4</v>
      </c>
      <c r="F56" s="53">
        <v>0</v>
      </c>
      <c r="G56" s="104">
        <f t="shared" si="24"/>
        <v>0</v>
      </c>
      <c r="H56" s="104">
        <f t="shared" si="25"/>
        <v>0</v>
      </c>
      <c r="I56" s="104">
        <f t="shared" si="26"/>
        <v>0</v>
      </c>
      <c r="J56" s="104">
        <f t="shared" si="22"/>
        <v>0</v>
      </c>
      <c r="K56" s="103">
        <f t="shared" si="27"/>
        <v>0</v>
      </c>
      <c r="L56" s="88">
        <f t="shared" si="28"/>
        <v>0</v>
      </c>
      <c r="M56" s="55">
        <f t="shared" si="29"/>
        <v>0</v>
      </c>
    </row>
    <row r="57" spans="1:14" x14ac:dyDescent="0.2">
      <c r="A57" s="117" t="s">
        <v>88</v>
      </c>
      <c r="B57" s="53">
        <v>0.5</v>
      </c>
      <c r="C57" s="86">
        <v>0</v>
      </c>
      <c r="D57" s="53">
        <v>4</v>
      </c>
      <c r="E57" s="53">
        <f t="shared" si="21"/>
        <v>2</v>
      </c>
      <c r="F57" s="53">
        <v>0</v>
      </c>
      <c r="G57" s="104">
        <f t="shared" si="24"/>
        <v>0</v>
      </c>
      <c r="H57" s="104">
        <f t="shared" si="25"/>
        <v>0</v>
      </c>
      <c r="I57" s="104">
        <f t="shared" si="26"/>
        <v>0</v>
      </c>
      <c r="J57" s="104">
        <f t="shared" si="22"/>
        <v>0</v>
      </c>
      <c r="K57" s="103">
        <f t="shared" si="27"/>
        <v>0</v>
      </c>
      <c r="L57" s="88">
        <f t="shared" si="28"/>
        <v>0</v>
      </c>
      <c r="M57" s="55">
        <f t="shared" si="29"/>
        <v>0</v>
      </c>
    </row>
    <row r="58" spans="1:14" x14ac:dyDescent="0.2">
      <c r="A58" s="10" t="s">
        <v>89</v>
      </c>
      <c r="B58" s="53" t="s">
        <v>32</v>
      </c>
      <c r="C58" s="53"/>
      <c r="D58" s="53"/>
      <c r="E58" s="53"/>
      <c r="F58" s="53"/>
      <c r="G58" s="104"/>
      <c r="H58" s="104"/>
      <c r="I58" s="104"/>
      <c r="J58" s="104"/>
      <c r="K58" s="54"/>
      <c r="L58" s="88"/>
      <c r="M58" s="55"/>
    </row>
    <row r="59" spans="1:14" ht="13.5" x14ac:dyDescent="0.25">
      <c r="A59" s="169" t="s">
        <v>90</v>
      </c>
      <c r="B59" s="169"/>
      <c r="C59" s="169"/>
      <c r="D59" s="169"/>
      <c r="E59" s="169"/>
      <c r="F59" s="170"/>
      <c r="G59" s="102">
        <f t="shared" ref="G59:M59" si="30">SUM(G49:G58)</f>
        <v>335.6</v>
      </c>
      <c r="H59" s="105">
        <f>SUM(H49:H58)</f>
        <v>16.78</v>
      </c>
      <c r="I59" s="105">
        <f t="shared" si="30"/>
        <v>33.56</v>
      </c>
      <c r="J59" s="105">
        <f>SUM(J49:J58)</f>
        <v>385.94</v>
      </c>
      <c r="K59" s="106">
        <f t="shared" si="30"/>
        <v>54473.585200000001</v>
      </c>
      <c r="L59" s="107">
        <f t="shared" si="30"/>
        <v>5000</v>
      </c>
      <c r="M59" s="105">
        <f t="shared" si="30"/>
        <v>0</v>
      </c>
    </row>
    <row r="60" spans="1:14" ht="13.5" x14ac:dyDescent="0.25">
      <c r="A60" s="173" t="s">
        <v>91</v>
      </c>
      <c r="B60" s="173"/>
      <c r="C60" s="173"/>
      <c r="D60" s="173"/>
      <c r="E60" s="173"/>
      <c r="F60" s="173"/>
      <c r="G60" s="56">
        <f>G42+G59</f>
        <v>710.2</v>
      </c>
      <c r="H60" s="56">
        <f>H42+H59</f>
        <v>35.510000000000005</v>
      </c>
      <c r="I60" s="56">
        <f>I42+I59</f>
        <v>71.02000000000001</v>
      </c>
      <c r="J60" s="56">
        <f>J42+J59</f>
        <v>816.73</v>
      </c>
      <c r="K60" s="100">
        <f>ROUND(K42+K59,-3)</f>
        <v>115000</v>
      </c>
      <c r="L60" s="101">
        <f>ROUND(L42+L59,-3)</f>
        <v>306000</v>
      </c>
      <c r="M60" s="102">
        <f>M42+M59</f>
        <v>2.4</v>
      </c>
      <c r="N60" s="108"/>
    </row>
    <row r="61" spans="1:14" x14ac:dyDescent="0.2">
      <c r="A61" s="109"/>
      <c r="B61" s="110"/>
      <c r="C61" s="110"/>
      <c r="D61" s="110"/>
      <c r="E61" s="110"/>
      <c r="F61" s="111"/>
      <c r="G61" s="111"/>
      <c r="H61" s="112"/>
      <c r="I61" s="112"/>
      <c r="J61" s="112"/>
      <c r="K61" s="113"/>
      <c r="L61" s="113"/>
      <c r="M61" s="114"/>
    </row>
    <row r="62" spans="1:14" ht="13.5" x14ac:dyDescent="0.25">
      <c r="A62" s="115" t="s">
        <v>92</v>
      </c>
      <c r="G62" s="153"/>
      <c r="H62" s="153"/>
      <c r="I62" s="153"/>
      <c r="J62" s="153"/>
      <c r="K62" s="154"/>
      <c r="L62" s="155"/>
      <c r="M62" s="156"/>
    </row>
    <row r="63" spans="1:14" ht="26.25" customHeight="1" x14ac:dyDescent="0.2">
      <c r="A63" s="172" t="s">
        <v>93</v>
      </c>
      <c r="B63" s="172"/>
      <c r="C63" s="172"/>
      <c r="D63" s="172"/>
      <c r="E63" s="172"/>
      <c r="F63" s="172"/>
      <c r="G63" s="172"/>
      <c r="H63" s="172"/>
      <c r="I63" s="172"/>
      <c r="J63" s="172"/>
      <c r="K63" s="172"/>
    </row>
    <row r="64" spans="1:14" ht="41.25" customHeight="1" x14ac:dyDescent="0.2">
      <c r="A64" s="172" t="s">
        <v>94</v>
      </c>
      <c r="B64" s="172"/>
      <c r="C64" s="172"/>
      <c r="D64" s="172"/>
      <c r="E64" s="172"/>
      <c r="F64" s="172"/>
      <c r="G64" s="172"/>
      <c r="H64" s="172"/>
      <c r="I64" s="172"/>
      <c r="J64" s="172"/>
      <c r="K64" s="172"/>
    </row>
    <row r="65" spans="1:11" ht="27.75" customHeight="1" x14ac:dyDescent="0.2">
      <c r="A65" s="172" t="s">
        <v>95</v>
      </c>
      <c r="B65" s="172"/>
      <c r="C65" s="172"/>
      <c r="D65" s="172"/>
      <c r="E65" s="172"/>
      <c r="F65" s="172"/>
      <c r="G65" s="172"/>
      <c r="H65" s="172"/>
      <c r="I65" s="172"/>
      <c r="J65" s="172"/>
      <c r="K65" s="172"/>
    </row>
    <row r="66" spans="1:11" ht="15.75" x14ac:dyDescent="0.2">
      <c r="A66" s="74" t="s">
        <v>96</v>
      </c>
    </row>
    <row r="67" spans="1:11" ht="15.75" x14ac:dyDescent="0.2">
      <c r="A67" s="172" t="s">
        <v>97</v>
      </c>
      <c r="B67" s="172"/>
      <c r="C67" s="172"/>
      <c r="D67" s="172"/>
      <c r="E67" s="172"/>
      <c r="F67" s="172"/>
      <c r="G67" s="172"/>
      <c r="H67" s="172"/>
      <c r="I67" s="172"/>
      <c r="J67" s="172"/>
      <c r="K67" s="172"/>
    </row>
    <row r="68" spans="1:11" ht="28.5" customHeight="1" x14ac:dyDescent="0.2">
      <c r="A68" s="172" t="s">
        <v>98</v>
      </c>
      <c r="B68" s="172"/>
      <c r="C68" s="172"/>
      <c r="D68" s="172"/>
      <c r="E68" s="172"/>
      <c r="F68" s="172"/>
      <c r="G68" s="172"/>
      <c r="H68" s="172"/>
      <c r="I68" s="172"/>
      <c r="J68" s="172"/>
      <c r="K68" s="172"/>
    </row>
    <row r="69" spans="1:11" ht="15.75" customHeight="1" x14ac:dyDescent="0.2">
      <c r="A69" s="171" t="s">
        <v>99</v>
      </c>
      <c r="B69" s="172"/>
      <c r="C69" s="172"/>
      <c r="D69" s="172"/>
      <c r="E69" s="172"/>
      <c r="F69" s="172"/>
      <c r="G69" s="172"/>
      <c r="H69" s="172"/>
      <c r="I69" s="172"/>
      <c r="J69" s="172"/>
      <c r="K69" s="172"/>
    </row>
    <row r="70" spans="1:11" ht="15.75" x14ac:dyDescent="0.2">
      <c r="A70" s="74" t="s">
        <v>100</v>
      </c>
      <c r="B70" s="9"/>
      <c r="C70" s="9"/>
      <c r="D70" s="9"/>
      <c r="E70" s="9"/>
      <c r="F70" s="9"/>
      <c r="G70" s="9"/>
      <c r="H70" s="9"/>
      <c r="I70" s="9"/>
      <c r="J70" s="9"/>
      <c r="K70" s="9"/>
    </row>
    <row r="71" spans="1:11" ht="15.75" x14ac:dyDescent="0.2">
      <c r="A71" s="12" t="s">
        <v>101</v>
      </c>
      <c r="B71" s="9"/>
      <c r="C71" s="9"/>
      <c r="D71" s="9"/>
      <c r="E71" s="9"/>
      <c r="F71" s="9"/>
      <c r="G71" s="9"/>
      <c r="H71" s="9"/>
      <c r="I71" s="9"/>
      <c r="J71" s="9"/>
      <c r="K71" s="9"/>
    </row>
    <row r="72" spans="1:11" ht="15.75" x14ac:dyDescent="0.2">
      <c r="A72" s="12" t="s">
        <v>102</v>
      </c>
      <c r="B72" s="9"/>
      <c r="C72" s="9"/>
      <c r="D72" s="9"/>
      <c r="E72" s="9"/>
      <c r="F72" s="9"/>
      <c r="G72" s="9"/>
      <c r="H72" s="9"/>
      <c r="I72" s="9"/>
      <c r="J72" s="9"/>
      <c r="K72" s="9"/>
    </row>
    <row r="73" spans="1:11" ht="15.75" x14ac:dyDescent="0.2">
      <c r="A73" s="49" t="s">
        <v>103</v>
      </c>
      <c r="B73" s="9"/>
      <c r="C73" s="9"/>
      <c r="D73" s="9"/>
      <c r="E73" s="9"/>
      <c r="F73" s="9"/>
      <c r="G73" s="9"/>
      <c r="H73" s="9"/>
      <c r="I73" s="9"/>
      <c r="J73" s="9"/>
      <c r="K73" s="9"/>
    </row>
  </sheetData>
  <mergeCells count="10">
    <mergeCell ref="G3:I3"/>
    <mergeCell ref="A42:F42"/>
    <mergeCell ref="A59:F59"/>
    <mergeCell ref="A69:K69"/>
    <mergeCell ref="A67:K67"/>
    <mergeCell ref="A60:F60"/>
    <mergeCell ref="A63:K63"/>
    <mergeCell ref="A64:K64"/>
    <mergeCell ref="A65:K65"/>
    <mergeCell ref="A68:K6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26FD-2983-4E5A-82DC-A0CF7003FB70}">
  <dimension ref="A1:O73"/>
  <sheetViews>
    <sheetView topLeftCell="A27" workbookViewId="0">
      <selection activeCell="A38" sqref="A38"/>
    </sheetView>
  </sheetViews>
  <sheetFormatPr defaultColWidth="9.140625" defaultRowHeight="15" x14ac:dyDescent="0.25"/>
  <cols>
    <col min="1" max="1" width="49.140625" style="49" customWidth="1"/>
    <col min="2" max="3" width="12.42578125" style="49" customWidth="1"/>
    <col min="4" max="4" width="12.5703125" style="49" customWidth="1"/>
    <col min="5" max="5" width="11.7109375" style="49" customWidth="1"/>
    <col min="6" max="6" width="12.5703125" style="49" customWidth="1"/>
    <col min="7" max="7" width="12.7109375" style="49" customWidth="1"/>
    <col min="8" max="8" width="12.42578125" style="49" customWidth="1"/>
    <col min="9" max="9" width="11.5703125" style="49" customWidth="1"/>
    <col min="10" max="10" width="12.140625" style="49" customWidth="1"/>
    <col min="11" max="11" width="14.42578125" style="49" customWidth="1"/>
    <col min="12" max="12" width="13.5703125" style="49" customWidth="1"/>
    <col min="13" max="13" width="9.140625" style="49"/>
    <col min="14" max="16384" width="9.140625" style="50"/>
  </cols>
  <sheetData>
    <row r="1" spans="1:13" ht="15.75" x14ac:dyDescent="0.25">
      <c r="A1" s="48" t="s">
        <v>104</v>
      </c>
    </row>
    <row r="2" spans="1:13" x14ac:dyDescent="0.25">
      <c r="H2" s="49">
        <v>145.99</v>
      </c>
      <c r="I2" s="49">
        <v>177.98</v>
      </c>
      <c r="K2" s="49">
        <v>74.28</v>
      </c>
      <c r="L2" s="49" t="s">
        <v>16</v>
      </c>
    </row>
    <row r="3" spans="1:13" ht="15" customHeight="1" thickBot="1" x14ac:dyDescent="0.3">
      <c r="G3" s="166" t="s">
        <v>17</v>
      </c>
      <c r="H3" s="167"/>
      <c r="I3" s="168"/>
      <c r="J3" s="51"/>
    </row>
    <row r="4" spans="1:13" ht="77.25" x14ac:dyDescent="0.25">
      <c r="A4" s="52" t="s">
        <v>18</v>
      </c>
      <c r="B4" s="53" t="s">
        <v>19</v>
      </c>
      <c r="C4" s="53" t="s">
        <v>20</v>
      </c>
      <c r="D4" s="53" t="s">
        <v>21</v>
      </c>
      <c r="E4" s="53" t="s">
        <v>22</v>
      </c>
      <c r="F4" s="53" t="s">
        <v>23</v>
      </c>
      <c r="G4" s="53" t="s">
        <v>24</v>
      </c>
      <c r="H4" s="53" t="s">
        <v>25</v>
      </c>
      <c r="I4" s="53" t="s">
        <v>26</v>
      </c>
      <c r="J4" s="53" t="s">
        <v>27</v>
      </c>
      <c r="K4" s="53" t="s">
        <v>28</v>
      </c>
      <c r="L4" s="116" t="s">
        <v>29</v>
      </c>
      <c r="M4" s="116" t="s">
        <v>30</v>
      </c>
    </row>
    <row r="5" spans="1:13" x14ac:dyDescent="0.25">
      <c r="A5" s="11" t="s">
        <v>31</v>
      </c>
      <c r="B5" s="53" t="s">
        <v>32</v>
      </c>
      <c r="C5" s="53"/>
      <c r="D5" s="11"/>
      <c r="E5" s="53"/>
      <c r="F5" s="70"/>
      <c r="G5" s="53"/>
      <c r="H5" s="53"/>
      <c r="I5" s="53"/>
      <c r="J5" s="53"/>
      <c r="K5" s="54"/>
      <c r="L5" s="55"/>
      <c r="M5" s="55"/>
    </row>
    <row r="6" spans="1:13" x14ac:dyDescent="0.25">
      <c r="A6" s="11" t="s">
        <v>33</v>
      </c>
      <c r="B6" s="53" t="s">
        <v>32</v>
      </c>
      <c r="C6" s="53"/>
      <c r="D6" s="11"/>
      <c r="E6" s="53"/>
      <c r="F6" s="70"/>
      <c r="G6" s="53"/>
      <c r="H6" s="53"/>
      <c r="I6" s="53"/>
      <c r="J6" s="53"/>
      <c r="K6" s="54"/>
      <c r="L6" s="55"/>
      <c r="M6" s="55"/>
    </row>
    <row r="7" spans="1:13" x14ac:dyDescent="0.25">
      <c r="A7" s="11" t="s">
        <v>34</v>
      </c>
      <c r="B7" s="53"/>
      <c r="C7" s="53"/>
      <c r="D7" s="53"/>
      <c r="E7" s="53"/>
      <c r="F7" s="70"/>
      <c r="G7" s="53"/>
      <c r="H7" s="53"/>
      <c r="I7" s="53"/>
      <c r="J7" s="53"/>
      <c r="K7" s="54"/>
      <c r="L7" s="55"/>
      <c r="M7" s="55"/>
    </row>
    <row r="8" spans="1:13" ht="16.5" x14ac:dyDescent="0.25">
      <c r="A8" s="11" t="s">
        <v>105</v>
      </c>
      <c r="B8" s="55"/>
      <c r="C8" s="55"/>
      <c r="D8" s="55"/>
      <c r="E8" s="55"/>
      <c r="F8" s="55"/>
      <c r="G8" s="55"/>
      <c r="H8" s="55"/>
      <c r="I8" s="55"/>
      <c r="J8" s="55"/>
      <c r="K8" s="55"/>
      <c r="L8" s="55"/>
      <c r="M8" s="55"/>
    </row>
    <row r="9" spans="1:13" ht="26.25" x14ac:dyDescent="0.25">
      <c r="A9" s="89" t="s">
        <v>36</v>
      </c>
      <c r="B9" s="53">
        <v>18</v>
      </c>
      <c r="C9" s="86">
        <v>0</v>
      </c>
      <c r="D9" s="53">
        <v>1</v>
      </c>
      <c r="E9" s="53">
        <f>B9*D9</f>
        <v>18</v>
      </c>
      <c r="F9" s="53">
        <v>0</v>
      </c>
      <c r="G9" s="53">
        <f>+F9*E9</f>
        <v>0</v>
      </c>
      <c r="H9" s="53">
        <f>+G9*0.05</f>
        <v>0</v>
      </c>
      <c r="I9" s="53">
        <f>+G9*0.1</f>
        <v>0</v>
      </c>
      <c r="J9" s="53">
        <f>G9+H9+I9</f>
        <v>0</v>
      </c>
      <c r="K9" s="91">
        <f>+G9*$H$2+H9*$I$2+I9*$K$2</f>
        <v>0</v>
      </c>
      <c r="L9" s="88">
        <f>C9*D9*F9</f>
        <v>0</v>
      </c>
      <c r="M9" s="55">
        <f>D9*F9</f>
        <v>0</v>
      </c>
    </row>
    <row r="10" spans="1:13" x14ac:dyDescent="0.25">
      <c r="A10" s="10" t="s">
        <v>37</v>
      </c>
      <c r="B10" s="53">
        <v>4</v>
      </c>
      <c r="C10" s="86">
        <v>0</v>
      </c>
      <c r="D10" s="53">
        <v>1</v>
      </c>
      <c r="E10" s="53">
        <f>B10*D10</f>
        <v>4</v>
      </c>
      <c r="F10" s="53">
        <v>2</v>
      </c>
      <c r="G10" s="53">
        <f>+F10*E10</f>
        <v>8</v>
      </c>
      <c r="H10" s="53">
        <f>+G10*0.05</f>
        <v>0.4</v>
      </c>
      <c r="I10" s="53">
        <f>+G10*0.1</f>
        <v>0.8</v>
      </c>
      <c r="J10" s="53">
        <f>G10+H10+I10</f>
        <v>9.2000000000000011</v>
      </c>
      <c r="K10" s="87">
        <f>+G10*$H$2+H10*$I$2+I10*$K$2</f>
        <v>1298.5360000000001</v>
      </c>
      <c r="L10" s="88">
        <f>C10*D10*F10</f>
        <v>0</v>
      </c>
      <c r="M10" s="55">
        <v>0</v>
      </c>
    </row>
    <row r="11" spans="1:13" x14ac:dyDescent="0.25">
      <c r="A11" s="11" t="s">
        <v>38</v>
      </c>
      <c r="B11" s="53"/>
      <c r="C11" s="53"/>
      <c r="D11" s="53"/>
      <c r="E11" s="53"/>
      <c r="F11" s="70"/>
      <c r="G11" s="53"/>
      <c r="H11" s="53"/>
      <c r="I11" s="53"/>
      <c r="J11" s="53"/>
      <c r="K11" s="54"/>
      <c r="L11" s="88"/>
      <c r="M11" s="55"/>
    </row>
    <row r="12" spans="1:13" x14ac:dyDescent="0.25">
      <c r="A12" s="117" t="s">
        <v>39</v>
      </c>
      <c r="B12" s="53"/>
      <c r="C12" s="53"/>
      <c r="D12" s="53"/>
      <c r="E12" s="53"/>
      <c r="F12" s="70"/>
      <c r="G12" s="53"/>
      <c r="H12" s="53"/>
      <c r="I12" s="53"/>
      <c r="J12" s="53"/>
      <c r="K12" s="54"/>
      <c r="L12" s="88"/>
      <c r="M12" s="55"/>
    </row>
    <row r="13" spans="1:13" ht="29.25" x14ac:dyDescent="0.25">
      <c r="A13" s="143" t="s">
        <v>106</v>
      </c>
      <c r="B13" s="53">
        <v>24</v>
      </c>
      <c r="C13" s="86">
        <v>76666.666666666657</v>
      </c>
      <c r="D13" s="53">
        <v>1</v>
      </c>
      <c r="E13" s="53">
        <f t="shared" ref="E13:E16" si="0">B13*D13</f>
        <v>24</v>
      </c>
      <c r="F13" s="53">
        <v>0</v>
      </c>
      <c r="G13" s="53">
        <f>+F13*E13</f>
        <v>0</v>
      </c>
      <c r="H13" s="53">
        <f>+G13*0.05</f>
        <v>0</v>
      </c>
      <c r="I13" s="53">
        <f>+G13*0.1</f>
        <v>0</v>
      </c>
      <c r="J13" s="53">
        <f t="shared" ref="J13:J16" si="1">G13+H13+I13</f>
        <v>0</v>
      </c>
      <c r="K13" s="91">
        <f>+G13*$H$2+H13*$I$2+I13*$K$2</f>
        <v>0</v>
      </c>
      <c r="L13" s="88">
        <f t="shared" ref="L13:L27" si="2">C13*D13*F13</f>
        <v>0</v>
      </c>
      <c r="M13" s="55">
        <f t="shared" ref="M13:M27" si="3">D13*F13</f>
        <v>0</v>
      </c>
    </row>
    <row r="14" spans="1:13" ht="16.5" x14ac:dyDescent="0.25">
      <c r="A14" s="143" t="s">
        <v>107</v>
      </c>
      <c r="B14" s="53">
        <v>24</v>
      </c>
      <c r="C14" s="86">
        <f>ROUND(C13*0.2,0)</f>
        <v>15333</v>
      </c>
      <c r="D14" s="53">
        <v>1</v>
      </c>
      <c r="E14" s="53">
        <f t="shared" si="0"/>
        <v>24</v>
      </c>
      <c r="F14" s="70">
        <f>ROUND(F13*0.2,0)</f>
        <v>0</v>
      </c>
      <c r="G14" s="53">
        <f>+F14*E14</f>
        <v>0</v>
      </c>
      <c r="H14" s="53">
        <f>+G14*0.05</f>
        <v>0</v>
      </c>
      <c r="I14" s="53">
        <f>+G14*0.1</f>
        <v>0</v>
      </c>
      <c r="J14" s="53">
        <f t="shared" si="1"/>
        <v>0</v>
      </c>
      <c r="K14" s="91">
        <f>+G14*$H$2+H14*$I$2+I14*$K$2</f>
        <v>0</v>
      </c>
      <c r="L14" s="88">
        <f t="shared" si="2"/>
        <v>0</v>
      </c>
      <c r="M14" s="55">
        <f t="shared" si="3"/>
        <v>0</v>
      </c>
    </row>
    <row r="15" spans="1:13" ht="29.25" x14ac:dyDescent="0.25">
      <c r="A15" s="143" t="s">
        <v>108</v>
      </c>
      <c r="B15" s="53">
        <v>3</v>
      </c>
      <c r="C15" s="86">
        <v>3000</v>
      </c>
      <c r="D15" s="53">
        <v>1</v>
      </c>
      <c r="E15" s="53">
        <f t="shared" si="0"/>
        <v>3</v>
      </c>
      <c r="F15" s="70">
        <v>0</v>
      </c>
      <c r="G15" s="53">
        <f>+F15*E15</f>
        <v>0</v>
      </c>
      <c r="H15" s="53">
        <f>+G15*0.05</f>
        <v>0</v>
      </c>
      <c r="I15" s="53">
        <f>+G15*0.1</f>
        <v>0</v>
      </c>
      <c r="J15" s="53">
        <f t="shared" si="1"/>
        <v>0</v>
      </c>
      <c r="K15" s="91">
        <f>+G15*$H$2+H15*$I$2+I15*$K$2</f>
        <v>0</v>
      </c>
      <c r="L15" s="88">
        <f t="shared" si="2"/>
        <v>0</v>
      </c>
      <c r="M15" s="55">
        <f t="shared" si="3"/>
        <v>0</v>
      </c>
    </row>
    <row r="16" spans="1:13" ht="29.25" x14ac:dyDescent="0.25">
      <c r="A16" s="143" t="s">
        <v>109</v>
      </c>
      <c r="B16" s="53">
        <v>3</v>
      </c>
      <c r="C16" s="86">
        <f>ROUND(C15*0.2,0)</f>
        <v>600</v>
      </c>
      <c r="D16" s="53">
        <v>1</v>
      </c>
      <c r="E16" s="53">
        <f t="shared" si="0"/>
        <v>3</v>
      </c>
      <c r="F16" s="70">
        <f>ROUND(F15*0.2,0)</f>
        <v>0</v>
      </c>
      <c r="G16" s="53">
        <f>+F16*E16</f>
        <v>0</v>
      </c>
      <c r="H16" s="53">
        <f>+G16*0.05</f>
        <v>0</v>
      </c>
      <c r="I16" s="53">
        <f>+G16*0.1</f>
        <v>0</v>
      </c>
      <c r="J16" s="53">
        <f t="shared" si="1"/>
        <v>0</v>
      </c>
      <c r="K16" s="91">
        <f>+G16*$H$2+H16*$I$2+I16*$K$2</f>
        <v>0</v>
      </c>
      <c r="L16" s="88">
        <f t="shared" si="2"/>
        <v>0</v>
      </c>
      <c r="M16" s="55">
        <f t="shared" si="3"/>
        <v>0</v>
      </c>
    </row>
    <row r="17" spans="1:13" x14ac:dyDescent="0.25">
      <c r="A17" s="117" t="s">
        <v>44</v>
      </c>
      <c r="B17" s="53"/>
      <c r="C17" s="53"/>
      <c r="D17" s="53"/>
      <c r="E17" s="53"/>
      <c r="F17" s="70"/>
      <c r="G17" s="53"/>
      <c r="H17" s="53"/>
      <c r="I17" s="53"/>
      <c r="J17" s="53"/>
      <c r="K17" s="91"/>
      <c r="L17" s="88">
        <f t="shared" si="2"/>
        <v>0</v>
      </c>
      <c r="M17" s="55">
        <f t="shared" si="3"/>
        <v>0</v>
      </c>
    </row>
    <row r="18" spans="1:13" ht="16.5" x14ac:dyDescent="0.25">
      <c r="A18" s="143" t="s">
        <v>110</v>
      </c>
      <c r="B18" s="53">
        <v>229</v>
      </c>
      <c r="C18" s="86">
        <f>185000+210000</f>
        <v>395000</v>
      </c>
      <c r="D18" s="53">
        <v>1</v>
      </c>
      <c r="E18" s="53">
        <f>B18*D18</f>
        <v>229</v>
      </c>
      <c r="F18" s="70">
        <v>0</v>
      </c>
      <c r="G18" s="53">
        <f>+F18*E18</f>
        <v>0</v>
      </c>
      <c r="H18" s="53">
        <f>+G18*0.05</f>
        <v>0</v>
      </c>
      <c r="I18" s="53">
        <f>+G18*0.1</f>
        <v>0</v>
      </c>
      <c r="J18" s="53">
        <f>G18+H18+I18</f>
        <v>0</v>
      </c>
      <c r="K18" s="91">
        <f>+G18*$H$2+H18*$I$2+I18*$K$2</f>
        <v>0</v>
      </c>
      <c r="L18" s="88">
        <f t="shared" si="2"/>
        <v>0</v>
      </c>
      <c r="M18" s="55">
        <f t="shared" si="3"/>
        <v>0</v>
      </c>
    </row>
    <row r="19" spans="1:13" x14ac:dyDescent="0.25">
      <c r="A19" s="143" t="s">
        <v>46</v>
      </c>
      <c r="B19" s="53" t="s">
        <v>47</v>
      </c>
      <c r="C19" s="53"/>
      <c r="D19" s="53"/>
      <c r="E19" s="53"/>
      <c r="F19" s="70"/>
      <c r="G19" s="53"/>
      <c r="H19" s="53"/>
      <c r="I19" s="53"/>
      <c r="J19" s="53"/>
      <c r="K19" s="87"/>
      <c r="L19" s="88">
        <f t="shared" si="2"/>
        <v>0</v>
      </c>
      <c r="M19" s="55">
        <f t="shared" si="3"/>
        <v>0</v>
      </c>
    </row>
    <row r="20" spans="1:13" ht="29.25" x14ac:dyDescent="0.25">
      <c r="A20" s="117" t="s">
        <v>111</v>
      </c>
      <c r="B20" s="53">
        <v>24</v>
      </c>
      <c r="C20" s="86">
        <v>76666.666666666657</v>
      </c>
      <c r="D20" s="53">
        <v>1</v>
      </c>
      <c r="E20" s="53">
        <f>B20*D20</f>
        <v>24</v>
      </c>
      <c r="F20" s="53">
        <v>2</v>
      </c>
      <c r="G20" s="53">
        <f>+F20*E20</f>
        <v>48</v>
      </c>
      <c r="H20" s="53">
        <f>+G20*0.05</f>
        <v>2.4000000000000004</v>
      </c>
      <c r="I20" s="53">
        <f>+G20*0.1</f>
        <v>4.8000000000000007</v>
      </c>
      <c r="J20" s="53">
        <f t="shared" ref="J20:J27" si="4">G20+H20+I20</f>
        <v>55.2</v>
      </c>
      <c r="K20" s="87">
        <f>+G20*$H$2+H20*$I$2+I20*$K$2</f>
        <v>7791.2160000000003</v>
      </c>
      <c r="L20" s="88">
        <f>C20*D20*F20</f>
        <v>153333.33333333331</v>
      </c>
      <c r="M20" s="55">
        <v>0</v>
      </c>
    </row>
    <row r="21" spans="1:13" ht="29.25" x14ac:dyDescent="0.25">
      <c r="A21" s="117" t="s">
        <v>112</v>
      </c>
      <c r="B21" s="53">
        <v>3</v>
      </c>
      <c r="C21" s="86">
        <v>3000</v>
      </c>
      <c r="D21" s="53">
        <v>1</v>
      </c>
      <c r="E21" s="53">
        <f>B21*D21</f>
        <v>3</v>
      </c>
      <c r="F21" s="53">
        <v>0</v>
      </c>
      <c r="G21" s="53">
        <f>+F21*E21</f>
        <v>0</v>
      </c>
      <c r="H21" s="53">
        <f>+G21*0.05</f>
        <v>0</v>
      </c>
      <c r="I21" s="53">
        <f>+G21*0.1</f>
        <v>0</v>
      </c>
      <c r="J21" s="53">
        <f t="shared" si="4"/>
        <v>0</v>
      </c>
      <c r="K21" s="91">
        <f>+G21*$H$2+H21*$I$2+I21*$K$2</f>
        <v>0</v>
      </c>
      <c r="L21" s="88">
        <f t="shared" si="2"/>
        <v>0</v>
      </c>
      <c r="M21" s="55">
        <f t="shared" si="3"/>
        <v>0</v>
      </c>
    </row>
    <row r="22" spans="1:13" x14ac:dyDescent="0.25">
      <c r="A22" s="144" t="s">
        <v>50</v>
      </c>
      <c r="B22" s="53"/>
      <c r="C22" s="53"/>
      <c r="D22" s="53"/>
      <c r="E22" s="53"/>
      <c r="F22" s="53"/>
      <c r="G22" s="53"/>
      <c r="H22" s="53"/>
      <c r="I22" s="53"/>
      <c r="J22" s="53"/>
      <c r="K22" s="87"/>
      <c r="L22" s="88"/>
      <c r="M22" s="55"/>
    </row>
    <row r="23" spans="1:13" ht="15.75" x14ac:dyDescent="0.25">
      <c r="A23" s="118" t="s">
        <v>113</v>
      </c>
      <c r="B23" s="1">
        <v>16</v>
      </c>
      <c r="C23" s="86">
        <v>0</v>
      </c>
      <c r="D23" s="158">
        <v>1</v>
      </c>
      <c r="E23" s="53">
        <f>B23*D23</f>
        <v>16</v>
      </c>
      <c r="F23" s="53">
        <v>2</v>
      </c>
      <c r="G23" s="53">
        <f t="shared" ref="G23:G24" si="5">+F23*E23</f>
        <v>32</v>
      </c>
      <c r="H23" s="53">
        <f t="shared" ref="H23:H24" si="6">+G23*0.05</f>
        <v>1.6</v>
      </c>
      <c r="I23" s="53">
        <f t="shared" ref="I23:I24" si="7">+G23*0.1</f>
        <v>3.2</v>
      </c>
      <c r="J23" s="53">
        <f t="shared" ref="J23:J24" si="8">G23+H23+I23</f>
        <v>36.800000000000004</v>
      </c>
      <c r="K23" s="91">
        <f t="shared" ref="K23:K24" si="9">+G23*$H$2+H23*$I$2+I23*$K$2</f>
        <v>5194.1440000000002</v>
      </c>
      <c r="L23" s="88">
        <f t="shared" ref="L23" si="10">C23*D23*F23</f>
        <v>0</v>
      </c>
      <c r="M23" s="55">
        <v>0</v>
      </c>
    </row>
    <row r="24" spans="1:13" ht="15.75" x14ac:dyDescent="0.25">
      <c r="A24" s="118" t="s">
        <v>114</v>
      </c>
      <c r="B24" s="1">
        <v>16</v>
      </c>
      <c r="C24" s="86">
        <v>0</v>
      </c>
      <c r="D24" s="158">
        <v>3</v>
      </c>
      <c r="E24" s="53">
        <f>B24*D24</f>
        <v>48</v>
      </c>
      <c r="F24" s="53">
        <v>2</v>
      </c>
      <c r="G24" s="53">
        <f t="shared" si="5"/>
        <v>96</v>
      </c>
      <c r="H24" s="53">
        <f t="shared" si="6"/>
        <v>4.8000000000000007</v>
      </c>
      <c r="I24" s="53">
        <f t="shared" si="7"/>
        <v>9.6000000000000014</v>
      </c>
      <c r="J24" s="53">
        <f t="shared" si="8"/>
        <v>110.4</v>
      </c>
      <c r="K24" s="91">
        <f t="shared" si="9"/>
        <v>15582.432000000001</v>
      </c>
      <c r="L24" s="88">
        <f>C24*D24*F24</f>
        <v>0</v>
      </c>
      <c r="M24" s="55">
        <v>0</v>
      </c>
    </row>
    <row r="25" spans="1:13" ht="16.5" x14ac:dyDescent="0.25">
      <c r="A25" s="143" t="s">
        <v>115</v>
      </c>
      <c r="B25" s="53">
        <v>0.25</v>
      </c>
      <c r="C25" s="86">
        <f>38100+35600</f>
        <v>73700</v>
      </c>
      <c r="D25" s="53">
        <v>250</v>
      </c>
      <c r="E25" s="53">
        <f>B25*D25</f>
        <v>62.5</v>
      </c>
      <c r="F25" s="70">
        <v>2</v>
      </c>
      <c r="G25" s="53">
        <f>+F25*E25</f>
        <v>125</v>
      </c>
      <c r="H25" s="53">
        <f>+G25*0.05</f>
        <v>6.25</v>
      </c>
      <c r="I25" s="53">
        <f>+G25*0.1</f>
        <v>12.5</v>
      </c>
      <c r="J25" s="53">
        <f t="shared" si="4"/>
        <v>143.75</v>
      </c>
      <c r="K25" s="87">
        <f>+G25*$H$2+H25*$I$2+I25*$K$2</f>
        <v>20289.625</v>
      </c>
      <c r="L25" s="88">
        <f>C25*F25</f>
        <v>147400</v>
      </c>
      <c r="M25" s="55">
        <v>0</v>
      </c>
    </row>
    <row r="26" spans="1:13" ht="16.5" x14ac:dyDescent="0.25">
      <c r="A26" s="96" t="s">
        <v>54</v>
      </c>
      <c r="B26" s="53">
        <v>20</v>
      </c>
      <c r="C26" s="86">
        <v>0</v>
      </c>
      <c r="D26" s="53">
        <v>1</v>
      </c>
      <c r="E26" s="53">
        <f>B26*D26</f>
        <v>20</v>
      </c>
      <c r="F26" s="70">
        <v>0</v>
      </c>
      <c r="G26" s="53">
        <f>+F26*E26</f>
        <v>0</v>
      </c>
      <c r="H26" s="53">
        <f>+G26*0.05</f>
        <v>0</v>
      </c>
      <c r="I26" s="53">
        <f>+G26*0.1</f>
        <v>0</v>
      </c>
      <c r="J26" s="53">
        <f t="shared" si="4"/>
        <v>0</v>
      </c>
      <c r="K26" s="91">
        <f>+G26*$H$2+H26*$I$2+I26*$K$2</f>
        <v>0</v>
      </c>
      <c r="L26" s="88">
        <f t="shared" si="2"/>
        <v>0</v>
      </c>
      <c r="M26" s="55">
        <f t="shared" si="3"/>
        <v>0</v>
      </c>
    </row>
    <row r="27" spans="1:13" ht="29.25" x14ac:dyDescent="0.25">
      <c r="A27" s="96" t="s">
        <v>55</v>
      </c>
      <c r="B27" s="53">
        <v>4</v>
      </c>
      <c r="C27" s="86">
        <v>0</v>
      </c>
      <c r="D27" s="53">
        <v>1</v>
      </c>
      <c r="E27" s="53">
        <v>4</v>
      </c>
      <c r="F27" s="53">
        <v>0</v>
      </c>
      <c r="G27" s="53">
        <f>+F27*E27</f>
        <v>0</v>
      </c>
      <c r="H27" s="53">
        <f>+G27*0.05</f>
        <v>0</v>
      </c>
      <c r="I27" s="53">
        <f>+G27*0.1</f>
        <v>0</v>
      </c>
      <c r="J27" s="53">
        <f t="shared" si="4"/>
        <v>0</v>
      </c>
      <c r="K27" s="91">
        <f>+G27*$H$2+H27*$I$2+I27*$K$2</f>
        <v>0</v>
      </c>
      <c r="L27" s="88">
        <f t="shared" si="2"/>
        <v>0</v>
      </c>
      <c r="M27" s="55">
        <f t="shared" si="3"/>
        <v>0</v>
      </c>
    </row>
    <row r="28" spans="1:13" x14ac:dyDescent="0.25">
      <c r="A28" s="11" t="s">
        <v>56</v>
      </c>
      <c r="B28" s="53" t="s">
        <v>57</v>
      </c>
      <c r="C28" s="53"/>
      <c r="D28" s="53"/>
      <c r="E28" s="53"/>
      <c r="F28" s="70"/>
      <c r="G28" s="53"/>
      <c r="H28" s="53"/>
      <c r="I28" s="53"/>
      <c r="J28" s="53"/>
      <c r="K28" s="91"/>
      <c r="L28" s="88"/>
      <c r="M28" s="55"/>
    </row>
    <row r="29" spans="1:13" x14ac:dyDescent="0.25">
      <c r="A29" s="11" t="s">
        <v>58</v>
      </c>
      <c r="B29" s="53" t="s">
        <v>59</v>
      </c>
      <c r="C29" s="53"/>
      <c r="D29" s="53"/>
      <c r="E29" s="53"/>
      <c r="F29" s="70"/>
      <c r="G29" s="53"/>
      <c r="H29" s="53"/>
      <c r="I29" s="53"/>
      <c r="J29" s="53"/>
      <c r="K29" s="91"/>
      <c r="L29" s="88"/>
      <c r="M29" s="55"/>
    </row>
    <row r="30" spans="1:13" x14ac:dyDescent="0.25">
      <c r="A30" s="11" t="s">
        <v>60</v>
      </c>
      <c r="B30" s="53"/>
      <c r="C30" s="53"/>
      <c r="D30" s="53"/>
      <c r="E30" s="53"/>
      <c r="F30" s="70"/>
      <c r="G30" s="53"/>
      <c r="H30" s="53"/>
      <c r="I30" s="53"/>
      <c r="J30" s="53"/>
      <c r="K30" s="91"/>
      <c r="L30" s="88"/>
      <c r="M30" s="55"/>
    </row>
    <row r="31" spans="1:13" ht="16.5" x14ac:dyDescent="0.25">
      <c r="A31" s="117" t="s">
        <v>116</v>
      </c>
      <c r="B31" s="53">
        <v>8</v>
      </c>
      <c r="C31" s="86">
        <v>0</v>
      </c>
      <c r="D31" s="53">
        <v>1</v>
      </c>
      <c r="E31" s="53">
        <f>B31*D31</f>
        <v>8</v>
      </c>
      <c r="F31" s="70">
        <v>0</v>
      </c>
      <c r="G31" s="53">
        <f>+F31*E31</f>
        <v>0</v>
      </c>
      <c r="H31" s="53">
        <f>+G31*0.05</f>
        <v>0</v>
      </c>
      <c r="I31" s="53">
        <f>+G31*0.1</f>
        <v>0</v>
      </c>
      <c r="J31" s="53">
        <f t="shared" ref="J31:J41" si="11">G31+H31+I31</f>
        <v>0</v>
      </c>
      <c r="K31" s="91">
        <f>+G31*$H$2+H31*$I$2+I31*$K$2</f>
        <v>0</v>
      </c>
      <c r="L31" s="88">
        <f t="shared" ref="L31:L41" si="12">C31*D31*F31</f>
        <v>0</v>
      </c>
      <c r="M31" s="55">
        <f t="shared" ref="M31:M41" si="13">D31*F31</f>
        <v>0</v>
      </c>
    </row>
    <row r="32" spans="1:13" ht="16.5" x14ac:dyDescent="0.25">
      <c r="A32" s="117" t="s">
        <v>117</v>
      </c>
      <c r="B32" s="53">
        <v>2</v>
      </c>
      <c r="C32" s="86">
        <v>0</v>
      </c>
      <c r="D32" s="53">
        <v>1</v>
      </c>
      <c r="E32" s="53">
        <f>B32*D32</f>
        <v>2</v>
      </c>
      <c r="F32" s="70">
        <v>0</v>
      </c>
      <c r="G32" s="53">
        <f>+F32*E32</f>
        <v>0</v>
      </c>
      <c r="H32" s="53">
        <f>+G32*0.05</f>
        <v>0</v>
      </c>
      <c r="I32" s="53">
        <f>+G32*0.1</f>
        <v>0</v>
      </c>
      <c r="J32" s="53">
        <f t="shared" si="11"/>
        <v>0</v>
      </c>
      <c r="K32" s="91">
        <f>+G32*$H$2+H32*$I$2+I32*$K$2</f>
        <v>0</v>
      </c>
      <c r="L32" s="88">
        <f t="shared" si="12"/>
        <v>0</v>
      </c>
      <c r="M32" s="55">
        <f t="shared" si="13"/>
        <v>0</v>
      </c>
    </row>
    <row r="33" spans="1:13" ht="16.5" x14ac:dyDescent="0.25">
      <c r="A33" s="117" t="s">
        <v>118</v>
      </c>
      <c r="B33" s="53"/>
      <c r="C33" s="86"/>
      <c r="D33" s="53"/>
      <c r="E33" s="53"/>
      <c r="F33" s="70"/>
      <c r="G33" s="53"/>
      <c r="H33" s="53"/>
      <c r="I33" s="53"/>
      <c r="J33" s="53"/>
      <c r="K33" s="91"/>
      <c r="L33" s="88"/>
      <c r="M33" s="55"/>
    </row>
    <row r="34" spans="1:13" ht="15.75" x14ac:dyDescent="0.25">
      <c r="A34" s="118" t="s">
        <v>119</v>
      </c>
      <c r="B34" s="53">
        <v>40</v>
      </c>
      <c r="C34" s="86">
        <v>0</v>
      </c>
      <c r="D34" s="53">
        <v>1</v>
      </c>
      <c r="E34" s="53">
        <f>B34*D34</f>
        <v>40</v>
      </c>
      <c r="F34" s="70">
        <v>0</v>
      </c>
      <c r="G34" s="53">
        <f>+F34*E34</f>
        <v>0</v>
      </c>
      <c r="H34" s="53">
        <f>+G34*0.05</f>
        <v>0</v>
      </c>
      <c r="I34" s="53">
        <f>+G34*0.1</f>
        <v>0</v>
      </c>
      <c r="J34" s="53">
        <f t="shared" si="11"/>
        <v>0</v>
      </c>
      <c r="K34" s="91">
        <f>+G34*$H$2+H34*$I$2+I34*$K$2</f>
        <v>0</v>
      </c>
      <c r="L34" s="88">
        <f t="shared" si="12"/>
        <v>0</v>
      </c>
      <c r="M34" s="55">
        <f t="shared" si="13"/>
        <v>0</v>
      </c>
    </row>
    <row r="35" spans="1:13" ht="15.75" x14ac:dyDescent="0.25">
      <c r="A35" s="118" t="s">
        <v>120</v>
      </c>
      <c r="B35" s="53">
        <v>10</v>
      </c>
      <c r="C35" s="86">
        <v>0</v>
      </c>
      <c r="D35" s="53">
        <v>1</v>
      </c>
      <c r="E35" s="53">
        <f>B35*D35</f>
        <v>10</v>
      </c>
      <c r="F35" s="70">
        <v>0</v>
      </c>
      <c r="G35" s="53">
        <f>+F35*E35</f>
        <v>0</v>
      </c>
      <c r="H35" s="53">
        <f>+G35*0.05</f>
        <v>0</v>
      </c>
      <c r="I35" s="53">
        <f>+G35*0.1</f>
        <v>0</v>
      </c>
      <c r="J35" s="53">
        <f t="shared" ref="J35" si="14">G35+H35+I35</f>
        <v>0</v>
      </c>
      <c r="K35" s="91">
        <f>+G35*$H$2+H35*$I$2+I35*$K$2</f>
        <v>0</v>
      </c>
      <c r="L35" s="88">
        <f t="shared" ref="L35" si="15">C35*D35*F35</f>
        <v>0</v>
      </c>
      <c r="M35" s="55">
        <f t="shared" ref="M35" si="16">D35*F35</f>
        <v>0</v>
      </c>
    </row>
    <row r="36" spans="1:13" x14ac:dyDescent="0.25">
      <c r="A36" s="145" t="s">
        <v>66</v>
      </c>
      <c r="B36" s="53"/>
      <c r="C36" s="53"/>
      <c r="D36" s="53"/>
      <c r="E36" s="53"/>
      <c r="F36" s="70"/>
      <c r="G36" s="53"/>
      <c r="H36" s="53"/>
      <c r="I36" s="53"/>
      <c r="J36" s="53"/>
      <c r="K36" s="87"/>
      <c r="L36" s="88"/>
      <c r="M36" s="55"/>
    </row>
    <row r="37" spans="1:13" ht="28.5" x14ac:dyDescent="0.25">
      <c r="A37" s="118" t="s">
        <v>67</v>
      </c>
      <c r="B37" s="53">
        <v>28</v>
      </c>
      <c r="C37" s="86">
        <v>0</v>
      </c>
      <c r="D37" s="53">
        <v>1</v>
      </c>
      <c r="E37" s="53">
        <f>B37*D37</f>
        <v>28</v>
      </c>
      <c r="F37" s="70">
        <v>2</v>
      </c>
      <c r="G37" s="53">
        <f>+F37*E37</f>
        <v>56</v>
      </c>
      <c r="H37" s="53">
        <f>+G37*0.05</f>
        <v>2.8000000000000003</v>
      </c>
      <c r="I37" s="53">
        <f>+G37*0.1</f>
        <v>5.6000000000000005</v>
      </c>
      <c r="J37" s="53">
        <f t="shared" si="11"/>
        <v>64.399999999999991</v>
      </c>
      <c r="K37" s="87">
        <f>+G37*$H$2+H37*$I$2+I37*$K$2</f>
        <v>9089.7520000000004</v>
      </c>
      <c r="L37" s="88">
        <f t="shared" si="12"/>
        <v>0</v>
      </c>
      <c r="M37" s="55">
        <f t="shared" si="13"/>
        <v>2</v>
      </c>
    </row>
    <row r="38" spans="1:13" ht="28.5" x14ac:dyDescent="0.25">
      <c r="A38" s="118" t="s">
        <v>68</v>
      </c>
      <c r="B38" s="53">
        <v>28</v>
      </c>
      <c r="C38" s="86">
        <v>0</v>
      </c>
      <c r="D38" s="53">
        <v>1</v>
      </c>
      <c r="E38" s="53">
        <f>B38*D38</f>
        <v>28</v>
      </c>
      <c r="F38" s="53">
        <v>0</v>
      </c>
      <c r="G38" s="53">
        <f>+F38*E38</f>
        <v>0</v>
      </c>
      <c r="H38" s="53">
        <f>+G38*0.05</f>
        <v>0</v>
      </c>
      <c r="I38" s="53">
        <f>+G38*0.1</f>
        <v>0</v>
      </c>
      <c r="J38" s="53">
        <f t="shared" si="11"/>
        <v>0</v>
      </c>
      <c r="K38" s="103">
        <f>+G38*$H$2+H38*$I$2+I38*$K$2</f>
        <v>0</v>
      </c>
      <c r="L38" s="88">
        <f t="shared" si="12"/>
        <v>0</v>
      </c>
      <c r="M38" s="55">
        <f t="shared" si="13"/>
        <v>0</v>
      </c>
    </row>
    <row r="39" spans="1:13" ht="15.75" x14ac:dyDescent="0.25">
      <c r="A39" s="118" t="s">
        <v>69</v>
      </c>
      <c r="B39" s="53">
        <v>10</v>
      </c>
      <c r="C39" s="86">
        <v>0</v>
      </c>
      <c r="D39" s="53">
        <v>1</v>
      </c>
      <c r="E39" s="53">
        <f>B39*D39</f>
        <v>10</v>
      </c>
      <c r="F39" s="53">
        <v>0</v>
      </c>
      <c r="G39" s="53">
        <f>+F39*E39</f>
        <v>0</v>
      </c>
      <c r="H39" s="53">
        <f>+G39*0.05</f>
        <v>0</v>
      </c>
      <c r="I39" s="53">
        <f>+G39*0.1</f>
        <v>0</v>
      </c>
      <c r="J39" s="53">
        <f t="shared" si="11"/>
        <v>0</v>
      </c>
      <c r="K39" s="103">
        <f>+G39*$H$2+H39*$I$2+I39*$K$2</f>
        <v>0</v>
      </c>
      <c r="L39" s="88">
        <f t="shared" si="12"/>
        <v>0</v>
      </c>
      <c r="M39" s="55">
        <f t="shared" si="13"/>
        <v>0</v>
      </c>
    </row>
    <row r="40" spans="1:13" ht="16.5" x14ac:dyDescent="0.25">
      <c r="A40" s="117" t="s">
        <v>121</v>
      </c>
      <c r="B40" s="53">
        <v>24</v>
      </c>
      <c r="C40" s="86">
        <v>0</v>
      </c>
      <c r="D40" s="53">
        <v>2</v>
      </c>
      <c r="E40" s="53">
        <f>B40*D40</f>
        <v>48</v>
      </c>
      <c r="F40" s="146">
        <f>ROUND(F37*0.1,1)</f>
        <v>0.2</v>
      </c>
      <c r="G40" s="53">
        <f>+F40*E40</f>
        <v>9.6000000000000014</v>
      </c>
      <c r="H40" s="53">
        <f>+G40*0.05</f>
        <v>0.48000000000000009</v>
      </c>
      <c r="I40" s="53">
        <f>+G40*0.1</f>
        <v>0.96000000000000019</v>
      </c>
      <c r="J40" s="53">
        <f t="shared" si="11"/>
        <v>11.040000000000003</v>
      </c>
      <c r="K40" s="87">
        <f>+G40*$H$2+H40*$I$2+I40*$K$2</f>
        <v>1558.2432000000003</v>
      </c>
      <c r="L40" s="88">
        <f t="shared" si="12"/>
        <v>0</v>
      </c>
      <c r="M40" s="55">
        <f t="shared" si="13"/>
        <v>0.4</v>
      </c>
    </row>
    <row r="41" spans="1:13" x14ac:dyDescent="0.25">
      <c r="A41" s="117" t="s">
        <v>71</v>
      </c>
      <c r="B41" s="53">
        <v>1</v>
      </c>
      <c r="C41" s="86">
        <v>0</v>
      </c>
      <c r="D41" s="53">
        <v>1</v>
      </c>
      <c r="E41" s="53">
        <f>B41*D41</f>
        <v>1</v>
      </c>
      <c r="F41" s="53">
        <v>0</v>
      </c>
      <c r="G41" s="53">
        <f>+F41*E41</f>
        <v>0</v>
      </c>
      <c r="H41" s="53">
        <f>+G41*0.05</f>
        <v>0</v>
      </c>
      <c r="I41" s="53">
        <f>+G41*0.1</f>
        <v>0</v>
      </c>
      <c r="J41" s="53">
        <f t="shared" si="11"/>
        <v>0</v>
      </c>
      <c r="K41" s="91">
        <f>+G41*$H$2+H41*$I$2+I41*$K$2</f>
        <v>0</v>
      </c>
      <c r="L41" s="88">
        <f t="shared" si="12"/>
        <v>0</v>
      </c>
      <c r="M41" s="55">
        <f t="shared" si="13"/>
        <v>0</v>
      </c>
    </row>
    <row r="42" spans="1:13" x14ac:dyDescent="0.25">
      <c r="A42" s="169" t="s">
        <v>72</v>
      </c>
      <c r="B42" s="169"/>
      <c r="C42" s="169"/>
      <c r="D42" s="169"/>
      <c r="E42" s="169"/>
      <c r="F42" s="169"/>
      <c r="G42" s="99">
        <f t="shared" ref="G42:L42" si="17">SUM(G8:G41)</f>
        <v>374.6</v>
      </c>
      <c r="H42" s="99">
        <f t="shared" si="17"/>
        <v>18.73</v>
      </c>
      <c r="I42" s="99">
        <f t="shared" si="17"/>
        <v>37.46</v>
      </c>
      <c r="J42" s="99">
        <f t="shared" si="17"/>
        <v>430.79</v>
      </c>
      <c r="K42" s="100">
        <f t="shared" si="17"/>
        <v>60803.948199999999</v>
      </c>
      <c r="L42" s="101">
        <f t="shared" si="17"/>
        <v>300733.33333333331</v>
      </c>
      <c r="M42" s="102">
        <f>SUM(M8:M41)</f>
        <v>2.4</v>
      </c>
    </row>
    <row r="43" spans="1:13" x14ac:dyDescent="0.25">
      <c r="A43" s="11" t="s">
        <v>73</v>
      </c>
      <c r="B43" s="70"/>
      <c r="C43" s="70"/>
      <c r="D43" s="70"/>
      <c r="E43" s="70"/>
      <c r="F43" s="70"/>
      <c r="G43" s="70"/>
      <c r="H43" s="70"/>
      <c r="I43" s="71"/>
      <c r="J43" s="147"/>
      <c r="K43" s="147"/>
      <c r="L43" s="101"/>
      <c r="M43" s="99"/>
    </row>
    <row r="44" spans="1:13" ht="16.5" x14ac:dyDescent="0.25">
      <c r="A44" s="11" t="s">
        <v>74</v>
      </c>
      <c r="B44" s="53" t="s">
        <v>75</v>
      </c>
      <c r="C44" s="53"/>
      <c r="D44" s="53"/>
      <c r="E44" s="53"/>
      <c r="F44" s="53"/>
      <c r="G44" s="53"/>
      <c r="H44" s="53"/>
      <c r="I44" s="53"/>
      <c r="J44" s="53"/>
      <c r="K44" s="54"/>
      <c r="L44" s="88"/>
      <c r="M44" s="55"/>
    </row>
    <row r="45" spans="1:13" x14ac:dyDescent="0.25">
      <c r="A45" s="11" t="s">
        <v>76</v>
      </c>
      <c r="B45" s="53" t="s">
        <v>57</v>
      </c>
      <c r="C45" s="53"/>
      <c r="D45" s="53"/>
      <c r="E45" s="53"/>
      <c r="F45" s="53"/>
      <c r="G45" s="53"/>
      <c r="H45" s="53"/>
      <c r="I45" s="53"/>
      <c r="J45" s="53"/>
      <c r="K45" s="53"/>
      <c r="L45" s="88"/>
      <c r="M45" s="55"/>
    </row>
    <row r="46" spans="1:13" x14ac:dyDescent="0.25">
      <c r="A46" s="11" t="s">
        <v>77</v>
      </c>
      <c r="B46" s="53" t="s">
        <v>57</v>
      </c>
      <c r="C46" s="53"/>
      <c r="D46" s="53"/>
      <c r="E46" s="53"/>
      <c r="F46" s="53"/>
      <c r="G46" s="53"/>
      <c r="H46" s="53"/>
      <c r="I46" s="53"/>
      <c r="J46" s="53"/>
      <c r="K46" s="54"/>
      <c r="L46" s="88"/>
      <c r="M46" s="55"/>
    </row>
    <row r="47" spans="1:13" x14ac:dyDescent="0.25">
      <c r="A47" s="11" t="s">
        <v>78</v>
      </c>
      <c r="B47" s="53" t="s">
        <v>32</v>
      </c>
      <c r="C47" s="53"/>
      <c r="D47" s="53"/>
      <c r="E47" s="53"/>
      <c r="F47" s="53"/>
      <c r="G47" s="53"/>
      <c r="H47" s="53"/>
      <c r="I47" s="53"/>
      <c r="J47" s="53"/>
      <c r="K47" s="54"/>
      <c r="L47" s="88"/>
      <c r="M47" s="55"/>
    </row>
    <row r="48" spans="1:13" x14ac:dyDescent="0.25">
      <c r="A48" s="11" t="s">
        <v>79</v>
      </c>
      <c r="B48" s="50"/>
      <c r="C48" s="53"/>
      <c r="D48" s="53"/>
      <c r="E48" s="53"/>
      <c r="F48" s="53"/>
      <c r="G48" s="53"/>
      <c r="H48" s="53"/>
      <c r="I48" s="53"/>
      <c r="J48" s="53"/>
      <c r="K48" s="54"/>
      <c r="L48" s="88"/>
      <c r="M48" s="55"/>
    </row>
    <row r="49" spans="1:15" ht="16.5" x14ac:dyDescent="0.25">
      <c r="A49" s="117" t="s">
        <v>122</v>
      </c>
      <c r="B49" s="53">
        <v>1.5</v>
      </c>
      <c r="C49" s="86">
        <v>0</v>
      </c>
      <c r="D49" s="53">
        <v>52</v>
      </c>
      <c r="E49" s="53">
        <f t="shared" ref="E49:E57" si="18">B49*D49</f>
        <v>78</v>
      </c>
      <c r="F49" s="70">
        <v>2</v>
      </c>
      <c r="G49" s="53">
        <f>+F49*E49</f>
        <v>156</v>
      </c>
      <c r="H49" s="53">
        <f>+G49*0.05</f>
        <v>7.8000000000000007</v>
      </c>
      <c r="I49" s="53">
        <f>+G49*0.1</f>
        <v>15.600000000000001</v>
      </c>
      <c r="J49" s="53">
        <f>G49+H49+I49</f>
        <v>179.4</v>
      </c>
      <c r="K49" s="87">
        <f>+G49*$H$2+H49*$I$2+I49*$K$2</f>
        <v>25321.452000000001</v>
      </c>
      <c r="L49" s="88">
        <f>C49*D49*F49</f>
        <v>0</v>
      </c>
      <c r="M49" s="55">
        <v>0</v>
      </c>
    </row>
    <row r="50" spans="1:15" ht="29.25" x14ac:dyDescent="0.25">
      <c r="A50" s="117" t="s">
        <v>123</v>
      </c>
      <c r="B50" s="53">
        <v>1.5</v>
      </c>
      <c r="C50" s="86">
        <v>0</v>
      </c>
      <c r="D50" s="53">
        <v>52</v>
      </c>
      <c r="E50" s="53">
        <f t="shared" si="18"/>
        <v>78</v>
      </c>
      <c r="F50" s="53">
        <f>ROUND(2*0.1,1)</f>
        <v>0.2</v>
      </c>
      <c r="G50" s="53">
        <f>+F50*E50</f>
        <v>15.600000000000001</v>
      </c>
      <c r="H50" s="53">
        <f>+G50*0.05</f>
        <v>0.78000000000000014</v>
      </c>
      <c r="I50" s="53">
        <f>+G50*0.1</f>
        <v>1.5600000000000003</v>
      </c>
      <c r="J50" s="53">
        <f>G50+H50+I50</f>
        <v>17.940000000000001</v>
      </c>
      <c r="K50" s="87">
        <f>+G50*$H$2+H50*$I$2+I50*$K$2</f>
        <v>2532.1452000000004</v>
      </c>
      <c r="L50" s="88">
        <f>C50*D50*F50</f>
        <v>0</v>
      </c>
      <c r="M50" s="55">
        <v>0</v>
      </c>
    </row>
    <row r="51" spans="1:15" x14ac:dyDescent="0.25">
      <c r="A51" s="117" t="s">
        <v>82</v>
      </c>
      <c r="B51" s="53">
        <v>4</v>
      </c>
      <c r="C51" s="86">
        <v>0</v>
      </c>
      <c r="D51" s="53">
        <v>1</v>
      </c>
      <c r="E51" s="53">
        <f t="shared" si="18"/>
        <v>4</v>
      </c>
      <c r="F51" s="70">
        <v>2</v>
      </c>
      <c r="G51" s="53">
        <f>+F51*E51</f>
        <v>8</v>
      </c>
      <c r="H51" s="53">
        <f>+G51*0.05</f>
        <v>0.4</v>
      </c>
      <c r="I51" s="53">
        <f>+G51*0.1</f>
        <v>0.8</v>
      </c>
      <c r="J51" s="53">
        <f>G51+H51+I51</f>
        <v>9.2000000000000011</v>
      </c>
      <c r="K51" s="87">
        <f>+G51*$H$2+H51*$I$2+I51*$K$2</f>
        <v>1298.5360000000001</v>
      </c>
      <c r="L51" s="88">
        <f>C51*D51*F51</f>
        <v>0</v>
      </c>
      <c r="M51" s="55">
        <v>0</v>
      </c>
    </row>
    <row r="52" spans="1:15" ht="16.5" x14ac:dyDescent="0.25">
      <c r="A52" s="117" t="s">
        <v>124</v>
      </c>
      <c r="B52" s="53">
        <v>1.5</v>
      </c>
      <c r="C52" s="86">
        <v>2500</v>
      </c>
      <c r="D52" s="53">
        <v>52</v>
      </c>
      <c r="E52" s="53">
        <f t="shared" si="18"/>
        <v>78</v>
      </c>
      <c r="F52" s="70">
        <v>2</v>
      </c>
      <c r="G52" s="53">
        <f t="shared" ref="G52:G57" si="19">+F52*E52</f>
        <v>156</v>
      </c>
      <c r="H52" s="53">
        <f t="shared" ref="H52:H57" si="20">+G52*0.05</f>
        <v>7.8000000000000007</v>
      </c>
      <c r="I52" s="53">
        <f t="shared" ref="I52:I57" si="21">+G52*0.1</f>
        <v>15.600000000000001</v>
      </c>
      <c r="J52" s="53">
        <f t="shared" ref="J52:J57" si="22">G52+H52+I52</f>
        <v>179.4</v>
      </c>
      <c r="K52" s="87">
        <f t="shared" ref="K52" si="23">+G52*$H$2+H52*$I$2+I52*$K$2</f>
        <v>25321.452000000001</v>
      </c>
      <c r="L52" s="88">
        <f>C52*F52</f>
        <v>5000</v>
      </c>
      <c r="M52" s="55">
        <v>0</v>
      </c>
    </row>
    <row r="53" spans="1:15" ht="26.25" x14ac:dyDescent="0.25">
      <c r="A53" s="117" t="s">
        <v>84</v>
      </c>
      <c r="B53" s="53">
        <v>0.5</v>
      </c>
      <c r="C53" s="86">
        <v>0</v>
      </c>
      <c r="D53" s="53">
        <v>52</v>
      </c>
      <c r="E53" s="53">
        <f t="shared" si="18"/>
        <v>26</v>
      </c>
      <c r="F53" s="53">
        <v>0</v>
      </c>
      <c r="G53" s="104">
        <f t="shared" si="19"/>
        <v>0</v>
      </c>
      <c r="H53" s="104">
        <f t="shared" si="20"/>
        <v>0</v>
      </c>
      <c r="I53" s="104">
        <f t="shared" si="21"/>
        <v>0</v>
      </c>
      <c r="J53" s="104">
        <f t="shared" si="22"/>
        <v>0</v>
      </c>
      <c r="K53" s="103">
        <f>+G53*$H$2+H53*$I$2+I53*$K$2</f>
        <v>0</v>
      </c>
      <c r="L53" s="88">
        <f t="shared" ref="L53:L57" si="24">C53*D53*F53</f>
        <v>0</v>
      </c>
      <c r="M53" s="55">
        <f t="shared" ref="M53:M57" si="25">D53*F53</f>
        <v>0</v>
      </c>
    </row>
    <row r="54" spans="1:15" ht="26.25" x14ac:dyDescent="0.25">
      <c r="A54" s="117" t="s">
        <v>85</v>
      </c>
      <c r="B54" s="53">
        <v>4</v>
      </c>
      <c r="C54" s="86">
        <v>0</v>
      </c>
      <c r="D54" s="53">
        <v>1</v>
      </c>
      <c r="E54" s="53">
        <f t="shared" si="18"/>
        <v>4</v>
      </c>
      <c r="F54" s="53">
        <v>0</v>
      </c>
      <c r="G54" s="104">
        <f t="shared" si="19"/>
        <v>0</v>
      </c>
      <c r="H54" s="104">
        <f t="shared" si="20"/>
        <v>0</v>
      </c>
      <c r="I54" s="104">
        <f t="shared" si="21"/>
        <v>0</v>
      </c>
      <c r="J54" s="104">
        <f t="shared" si="22"/>
        <v>0</v>
      </c>
      <c r="K54" s="103">
        <f t="shared" ref="K54:K57" si="26">+G54*$H$2+H54*$I$2+I54*$K$2</f>
        <v>0</v>
      </c>
      <c r="L54" s="88">
        <f t="shared" si="24"/>
        <v>0</v>
      </c>
      <c r="M54" s="55">
        <f t="shared" si="25"/>
        <v>0</v>
      </c>
    </row>
    <row r="55" spans="1:15" ht="26.25" x14ac:dyDescent="0.25">
      <c r="A55" s="117" t="s">
        <v>86</v>
      </c>
      <c r="B55" s="53">
        <v>1</v>
      </c>
      <c r="C55" s="86">
        <v>0</v>
      </c>
      <c r="D55" s="53">
        <v>4</v>
      </c>
      <c r="E55" s="53">
        <f t="shared" si="18"/>
        <v>4</v>
      </c>
      <c r="F55" s="53">
        <v>0</v>
      </c>
      <c r="G55" s="104">
        <f t="shared" si="19"/>
        <v>0</v>
      </c>
      <c r="H55" s="104">
        <f t="shared" si="20"/>
        <v>0</v>
      </c>
      <c r="I55" s="104">
        <f t="shared" si="21"/>
        <v>0</v>
      </c>
      <c r="J55" s="104">
        <f t="shared" si="22"/>
        <v>0</v>
      </c>
      <c r="K55" s="103">
        <f t="shared" si="26"/>
        <v>0</v>
      </c>
      <c r="L55" s="88">
        <f t="shared" si="24"/>
        <v>0</v>
      </c>
      <c r="M55" s="55">
        <f t="shared" si="25"/>
        <v>0</v>
      </c>
    </row>
    <row r="56" spans="1:15" ht="26.25" x14ac:dyDescent="0.25">
      <c r="A56" s="117" t="s">
        <v>87</v>
      </c>
      <c r="B56" s="53">
        <v>1</v>
      </c>
      <c r="C56" s="86">
        <v>0</v>
      </c>
      <c r="D56" s="53">
        <v>4</v>
      </c>
      <c r="E56" s="53">
        <f t="shared" si="18"/>
        <v>4</v>
      </c>
      <c r="F56" s="53">
        <v>0</v>
      </c>
      <c r="G56" s="104">
        <f t="shared" si="19"/>
        <v>0</v>
      </c>
      <c r="H56" s="104">
        <f t="shared" si="20"/>
        <v>0</v>
      </c>
      <c r="I56" s="104">
        <f t="shared" si="21"/>
        <v>0</v>
      </c>
      <c r="J56" s="104">
        <f t="shared" si="22"/>
        <v>0</v>
      </c>
      <c r="K56" s="103">
        <f t="shared" si="26"/>
        <v>0</v>
      </c>
      <c r="L56" s="88">
        <f t="shared" si="24"/>
        <v>0</v>
      </c>
      <c r="M56" s="55">
        <f t="shared" si="25"/>
        <v>0</v>
      </c>
    </row>
    <row r="57" spans="1:15" x14ac:dyDescent="0.25">
      <c r="A57" s="117" t="s">
        <v>88</v>
      </c>
      <c r="B57" s="53">
        <v>0.5</v>
      </c>
      <c r="C57" s="86">
        <v>0</v>
      </c>
      <c r="D57" s="53">
        <v>4</v>
      </c>
      <c r="E57" s="53">
        <f t="shared" si="18"/>
        <v>2</v>
      </c>
      <c r="F57" s="53">
        <v>0</v>
      </c>
      <c r="G57" s="104">
        <f t="shared" si="19"/>
        <v>0</v>
      </c>
      <c r="H57" s="104">
        <f t="shared" si="20"/>
        <v>0</v>
      </c>
      <c r="I57" s="104">
        <f t="shared" si="21"/>
        <v>0</v>
      </c>
      <c r="J57" s="104">
        <f t="shared" si="22"/>
        <v>0</v>
      </c>
      <c r="K57" s="103">
        <f t="shared" si="26"/>
        <v>0</v>
      </c>
      <c r="L57" s="88">
        <f t="shared" si="24"/>
        <v>0</v>
      </c>
      <c r="M57" s="55">
        <f t="shared" si="25"/>
        <v>0</v>
      </c>
    </row>
    <row r="58" spans="1:15" x14ac:dyDescent="0.25">
      <c r="A58" s="11" t="s">
        <v>89</v>
      </c>
      <c r="B58" s="53" t="s">
        <v>32</v>
      </c>
      <c r="C58" s="53"/>
      <c r="D58" s="53"/>
      <c r="E58" s="53"/>
      <c r="F58" s="70"/>
      <c r="G58" s="104"/>
      <c r="H58" s="104"/>
      <c r="I58" s="104"/>
      <c r="J58" s="104"/>
      <c r="K58" s="54"/>
      <c r="L58" s="88"/>
      <c r="M58" s="55"/>
    </row>
    <row r="59" spans="1:15" x14ac:dyDescent="0.25">
      <c r="A59" s="169" t="s">
        <v>90</v>
      </c>
      <c r="B59" s="169"/>
      <c r="C59" s="169"/>
      <c r="D59" s="169"/>
      <c r="E59" s="169"/>
      <c r="F59" s="170"/>
      <c r="G59" s="102">
        <f t="shared" ref="G59:M59" si="27">SUM(G49:G58)</f>
        <v>335.6</v>
      </c>
      <c r="H59" s="105">
        <f t="shared" si="27"/>
        <v>16.78</v>
      </c>
      <c r="I59" s="105">
        <f t="shared" si="27"/>
        <v>33.56</v>
      </c>
      <c r="J59" s="105">
        <f t="shared" si="27"/>
        <v>385.94</v>
      </c>
      <c r="K59" s="106">
        <f t="shared" si="27"/>
        <v>54473.585200000001</v>
      </c>
      <c r="L59" s="107">
        <f t="shared" si="27"/>
        <v>5000</v>
      </c>
      <c r="M59" s="105">
        <f t="shared" si="27"/>
        <v>0</v>
      </c>
    </row>
    <row r="60" spans="1:15" ht="15" customHeight="1" x14ac:dyDescent="0.25">
      <c r="A60" s="173" t="s">
        <v>91</v>
      </c>
      <c r="B60" s="173"/>
      <c r="C60" s="173"/>
      <c r="D60" s="173"/>
      <c r="E60" s="173"/>
      <c r="F60" s="173"/>
      <c r="G60" s="56">
        <f>G42+G59</f>
        <v>710.2</v>
      </c>
      <c r="H60" s="56">
        <f>H42+H59</f>
        <v>35.510000000000005</v>
      </c>
      <c r="I60" s="56">
        <f>I42+I59</f>
        <v>71.02000000000001</v>
      </c>
      <c r="J60" s="56">
        <f>J42+J59</f>
        <v>816.73</v>
      </c>
      <c r="K60" s="100">
        <f>ROUND(K42+K59,-3)</f>
        <v>115000</v>
      </c>
      <c r="L60" s="101">
        <f>ROUND(L42+L59,-3)</f>
        <v>306000</v>
      </c>
      <c r="M60" s="102">
        <f>M42+M59</f>
        <v>2.4</v>
      </c>
      <c r="O60" s="119"/>
    </row>
    <row r="61" spans="1:15" ht="15" customHeight="1" x14ac:dyDescent="0.25">
      <c r="A61" s="109"/>
      <c r="B61" s="110"/>
      <c r="C61" s="110"/>
      <c r="D61" s="110"/>
      <c r="E61" s="110"/>
      <c r="F61" s="111"/>
      <c r="G61" s="111"/>
      <c r="H61" s="112"/>
      <c r="I61" s="112"/>
      <c r="J61" s="112"/>
      <c r="K61" s="113"/>
      <c r="L61" s="113"/>
      <c r="M61" s="114"/>
      <c r="O61" s="108"/>
    </row>
    <row r="62" spans="1:15" ht="15.75" customHeight="1" x14ac:dyDescent="0.25">
      <c r="A62" s="115" t="s">
        <v>92</v>
      </c>
    </row>
    <row r="63" spans="1:15" ht="30" customHeight="1" x14ac:dyDescent="0.25">
      <c r="A63" s="172" t="s">
        <v>93</v>
      </c>
      <c r="B63" s="172"/>
      <c r="C63" s="172"/>
      <c r="D63" s="172"/>
      <c r="E63" s="172"/>
      <c r="F63" s="172"/>
      <c r="G63" s="172"/>
      <c r="H63" s="172"/>
      <c r="I63" s="172"/>
      <c r="J63" s="172"/>
      <c r="K63" s="172"/>
    </row>
    <row r="64" spans="1:15" ht="43.5" customHeight="1" x14ac:dyDescent="0.25">
      <c r="A64" s="172" t="s">
        <v>94</v>
      </c>
      <c r="B64" s="172"/>
      <c r="C64" s="172"/>
      <c r="D64" s="172"/>
      <c r="E64" s="172"/>
      <c r="F64" s="172"/>
      <c r="G64" s="172"/>
      <c r="H64" s="172"/>
      <c r="I64" s="172"/>
      <c r="J64" s="172"/>
      <c r="K64" s="172"/>
    </row>
    <row r="65" spans="1:11" ht="28.5" customHeight="1" x14ac:dyDescent="0.25">
      <c r="A65" s="172" t="s">
        <v>95</v>
      </c>
      <c r="B65" s="172"/>
      <c r="C65" s="172"/>
      <c r="D65" s="172"/>
      <c r="E65" s="172"/>
      <c r="F65" s="172"/>
      <c r="G65" s="172"/>
      <c r="H65" s="172"/>
      <c r="I65" s="172"/>
      <c r="J65" s="172"/>
      <c r="K65" s="172"/>
    </row>
    <row r="66" spans="1:11" ht="18.75" customHeight="1" x14ac:dyDescent="0.25">
      <c r="A66" s="74" t="s">
        <v>96</v>
      </c>
    </row>
    <row r="67" spans="1:11" ht="27" customHeight="1" x14ac:dyDescent="0.25">
      <c r="A67" s="172" t="s">
        <v>97</v>
      </c>
      <c r="B67" s="172"/>
      <c r="C67" s="172"/>
      <c r="D67" s="172"/>
      <c r="E67" s="172"/>
      <c r="F67" s="172"/>
      <c r="G67" s="172"/>
      <c r="H67" s="172"/>
      <c r="I67" s="172"/>
      <c r="J67" s="172"/>
      <c r="K67" s="172"/>
    </row>
    <row r="68" spans="1:11" ht="30.75" customHeight="1" x14ac:dyDescent="0.25">
      <c r="A68" s="172" t="s">
        <v>98</v>
      </c>
      <c r="B68" s="172"/>
      <c r="C68" s="172"/>
      <c r="D68" s="172"/>
      <c r="E68" s="172"/>
      <c r="F68" s="172"/>
      <c r="G68" s="172"/>
      <c r="H68" s="172"/>
      <c r="I68" s="172"/>
      <c r="J68" s="172"/>
      <c r="K68" s="172"/>
    </row>
    <row r="69" spans="1:11" ht="16.5" customHeight="1" x14ac:dyDescent="0.25">
      <c r="A69" s="171" t="s">
        <v>99</v>
      </c>
      <c r="B69" s="172"/>
      <c r="C69" s="172"/>
      <c r="D69" s="172"/>
      <c r="E69" s="172"/>
      <c r="F69" s="172"/>
      <c r="G69" s="172"/>
      <c r="H69" s="172"/>
      <c r="I69" s="172"/>
      <c r="J69" s="172"/>
      <c r="K69" s="172"/>
    </row>
    <row r="70" spans="1:11" ht="16.5" x14ac:dyDescent="0.25">
      <c r="A70" s="74" t="s">
        <v>100</v>
      </c>
    </row>
    <row r="71" spans="1:11" ht="16.5" x14ac:dyDescent="0.25">
      <c r="A71" s="74" t="s">
        <v>125</v>
      </c>
    </row>
    <row r="72" spans="1:11" ht="16.5" x14ac:dyDescent="0.25">
      <c r="A72" s="74" t="s">
        <v>126</v>
      </c>
    </row>
    <row r="73" spans="1:11" ht="16.5" x14ac:dyDescent="0.25">
      <c r="A73" s="49" t="s">
        <v>103</v>
      </c>
    </row>
  </sheetData>
  <mergeCells count="10">
    <mergeCell ref="A69:K69"/>
    <mergeCell ref="A60:F60"/>
    <mergeCell ref="A63:K63"/>
    <mergeCell ref="A64:K64"/>
    <mergeCell ref="G3:I3"/>
    <mergeCell ref="A42:F42"/>
    <mergeCell ref="A59:F59"/>
    <mergeCell ref="A67:K67"/>
    <mergeCell ref="A65:K65"/>
    <mergeCell ref="A68:K68"/>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6E3D6-313E-47E8-A1C4-14136C0D4751}">
  <dimension ref="A1:M73"/>
  <sheetViews>
    <sheetView topLeftCell="A35" workbookViewId="0">
      <selection activeCell="A38" sqref="A38"/>
    </sheetView>
  </sheetViews>
  <sheetFormatPr defaultColWidth="9.140625" defaultRowHeight="15" x14ac:dyDescent="0.25"/>
  <cols>
    <col min="1" max="1" width="47.5703125" style="49" customWidth="1"/>
    <col min="2" max="3" width="12.42578125" style="49" customWidth="1"/>
    <col min="4" max="4" width="12.5703125" style="49" customWidth="1"/>
    <col min="5" max="5" width="11.7109375" style="49" customWidth="1"/>
    <col min="6" max="6" width="12.5703125" style="49" customWidth="1"/>
    <col min="7" max="7" width="12.7109375" style="49" customWidth="1"/>
    <col min="8" max="8" width="12.42578125" style="49" customWidth="1"/>
    <col min="9" max="9" width="11.5703125" style="49" customWidth="1"/>
    <col min="10" max="10" width="12.140625" style="49" customWidth="1"/>
    <col min="11" max="11" width="14.42578125" style="49" customWidth="1"/>
    <col min="12" max="12" width="13.5703125" style="49" customWidth="1"/>
    <col min="13" max="13" width="9.140625" style="49"/>
    <col min="14" max="16384" width="9.140625" style="50"/>
  </cols>
  <sheetData>
    <row r="1" spans="1:13" ht="15.75" x14ac:dyDescent="0.25">
      <c r="A1" s="48" t="s">
        <v>127</v>
      </c>
    </row>
    <row r="2" spans="1:13" x14ac:dyDescent="0.25">
      <c r="H2" s="49">
        <v>145.99</v>
      </c>
      <c r="I2" s="49">
        <v>177.98</v>
      </c>
      <c r="K2" s="49">
        <v>74.28</v>
      </c>
      <c r="L2" s="49" t="s">
        <v>16</v>
      </c>
    </row>
    <row r="3" spans="1:13" ht="15" customHeight="1" thickBot="1" x14ac:dyDescent="0.3">
      <c r="G3" s="166" t="s">
        <v>17</v>
      </c>
      <c r="H3" s="167"/>
      <c r="I3" s="168"/>
      <c r="J3" s="51"/>
    </row>
    <row r="4" spans="1:13" ht="77.25" x14ac:dyDescent="0.25">
      <c r="A4" s="52" t="s">
        <v>18</v>
      </c>
      <c r="B4" s="53" t="s">
        <v>19</v>
      </c>
      <c r="C4" s="53" t="s">
        <v>20</v>
      </c>
      <c r="D4" s="53" t="s">
        <v>21</v>
      </c>
      <c r="E4" s="53" t="s">
        <v>22</v>
      </c>
      <c r="F4" s="53" t="s">
        <v>23</v>
      </c>
      <c r="G4" s="53" t="s">
        <v>24</v>
      </c>
      <c r="H4" s="53" t="s">
        <v>25</v>
      </c>
      <c r="I4" s="53" t="s">
        <v>26</v>
      </c>
      <c r="J4" s="53" t="s">
        <v>27</v>
      </c>
      <c r="K4" s="53" t="s">
        <v>28</v>
      </c>
      <c r="L4" s="116" t="s">
        <v>29</v>
      </c>
      <c r="M4" s="116" t="s">
        <v>30</v>
      </c>
    </row>
    <row r="5" spans="1:13" x14ac:dyDescent="0.25">
      <c r="A5" s="11" t="s">
        <v>31</v>
      </c>
      <c r="B5" s="53" t="s">
        <v>32</v>
      </c>
      <c r="C5" s="53"/>
      <c r="D5" s="11"/>
      <c r="E5" s="53"/>
      <c r="F5" s="70"/>
      <c r="G5" s="53"/>
      <c r="H5" s="53"/>
      <c r="I5" s="53"/>
      <c r="J5" s="53"/>
      <c r="K5" s="54"/>
      <c r="L5" s="55"/>
      <c r="M5" s="55"/>
    </row>
    <row r="6" spans="1:13" x14ac:dyDescent="0.25">
      <c r="A6" s="11" t="s">
        <v>33</v>
      </c>
      <c r="B6" s="53" t="s">
        <v>32</v>
      </c>
      <c r="C6" s="53"/>
      <c r="D6" s="11"/>
      <c r="E6" s="53"/>
      <c r="F6" s="70"/>
      <c r="G6" s="53"/>
      <c r="H6" s="53"/>
      <c r="I6" s="53"/>
      <c r="J6" s="53"/>
      <c r="K6" s="54"/>
      <c r="L6" s="55"/>
      <c r="M6" s="55"/>
    </row>
    <row r="7" spans="1:13" x14ac:dyDescent="0.25">
      <c r="A7" s="11" t="s">
        <v>34</v>
      </c>
      <c r="B7" s="53"/>
      <c r="C7" s="53"/>
      <c r="D7" s="53"/>
      <c r="E7" s="53"/>
      <c r="F7" s="70"/>
      <c r="G7" s="53"/>
      <c r="H7" s="53"/>
      <c r="I7" s="53"/>
      <c r="J7" s="53"/>
      <c r="K7" s="54"/>
      <c r="L7" s="55"/>
      <c r="M7" s="55"/>
    </row>
    <row r="8" spans="1:13" ht="16.5" x14ac:dyDescent="0.25">
      <c r="A8" s="11" t="s">
        <v>105</v>
      </c>
      <c r="B8" s="55"/>
      <c r="C8" s="55"/>
      <c r="D8" s="55"/>
      <c r="E8" s="55"/>
      <c r="F8" s="55"/>
      <c r="G8" s="55"/>
      <c r="H8" s="55"/>
      <c r="I8" s="55"/>
      <c r="J8" s="55"/>
      <c r="K8" s="55"/>
      <c r="L8" s="55"/>
      <c r="M8" s="55"/>
    </row>
    <row r="9" spans="1:13" ht="26.25" x14ac:dyDescent="0.25">
      <c r="A9" s="89" t="s">
        <v>36</v>
      </c>
      <c r="B9" s="53">
        <v>14</v>
      </c>
      <c r="C9" s="86">
        <v>0</v>
      </c>
      <c r="D9" s="53">
        <v>1</v>
      </c>
      <c r="E9" s="53">
        <f>B9*D9</f>
        <v>14</v>
      </c>
      <c r="F9" s="53">
        <v>0</v>
      </c>
      <c r="G9" s="53">
        <f>+F9*E9</f>
        <v>0</v>
      </c>
      <c r="H9" s="53">
        <f>+G9*0.05</f>
        <v>0</v>
      </c>
      <c r="I9" s="53">
        <f>+G9*0.1</f>
        <v>0</v>
      </c>
      <c r="J9" s="53">
        <f>G9+H9+I9</f>
        <v>0</v>
      </c>
      <c r="K9" s="91">
        <f>+G9*$H$2+H9*$I$2+I9*$K$2</f>
        <v>0</v>
      </c>
      <c r="L9" s="88">
        <f>C9*D9*F9</f>
        <v>0</v>
      </c>
      <c r="M9" s="55">
        <f>D9*F9</f>
        <v>0</v>
      </c>
    </row>
    <row r="10" spans="1:13" x14ac:dyDescent="0.25">
      <c r="A10" s="10" t="s">
        <v>37</v>
      </c>
      <c r="B10" s="53">
        <v>4</v>
      </c>
      <c r="C10" s="86">
        <v>0</v>
      </c>
      <c r="D10" s="53">
        <v>1</v>
      </c>
      <c r="E10" s="53">
        <f>B10*D10</f>
        <v>4</v>
      </c>
      <c r="F10" s="53">
        <v>2</v>
      </c>
      <c r="G10" s="53">
        <f>+F10*E10</f>
        <v>8</v>
      </c>
      <c r="H10" s="53">
        <f>+G10*0.05</f>
        <v>0.4</v>
      </c>
      <c r="I10" s="53">
        <f>+G10*0.1</f>
        <v>0.8</v>
      </c>
      <c r="J10" s="53">
        <f>G10+H10+I10</f>
        <v>9.2000000000000011</v>
      </c>
      <c r="K10" s="87">
        <f>+G10*$H$2+H10*$I$2+I10*$K$2</f>
        <v>1298.5360000000001</v>
      </c>
      <c r="L10" s="88">
        <f>C10*D10*F10</f>
        <v>0</v>
      </c>
      <c r="M10" s="55">
        <v>0</v>
      </c>
    </row>
    <row r="11" spans="1:13" x14ac:dyDescent="0.25">
      <c r="A11" s="11" t="s">
        <v>38</v>
      </c>
      <c r="B11" s="53"/>
      <c r="C11" s="53"/>
      <c r="D11" s="53"/>
      <c r="E11" s="53"/>
      <c r="F11" s="70"/>
      <c r="G11" s="53"/>
      <c r="H11" s="53"/>
      <c r="I11" s="53"/>
      <c r="J11" s="53"/>
      <c r="K11" s="54"/>
      <c r="L11" s="88"/>
      <c r="M11" s="55"/>
    </row>
    <row r="12" spans="1:13" x14ac:dyDescent="0.25">
      <c r="A12" s="117" t="s">
        <v>39</v>
      </c>
      <c r="B12" s="53"/>
      <c r="C12" s="53"/>
      <c r="D12" s="53"/>
      <c r="E12" s="53"/>
      <c r="F12" s="70"/>
      <c r="G12" s="53"/>
      <c r="H12" s="53"/>
      <c r="I12" s="53"/>
      <c r="J12" s="53"/>
      <c r="K12" s="54"/>
      <c r="L12" s="88"/>
      <c r="M12" s="55"/>
    </row>
    <row r="13" spans="1:13" ht="29.25" x14ac:dyDescent="0.25">
      <c r="A13" s="143" t="s">
        <v>106</v>
      </c>
      <c r="B13" s="53">
        <v>24</v>
      </c>
      <c r="C13" s="86">
        <v>76666.666666666657</v>
      </c>
      <c r="D13" s="53">
        <v>1</v>
      </c>
      <c r="E13" s="53">
        <f t="shared" ref="E13:E16" si="0">B13*D13</f>
        <v>24</v>
      </c>
      <c r="F13" s="70">
        <v>0</v>
      </c>
      <c r="G13" s="53">
        <f>+F13*E13</f>
        <v>0</v>
      </c>
      <c r="H13" s="53">
        <f>+G13*0.05</f>
        <v>0</v>
      </c>
      <c r="I13" s="53">
        <f>+G13*0.1</f>
        <v>0</v>
      </c>
      <c r="J13" s="53">
        <f t="shared" ref="J13:J16" si="1">G13+H13+I13</f>
        <v>0</v>
      </c>
      <c r="K13" s="91">
        <f>+G13*$H$2+H13*$I$2+I13*$K$2</f>
        <v>0</v>
      </c>
      <c r="L13" s="88">
        <f t="shared" ref="L13:L27" si="2">C13*D13*F13</f>
        <v>0</v>
      </c>
      <c r="M13" s="55">
        <f t="shared" ref="M13:M27" si="3">D13*F13</f>
        <v>0</v>
      </c>
    </row>
    <row r="14" spans="1:13" ht="16.5" x14ac:dyDescent="0.25">
      <c r="A14" s="143" t="s">
        <v>107</v>
      </c>
      <c r="B14" s="53">
        <v>24</v>
      </c>
      <c r="C14" s="86">
        <f>ROUND(C13*0.2,0)</f>
        <v>15333</v>
      </c>
      <c r="D14" s="53">
        <v>1</v>
      </c>
      <c r="E14" s="53">
        <f t="shared" si="0"/>
        <v>24</v>
      </c>
      <c r="F14" s="70">
        <f>ROUND(F13*0.2,0)</f>
        <v>0</v>
      </c>
      <c r="G14" s="53">
        <f>+F14*E14</f>
        <v>0</v>
      </c>
      <c r="H14" s="53">
        <f>+G14*0.05</f>
        <v>0</v>
      </c>
      <c r="I14" s="53">
        <f>+G14*0.1</f>
        <v>0</v>
      </c>
      <c r="J14" s="53">
        <f t="shared" si="1"/>
        <v>0</v>
      </c>
      <c r="K14" s="91">
        <f>+G14*$H$2+H14*$I$2+I14*$K$2</f>
        <v>0</v>
      </c>
      <c r="L14" s="88">
        <f t="shared" si="2"/>
        <v>0</v>
      </c>
      <c r="M14" s="55">
        <f t="shared" si="3"/>
        <v>0</v>
      </c>
    </row>
    <row r="15" spans="1:13" ht="29.25" x14ac:dyDescent="0.25">
      <c r="A15" s="143" t="s">
        <v>108</v>
      </c>
      <c r="B15" s="53">
        <v>3</v>
      </c>
      <c r="C15" s="86">
        <v>3000</v>
      </c>
      <c r="D15" s="53">
        <v>1</v>
      </c>
      <c r="E15" s="53">
        <f t="shared" si="0"/>
        <v>3</v>
      </c>
      <c r="F15" s="70">
        <v>0</v>
      </c>
      <c r="G15" s="53">
        <f>+F15*E15</f>
        <v>0</v>
      </c>
      <c r="H15" s="53">
        <f>+G15*0.05</f>
        <v>0</v>
      </c>
      <c r="I15" s="53">
        <f>+G15*0.1</f>
        <v>0</v>
      </c>
      <c r="J15" s="53">
        <f t="shared" si="1"/>
        <v>0</v>
      </c>
      <c r="K15" s="91">
        <f>+G15*$H$2+H15*$I$2+I15*$K$2</f>
        <v>0</v>
      </c>
      <c r="L15" s="88">
        <f t="shared" si="2"/>
        <v>0</v>
      </c>
      <c r="M15" s="55">
        <f t="shared" si="3"/>
        <v>0</v>
      </c>
    </row>
    <row r="16" spans="1:13" ht="29.25" x14ac:dyDescent="0.25">
      <c r="A16" s="143" t="s">
        <v>109</v>
      </c>
      <c r="B16" s="53">
        <v>3</v>
      </c>
      <c r="C16" s="86">
        <f>ROUND(C15*0.2,0)</f>
        <v>600</v>
      </c>
      <c r="D16" s="53">
        <v>1</v>
      </c>
      <c r="E16" s="53">
        <f t="shared" si="0"/>
        <v>3</v>
      </c>
      <c r="F16" s="70">
        <f>ROUND(F15*0.2,0)</f>
        <v>0</v>
      </c>
      <c r="G16" s="53">
        <f>+F16*E16</f>
        <v>0</v>
      </c>
      <c r="H16" s="53">
        <f>+G16*0.05</f>
        <v>0</v>
      </c>
      <c r="I16" s="53">
        <f>+G16*0.1</f>
        <v>0</v>
      </c>
      <c r="J16" s="53">
        <f t="shared" si="1"/>
        <v>0</v>
      </c>
      <c r="K16" s="91">
        <f>+G16*$H$2+H16*$I$2+I16*$K$2</f>
        <v>0</v>
      </c>
      <c r="L16" s="88">
        <f t="shared" si="2"/>
        <v>0</v>
      </c>
      <c r="M16" s="55">
        <f t="shared" si="3"/>
        <v>0</v>
      </c>
    </row>
    <row r="17" spans="1:13" x14ac:dyDescent="0.25">
      <c r="A17" s="117" t="s">
        <v>44</v>
      </c>
      <c r="B17" s="53"/>
      <c r="C17" s="53"/>
      <c r="D17" s="53"/>
      <c r="E17" s="53"/>
      <c r="F17" s="70"/>
      <c r="G17" s="53"/>
      <c r="H17" s="53"/>
      <c r="I17" s="53"/>
      <c r="J17" s="53"/>
      <c r="K17" s="91"/>
      <c r="L17" s="88">
        <f t="shared" si="2"/>
        <v>0</v>
      </c>
      <c r="M17" s="55">
        <f t="shared" si="3"/>
        <v>0</v>
      </c>
    </row>
    <row r="18" spans="1:13" ht="16.5" x14ac:dyDescent="0.25">
      <c r="A18" s="143" t="s">
        <v>110</v>
      </c>
      <c r="B18" s="53">
        <v>229</v>
      </c>
      <c r="C18" s="86">
        <f>185000+210000</f>
        <v>395000</v>
      </c>
      <c r="D18" s="53">
        <v>1</v>
      </c>
      <c r="E18" s="53">
        <f>B18*D18</f>
        <v>229</v>
      </c>
      <c r="F18" s="70">
        <v>0</v>
      </c>
      <c r="G18" s="53">
        <f>+F18*E18</f>
        <v>0</v>
      </c>
      <c r="H18" s="53">
        <f>+G18*0.05</f>
        <v>0</v>
      </c>
      <c r="I18" s="53">
        <f>+G18*0.1</f>
        <v>0</v>
      </c>
      <c r="J18" s="53">
        <f>G18+H18+I18</f>
        <v>0</v>
      </c>
      <c r="K18" s="91">
        <f>+G18*$H$2+H18*$I$2+I18*$K$2</f>
        <v>0</v>
      </c>
      <c r="L18" s="88">
        <f t="shared" si="2"/>
        <v>0</v>
      </c>
      <c r="M18" s="55">
        <f t="shared" si="3"/>
        <v>0</v>
      </c>
    </row>
    <row r="19" spans="1:13" x14ac:dyDescent="0.25">
      <c r="A19" s="143" t="s">
        <v>46</v>
      </c>
      <c r="B19" s="53" t="s">
        <v>47</v>
      </c>
      <c r="C19" s="53"/>
      <c r="D19" s="53"/>
      <c r="E19" s="53"/>
      <c r="F19" s="70"/>
      <c r="G19" s="53"/>
      <c r="H19" s="53"/>
      <c r="I19" s="53"/>
      <c r="J19" s="53"/>
      <c r="K19" s="87"/>
      <c r="L19" s="88">
        <f t="shared" si="2"/>
        <v>0</v>
      </c>
      <c r="M19" s="55">
        <f t="shared" si="3"/>
        <v>0</v>
      </c>
    </row>
    <row r="20" spans="1:13" ht="29.25" x14ac:dyDescent="0.25">
      <c r="A20" s="117" t="s">
        <v>111</v>
      </c>
      <c r="B20" s="53">
        <v>24</v>
      </c>
      <c r="C20" s="86">
        <v>76666.666666666657</v>
      </c>
      <c r="D20" s="53">
        <v>1</v>
      </c>
      <c r="E20" s="53">
        <f>B20*D20</f>
        <v>24</v>
      </c>
      <c r="F20" s="53">
        <v>2</v>
      </c>
      <c r="G20" s="53">
        <f>+F20*E20</f>
        <v>48</v>
      </c>
      <c r="H20" s="53">
        <f>+G20*0.05</f>
        <v>2.4000000000000004</v>
      </c>
      <c r="I20" s="53">
        <f>+G20*0.1</f>
        <v>4.8000000000000007</v>
      </c>
      <c r="J20" s="53">
        <f t="shared" ref="J20:J27" si="4">G20+H20+I20</f>
        <v>55.2</v>
      </c>
      <c r="K20" s="87">
        <f>+G20*$H$2+H20*$I$2+I20*$K$2</f>
        <v>7791.2160000000003</v>
      </c>
      <c r="L20" s="88">
        <f>C20*D20*F20</f>
        <v>153333.33333333331</v>
      </c>
      <c r="M20" s="55">
        <v>0</v>
      </c>
    </row>
    <row r="21" spans="1:13" ht="29.25" x14ac:dyDescent="0.25">
      <c r="A21" s="117" t="s">
        <v>112</v>
      </c>
      <c r="B21" s="53">
        <v>3</v>
      </c>
      <c r="C21" s="86">
        <v>3000</v>
      </c>
      <c r="D21" s="53">
        <v>1</v>
      </c>
      <c r="E21" s="53">
        <f>B21*D21</f>
        <v>3</v>
      </c>
      <c r="F21" s="53">
        <v>0</v>
      </c>
      <c r="G21" s="53">
        <f>+F21*E21</f>
        <v>0</v>
      </c>
      <c r="H21" s="53">
        <f>+G21*0.05</f>
        <v>0</v>
      </c>
      <c r="I21" s="53">
        <f>+G21*0.1</f>
        <v>0</v>
      </c>
      <c r="J21" s="53">
        <f t="shared" si="4"/>
        <v>0</v>
      </c>
      <c r="K21" s="91">
        <f>+G21*$H$2+H21*$I$2+I21*$K$2</f>
        <v>0</v>
      </c>
      <c r="L21" s="88">
        <f t="shared" si="2"/>
        <v>0</v>
      </c>
      <c r="M21" s="55">
        <f t="shared" si="3"/>
        <v>0</v>
      </c>
    </row>
    <row r="22" spans="1:13" x14ac:dyDescent="0.25">
      <c r="A22" s="144" t="s">
        <v>50</v>
      </c>
      <c r="B22" s="53"/>
      <c r="C22" s="53"/>
      <c r="D22" s="53"/>
      <c r="E22" s="53"/>
      <c r="F22" s="53"/>
      <c r="G22" s="53"/>
      <c r="H22" s="53"/>
      <c r="I22" s="53"/>
      <c r="J22" s="53"/>
      <c r="K22" s="87"/>
      <c r="L22" s="88"/>
      <c r="M22" s="55"/>
    </row>
    <row r="23" spans="1:13" ht="15.75" x14ac:dyDescent="0.25">
      <c r="A23" s="118" t="s">
        <v>113</v>
      </c>
      <c r="B23" s="1">
        <v>16</v>
      </c>
      <c r="C23" s="86">
        <v>0</v>
      </c>
      <c r="D23" s="158">
        <v>1</v>
      </c>
      <c r="E23" s="53">
        <f>B23*D23</f>
        <v>16</v>
      </c>
      <c r="F23" s="53">
        <v>2</v>
      </c>
      <c r="G23" s="53">
        <f t="shared" ref="G23:G24" si="5">+F23*E23</f>
        <v>32</v>
      </c>
      <c r="H23" s="53">
        <f t="shared" ref="H23:H24" si="6">+G23*0.05</f>
        <v>1.6</v>
      </c>
      <c r="I23" s="53">
        <f t="shared" ref="I23:I24" si="7">+G23*0.1</f>
        <v>3.2</v>
      </c>
      <c r="J23" s="53">
        <f t="shared" ref="J23:J24" si="8">G23+H23+I23</f>
        <v>36.800000000000004</v>
      </c>
      <c r="K23" s="91">
        <f t="shared" ref="K23:K24" si="9">+G23*$H$2+H23*$I$2+I23*$K$2</f>
        <v>5194.1440000000002</v>
      </c>
      <c r="L23" s="88">
        <f t="shared" ref="L23:L24" si="10">C23*D23*F23</f>
        <v>0</v>
      </c>
      <c r="M23" s="55">
        <v>0</v>
      </c>
    </row>
    <row r="24" spans="1:13" ht="15.75" x14ac:dyDescent="0.25">
      <c r="A24" s="118" t="s">
        <v>114</v>
      </c>
      <c r="B24" s="1">
        <v>16</v>
      </c>
      <c r="C24" s="86">
        <v>0</v>
      </c>
      <c r="D24" s="158">
        <v>3</v>
      </c>
      <c r="E24" s="53">
        <f>B24*D24</f>
        <v>48</v>
      </c>
      <c r="F24" s="53">
        <v>2</v>
      </c>
      <c r="G24" s="53">
        <f t="shared" si="5"/>
        <v>96</v>
      </c>
      <c r="H24" s="53">
        <f t="shared" si="6"/>
        <v>4.8000000000000007</v>
      </c>
      <c r="I24" s="53">
        <f t="shared" si="7"/>
        <v>9.6000000000000014</v>
      </c>
      <c r="J24" s="53">
        <f t="shared" si="8"/>
        <v>110.4</v>
      </c>
      <c r="K24" s="91">
        <f t="shared" si="9"/>
        <v>15582.432000000001</v>
      </c>
      <c r="L24" s="88">
        <f t="shared" si="10"/>
        <v>0</v>
      </c>
      <c r="M24" s="55">
        <v>0</v>
      </c>
    </row>
    <row r="25" spans="1:13" ht="16.5" x14ac:dyDescent="0.25">
      <c r="A25" s="143" t="s">
        <v>115</v>
      </c>
      <c r="B25" s="53">
        <v>0.25</v>
      </c>
      <c r="C25" s="86">
        <f>38100+35600</f>
        <v>73700</v>
      </c>
      <c r="D25" s="53">
        <v>250</v>
      </c>
      <c r="E25" s="53">
        <f>B25*D25</f>
        <v>62.5</v>
      </c>
      <c r="F25" s="70">
        <v>2</v>
      </c>
      <c r="G25" s="53">
        <f>+F25*E25</f>
        <v>125</v>
      </c>
      <c r="H25" s="53">
        <f>+G25*0.05</f>
        <v>6.25</v>
      </c>
      <c r="I25" s="53">
        <f>+G25*0.1</f>
        <v>12.5</v>
      </c>
      <c r="J25" s="53">
        <f t="shared" si="4"/>
        <v>143.75</v>
      </c>
      <c r="K25" s="87">
        <f>+G25*$H$2+H25*$I$2+I25*$K$2</f>
        <v>20289.625</v>
      </c>
      <c r="L25" s="88">
        <f>C25*F25</f>
        <v>147400</v>
      </c>
      <c r="M25" s="55">
        <v>0</v>
      </c>
    </row>
    <row r="26" spans="1:13" ht="16.5" x14ac:dyDescent="0.25">
      <c r="A26" s="96" t="s">
        <v>54</v>
      </c>
      <c r="B26" s="53">
        <v>20</v>
      </c>
      <c r="C26" s="86">
        <v>0</v>
      </c>
      <c r="D26" s="53">
        <v>1</v>
      </c>
      <c r="E26" s="53">
        <f>B26*D26</f>
        <v>20</v>
      </c>
      <c r="F26" s="70">
        <v>0</v>
      </c>
      <c r="G26" s="53">
        <f>+F26*E26</f>
        <v>0</v>
      </c>
      <c r="H26" s="53">
        <f>+G26*0.05</f>
        <v>0</v>
      </c>
      <c r="I26" s="53">
        <f>+G26*0.1</f>
        <v>0</v>
      </c>
      <c r="J26" s="53">
        <f t="shared" si="4"/>
        <v>0</v>
      </c>
      <c r="K26" s="91">
        <f>+G26*$H$2+H26*$I$2+I26*$K$2</f>
        <v>0</v>
      </c>
      <c r="L26" s="88">
        <f t="shared" si="2"/>
        <v>0</v>
      </c>
      <c r="M26" s="55">
        <f t="shared" si="3"/>
        <v>0</v>
      </c>
    </row>
    <row r="27" spans="1:13" ht="29.25" x14ac:dyDescent="0.25">
      <c r="A27" s="96" t="s">
        <v>55</v>
      </c>
      <c r="B27" s="53">
        <v>4</v>
      </c>
      <c r="C27" s="86">
        <v>0</v>
      </c>
      <c r="D27" s="53">
        <v>1</v>
      </c>
      <c r="E27" s="53">
        <v>4</v>
      </c>
      <c r="F27" s="53">
        <v>0</v>
      </c>
      <c r="G27" s="53">
        <f>+F27*E27</f>
        <v>0</v>
      </c>
      <c r="H27" s="53">
        <f>+G27*0.05</f>
        <v>0</v>
      </c>
      <c r="I27" s="53">
        <f>+G27*0.1</f>
        <v>0</v>
      </c>
      <c r="J27" s="53">
        <f t="shared" si="4"/>
        <v>0</v>
      </c>
      <c r="K27" s="91">
        <f>+G27*$H$2+H27*$I$2+I27*$K$2</f>
        <v>0</v>
      </c>
      <c r="L27" s="88">
        <f t="shared" si="2"/>
        <v>0</v>
      </c>
      <c r="M27" s="55">
        <f t="shared" si="3"/>
        <v>0</v>
      </c>
    </row>
    <row r="28" spans="1:13" x14ac:dyDescent="0.25">
      <c r="A28" s="11" t="s">
        <v>56</v>
      </c>
      <c r="B28" s="53" t="s">
        <v>57</v>
      </c>
      <c r="C28" s="53"/>
      <c r="D28" s="53"/>
      <c r="E28" s="53"/>
      <c r="F28" s="70"/>
      <c r="G28" s="53"/>
      <c r="H28" s="53"/>
      <c r="I28" s="53"/>
      <c r="J28" s="53"/>
      <c r="K28" s="91"/>
      <c r="L28" s="88"/>
      <c r="M28" s="55"/>
    </row>
    <row r="29" spans="1:13" x14ac:dyDescent="0.25">
      <c r="A29" s="11" t="s">
        <v>58</v>
      </c>
      <c r="B29" s="53" t="s">
        <v>59</v>
      </c>
      <c r="C29" s="53"/>
      <c r="D29" s="53"/>
      <c r="E29" s="53"/>
      <c r="F29" s="70"/>
      <c r="G29" s="53"/>
      <c r="H29" s="53"/>
      <c r="I29" s="53"/>
      <c r="J29" s="53"/>
      <c r="K29" s="91"/>
      <c r="L29" s="88"/>
      <c r="M29" s="55"/>
    </row>
    <row r="30" spans="1:13" x14ac:dyDescent="0.25">
      <c r="A30" s="11" t="s">
        <v>60</v>
      </c>
      <c r="B30" s="53"/>
      <c r="C30" s="53"/>
      <c r="D30" s="53"/>
      <c r="E30" s="53"/>
      <c r="F30" s="70"/>
      <c r="G30" s="53"/>
      <c r="H30" s="53"/>
      <c r="I30" s="53"/>
      <c r="J30" s="53"/>
      <c r="K30" s="91"/>
      <c r="L30" s="88"/>
      <c r="M30" s="55"/>
    </row>
    <row r="31" spans="1:13" ht="16.5" x14ac:dyDescent="0.25">
      <c r="A31" s="117" t="s">
        <v>116</v>
      </c>
      <c r="B31" s="53">
        <v>8</v>
      </c>
      <c r="C31" s="86">
        <v>0</v>
      </c>
      <c r="D31" s="53">
        <v>1</v>
      </c>
      <c r="E31" s="53">
        <f>B31*D31</f>
        <v>8</v>
      </c>
      <c r="F31" s="70">
        <v>0</v>
      </c>
      <c r="G31" s="53">
        <f>+F31*E31</f>
        <v>0</v>
      </c>
      <c r="H31" s="53">
        <f>+G31*0.05</f>
        <v>0</v>
      </c>
      <c r="I31" s="53">
        <f>+G31*0.1</f>
        <v>0</v>
      </c>
      <c r="J31" s="53">
        <f t="shared" ref="J31:J41" si="11">G31+H31+I31</f>
        <v>0</v>
      </c>
      <c r="K31" s="91">
        <f>+G31*$H$2+H31*$I$2+I31*$K$2</f>
        <v>0</v>
      </c>
      <c r="L31" s="88">
        <f t="shared" ref="L31:L41" si="12">C31*D31*F31</f>
        <v>0</v>
      </c>
      <c r="M31" s="55">
        <f t="shared" ref="M31:M41" si="13">D31*F31</f>
        <v>0</v>
      </c>
    </row>
    <row r="32" spans="1:13" ht="16.5" x14ac:dyDescent="0.25">
      <c r="A32" s="117" t="s">
        <v>117</v>
      </c>
      <c r="B32" s="53">
        <v>2</v>
      </c>
      <c r="C32" s="86">
        <v>0</v>
      </c>
      <c r="D32" s="53">
        <v>1</v>
      </c>
      <c r="E32" s="53">
        <f>B32*D32</f>
        <v>2</v>
      </c>
      <c r="F32" s="70">
        <v>0</v>
      </c>
      <c r="G32" s="53">
        <f>+F32*E32</f>
        <v>0</v>
      </c>
      <c r="H32" s="53">
        <f>+G32*0.05</f>
        <v>0</v>
      </c>
      <c r="I32" s="53">
        <f>+G32*0.1</f>
        <v>0</v>
      </c>
      <c r="J32" s="53">
        <f t="shared" si="11"/>
        <v>0</v>
      </c>
      <c r="K32" s="91">
        <f>+G32*$H$2+H32*$I$2+I32*$K$2</f>
        <v>0</v>
      </c>
      <c r="L32" s="88">
        <f t="shared" si="12"/>
        <v>0</v>
      </c>
      <c r="M32" s="55">
        <f t="shared" si="13"/>
        <v>0</v>
      </c>
    </row>
    <row r="33" spans="1:13" ht="16.5" x14ac:dyDescent="0.25">
      <c r="A33" s="117" t="s">
        <v>118</v>
      </c>
      <c r="B33" s="53"/>
      <c r="C33" s="86"/>
      <c r="D33" s="53"/>
      <c r="E33" s="53"/>
      <c r="F33" s="70"/>
      <c r="G33" s="53"/>
      <c r="H33" s="53"/>
      <c r="I33" s="53"/>
      <c r="J33" s="53"/>
      <c r="K33" s="91"/>
      <c r="L33" s="88"/>
      <c r="M33" s="55"/>
    </row>
    <row r="34" spans="1:13" ht="15.75" x14ac:dyDescent="0.25">
      <c r="A34" s="118" t="s">
        <v>119</v>
      </c>
      <c r="B34" s="53">
        <v>40</v>
      </c>
      <c r="C34" s="86">
        <v>0</v>
      </c>
      <c r="D34" s="53">
        <v>1</v>
      </c>
      <c r="E34" s="53">
        <f>B34*D34</f>
        <v>40</v>
      </c>
      <c r="F34" s="70">
        <v>0</v>
      </c>
      <c r="G34" s="53">
        <f>+F34*E34</f>
        <v>0</v>
      </c>
      <c r="H34" s="53">
        <f>+G34*0.05</f>
        <v>0</v>
      </c>
      <c r="I34" s="53">
        <f>+G34*0.1</f>
        <v>0</v>
      </c>
      <c r="J34" s="53">
        <f t="shared" si="11"/>
        <v>0</v>
      </c>
      <c r="K34" s="91">
        <f>+G34*$H$2+H34*$I$2+I34*$K$2</f>
        <v>0</v>
      </c>
      <c r="L34" s="88">
        <f t="shared" si="12"/>
        <v>0</v>
      </c>
      <c r="M34" s="55">
        <f t="shared" si="13"/>
        <v>0</v>
      </c>
    </row>
    <row r="35" spans="1:13" ht="15.75" x14ac:dyDescent="0.25">
      <c r="A35" s="118" t="s">
        <v>120</v>
      </c>
      <c r="B35" s="53">
        <v>10</v>
      </c>
      <c r="C35" s="86">
        <v>0</v>
      </c>
      <c r="D35" s="53">
        <v>1</v>
      </c>
      <c r="E35" s="53">
        <f>B35*D35</f>
        <v>10</v>
      </c>
      <c r="F35" s="70">
        <v>0</v>
      </c>
      <c r="G35" s="53">
        <f>+F35*E35</f>
        <v>0</v>
      </c>
      <c r="H35" s="53">
        <f>+G35*0.05</f>
        <v>0</v>
      </c>
      <c r="I35" s="53">
        <f>+G35*0.1</f>
        <v>0</v>
      </c>
      <c r="J35" s="53">
        <f t="shared" ref="J35" si="14">G35+H35+I35</f>
        <v>0</v>
      </c>
      <c r="K35" s="91">
        <f>+G35*$H$2+H35*$I$2+I35*$K$2</f>
        <v>0</v>
      </c>
      <c r="L35" s="88">
        <f t="shared" ref="L35" si="15">C35*D35*F35</f>
        <v>0</v>
      </c>
      <c r="M35" s="55">
        <f t="shared" ref="M35" si="16">D35*F35</f>
        <v>0</v>
      </c>
    </row>
    <row r="36" spans="1:13" x14ac:dyDescent="0.25">
      <c r="A36" s="145" t="s">
        <v>66</v>
      </c>
      <c r="B36" s="53"/>
      <c r="C36" s="53"/>
      <c r="D36" s="53"/>
      <c r="E36" s="53"/>
      <c r="F36" s="70"/>
      <c r="G36" s="53"/>
      <c r="H36" s="53"/>
      <c r="I36" s="53"/>
      <c r="J36" s="53"/>
      <c r="K36" s="87"/>
      <c r="L36" s="88"/>
      <c r="M36" s="55"/>
    </row>
    <row r="37" spans="1:13" ht="28.5" x14ac:dyDescent="0.25">
      <c r="A37" s="118" t="s">
        <v>67</v>
      </c>
      <c r="B37" s="53">
        <v>28</v>
      </c>
      <c r="C37" s="86">
        <v>0</v>
      </c>
      <c r="D37" s="53">
        <v>1</v>
      </c>
      <c r="E37" s="53">
        <f>B37*D37</f>
        <v>28</v>
      </c>
      <c r="F37" s="70">
        <v>2</v>
      </c>
      <c r="G37" s="53">
        <f>+F37*E37</f>
        <v>56</v>
      </c>
      <c r="H37" s="53">
        <f>+G37*0.05</f>
        <v>2.8000000000000003</v>
      </c>
      <c r="I37" s="53">
        <f>+G37*0.1</f>
        <v>5.6000000000000005</v>
      </c>
      <c r="J37" s="53">
        <f t="shared" si="11"/>
        <v>64.399999999999991</v>
      </c>
      <c r="K37" s="87">
        <f>+G37*$H$2+H37*$I$2+I37*$K$2</f>
        <v>9089.7520000000004</v>
      </c>
      <c r="L37" s="88">
        <f t="shared" si="12"/>
        <v>0</v>
      </c>
      <c r="M37" s="55">
        <f t="shared" si="13"/>
        <v>2</v>
      </c>
    </row>
    <row r="38" spans="1:13" ht="28.5" x14ac:dyDescent="0.25">
      <c r="A38" s="118" t="s">
        <v>68</v>
      </c>
      <c r="B38" s="53">
        <v>28</v>
      </c>
      <c r="C38" s="86">
        <v>0</v>
      </c>
      <c r="D38" s="53">
        <v>1</v>
      </c>
      <c r="E38" s="53">
        <f>B38*D38</f>
        <v>28</v>
      </c>
      <c r="F38" s="53">
        <v>0</v>
      </c>
      <c r="G38" s="53">
        <f>+F38*E38</f>
        <v>0</v>
      </c>
      <c r="H38" s="53">
        <f>+G38*0.05</f>
        <v>0</v>
      </c>
      <c r="I38" s="53">
        <f>+G38*0.1</f>
        <v>0</v>
      </c>
      <c r="J38" s="53">
        <f t="shared" si="11"/>
        <v>0</v>
      </c>
      <c r="K38" s="103">
        <f>+G38*$H$2+H38*$I$2+I38*$K$2</f>
        <v>0</v>
      </c>
      <c r="L38" s="88">
        <f t="shared" si="12"/>
        <v>0</v>
      </c>
      <c r="M38" s="55">
        <f t="shared" si="13"/>
        <v>0</v>
      </c>
    </row>
    <row r="39" spans="1:13" ht="15.75" x14ac:dyDescent="0.25">
      <c r="A39" s="118" t="s">
        <v>69</v>
      </c>
      <c r="B39" s="53">
        <v>10</v>
      </c>
      <c r="C39" s="86">
        <v>0</v>
      </c>
      <c r="D39" s="53">
        <v>1</v>
      </c>
      <c r="E39" s="53">
        <f>B39*D39</f>
        <v>10</v>
      </c>
      <c r="F39" s="53">
        <v>0</v>
      </c>
      <c r="G39" s="53">
        <f>+F39*E39</f>
        <v>0</v>
      </c>
      <c r="H39" s="53">
        <f>+G39*0.05</f>
        <v>0</v>
      </c>
      <c r="I39" s="53">
        <f>+G39*0.1</f>
        <v>0</v>
      </c>
      <c r="J39" s="53">
        <f t="shared" si="11"/>
        <v>0</v>
      </c>
      <c r="K39" s="103">
        <f>+G39*$H$2+H39*$I$2+I39*$K$2</f>
        <v>0</v>
      </c>
      <c r="L39" s="88">
        <f t="shared" si="12"/>
        <v>0</v>
      </c>
      <c r="M39" s="55">
        <f t="shared" si="13"/>
        <v>0</v>
      </c>
    </row>
    <row r="40" spans="1:13" ht="16.5" x14ac:dyDescent="0.25">
      <c r="A40" s="117" t="s">
        <v>121</v>
      </c>
      <c r="B40" s="53">
        <v>24</v>
      </c>
      <c r="C40" s="86">
        <v>0</v>
      </c>
      <c r="D40" s="53">
        <v>2</v>
      </c>
      <c r="E40" s="53">
        <f>B40*D40</f>
        <v>48</v>
      </c>
      <c r="F40" s="70">
        <f>ROUND(F37*0.1,1)</f>
        <v>0.2</v>
      </c>
      <c r="G40" s="53">
        <f>+F40*E40</f>
        <v>9.6000000000000014</v>
      </c>
      <c r="H40" s="53">
        <f>+G40*0.05</f>
        <v>0.48000000000000009</v>
      </c>
      <c r="I40" s="53">
        <f>+G40*0.1</f>
        <v>0.96000000000000019</v>
      </c>
      <c r="J40" s="53">
        <f t="shared" si="11"/>
        <v>11.040000000000003</v>
      </c>
      <c r="K40" s="87">
        <f>+G40*$H$2+H40*$I$2+I40*$K$2</f>
        <v>1558.2432000000003</v>
      </c>
      <c r="L40" s="88">
        <f t="shared" si="12"/>
        <v>0</v>
      </c>
      <c r="M40" s="55">
        <f t="shared" si="13"/>
        <v>0.4</v>
      </c>
    </row>
    <row r="41" spans="1:13" x14ac:dyDescent="0.25">
      <c r="A41" s="117" t="s">
        <v>71</v>
      </c>
      <c r="B41" s="53">
        <v>1</v>
      </c>
      <c r="C41" s="86">
        <v>0</v>
      </c>
      <c r="D41" s="53">
        <v>1</v>
      </c>
      <c r="E41" s="53">
        <f>B41*D41</f>
        <v>1</v>
      </c>
      <c r="F41" s="53">
        <v>0</v>
      </c>
      <c r="G41" s="53">
        <f>+F41*E41</f>
        <v>0</v>
      </c>
      <c r="H41" s="53">
        <f>+G41*0.05</f>
        <v>0</v>
      </c>
      <c r="I41" s="53">
        <f>+G41*0.1</f>
        <v>0</v>
      </c>
      <c r="J41" s="53">
        <f t="shared" si="11"/>
        <v>0</v>
      </c>
      <c r="K41" s="91">
        <f>+G41*$H$2+H41*$I$2+I41*$K$2</f>
        <v>0</v>
      </c>
      <c r="L41" s="88">
        <f t="shared" si="12"/>
        <v>0</v>
      </c>
      <c r="M41" s="55">
        <f t="shared" si="13"/>
        <v>0</v>
      </c>
    </row>
    <row r="42" spans="1:13" x14ac:dyDescent="0.25">
      <c r="A42" s="169" t="s">
        <v>72</v>
      </c>
      <c r="B42" s="169"/>
      <c r="C42" s="169"/>
      <c r="D42" s="169"/>
      <c r="E42" s="169"/>
      <c r="F42" s="169"/>
      <c r="G42" s="99">
        <f>SUM(G8:G40)</f>
        <v>374.6</v>
      </c>
      <c r="H42" s="99">
        <f t="shared" ref="H42:I42" si="17">SUM(H8:H40)</f>
        <v>18.73</v>
      </c>
      <c r="I42" s="99">
        <f t="shared" si="17"/>
        <v>37.46</v>
      </c>
      <c r="J42" s="99">
        <f>SUM(J8:J40)</f>
        <v>430.79</v>
      </c>
      <c r="K42" s="100">
        <f>SUM(K8:K40)</f>
        <v>60803.948199999999</v>
      </c>
      <c r="L42" s="101">
        <f>SUM(L8:L40)</f>
        <v>300733.33333333331</v>
      </c>
      <c r="M42" s="102">
        <f t="shared" ref="M42" si="18">SUM(M8:M40)</f>
        <v>2.4</v>
      </c>
    </row>
    <row r="43" spans="1:13" x14ac:dyDescent="0.25">
      <c r="A43" s="11" t="s">
        <v>73</v>
      </c>
      <c r="B43" s="53"/>
      <c r="C43" s="53"/>
      <c r="D43" s="53"/>
      <c r="E43" s="53"/>
      <c r="F43" s="53"/>
      <c r="G43" s="53"/>
      <c r="H43" s="53"/>
      <c r="I43" s="53"/>
      <c r="J43" s="53"/>
      <c r="K43" s="54"/>
      <c r="L43" s="88"/>
      <c r="M43" s="55"/>
    </row>
    <row r="44" spans="1:13" ht="16.5" x14ac:dyDescent="0.25">
      <c r="A44" s="11" t="s">
        <v>74</v>
      </c>
      <c r="B44" s="53" t="s">
        <v>75</v>
      </c>
      <c r="C44" s="53"/>
      <c r="D44" s="53"/>
      <c r="E44" s="53"/>
      <c r="F44" s="53"/>
      <c r="G44" s="53"/>
      <c r="H44" s="53"/>
      <c r="I44" s="53"/>
      <c r="J44" s="53"/>
      <c r="K44" s="53"/>
      <c r="L44" s="88"/>
      <c r="M44" s="55"/>
    </row>
    <row r="45" spans="1:13" x14ac:dyDescent="0.25">
      <c r="A45" s="11" t="s">
        <v>76</v>
      </c>
      <c r="B45" s="53" t="s">
        <v>57</v>
      </c>
      <c r="C45" s="53"/>
      <c r="D45" s="53"/>
      <c r="E45" s="53"/>
      <c r="F45" s="53"/>
      <c r="G45" s="53"/>
      <c r="H45" s="53"/>
      <c r="I45" s="53"/>
      <c r="J45" s="53"/>
      <c r="K45" s="54"/>
      <c r="L45" s="88"/>
      <c r="M45" s="55"/>
    </row>
    <row r="46" spans="1:13" x14ac:dyDescent="0.25">
      <c r="A46" s="11" t="s">
        <v>77</v>
      </c>
      <c r="B46" s="53" t="s">
        <v>57</v>
      </c>
      <c r="C46" s="53"/>
      <c r="D46" s="53"/>
      <c r="E46" s="53"/>
      <c r="F46" s="53"/>
      <c r="G46" s="53"/>
      <c r="H46" s="53"/>
      <c r="I46" s="53"/>
      <c r="J46" s="53"/>
      <c r="K46" s="54"/>
      <c r="L46" s="88"/>
      <c r="M46" s="55"/>
    </row>
    <row r="47" spans="1:13" x14ac:dyDescent="0.25">
      <c r="A47" s="11" t="s">
        <v>78</v>
      </c>
      <c r="B47" s="53" t="s">
        <v>32</v>
      </c>
      <c r="C47" s="53"/>
      <c r="D47" s="53"/>
      <c r="E47" s="53"/>
      <c r="F47" s="53"/>
      <c r="G47" s="53"/>
      <c r="H47" s="53"/>
      <c r="I47" s="53"/>
      <c r="J47" s="53"/>
      <c r="K47" s="54"/>
      <c r="L47" s="88"/>
      <c r="M47" s="55"/>
    </row>
    <row r="48" spans="1:13" x14ac:dyDescent="0.25">
      <c r="A48" s="11" t="s">
        <v>79</v>
      </c>
      <c r="B48" s="53"/>
      <c r="C48" s="53"/>
      <c r="D48" s="53"/>
      <c r="E48" s="53"/>
      <c r="F48" s="53"/>
      <c r="G48" s="53"/>
      <c r="H48" s="53"/>
      <c r="I48" s="53"/>
      <c r="J48" s="53"/>
      <c r="K48" s="54"/>
      <c r="L48" s="88"/>
      <c r="M48" s="55"/>
    </row>
    <row r="49" spans="1:13" ht="16.5" x14ac:dyDescent="0.25">
      <c r="A49" s="117" t="s">
        <v>122</v>
      </c>
      <c r="B49" s="53">
        <v>1.5</v>
      </c>
      <c r="C49" s="86">
        <v>0</v>
      </c>
      <c r="D49" s="53">
        <v>52</v>
      </c>
      <c r="E49" s="53">
        <f t="shared" ref="E49:E57" si="19">B49*D49</f>
        <v>78</v>
      </c>
      <c r="F49" s="70">
        <v>2</v>
      </c>
      <c r="G49" s="53">
        <f>+F49*E49</f>
        <v>156</v>
      </c>
      <c r="H49" s="53">
        <f>+G49*0.05</f>
        <v>7.8000000000000007</v>
      </c>
      <c r="I49" s="53">
        <f>+G49*0.1</f>
        <v>15.600000000000001</v>
      </c>
      <c r="J49" s="53">
        <f t="shared" ref="J49:J57" si="20">G49+H49+I49</f>
        <v>179.4</v>
      </c>
      <c r="K49" s="87">
        <f>+G49*$H$2+H49*$I$2+I49*$K$2</f>
        <v>25321.452000000001</v>
      </c>
      <c r="L49" s="88">
        <f t="shared" ref="L49:L51" si="21">C49*D49*F49</f>
        <v>0</v>
      </c>
      <c r="M49" s="55">
        <v>0</v>
      </c>
    </row>
    <row r="50" spans="1:13" ht="29.25" x14ac:dyDescent="0.25">
      <c r="A50" s="117" t="s">
        <v>123</v>
      </c>
      <c r="B50" s="53">
        <v>1.5</v>
      </c>
      <c r="C50" s="86">
        <v>0</v>
      </c>
      <c r="D50" s="53">
        <v>52</v>
      </c>
      <c r="E50" s="53">
        <f t="shared" si="19"/>
        <v>78</v>
      </c>
      <c r="F50" s="53">
        <f>ROUND(2*0.1,1)</f>
        <v>0.2</v>
      </c>
      <c r="G50" s="53">
        <f t="shared" ref="G50:G57" si="22">+F50*E50</f>
        <v>15.600000000000001</v>
      </c>
      <c r="H50" s="53">
        <f t="shared" ref="H50:H57" si="23">+G50*0.05</f>
        <v>0.78000000000000014</v>
      </c>
      <c r="I50" s="53">
        <f t="shared" ref="I50:I57" si="24">+G50*0.1</f>
        <v>1.5600000000000003</v>
      </c>
      <c r="J50" s="53">
        <f t="shared" si="20"/>
        <v>17.940000000000001</v>
      </c>
      <c r="K50" s="87">
        <f t="shared" ref="K50:K52" si="25">+G50*$H$2+H50*$I$2+I50*$K$2</f>
        <v>2532.1452000000004</v>
      </c>
      <c r="L50" s="88">
        <f t="shared" si="21"/>
        <v>0</v>
      </c>
      <c r="M50" s="55">
        <v>0</v>
      </c>
    </row>
    <row r="51" spans="1:13" x14ac:dyDescent="0.25">
      <c r="A51" s="117" t="s">
        <v>82</v>
      </c>
      <c r="B51" s="53">
        <v>4</v>
      </c>
      <c r="C51" s="86">
        <v>0</v>
      </c>
      <c r="D51" s="53">
        <v>1</v>
      </c>
      <c r="E51" s="53">
        <f t="shared" si="19"/>
        <v>4</v>
      </c>
      <c r="F51" s="70">
        <v>2</v>
      </c>
      <c r="G51" s="53">
        <f t="shared" si="22"/>
        <v>8</v>
      </c>
      <c r="H51" s="53">
        <f t="shared" si="23"/>
        <v>0.4</v>
      </c>
      <c r="I51" s="53">
        <f t="shared" si="24"/>
        <v>0.8</v>
      </c>
      <c r="J51" s="53">
        <f t="shared" si="20"/>
        <v>9.2000000000000011</v>
      </c>
      <c r="K51" s="87">
        <f t="shared" si="25"/>
        <v>1298.5360000000001</v>
      </c>
      <c r="L51" s="88">
        <f t="shared" si="21"/>
        <v>0</v>
      </c>
      <c r="M51" s="55">
        <v>0</v>
      </c>
    </row>
    <row r="52" spans="1:13" ht="16.5" x14ac:dyDescent="0.25">
      <c r="A52" s="117" t="s">
        <v>124</v>
      </c>
      <c r="B52" s="53">
        <v>1.5</v>
      </c>
      <c r="C52" s="86">
        <v>2500</v>
      </c>
      <c r="D52" s="53">
        <v>52</v>
      </c>
      <c r="E52" s="53">
        <f t="shared" si="19"/>
        <v>78</v>
      </c>
      <c r="F52" s="70">
        <v>2</v>
      </c>
      <c r="G52" s="53">
        <f t="shared" si="22"/>
        <v>156</v>
      </c>
      <c r="H52" s="53">
        <f t="shared" si="23"/>
        <v>7.8000000000000007</v>
      </c>
      <c r="I52" s="53">
        <f t="shared" si="24"/>
        <v>15.600000000000001</v>
      </c>
      <c r="J52" s="53">
        <f t="shared" si="20"/>
        <v>179.4</v>
      </c>
      <c r="K52" s="87">
        <f t="shared" si="25"/>
        <v>25321.452000000001</v>
      </c>
      <c r="L52" s="88">
        <f>C52*F52</f>
        <v>5000</v>
      </c>
      <c r="M52" s="55">
        <v>0</v>
      </c>
    </row>
    <row r="53" spans="1:13" ht="26.25" x14ac:dyDescent="0.25">
      <c r="A53" s="117" t="s">
        <v>84</v>
      </c>
      <c r="B53" s="53">
        <v>0.5</v>
      </c>
      <c r="C53" s="86">
        <v>0</v>
      </c>
      <c r="D53" s="53">
        <v>52</v>
      </c>
      <c r="E53" s="53">
        <f t="shared" si="19"/>
        <v>26</v>
      </c>
      <c r="F53" s="53">
        <v>0</v>
      </c>
      <c r="G53" s="104">
        <f t="shared" si="22"/>
        <v>0</v>
      </c>
      <c r="H53" s="104">
        <f t="shared" si="23"/>
        <v>0</v>
      </c>
      <c r="I53" s="104">
        <f t="shared" si="24"/>
        <v>0</v>
      </c>
      <c r="J53" s="104">
        <f t="shared" si="20"/>
        <v>0</v>
      </c>
      <c r="K53" s="103">
        <f>+G53*$H$2+H53*$I$2+I53*$K$2</f>
        <v>0</v>
      </c>
      <c r="L53" s="88">
        <f t="shared" ref="L53:L57" si="26">C53*D53*F53</f>
        <v>0</v>
      </c>
      <c r="M53" s="55">
        <f t="shared" ref="M53:M57" si="27">D53*F53</f>
        <v>0</v>
      </c>
    </row>
    <row r="54" spans="1:13" ht="26.25" x14ac:dyDescent="0.25">
      <c r="A54" s="117" t="s">
        <v>85</v>
      </c>
      <c r="B54" s="53">
        <v>4</v>
      </c>
      <c r="C54" s="86">
        <v>0</v>
      </c>
      <c r="D54" s="53">
        <v>1</v>
      </c>
      <c r="E54" s="53">
        <f t="shared" si="19"/>
        <v>4</v>
      </c>
      <c r="F54" s="53">
        <v>0</v>
      </c>
      <c r="G54" s="104">
        <f t="shared" si="22"/>
        <v>0</v>
      </c>
      <c r="H54" s="104">
        <f t="shared" si="23"/>
        <v>0</v>
      </c>
      <c r="I54" s="104">
        <f t="shared" si="24"/>
        <v>0</v>
      </c>
      <c r="J54" s="104">
        <f t="shared" si="20"/>
        <v>0</v>
      </c>
      <c r="K54" s="103">
        <f t="shared" ref="K54:K57" si="28">+G54*$H$2+H54*$I$2+I54*$K$2</f>
        <v>0</v>
      </c>
      <c r="L54" s="88">
        <f t="shared" si="26"/>
        <v>0</v>
      </c>
      <c r="M54" s="55">
        <f t="shared" si="27"/>
        <v>0</v>
      </c>
    </row>
    <row r="55" spans="1:13" ht="26.25" x14ac:dyDescent="0.25">
      <c r="A55" s="117" t="s">
        <v>86</v>
      </c>
      <c r="B55" s="53">
        <v>1</v>
      </c>
      <c r="C55" s="86">
        <v>0</v>
      </c>
      <c r="D55" s="53">
        <v>4</v>
      </c>
      <c r="E55" s="53">
        <f t="shared" si="19"/>
        <v>4</v>
      </c>
      <c r="F55" s="53">
        <v>0</v>
      </c>
      <c r="G55" s="104">
        <f t="shared" si="22"/>
        <v>0</v>
      </c>
      <c r="H55" s="104">
        <f t="shared" si="23"/>
        <v>0</v>
      </c>
      <c r="I55" s="104">
        <f t="shared" si="24"/>
        <v>0</v>
      </c>
      <c r="J55" s="104">
        <f t="shared" si="20"/>
        <v>0</v>
      </c>
      <c r="K55" s="103">
        <f t="shared" si="28"/>
        <v>0</v>
      </c>
      <c r="L55" s="88">
        <f t="shared" si="26"/>
        <v>0</v>
      </c>
      <c r="M55" s="55">
        <f t="shared" si="27"/>
        <v>0</v>
      </c>
    </row>
    <row r="56" spans="1:13" ht="26.25" x14ac:dyDescent="0.25">
      <c r="A56" s="117" t="s">
        <v>87</v>
      </c>
      <c r="B56" s="53">
        <v>1</v>
      </c>
      <c r="C56" s="86">
        <v>0</v>
      </c>
      <c r="D56" s="53">
        <v>4</v>
      </c>
      <c r="E56" s="53">
        <f t="shared" si="19"/>
        <v>4</v>
      </c>
      <c r="F56" s="53">
        <v>0</v>
      </c>
      <c r="G56" s="104">
        <f t="shared" si="22"/>
        <v>0</v>
      </c>
      <c r="H56" s="104">
        <f t="shared" si="23"/>
        <v>0</v>
      </c>
      <c r="I56" s="104">
        <f t="shared" si="24"/>
        <v>0</v>
      </c>
      <c r="J56" s="104">
        <f t="shared" si="20"/>
        <v>0</v>
      </c>
      <c r="K56" s="103">
        <f t="shared" si="28"/>
        <v>0</v>
      </c>
      <c r="L56" s="88">
        <f t="shared" si="26"/>
        <v>0</v>
      </c>
      <c r="M56" s="55">
        <f t="shared" si="27"/>
        <v>0</v>
      </c>
    </row>
    <row r="57" spans="1:13" x14ac:dyDescent="0.25">
      <c r="A57" s="117" t="s">
        <v>88</v>
      </c>
      <c r="B57" s="53">
        <v>0.5</v>
      </c>
      <c r="C57" s="86">
        <v>0</v>
      </c>
      <c r="D57" s="53">
        <v>4</v>
      </c>
      <c r="E57" s="53">
        <f t="shared" si="19"/>
        <v>2</v>
      </c>
      <c r="F57" s="53">
        <v>0</v>
      </c>
      <c r="G57" s="104">
        <f t="shared" si="22"/>
        <v>0</v>
      </c>
      <c r="H57" s="104">
        <f t="shared" si="23"/>
        <v>0</v>
      </c>
      <c r="I57" s="104">
        <f t="shared" si="24"/>
        <v>0</v>
      </c>
      <c r="J57" s="104">
        <f t="shared" si="20"/>
        <v>0</v>
      </c>
      <c r="K57" s="103">
        <f t="shared" si="28"/>
        <v>0</v>
      </c>
      <c r="L57" s="88">
        <f t="shared" si="26"/>
        <v>0</v>
      </c>
      <c r="M57" s="55">
        <f t="shared" si="27"/>
        <v>0</v>
      </c>
    </row>
    <row r="58" spans="1:13" x14ac:dyDescent="0.25">
      <c r="A58" s="11" t="s">
        <v>89</v>
      </c>
      <c r="B58" s="53" t="s">
        <v>32</v>
      </c>
      <c r="C58" s="53"/>
      <c r="D58" s="53"/>
      <c r="E58" s="53"/>
      <c r="F58" s="70"/>
      <c r="G58" s="104"/>
      <c r="H58" s="104"/>
      <c r="I58" s="104"/>
      <c r="J58" s="104"/>
      <c r="K58" s="54"/>
      <c r="L58" s="88"/>
      <c r="M58" s="55"/>
    </row>
    <row r="59" spans="1:13" x14ac:dyDescent="0.25">
      <c r="A59" s="169" t="s">
        <v>90</v>
      </c>
      <c r="B59" s="169"/>
      <c r="C59" s="169"/>
      <c r="D59" s="169"/>
      <c r="E59" s="169"/>
      <c r="F59" s="170"/>
      <c r="G59" s="102">
        <f t="shared" ref="G59:M59" si="29">SUM(G49:G58)</f>
        <v>335.6</v>
      </c>
      <c r="H59" s="105">
        <f t="shared" si="29"/>
        <v>16.78</v>
      </c>
      <c r="I59" s="105">
        <f t="shared" si="29"/>
        <v>33.56</v>
      </c>
      <c r="J59" s="105">
        <f t="shared" si="29"/>
        <v>385.94</v>
      </c>
      <c r="K59" s="106">
        <f>SUM(K49:K58)</f>
        <v>54473.585200000001</v>
      </c>
      <c r="L59" s="107">
        <f t="shared" si="29"/>
        <v>5000</v>
      </c>
      <c r="M59" s="105">
        <f t="shared" si="29"/>
        <v>0</v>
      </c>
    </row>
    <row r="60" spans="1:13" ht="15" customHeight="1" x14ac:dyDescent="0.25">
      <c r="A60" s="173" t="s">
        <v>91</v>
      </c>
      <c r="B60" s="173"/>
      <c r="C60" s="173"/>
      <c r="D60" s="173"/>
      <c r="E60" s="173"/>
      <c r="F60" s="173"/>
      <c r="G60" s="56">
        <f>G42+G59</f>
        <v>710.2</v>
      </c>
      <c r="H60" s="56">
        <f>H42+H59</f>
        <v>35.510000000000005</v>
      </c>
      <c r="I60" s="56">
        <f>I42+I59</f>
        <v>71.02000000000001</v>
      </c>
      <c r="J60" s="56">
        <f>J42+J59</f>
        <v>816.73</v>
      </c>
      <c r="K60" s="100">
        <f>ROUND(K42+K59,-3)</f>
        <v>115000</v>
      </c>
      <c r="L60" s="101">
        <f>ROUND(L42+L59,-3)</f>
        <v>306000</v>
      </c>
      <c r="M60" s="102">
        <f>M42+M59</f>
        <v>2.4</v>
      </c>
    </row>
    <row r="61" spans="1:13" ht="15" customHeight="1" x14ac:dyDescent="0.25">
      <c r="A61" s="109"/>
      <c r="B61" s="110"/>
      <c r="C61" s="110"/>
      <c r="D61" s="110"/>
      <c r="E61" s="110"/>
      <c r="F61" s="111"/>
      <c r="G61" s="111"/>
      <c r="H61" s="112"/>
      <c r="I61" s="112"/>
      <c r="J61" s="112"/>
      <c r="K61" s="113"/>
      <c r="L61" s="113"/>
      <c r="M61" s="114"/>
    </row>
    <row r="62" spans="1:13" ht="15.75" customHeight="1" x14ac:dyDescent="0.25">
      <c r="A62" s="115" t="s">
        <v>92</v>
      </c>
    </row>
    <row r="63" spans="1:13" ht="27" customHeight="1" x14ac:dyDescent="0.25">
      <c r="A63" s="172" t="s">
        <v>93</v>
      </c>
      <c r="B63" s="172"/>
      <c r="C63" s="172"/>
      <c r="D63" s="172"/>
      <c r="E63" s="172"/>
      <c r="F63" s="172"/>
      <c r="G63" s="172"/>
      <c r="H63" s="172"/>
      <c r="I63" s="172"/>
      <c r="J63" s="172"/>
      <c r="K63" s="172"/>
    </row>
    <row r="64" spans="1:13" ht="39" customHeight="1" x14ac:dyDescent="0.25">
      <c r="A64" s="172" t="s">
        <v>94</v>
      </c>
      <c r="B64" s="172"/>
      <c r="C64" s="172"/>
      <c r="D64" s="172"/>
      <c r="E64" s="172"/>
      <c r="F64" s="172"/>
      <c r="G64" s="172"/>
      <c r="H64" s="172"/>
      <c r="I64" s="172"/>
      <c r="J64" s="172"/>
      <c r="K64" s="172"/>
    </row>
    <row r="65" spans="1:11" ht="25.5" customHeight="1" x14ac:dyDescent="0.25">
      <c r="A65" s="172" t="s">
        <v>95</v>
      </c>
      <c r="B65" s="172"/>
      <c r="C65" s="172"/>
      <c r="D65" s="172"/>
      <c r="E65" s="172"/>
      <c r="F65" s="172"/>
      <c r="G65" s="172"/>
      <c r="H65" s="172"/>
      <c r="I65" s="172"/>
      <c r="J65" s="172"/>
      <c r="K65" s="172"/>
    </row>
    <row r="66" spans="1:11" ht="18.75" customHeight="1" x14ac:dyDescent="0.25">
      <c r="A66" s="74" t="s">
        <v>96</v>
      </c>
    </row>
    <row r="67" spans="1:11" ht="16.5" customHeight="1" x14ac:dyDescent="0.25">
      <c r="A67" s="172" t="s">
        <v>97</v>
      </c>
      <c r="B67" s="172"/>
      <c r="C67" s="172"/>
      <c r="D67" s="172"/>
      <c r="E67" s="172"/>
      <c r="F67" s="172"/>
      <c r="G67" s="172"/>
      <c r="H67" s="172"/>
      <c r="I67" s="172"/>
      <c r="J67" s="172"/>
      <c r="K67" s="172"/>
    </row>
    <row r="68" spans="1:11" ht="30" customHeight="1" x14ac:dyDescent="0.25">
      <c r="A68" s="172" t="s">
        <v>98</v>
      </c>
      <c r="B68" s="172"/>
      <c r="C68" s="172"/>
      <c r="D68" s="172"/>
      <c r="E68" s="172"/>
      <c r="F68" s="172"/>
      <c r="G68" s="172"/>
      <c r="H68" s="172"/>
      <c r="I68" s="172"/>
      <c r="J68" s="172"/>
      <c r="K68" s="172"/>
    </row>
    <row r="69" spans="1:11" ht="16.5" customHeight="1" x14ac:dyDescent="0.25">
      <c r="A69" s="171" t="s">
        <v>99</v>
      </c>
      <c r="B69" s="172"/>
      <c r="C69" s="172"/>
      <c r="D69" s="172"/>
      <c r="E69" s="172"/>
      <c r="F69" s="172"/>
      <c r="G69" s="172"/>
      <c r="H69" s="172"/>
      <c r="I69" s="172"/>
      <c r="J69" s="172"/>
      <c r="K69" s="172"/>
    </row>
    <row r="70" spans="1:11" ht="16.5" x14ac:dyDescent="0.25">
      <c r="A70" s="74" t="s">
        <v>100</v>
      </c>
    </row>
    <row r="71" spans="1:11" ht="16.5" x14ac:dyDescent="0.25">
      <c r="A71" s="74" t="s">
        <v>125</v>
      </c>
    </row>
    <row r="72" spans="1:11" ht="16.5" x14ac:dyDescent="0.25">
      <c r="A72" s="74" t="s">
        <v>126</v>
      </c>
    </row>
    <row r="73" spans="1:11" ht="16.5" x14ac:dyDescent="0.25">
      <c r="A73" s="49" t="s">
        <v>103</v>
      </c>
    </row>
  </sheetData>
  <mergeCells count="10">
    <mergeCell ref="A69:K69"/>
    <mergeCell ref="G3:I3"/>
    <mergeCell ref="A42:F42"/>
    <mergeCell ref="A59:F59"/>
    <mergeCell ref="A60:F60"/>
    <mergeCell ref="A63:K63"/>
    <mergeCell ref="A64:K64"/>
    <mergeCell ref="A67:K67"/>
    <mergeCell ref="A65:K65"/>
    <mergeCell ref="A68:K68"/>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4345-45FD-4032-82C1-0500745C8211}">
  <dimension ref="A1:Q30"/>
  <sheetViews>
    <sheetView topLeftCell="A12" workbookViewId="0">
      <selection activeCell="L13" sqref="L13"/>
    </sheetView>
  </sheetViews>
  <sheetFormatPr defaultRowHeight="15" x14ac:dyDescent="0.25"/>
  <cols>
    <col min="3" max="3" width="12.28515625" customWidth="1"/>
    <col min="4" max="4" width="10.5703125" customWidth="1"/>
    <col min="5" max="5" width="12.28515625" customWidth="1"/>
    <col min="6" max="6" width="13.7109375" customWidth="1"/>
    <col min="7" max="7" width="10.140625" bestFit="1" customWidth="1"/>
    <col min="8" max="8" width="11.85546875" customWidth="1"/>
    <col min="9" max="9" width="11.7109375" customWidth="1"/>
  </cols>
  <sheetData>
    <row r="1" spans="1:17" ht="15.75" thickBot="1" x14ac:dyDescent="0.3">
      <c r="A1" t="s">
        <v>128</v>
      </c>
    </row>
    <row r="2" spans="1:17" ht="52.5" thickBot="1" x14ac:dyDescent="0.3">
      <c r="B2" s="13" t="s">
        <v>129</v>
      </c>
      <c r="C2" s="14" t="s">
        <v>130</v>
      </c>
      <c r="D2" s="14" t="s">
        <v>131</v>
      </c>
      <c r="E2" s="14" t="s">
        <v>132</v>
      </c>
      <c r="F2" s="14" t="s">
        <v>133</v>
      </c>
      <c r="G2" s="14" t="s">
        <v>134</v>
      </c>
      <c r="H2" s="14" t="s">
        <v>135</v>
      </c>
      <c r="I2" s="15" t="s">
        <v>136</v>
      </c>
      <c r="K2" s="16"/>
    </row>
    <row r="3" spans="1:17" ht="15.75" thickTop="1" x14ac:dyDescent="0.25">
      <c r="B3" s="17">
        <v>1</v>
      </c>
      <c r="C3" s="18">
        <f>'YR1'!G60</f>
        <v>710.2</v>
      </c>
      <c r="D3" s="18">
        <f>'YR1'!I60</f>
        <v>71.02000000000001</v>
      </c>
      <c r="E3" s="18">
        <f>'YR1'!H60</f>
        <v>35.510000000000005</v>
      </c>
      <c r="F3" s="18">
        <f>SUM(C3:E3)</f>
        <v>816.73</v>
      </c>
      <c r="G3" s="19">
        <f>'YR1'!K60</f>
        <v>115000</v>
      </c>
      <c r="H3" s="19">
        <f>'YR1'!L60</f>
        <v>306000</v>
      </c>
      <c r="I3" s="20">
        <f>+G3+H3</f>
        <v>421000</v>
      </c>
    </row>
    <row r="4" spans="1:17" x14ac:dyDescent="0.25">
      <c r="B4" s="21">
        <v>2</v>
      </c>
      <c r="C4" s="22">
        <f>'YR2'!G60</f>
        <v>710.2</v>
      </c>
      <c r="D4" s="22">
        <f>'YR2'!I60</f>
        <v>71.02000000000001</v>
      </c>
      <c r="E4" s="22">
        <f>'YR2'!H60</f>
        <v>35.510000000000005</v>
      </c>
      <c r="F4" s="22">
        <f>SUM(C4:E4)</f>
        <v>816.73</v>
      </c>
      <c r="G4" s="23">
        <f>'YR2'!K60</f>
        <v>115000</v>
      </c>
      <c r="H4" s="23">
        <f>'YR2'!L60</f>
        <v>306000</v>
      </c>
      <c r="I4" s="24">
        <f>+G4+H4</f>
        <v>421000</v>
      </c>
    </row>
    <row r="5" spans="1:17" ht="15.75" thickBot="1" x14ac:dyDescent="0.3">
      <c r="B5" s="25">
        <v>3</v>
      </c>
      <c r="C5" s="26">
        <f>'YR3'!G60</f>
        <v>710.2</v>
      </c>
      <c r="D5" s="26">
        <f>'YR3'!I60</f>
        <v>71.02000000000001</v>
      </c>
      <c r="E5" s="26">
        <f>'YR3'!H60</f>
        <v>35.510000000000005</v>
      </c>
      <c r="F5" s="26">
        <f>SUM(C5:E5)</f>
        <v>816.73</v>
      </c>
      <c r="G5" s="27">
        <f>'YR3'!K60</f>
        <v>115000</v>
      </c>
      <c r="H5" s="27">
        <f>'YR3'!L60</f>
        <v>306000</v>
      </c>
      <c r="I5" s="28">
        <f>+G5+H5</f>
        <v>421000</v>
      </c>
    </row>
    <row r="6" spans="1:17" ht="15.75" thickTop="1" x14ac:dyDescent="0.25">
      <c r="B6" s="17" t="s">
        <v>137</v>
      </c>
      <c r="C6" s="18">
        <f t="shared" ref="C6:E6" si="0">SUM(C3:C5)</f>
        <v>2130.6000000000004</v>
      </c>
      <c r="D6" s="18">
        <f t="shared" si="0"/>
        <v>213.06000000000003</v>
      </c>
      <c r="E6" s="18">
        <f t="shared" si="0"/>
        <v>106.53000000000002</v>
      </c>
      <c r="F6" s="18">
        <f>SUM(F3:F5)</f>
        <v>2450.19</v>
      </c>
      <c r="G6" s="19">
        <f>ROUND(SUM(G3:G5),-3)</f>
        <v>345000</v>
      </c>
      <c r="H6" s="19">
        <f>ROUND(SUM(H3:H5),-3)</f>
        <v>918000</v>
      </c>
      <c r="I6" s="20">
        <f>ROUND(SUM(I3:I5),-4)</f>
        <v>1260000</v>
      </c>
    </row>
    <row r="7" spans="1:17" ht="15.75" thickBot="1" x14ac:dyDescent="0.3">
      <c r="B7" s="29" t="s">
        <v>138</v>
      </c>
      <c r="C7" s="30">
        <f t="shared" ref="C7:E7" si="1">AVERAGE(C3:C5)</f>
        <v>710.20000000000016</v>
      </c>
      <c r="D7" s="30">
        <f t="shared" si="1"/>
        <v>71.02000000000001</v>
      </c>
      <c r="E7" s="30">
        <f t="shared" si="1"/>
        <v>35.510000000000005</v>
      </c>
      <c r="F7" s="30">
        <f>AVERAGE(F3:F5)</f>
        <v>816.73</v>
      </c>
      <c r="G7" s="31">
        <f>ROUND(AVERAGE(G3:G5),-3)</f>
        <v>115000</v>
      </c>
      <c r="H7" s="32">
        <f>ROUND(AVERAGE(H3:H5),-3)</f>
        <v>306000</v>
      </c>
      <c r="I7" s="33">
        <f>ROUND(AVERAGE(I3:I5),-3)</f>
        <v>421000</v>
      </c>
      <c r="L7" s="157"/>
      <c r="M7" s="6"/>
    </row>
    <row r="8" spans="1:17" ht="15.75" thickBot="1" x14ac:dyDescent="0.3">
      <c r="B8" s="34"/>
      <c r="C8" s="35"/>
      <c r="D8" s="35"/>
      <c r="E8" s="35"/>
      <c r="F8" s="35"/>
      <c r="G8" s="35"/>
      <c r="H8" s="35"/>
      <c r="I8" s="36"/>
      <c r="L8" s="134"/>
    </row>
    <row r="9" spans="1:17" ht="27" thickBot="1" x14ac:dyDescent="0.3">
      <c r="B9" s="13" t="s">
        <v>129</v>
      </c>
      <c r="C9" s="14" t="s">
        <v>2</v>
      </c>
      <c r="D9" s="14" t="s">
        <v>139</v>
      </c>
      <c r="E9" s="14" t="s">
        <v>140</v>
      </c>
      <c r="F9" s="14" t="s">
        <v>141</v>
      </c>
      <c r="G9" s="14" t="s">
        <v>142</v>
      </c>
      <c r="H9" s="37" t="s">
        <v>143</v>
      </c>
      <c r="I9" s="38" t="s">
        <v>144</v>
      </c>
    </row>
    <row r="10" spans="1:17" ht="15.75" thickTop="1" x14ac:dyDescent="0.25">
      <c r="B10" s="17">
        <v>1</v>
      </c>
      <c r="C10" s="18">
        <v>2</v>
      </c>
      <c r="D10" s="18">
        <f>Responses!$E$15</f>
        <v>2</v>
      </c>
      <c r="E10" s="18">
        <f>'YR1'!J42</f>
        <v>430.79</v>
      </c>
      <c r="F10" s="18">
        <f>'YR1'!J59</f>
        <v>385.94</v>
      </c>
      <c r="G10" s="18">
        <f>F10+E10</f>
        <v>816.73</v>
      </c>
      <c r="H10" s="39">
        <f>G10/D10</f>
        <v>408.36500000000001</v>
      </c>
      <c r="I10" s="40">
        <f>G10/C10</f>
        <v>408.36500000000001</v>
      </c>
    </row>
    <row r="11" spans="1:17" x14ac:dyDescent="0.25">
      <c r="B11" s="21">
        <v>2</v>
      </c>
      <c r="C11" s="41">
        <v>2</v>
      </c>
      <c r="D11" s="18">
        <f>Responses!$E$15</f>
        <v>2</v>
      </c>
      <c r="E11" s="41">
        <f>'YR2'!J42</f>
        <v>430.79</v>
      </c>
      <c r="F11" s="41">
        <f>'YR2'!J59</f>
        <v>385.94</v>
      </c>
      <c r="G11" s="18">
        <f>F11+E11</f>
        <v>816.73</v>
      </c>
      <c r="H11" s="39">
        <f>G11/D11</f>
        <v>408.36500000000001</v>
      </c>
      <c r="I11" s="40">
        <f>G11/C11</f>
        <v>408.36500000000001</v>
      </c>
      <c r="J11" s="6"/>
    </row>
    <row r="12" spans="1:17" ht="15.75" thickBot="1" x14ac:dyDescent="0.3">
      <c r="B12" s="25">
        <v>3</v>
      </c>
      <c r="C12" s="42">
        <v>2</v>
      </c>
      <c r="D12" s="42">
        <f>Responses!$E$15</f>
        <v>2</v>
      </c>
      <c r="E12" s="42">
        <f>'YR3'!J42</f>
        <v>430.79</v>
      </c>
      <c r="F12" s="42">
        <f>'YR3'!J59</f>
        <v>385.94</v>
      </c>
      <c r="G12" s="26">
        <f>F12+E12</f>
        <v>816.73</v>
      </c>
      <c r="H12" s="42">
        <f>G12/D12</f>
        <v>408.36500000000001</v>
      </c>
      <c r="I12" s="43">
        <f>G12/C12</f>
        <v>408.36500000000001</v>
      </c>
      <c r="Q12" s="69"/>
    </row>
    <row r="13" spans="1:17" ht="15.75" thickTop="1" x14ac:dyDescent="0.25">
      <c r="B13" s="17" t="s">
        <v>137</v>
      </c>
      <c r="C13" s="18">
        <v>2</v>
      </c>
      <c r="D13" s="18">
        <f t="shared" ref="D13:G13" si="2">SUM(D10:D12)</f>
        <v>6</v>
      </c>
      <c r="E13" s="18">
        <f t="shared" si="2"/>
        <v>1292.3700000000001</v>
      </c>
      <c r="F13" s="18">
        <f t="shared" si="2"/>
        <v>1157.82</v>
      </c>
      <c r="G13" s="18">
        <f t="shared" si="2"/>
        <v>2450.19</v>
      </c>
      <c r="H13" s="39">
        <f>G13/D13</f>
        <v>408.36500000000001</v>
      </c>
      <c r="I13" s="40">
        <f>G13/C13</f>
        <v>1225.095</v>
      </c>
    </row>
    <row r="14" spans="1:17" ht="15.75" thickBot="1" x14ac:dyDescent="0.3">
      <c r="B14" s="29" t="s">
        <v>138</v>
      </c>
      <c r="C14" s="30">
        <f>AVERAGE(C10:C12)</f>
        <v>2</v>
      </c>
      <c r="D14" s="30">
        <f t="shared" ref="D14:F14" si="3">AVERAGE(D10:D12)</f>
        <v>2</v>
      </c>
      <c r="E14" s="30">
        <f t="shared" si="3"/>
        <v>430.79</v>
      </c>
      <c r="F14" s="30">
        <f t="shared" si="3"/>
        <v>385.94</v>
      </c>
      <c r="G14" s="30">
        <f>AVERAGE(G10:G12)</f>
        <v>816.73</v>
      </c>
      <c r="H14" s="72">
        <f>AVERAGE(H10:H12)</f>
        <v>408.36500000000001</v>
      </c>
      <c r="I14" s="44">
        <f>G14/C14</f>
        <v>408.36500000000001</v>
      </c>
      <c r="O14" s="6"/>
    </row>
    <row r="17" spans="1:10" ht="15.75" thickBot="1" x14ac:dyDescent="0.3">
      <c r="A17" s="50" t="s">
        <v>145</v>
      </c>
    </row>
    <row r="18" spans="1:10" ht="52.5" thickBot="1" x14ac:dyDescent="0.3">
      <c r="B18" s="13" t="s">
        <v>129</v>
      </c>
      <c r="C18" s="14" t="s">
        <v>130</v>
      </c>
      <c r="D18" s="14" t="s">
        <v>131</v>
      </c>
      <c r="E18" s="14" t="s">
        <v>132</v>
      </c>
      <c r="F18" s="14" t="s">
        <v>133</v>
      </c>
      <c r="G18" s="14" t="s">
        <v>134</v>
      </c>
      <c r="H18" s="14" t="s">
        <v>135</v>
      </c>
      <c r="I18" s="15" t="s">
        <v>136</v>
      </c>
    </row>
    <row r="19" spans="1:10" ht="15.75" thickTop="1" x14ac:dyDescent="0.25">
      <c r="B19" s="17">
        <v>1</v>
      </c>
      <c r="C19" s="18">
        <f>'YR1'!G9</f>
        <v>0</v>
      </c>
      <c r="D19" s="18">
        <f>'YR1'!I9</f>
        <v>0</v>
      </c>
      <c r="E19" s="18">
        <f>'YR1'!H9</f>
        <v>0</v>
      </c>
      <c r="F19" s="18">
        <f>SUM(C19:E19)</f>
        <v>0</v>
      </c>
      <c r="G19" s="19">
        <f>'YR1'!K9</f>
        <v>0</v>
      </c>
      <c r="H19" s="19">
        <f>'YR1'!L9</f>
        <v>0</v>
      </c>
      <c r="I19" s="20">
        <f>+G19+H19</f>
        <v>0</v>
      </c>
      <c r="J19" s="6"/>
    </row>
    <row r="20" spans="1:10" x14ac:dyDescent="0.25">
      <c r="B20" s="21">
        <v>2</v>
      </c>
      <c r="C20" s="22">
        <f>'YR2'!G9</f>
        <v>0</v>
      </c>
      <c r="D20" s="22">
        <f>'YR2'!I9</f>
        <v>0</v>
      </c>
      <c r="E20" s="22">
        <f>'YR2'!H9</f>
        <v>0</v>
      </c>
      <c r="F20" s="22">
        <f>SUM(C20:E20)</f>
        <v>0</v>
      </c>
      <c r="G20" s="23">
        <f>'YR2'!K9</f>
        <v>0</v>
      </c>
      <c r="H20" s="23">
        <f>'YR2'!L9</f>
        <v>0</v>
      </c>
      <c r="I20" s="24">
        <f>+G20+H20</f>
        <v>0</v>
      </c>
    </row>
    <row r="21" spans="1:10" ht="15.75" thickBot="1" x14ac:dyDescent="0.3">
      <c r="B21" s="25">
        <v>3</v>
      </c>
      <c r="C21" s="26">
        <f>'YR3'!G9</f>
        <v>0</v>
      </c>
      <c r="D21" s="26">
        <f>'YR3'!I9</f>
        <v>0</v>
      </c>
      <c r="E21" s="26">
        <f>'YR3'!I9</f>
        <v>0</v>
      </c>
      <c r="F21" s="26">
        <f>SUM(C21:E21)</f>
        <v>0</v>
      </c>
      <c r="G21" s="27">
        <f>'YR3'!K76</f>
        <v>0</v>
      </c>
      <c r="H21" s="27">
        <f>'YR3'!K9</f>
        <v>0</v>
      </c>
      <c r="I21" s="28">
        <f>+G21+H21</f>
        <v>0</v>
      </c>
    </row>
    <row r="22" spans="1:10" ht="15.75" thickTop="1" x14ac:dyDescent="0.25">
      <c r="B22" s="17" t="s">
        <v>137</v>
      </c>
      <c r="C22" s="18">
        <f t="shared" ref="C22:E22" si="4">SUM(C19:C21)</f>
        <v>0</v>
      </c>
      <c r="D22" s="18">
        <f t="shared" si="4"/>
        <v>0</v>
      </c>
      <c r="E22" s="18">
        <f t="shared" si="4"/>
        <v>0</v>
      </c>
      <c r="F22" s="18">
        <f>SUM(F19:F21)</f>
        <v>0</v>
      </c>
      <c r="G22" s="19">
        <f t="shared" ref="G22:H22" si="5">SUM(G19:G21)</f>
        <v>0</v>
      </c>
      <c r="H22" s="19">
        <f t="shared" si="5"/>
        <v>0</v>
      </c>
      <c r="I22" s="20">
        <f>SUM(I19:I21)</f>
        <v>0</v>
      </c>
    </row>
    <row r="23" spans="1:10" ht="15.75" thickBot="1" x14ac:dyDescent="0.3">
      <c r="B23" s="29" t="s">
        <v>138</v>
      </c>
      <c r="C23" s="30">
        <f t="shared" ref="C23:E23" si="6">AVERAGE(C19:C21)</f>
        <v>0</v>
      </c>
      <c r="D23" s="30">
        <f t="shared" si="6"/>
        <v>0</v>
      </c>
      <c r="E23" s="30">
        <f t="shared" si="6"/>
        <v>0</v>
      </c>
      <c r="F23" s="30">
        <f>AVERAGE(F19:F21)</f>
        <v>0</v>
      </c>
      <c r="G23" s="31">
        <f t="shared" ref="G23:H23" si="7">AVERAGE(G19:G21)</f>
        <v>0</v>
      </c>
      <c r="H23" s="32">
        <f t="shared" si="7"/>
        <v>0</v>
      </c>
      <c r="I23" s="33">
        <f>AVERAGE(I19:I21)</f>
        <v>0</v>
      </c>
    </row>
    <row r="24" spans="1:10" s="139" customFormat="1" ht="15.75" thickBot="1" x14ac:dyDescent="0.3">
      <c r="B24" s="140"/>
      <c r="C24" s="141"/>
      <c r="D24" s="141"/>
      <c r="E24" s="141"/>
      <c r="F24" s="141"/>
      <c r="G24" s="141"/>
      <c r="H24" s="141"/>
      <c r="I24" s="142"/>
    </row>
    <row r="25" spans="1:10" s="139" customFormat="1" ht="27" thickBot="1" x14ac:dyDescent="0.3">
      <c r="B25" s="148" t="s">
        <v>129</v>
      </c>
      <c r="C25" s="37" t="s">
        <v>2</v>
      </c>
      <c r="D25" s="37" t="s">
        <v>139</v>
      </c>
      <c r="E25" s="37" t="s">
        <v>140</v>
      </c>
      <c r="F25" s="37" t="s">
        <v>141</v>
      </c>
      <c r="G25" s="37" t="s">
        <v>142</v>
      </c>
      <c r="H25" s="37" t="s">
        <v>143</v>
      </c>
      <c r="I25" s="38" t="s">
        <v>144</v>
      </c>
    </row>
    <row r="26" spans="1:10" s="139" customFormat="1" ht="15.75" thickTop="1" x14ac:dyDescent="0.25">
      <c r="B26" s="149">
        <v>1</v>
      </c>
      <c r="C26" s="39">
        <v>2</v>
      </c>
      <c r="D26" s="39">
        <f>Responses!$E$15</f>
        <v>2</v>
      </c>
      <c r="E26" s="39">
        <f>SUM('YR1'!H9:J9)</f>
        <v>0</v>
      </c>
      <c r="F26" s="39">
        <v>0</v>
      </c>
      <c r="G26" s="39">
        <f>F26+E26</f>
        <v>0</v>
      </c>
      <c r="H26" s="39">
        <f>G26/D26</f>
        <v>0</v>
      </c>
      <c r="I26" s="40">
        <f>G26/C26</f>
        <v>0</v>
      </c>
    </row>
    <row r="27" spans="1:10" s="139" customFormat="1" x14ac:dyDescent="0.25">
      <c r="B27" s="150">
        <v>2</v>
      </c>
      <c r="C27" s="41">
        <v>2</v>
      </c>
      <c r="D27" s="39">
        <f>Responses!$E$15</f>
        <v>2</v>
      </c>
      <c r="E27" s="41">
        <f>SUM('YR2'!G9:I9)</f>
        <v>0</v>
      </c>
      <c r="F27" s="41">
        <v>0</v>
      </c>
      <c r="G27" s="39">
        <f>F27+E27</f>
        <v>0</v>
      </c>
      <c r="H27" s="39">
        <v>0</v>
      </c>
      <c r="I27" s="40">
        <v>0</v>
      </c>
    </row>
    <row r="28" spans="1:10" s="139" customFormat="1" ht="15.75" thickBot="1" x14ac:dyDescent="0.3">
      <c r="B28" s="151">
        <v>3</v>
      </c>
      <c r="C28" s="42">
        <v>2</v>
      </c>
      <c r="D28" s="42">
        <f>Responses!$E$15</f>
        <v>2</v>
      </c>
      <c r="E28" s="42">
        <f>SUM('YR3'!G9:I9)</f>
        <v>0</v>
      </c>
      <c r="F28" s="42">
        <v>0</v>
      </c>
      <c r="G28" s="42">
        <f>F28+E28</f>
        <v>0</v>
      </c>
      <c r="H28" s="42">
        <v>0</v>
      </c>
      <c r="I28" s="43">
        <v>0</v>
      </c>
    </row>
    <row r="29" spans="1:10" s="139" customFormat="1" ht="15.75" thickTop="1" x14ac:dyDescent="0.25">
      <c r="B29" s="149" t="s">
        <v>137</v>
      </c>
      <c r="C29" s="39">
        <v>2</v>
      </c>
      <c r="D29" s="39">
        <f t="shared" ref="D29:G29" si="8">SUM(D26:D28)</f>
        <v>6</v>
      </c>
      <c r="E29" s="39">
        <f t="shared" si="8"/>
        <v>0</v>
      </c>
      <c r="F29" s="39">
        <f t="shared" si="8"/>
        <v>0</v>
      </c>
      <c r="G29" s="39">
        <f t="shared" si="8"/>
        <v>0</v>
      </c>
      <c r="H29" s="39">
        <f>G29/D29</f>
        <v>0</v>
      </c>
      <c r="I29" s="40">
        <f>G29/C29</f>
        <v>0</v>
      </c>
    </row>
    <row r="30" spans="1:10" s="139" customFormat="1" ht="15.75" thickBot="1" x14ac:dyDescent="0.3">
      <c r="B30" s="152" t="s">
        <v>138</v>
      </c>
      <c r="C30" s="72">
        <f>AVERAGE(C26:C28)</f>
        <v>2</v>
      </c>
      <c r="D30" s="72">
        <f t="shared" ref="D30:F30" si="9">AVERAGE(D26:D28)</f>
        <v>2</v>
      </c>
      <c r="E30" s="72">
        <f t="shared" si="9"/>
        <v>0</v>
      </c>
      <c r="F30" s="72">
        <f t="shared" si="9"/>
        <v>0</v>
      </c>
      <c r="G30" s="72">
        <f>AVERAGE(G26:G28)</f>
        <v>0</v>
      </c>
      <c r="H30" s="72">
        <f>AVERAGE(H26:H28)</f>
        <v>0</v>
      </c>
      <c r="I30" s="44">
        <f>G30/C30</f>
        <v>0</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9433D-F0BA-45A5-AD47-ED86A919FCC7}">
  <dimension ref="A1:J31"/>
  <sheetViews>
    <sheetView workbookViewId="0">
      <selection activeCell="L24" sqref="L24"/>
    </sheetView>
  </sheetViews>
  <sheetFormatPr defaultColWidth="9.140625" defaultRowHeight="15" x14ac:dyDescent="0.25"/>
  <cols>
    <col min="1" max="1" width="41.42578125" style="76" customWidth="1"/>
    <col min="2" max="8" width="12.140625" style="76" customWidth="1"/>
    <col min="9" max="9" width="15.28515625" style="76" customWidth="1"/>
    <col min="10" max="16384" width="9.140625" style="76"/>
  </cols>
  <sheetData>
    <row r="1" spans="1:10" ht="15.75" x14ac:dyDescent="0.25">
      <c r="A1" s="48" t="s">
        <v>146</v>
      </c>
    </row>
    <row r="2" spans="1:10" x14ac:dyDescent="0.25">
      <c r="F2" s="76">
        <v>57.07</v>
      </c>
      <c r="G2" s="76">
        <v>76.91</v>
      </c>
      <c r="H2" s="76">
        <v>30.88</v>
      </c>
      <c r="J2" s="76" t="s">
        <v>147</v>
      </c>
    </row>
    <row r="3" spans="1:10" x14ac:dyDescent="0.25">
      <c r="A3" s="174" t="s">
        <v>148</v>
      </c>
      <c r="B3" s="159" t="s">
        <v>149</v>
      </c>
      <c r="C3" s="159" t="s">
        <v>150</v>
      </c>
      <c r="D3" s="159" t="s">
        <v>151</v>
      </c>
      <c r="E3" s="159" t="s">
        <v>152</v>
      </c>
      <c r="F3" s="159" t="s">
        <v>153</v>
      </c>
      <c r="G3" s="159" t="s">
        <v>154</v>
      </c>
      <c r="H3" s="159" t="s">
        <v>155</v>
      </c>
      <c r="I3" s="159" t="s">
        <v>156</v>
      </c>
    </row>
    <row r="4" spans="1:10" ht="51" x14ac:dyDescent="0.25">
      <c r="A4" s="174"/>
      <c r="B4" s="159" t="s">
        <v>157</v>
      </c>
      <c r="C4" s="159" t="s">
        <v>158</v>
      </c>
      <c r="D4" s="159" t="s">
        <v>159</v>
      </c>
      <c r="E4" s="159" t="s">
        <v>160</v>
      </c>
      <c r="F4" s="159" t="s">
        <v>161</v>
      </c>
      <c r="G4" s="159" t="s">
        <v>162</v>
      </c>
      <c r="H4" s="159" t="s">
        <v>163</v>
      </c>
      <c r="I4" s="159" t="s">
        <v>164</v>
      </c>
    </row>
    <row r="5" spans="1:10" x14ac:dyDescent="0.25">
      <c r="A5" s="120" t="s">
        <v>31</v>
      </c>
      <c r="B5" s="70" t="s">
        <v>32</v>
      </c>
      <c r="C5" s="70"/>
      <c r="D5" s="70"/>
      <c r="E5" s="70"/>
      <c r="F5" s="70"/>
      <c r="G5" s="70"/>
      <c r="H5" s="70"/>
      <c r="I5" s="71"/>
    </row>
    <row r="6" spans="1:10" x14ac:dyDescent="0.25">
      <c r="A6" s="120" t="s">
        <v>165</v>
      </c>
      <c r="B6" s="70" t="s">
        <v>32</v>
      </c>
      <c r="C6" s="70"/>
      <c r="D6" s="70"/>
      <c r="E6" s="70"/>
      <c r="F6" s="70"/>
      <c r="G6" s="70"/>
      <c r="H6" s="70"/>
      <c r="I6" s="121"/>
    </row>
    <row r="7" spans="1:10" x14ac:dyDescent="0.25">
      <c r="A7" s="120" t="s">
        <v>166</v>
      </c>
      <c r="B7" s="70"/>
      <c r="C7" s="70"/>
      <c r="D7" s="70"/>
      <c r="E7" s="70"/>
      <c r="F7" s="70"/>
      <c r="G7" s="70"/>
      <c r="H7" s="70"/>
      <c r="I7" s="71"/>
    </row>
    <row r="8" spans="1:10" x14ac:dyDescent="0.25">
      <c r="A8" s="120" t="s">
        <v>167</v>
      </c>
      <c r="B8" s="70" t="s">
        <v>32</v>
      </c>
      <c r="C8" s="70"/>
      <c r="D8" s="70"/>
      <c r="E8" s="70"/>
      <c r="F8" s="70"/>
      <c r="G8" s="70"/>
      <c r="H8" s="70"/>
      <c r="I8" s="71"/>
    </row>
    <row r="9" spans="1:10" x14ac:dyDescent="0.25">
      <c r="A9" s="120" t="s">
        <v>168</v>
      </c>
      <c r="B9" s="70" t="s">
        <v>75</v>
      </c>
      <c r="C9" s="70"/>
      <c r="D9" s="70"/>
      <c r="E9" s="70"/>
      <c r="F9" s="70"/>
      <c r="G9" s="70"/>
      <c r="H9" s="70"/>
      <c r="I9" s="71"/>
    </row>
    <row r="10" spans="1:10" x14ac:dyDescent="0.25">
      <c r="A10" s="120" t="s">
        <v>169</v>
      </c>
      <c r="B10" s="70"/>
      <c r="C10" s="70"/>
      <c r="D10" s="70"/>
      <c r="E10" s="70"/>
      <c r="F10" s="70"/>
      <c r="G10" s="70"/>
      <c r="H10" s="70"/>
      <c r="I10" s="71"/>
    </row>
    <row r="11" spans="1:10" x14ac:dyDescent="0.25">
      <c r="A11" s="120" t="s">
        <v>170</v>
      </c>
      <c r="B11" s="136"/>
      <c r="C11" s="136"/>
      <c r="D11" s="136"/>
      <c r="E11" s="136"/>
      <c r="F11" s="136"/>
      <c r="G11" s="136"/>
      <c r="H11" s="136"/>
      <c r="I11" s="136"/>
    </row>
    <row r="12" spans="1:10" x14ac:dyDescent="0.25">
      <c r="A12" s="122" t="s">
        <v>171</v>
      </c>
      <c r="B12" s="70">
        <v>1</v>
      </c>
      <c r="C12" s="70">
        <v>1</v>
      </c>
      <c r="D12" s="70">
        <f t="shared" ref="D12:D14" si="0">B12*C12</f>
        <v>1</v>
      </c>
      <c r="E12" s="70">
        <v>0</v>
      </c>
      <c r="F12" s="70">
        <f>D12*E12</f>
        <v>0</v>
      </c>
      <c r="G12" s="70">
        <f t="shared" ref="G12:G14" si="1">F12*0.05</f>
        <v>0</v>
      </c>
      <c r="H12" s="70">
        <f t="shared" ref="H12:H14" si="2">F12*0.1</f>
        <v>0</v>
      </c>
      <c r="I12" s="121">
        <f t="shared" ref="I12:I14" si="3">F12*$F$2+G12*$G$2+H12*$H$2</f>
        <v>0</v>
      </c>
    </row>
    <row r="13" spans="1:10" x14ac:dyDescent="0.25">
      <c r="A13" s="122" t="s">
        <v>172</v>
      </c>
      <c r="B13" s="70">
        <v>0.5</v>
      </c>
      <c r="C13" s="70">
        <v>1</v>
      </c>
      <c r="D13" s="70">
        <f t="shared" si="0"/>
        <v>0.5</v>
      </c>
      <c r="E13" s="70">
        <v>0</v>
      </c>
      <c r="F13" s="70">
        <f t="shared" ref="F13:F14" si="4">D13*E13</f>
        <v>0</v>
      </c>
      <c r="G13" s="70">
        <f t="shared" si="1"/>
        <v>0</v>
      </c>
      <c r="H13" s="70">
        <f t="shared" si="2"/>
        <v>0</v>
      </c>
      <c r="I13" s="121">
        <f t="shared" si="3"/>
        <v>0</v>
      </c>
    </row>
    <row r="14" spans="1:10" ht="25.5" x14ac:dyDescent="0.25">
      <c r="A14" s="122" t="s">
        <v>173</v>
      </c>
      <c r="B14" s="70">
        <v>0.5</v>
      </c>
      <c r="C14" s="70">
        <v>1</v>
      </c>
      <c r="D14" s="70">
        <f t="shared" si="0"/>
        <v>0.5</v>
      </c>
      <c r="E14" s="70">
        <v>0</v>
      </c>
      <c r="F14" s="70">
        <f t="shared" si="4"/>
        <v>0</v>
      </c>
      <c r="G14" s="70">
        <f t="shared" si="1"/>
        <v>0</v>
      </c>
      <c r="H14" s="70">
        <f t="shared" si="2"/>
        <v>0</v>
      </c>
      <c r="I14" s="121">
        <f t="shared" si="3"/>
        <v>0</v>
      </c>
    </row>
    <row r="15" spans="1:10" ht="15.75" x14ac:dyDescent="0.25">
      <c r="A15" s="122" t="s">
        <v>174</v>
      </c>
      <c r="B15" s="70">
        <v>1.5</v>
      </c>
      <c r="C15" s="70">
        <v>1</v>
      </c>
      <c r="D15" s="70">
        <f>B15*C15</f>
        <v>1.5</v>
      </c>
      <c r="E15" s="70">
        <v>0</v>
      </c>
      <c r="F15" s="70">
        <f>D15*E15</f>
        <v>0</v>
      </c>
      <c r="G15" s="70">
        <f>F15*0.05</f>
        <v>0</v>
      </c>
      <c r="H15" s="70">
        <f>F15*0.1</f>
        <v>0</v>
      </c>
      <c r="I15" s="121">
        <f>F15*$F$2+G15*$G$2+H15*$H$2</f>
        <v>0</v>
      </c>
    </row>
    <row r="16" spans="1:10" x14ac:dyDescent="0.25">
      <c r="A16" s="120" t="s">
        <v>175</v>
      </c>
      <c r="B16" s="70"/>
      <c r="C16" s="70"/>
      <c r="D16" s="70"/>
      <c r="E16" s="70"/>
      <c r="F16" s="70"/>
      <c r="G16" s="70"/>
      <c r="H16" s="70"/>
      <c r="I16" s="121"/>
    </row>
    <row r="17" spans="1:9" ht="15.75" x14ac:dyDescent="0.25">
      <c r="A17" s="122" t="s">
        <v>119</v>
      </c>
      <c r="B17" s="70">
        <v>40</v>
      </c>
      <c r="C17" s="70">
        <v>1</v>
      </c>
      <c r="D17" s="70">
        <f t="shared" ref="D17:D24" si="5">B17*C17</f>
        <v>40</v>
      </c>
      <c r="E17" s="70">
        <v>0</v>
      </c>
      <c r="F17" s="70">
        <f t="shared" ref="F17:F24" si="6">D17*E17</f>
        <v>0</v>
      </c>
      <c r="G17" s="70">
        <f t="shared" ref="G17:G24" si="7">F17*0.05</f>
        <v>0</v>
      </c>
      <c r="H17" s="70">
        <f t="shared" ref="H17:H24" si="8">F17*0.1</f>
        <v>0</v>
      </c>
      <c r="I17" s="121">
        <f t="shared" ref="I17:I24" si="9">F17*$F$2+G17*$G$2+H17*$H$2</f>
        <v>0</v>
      </c>
    </row>
    <row r="18" spans="1:9" ht="15.75" x14ac:dyDescent="0.25">
      <c r="A18" s="122" t="s">
        <v>120</v>
      </c>
      <c r="B18" s="70">
        <v>10</v>
      </c>
      <c r="C18" s="70">
        <v>1</v>
      </c>
      <c r="D18" s="70">
        <f t="shared" si="5"/>
        <v>10</v>
      </c>
      <c r="E18" s="70">
        <v>0</v>
      </c>
      <c r="F18" s="70">
        <f t="shared" ref="F18" si="10">D18*E18</f>
        <v>0</v>
      </c>
      <c r="G18" s="70">
        <f t="shared" ref="G18" si="11">F18*0.05</f>
        <v>0</v>
      </c>
      <c r="H18" s="70">
        <f t="shared" ref="H18" si="12">F18*0.1</f>
        <v>0</v>
      </c>
      <c r="I18" s="121">
        <f t="shared" ref="I18" si="13">F18*$F$2+G18*$G$2+H18*$H$2</f>
        <v>0</v>
      </c>
    </row>
    <row r="19" spans="1:9" x14ac:dyDescent="0.25">
      <c r="A19" s="120" t="s">
        <v>176</v>
      </c>
      <c r="B19" s="70"/>
      <c r="C19" s="70"/>
      <c r="D19" s="70"/>
      <c r="E19" s="70"/>
      <c r="F19" s="70"/>
      <c r="G19" s="70"/>
      <c r="H19" s="70"/>
      <c r="I19" s="121"/>
    </row>
    <row r="20" spans="1:9" ht="25.5" x14ac:dyDescent="0.25">
      <c r="A20" s="122" t="s">
        <v>177</v>
      </c>
      <c r="B20" s="70">
        <v>40</v>
      </c>
      <c r="C20" s="70">
        <v>1</v>
      </c>
      <c r="D20" s="70">
        <f t="shared" si="5"/>
        <v>40</v>
      </c>
      <c r="E20" s="70">
        <f>'YR1'!F37</f>
        <v>2</v>
      </c>
      <c r="F20" s="70">
        <f t="shared" si="6"/>
        <v>80</v>
      </c>
      <c r="G20" s="70">
        <f t="shared" si="7"/>
        <v>4</v>
      </c>
      <c r="H20" s="70">
        <f t="shared" si="8"/>
        <v>8</v>
      </c>
      <c r="I20" s="123">
        <f>F20*$F$2+G20*$G$2+H20*$H$2</f>
        <v>5120.2800000000007</v>
      </c>
    </row>
    <row r="21" spans="1:9" ht="25.5" x14ac:dyDescent="0.25">
      <c r="A21" s="122" t="s">
        <v>178</v>
      </c>
      <c r="B21" s="70">
        <v>10</v>
      </c>
      <c r="C21" s="70">
        <v>1</v>
      </c>
      <c r="D21" s="70">
        <f t="shared" ref="D21" si="14">B21*C21</f>
        <v>10</v>
      </c>
      <c r="E21" s="70">
        <v>0</v>
      </c>
      <c r="F21" s="70">
        <f t="shared" si="6"/>
        <v>0</v>
      </c>
      <c r="G21" s="70">
        <f t="shared" si="7"/>
        <v>0</v>
      </c>
      <c r="H21" s="70">
        <f t="shared" si="8"/>
        <v>0</v>
      </c>
      <c r="I21" s="123">
        <f t="shared" ref="I21" si="15">F21*$F$2+G21*$G$2+H21*$H$2</f>
        <v>0</v>
      </c>
    </row>
    <row r="22" spans="1:9" x14ac:dyDescent="0.25">
      <c r="A22" s="122" t="s">
        <v>179</v>
      </c>
      <c r="B22" s="70">
        <v>10</v>
      </c>
      <c r="C22" s="70">
        <v>1</v>
      </c>
      <c r="D22" s="70">
        <f t="shared" si="5"/>
        <v>10</v>
      </c>
      <c r="E22" s="70">
        <v>0</v>
      </c>
      <c r="F22" s="70">
        <f t="shared" ref="F22" si="16">D22*E22</f>
        <v>0</v>
      </c>
      <c r="G22" s="70">
        <f t="shared" ref="G22" si="17">F22*0.05</f>
        <v>0</v>
      </c>
      <c r="H22" s="70">
        <f t="shared" ref="H22" si="18">F22*0.1</f>
        <v>0</v>
      </c>
      <c r="I22" s="123">
        <f t="shared" ref="I22" si="19">F22*$F$2+G22*$G$2+H22*$H$2</f>
        <v>0</v>
      </c>
    </row>
    <row r="23" spans="1:9" x14ac:dyDescent="0.25">
      <c r="A23" s="120" t="s">
        <v>180</v>
      </c>
      <c r="B23" s="70">
        <v>16</v>
      </c>
      <c r="C23" s="70">
        <v>2</v>
      </c>
      <c r="D23" s="70">
        <f t="shared" si="5"/>
        <v>32</v>
      </c>
      <c r="E23" s="70">
        <f>'YR1'!F40</f>
        <v>0.2</v>
      </c>
      <c r="F23" s="70">
        <f t="shared" si="6"/>
        <v>6.4</v>
      </c>
      <c r="G23" s="70">
        <f t="shared" si="7"/>
        <v>0.32000000000000006</v>
      </c>
      <c r="H23" s="70">
        <f t="shared" si="8"/>
        <v>0.64000000000000012</v>
      </c>
      <c r="I23" s="123">
        <f t="shared" si="9"/>
        <v>409.62240000000003</v>
      </c>
    </row>
    <row r="24" spans="1:9" ht="15.75" x14ac:dyDescent="0.25">
      <c r="A24" s="120" t="s">
        <v>181</v>
      </c>
      <c r="B24" s="70">
        <v>16</v>
      </c>
      <c r="C24" s="70">
        <v>1</v>
      </c>
      <c r="D24" s="70">
        <f t="shared" si="5"/>
        <v>16</v>
      </c>
      <c r="E24" s="70">
        <f>'YR1'!F26</f>
        <v>0</v>
      </c>
      <c r="F24" s="70">
        <f t="shared" si="6"/>
        <v>0</v>
      </c>
      <c r="G24" s="70">
        <f t="shared" si="7"/>
        <v>0</v>
      </c>
      <c r="H24" s="70">
        <f t="shared" si="8"/>
        <v>0</v>
      </c>
      <c r="I24" s="123">
        <f t="shared" si="9"/>
        <v>0</v>
      </c>
    </row>
    <row r="25" spans="1:9" ht="28.5" x14ac:dyDescent="0.25">
      <c r="A25" s="124" t="s">
        <v>182</v>
      </c>
      <c r="B25" s="70"/>
      <c r="C25" s="70"/>
      <c r="D25" s="70"/>
      <c r="E25" s="70"/>
      <c r="F25" s="125">
        <f>SUM(F5:F24)</f>
        <v>86.4</v>
      </c>
      <c r="G25" s="125">
        <f>SUM(G5:G24)</f>
        <v>4.32</v>
      </c>
      <c r="H25" s="125">
        <f>SUM(H5:H24)</f>
        <v>8.64</v>
      </c>
      <c r="I25" s="126">
        <f>ROUND(SUM(I6:I24),-1)</f>
        <v>5530</v>
      </c>
    </row>
    <row r="27" spans="1:9" x14ac:dyDescent="0.25">
      <c r="A27" s="127" t="s">
        <v>92</v>
      </c>
    </row>
    <row r="28" spans="1:9" ht="18.75" x14ac:dyDescent="0.25">
      <c r="A28" s="175" t="s">
        <v>183</v>
      </c>
      <c r="B28" s="175"/>
      <c r="C28" s="175"/>
      <c r="D28" s="175"/>
      <c r="E28" s="175"/>
      <c r="F28" s="175"/>
      <c r="G28" s="175"/>
      <c r="H28" s="175"/>
      <c r="I28" s="175"/>
    </row>
    <row r="29" spans="1:9" ht="18.75" x14ac:dyDescent="0.25">
      <c r="A29" s="175" t="s">
        <v>184</v>
      </c>
      <c r="B29" s="175"/>
      <c r="C29" s="175"/>
      <c r="D29" s="175"/>
      <c r="E29" s="175"/>
      <c r="F29" s="175"/>
      <c r="G29" s="175"/>
      <c r="H29" s="175"/>
      <c r="I29" s="175"/>
    </row>
    <row r="30" spans="1:9" ht="18.75" x14ac:dyDescent="0.25">
      <c r="A30" s="176" t="s">
        <v>185</v>
      </c>
      <c r="B30" s="176"/>
      <c r="C30" s="176"/>
      <c r="D30" s="176"/>
      <c r="E30" s="176"/>
      <c r="F30" s="176"/>
      <c r="G30" s="176"/>
      <c r="H30" s="176"/>
      <c r="I30" s="176"/>
    </row>
    <row r="31" spans="1:9" ht="18.75" x14ac:dyDescent="0.25">
      <c r="A31" s="75" t="s">
        <v>186</v>
      </c>
    </row>
  </sheetData>
  <mergeCells count="4">
    <mergeCell ref="A3:A4"/>
    <mergeCell ref="A28:I28"/>
    <mergeCell ref="A29:I29"/>
    <mergeCell ref="A30:I30"/>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C27C-FB78-4C17-BB07-01A03664B58A}">
  <dimension ref="A1:J34"/>
  <sheetViews>
    <sheetView topLeftCell="A10" workbookViewId="0">
      <selection activeCell="I38" sqref="I38"/>
    </sheetView>
  </sheetViews>
  <sheetFormatPr defaultColWidth="9.140625" defaultRowHeight="15" x14ac:dyDescent="0.25"/>
  <cols>
    <col min="1" max="1" width="41.42578125" style="45" customWidth="1"/>
    <col min="2" max="8" width="12.140625" style="45" customWidth="1"/>
    <col min="9" max="9" width="15.28515625" style="45" customWidth="1"/>
    <col min="10" max="16384" width="9.140625" style="45"/>
  </cols>
  <sheetData>
    <row r="1" spans="1:10" ht="15.75" x14ac:dyDescent="0.25">
      <c r="A1" s="8" t="s">
        <v>187</v>
      </c>
    </row>
    <row r="2" spans="1:10" x14ac:dyDescent="0.25">
      <c r="F2" s="45">
        <v>57.07</v>
      </c>
      <c r="G2" s="45">
        <v>76.91</v>
      </c>
      <c r="H2" s="45">
        <v>30.88</v>
      </c>
      <c r="J2" s="45" t="s">
        <v>147</v>
      </c>
    </row>
    <row r="3" spans="1:10" x14ac:dyDescent="0.25">
      <c r="A3" s="177" t="s">
        <v>148</v>
      </c>
      <c r="B3" s="160" t="s">
        <v>149</v>
      </c>
      <c r="C3" s="160" t="s">
        <v>150</v>
      </c>
      <c r="D3" s="160" t="s">
        <v>151</v>
      </c>
      <c r="E3" s="160" t="s">
        <v>152</v>
      </c>
      <c r="F3" s="160" t="s">
        <v>153</v>
      </c>
      <c r="G3" s="160" t="s">
        <v>154</v>
      </c>
      <c r="H3" s="160" t="s">
        <v>155</v>
      </c>
      <c r="I3" s="160" t="s">
        <v>156</v>
      </c>
    </row>
    <row r="4" spans="1:10" ht="51" x14ac:dyDescent="0.25">
      <c r="A4" s="177"/>
      <c r="B4" s="160" t="s">
        <v>157</v>
      </c>
      <c r="C4" s="160" t="s">
        <v>158</v>
      </c>
      <c r="D4" s="160" t="s">
        <v>159</v>
      </c>
      <c r="E4" s="160" t="s">
        <v>188</v>
      </c>
      <c r="F4" s="160" t="s">
        <v>161</v>
      </c>
      <c r="G4" s="160" t="s">
        <v>162</v>
      </c>
      <c r="H4" s="160" t="s">
        <v>163</v>
      </c>
      <c r="I4" s="160" t="s">
        <v>189</v>
      </c>
    </row>
    <row r="5" spans="1:10" x14ac:dyDescent="0.25">
      <c r="A5" s="2" t="s">
        <v>31</v>
      </c>
      <c r="B5" s="1" t="s">
        <v>32</v>
      </c>
      <c r="C5" s="1"/>
      <c r="D5" s="1"/>
      <c r="E5" s="1"/>
      <c r="F5" s="1"/>
      <c r="G5" s="1"/>
      <c r="H5" s="1"/>
      <c r="I5" s="46"/>
    </row>
    <row r="6" spans="1:10" x14ac:dyDescent="0.25">
      <c r="A6" s="2" t="s">
        <v>165</v>
      </c>
      <c r="B6" s="1" t="s">
        <v>32</v>
      </c>
      <c r="C6" s="1"/>
      <c r="D6" s="1"/>
      <c r="E6" s="1"/>
      <c r="F6" s="1"/>
      <c r="G6" s="1"/>
      <c r="H6" s="1"/>
      <c r="I6" s="47"/>
    </row>
    <row r="7" spans="1:10" x14ac:dyDescent="0.25">
      <c r="A7" s="2" t="s">
        <v>166</v>
      </c>
      <c r="B7" s="1"/>
      <c r="C7" s="1"/>
      <c r="D7" s="1"/>
      <c r="E7" s="1"/>
      <c r="F7" s="1"/>
      <c r="G7" s="1"/>
      <c r="H7" s="1"/>
      <c r="I7" s="46"/>
    </row>
    <row r="8" spans="1:10" x14ac:dyDescent="0.25">
      <c r="A8" s="2" t="s">
        <v>167</v>
      </c>
      <c r="B8" s="1" t="s">
        <v>32</v>
      </c>
      <c r="C8" s="1"/>
      <c r="D8" s="1"/>
      <c r="E8" s="1"/>
      <c r="F8" s="1"/>
      <c r="G8" s="1"/>
      <c r="H8" s="1"/>
      <c r="I8" s="46"/>
    </row>
    <row r="9" spans="1:10" x14ac:dyDescent="0.25">
      <c r="A9" s="2" t="s">
        <v>168</v>
      </c>
      <c r="B9" s="1" t="s">
        <v>75</v>
      </c>
      <c r="C9" s="1"/>
      <c r="D9" s="1"/>
      <c r="E9" s="1"/>
      <c r="F9" s="1"/>
      <c r="G9" s="1"/>
      <c r="H9" s="1"/>
      <c r="I9" s="46"/>
    </row>
    <row r="10" spans="1:10" x14ac:dyDescent="0.25">
      <c r="A10" s="2" t="s">
        <v>169</v>
      </c>
      <c r="B10" s="1"/>
      <c r="C10" s="1"/>
      <c r="D10" s="1"/>
      <c r="E10" s="1"/>
      <c r="F10" s="1"/>
      <c r="G10" s="1"/>
      <c r="H10" s="1"/>
      <c r="I10" s="46"/>
    </row>
    <row r="11" spans="1:10" x14ac:dyDescent="0.25">
      <c r="A11" s="120" t="s">
        <v>170</v>
      </c>
      <c r="B11" s="136"/>
      <c r="C11" s="136"/>
      <c r="D11" s="136"/>
      <c r="E11" s="136"/>
      <c r="F11" s="130"/>
      <c r="G11" s="130"/>
      <c r="H11" s="130"/>
      <c r="I11" s="130"/>
    </row>
    <row r="12" spans="1:10" x14ac:dyDescent="0.25">
      <c r="A12" s="122" t="s">
        <v>171</v>
      </c>
      <c r="B12" s="70">
        <v>1</v>
      </c>
      <c r="C12" s="70">
        <v>1</v>
      </c>
      <c r="D12" s="70">
        <f t="shared" ref="D12:D14" si="0">B12*C12</f>
        <v>1</v>
      </c>
      <c r="E12" s="70">
        <v>0</v>
      </c>
      <c r="F12" s="70">
        <f>D12*E12</f>
        <v>0</v>
      </c>
      <c r="G12" s="70">
        <f t="shared" ref="G12:G15" si="1">F12*0.05</f>
        <v>0</v>
      </c>
      <c r="H12" s="70">
        <f t="shared" ref="H12" si="2">F12*0.1</f>
        <v>0</v>
      </c>
      <c r="I12" s="121">
        <f t="shared" ref="I12" si="3">F12*$F$2+G12*$G$2+H12*$H$2</f>
        <v>0</v>
      </c>
    </row>
    <row r="13" spans="1:10" x14ac:dyDescent="0.25">
      <c r="A13" s="122" t="s">
        <v>172</v>
      </c>
      <c r="B13" s="70">
        <v>0.5</v>
      </c>
      <c r="C13" s="70">
        <v>1</v>
      </c>
      <c r="D13" s="70">
        <f t="shared" si="0"/>
        <v>0.5</v>
      </c>
      <c r="E13" s="70">
        <v>0</v>
      </c>
      <c r="F13" s="70">
        <f t="shared" ref="F13:F14" si="4">D13*E13</f>
        <v>0</v>
      </c>
      <c r="G13" s="70">
        <f t="shared" si="1"/>
        <v>0</v>
      </c>
      <c r="H13" s="70">
        <f t="shared" ref="H13:H15" si="5">F13*0.1</f>
        <v>0</v>
      </c>
      <c r="I13" s="121">
        <f t="shared" ref="I13:I14" si="6">F13*$F$2+G13*$G$2+H13*$H$2</f>
        <v>0</v>
      </c>
    </row>
    <row r="14" spans="1:10" ht="25.5" x14ac:dyDescent="0.25">
      <c r="A14" s="122" t="s">
        <v>173</v>
      </c>
      <c r="B14" s="70">
        <v>0.5</v>
      </c>
      <c r="C14" s="70">
        <v>1</v>
      </c>
      <c r="D14" s="70">
        <f t="shared" si="0"/>
        <v>0.5</v>
      </c>
      <c r="E14" s="70">
        <v>0</v>
      </c>
      <c r="F14" s="70">
        <f t="shared" si="4"/>
        <v>0</v>
      </c>
      <c r="G14" s="70">
        <f t="shared" si="1"/>
        <v>0</v>
      </c>
      <c r="H14" s="70">
        <f t="shared" si="5"/>
        <v>0</v>
      </c>
      <c r="I14" s="121">
        <f t="shared" si="6"/>
        <v>0</v>
      </c>
    </row>
    <row r="15" spans="1:10" ht="15.75" x14ac:dyDescent="0.25">
      <c r="A15" s="122" t="s">
        <v>174</v>
      </c>
      <c r="B15" s="70">
        <v>1.5</v>
      </c>
      <c r="C15" s="70">
        <v>1</v>
      </c>
      <c r="D15" s="70">
        <f>B15*C15</f>
        <v>1.5</v>
      </c>
      <c r="E15" s="70">
        <v>0</v>
      </c>
      <c r="F15" s="70">
        <f>D15*E15</f>
        <v>0</v>
      </c>
      <c r="G15" s="70">
        <f t="shared" si="1"/>
        <v>0</v>
      </c>
      <c r="H15" s="70">
        <f t="shared" si="5"/>
        <v>0</v>
      </c>
      <c r="I15" s="121">
        <f>F15*$F$2+G15*$G$2+H15*$H$2</f>
        <v>0</v>
      </c>
    </row>
    <row r="16" spans="1:10" x14ac:dyDescent="0.25">
      <c r="A16" s="2" t="s">
        <v>175</v>
      </c>
      <c r="B16" s="1"/>
      <c r="C16" s="1"/>
      <c r="D16" s="1"/>
      <c r="E16" s="1"/>
      <c r="F16" s="1"/>
      <c r="G16" s="1"/>
      <c r="H16" s="1"/>
      <c r="I16" s="47"/>
    </row>
    <row r="17" spans="1:9" ht="15.75" x14ac:dyDescent="0.25">
      <c r="A17" s="4" t="s">
        <v>64</v>
      </c>
      <c r="B17" s="1">
        <v>40</v>
      </c>
      <c r="C17" s="1">
        <v>1</v>
      </c>
      <c r="D17" s="1">
        <f t="shared" ref="D17:D24" si="7">B17*C17</f>
        <v>40</v>
      </c>
      <c r="E17" s="1">
        <v>0</v>
      </c>
      <c r="F17" s="1">
        <f t="shared" ref="F17:F24" si="8">D17*E17</f>
        <v>0</v>
      </c>
      <c r="G17" s="1">
        <f t="shared" ref="G17:G24" si="9">F17*0.05</f>
        <v>0</v>
      </c>
      <c r="H17" s="1">
        <f t="shared" ref="H17:H24" si="10">F17*0.1</f>
        <v>0</v>
      </c>
      <c r="I17" s="47">
        <f t="shared" ref="I17:I24" si="11">F17*$F$2+G17*$G$2+H17*$H$2</f>
        <v>0</v>
      </c>
    </row>
    <row r="18" spans="1:9" ht="15.75" x14ac:dyDescent="0.25">
      <c r="A18" s="4" t="s">
        <v>65</v>
      </c>
      <c r="B18" s="1">
        <v>10</v>
      </c>
      <c r="C18" s="1">
        <v>1</v>
      </c>
      <c r="D18" s="1">
        <f t="shared" si="7"/>
        <v>10</v>
      </c>
      <c r="E18" s="1">
        <v>0</v>
      </c>
      <c r="F18" s="1">
        <f t="shared" ref="F18" si="12">D18*E18</f>
        <v>0</v>
      </c>
      <c r="G18" s="1">
        <f t="shared" ref="G18" si="13">F18*0.05</f>
        <v>0</v>
      </c>
      <c r="H18" s="1">
        <f t="shared" ref="H18" si="14">F18*0.1</f>
        <v>0</v>
      </c>
      <c r="I18" s="47">
        <f t="shared" ref="I18" si="15">F18*$F$2+G18*$G$2+H18*$H$2</f>
        <v>0</v>
      </c>
    </row>
    <row r="19" spans="1:9" x14ac:dyDescent="0.25">
      <c r="A19" s="2" t="s">
        <v>176</v>
      </c>
      <c r="B19" s="1"/>
      <c r="C19" s="1"/>
      <c r="D19" s="1"/>
      <c r="E19" s="1"/>
      <c r="F19" s="1"/>
      <c r="G19" s="1"/>
      <c r="H19" s="1"/>
      <c r="I19" s="47"/>
    </row>
    <row r="20" spans="1:9" ht="25.5" x14ac:dyDescent="0.25">
      <c r="A20" s="122" t="s">
        <v>177</v>
      </c>
      <c r="B20" s="70">
        <v>40</v>
      </c>
      <c r="C20" s="70">
        <v>1</v>
      </c>
      <c r="D20" s="70">
        <f t="shared" ref="D20:D22" si="16">B20*C20</f>
        <v>40</v>
      </c>
      <c r="E20" s="70">
        <f>'YR1'!F37</f>
        <v>2</v>
      </c>
      <c r="F20" s="1">
        <f t="shared" si="8"/>
        <v>80</v>
      </c>
      <c r="G20" s="1">
        <f t="shared" si="9"/>
        <v>4</v>
      </c>
      <c r="H20" s="1">
        <f t="shared" si="10"/>
        <v>8</v>
      </c>
      <c r="I20" s="77">
        <f t="shared" si="11"/>
        <v>5120.2800000000007</v>
      </c>
    </row>
    <row r="21" spans="1:9" ht="25.5" x14ac:dyDescent="0.25">
      <c r="A21" s="122" t="s">
        <v>178</v>
      </c>
      <c r="B21" s="70">
        <v>10</v>
      </c>
      <c r="C21" s="70">
        <v>1</v>
      </c>
      <c r="D21" s="70">
        <f t="shared" si="16"/>
        <v>10</v>
      </c>
      <c r="E21" s="70">
        <v>0</v>
      </c>
      <c r="F21" s="1">
        <f t="shared" ref="F21" si="17">D21*E21</f>
        <v>0</v>
      </c>
      <c r="G21" s="1">
        <f t="shared" ref="G21" si="18">F21*0.05</f>
        <v>0</v>
      </c>
      <c r="H21" s="1">
        <f t="shared" ref="H21" si="19">F21*0.1</f>
        <v>0</v>
      </c>
      <c r="I21" s="77">
        <f t="shared" ref="I21" si="20">F21*$F$2+G21*$G$2+H21*$H$2</f>
        <v>0</v>
      </c>
    </row>
    <row r="22" spans="1:9" x14ac:dyDescent="0.25">
      <c r="A22" s="122" t="s">
        <v>179</v>
      </c>
      <c r="B22" s="70">
        <v>10</v>
      </c>
      <c r="C22" s="70">
        <v>1</v>
      </c>
      <c r="D22" s="70">
        <f t="shared" si="16"/>
        <v>10</v>
      </c>
      <c r="E22" s="70">
        <v>0</v>
      </c>
      <c r="F22" s="1">
        <f t="shared" ref="F22" si="21">D22*E22</f>
        <v>0</v>
      </c>
      <c r="G22" s="1">
        <f t="shared" ref="G22" si="22">F22*0.05</f>
        <v>0</v>
      </c>
      <c r="H22" s="1">
        <f t="shared" ref="H22" si="23">F22*0.1</f>
        <v>0</v>
      </c>
      <c r="I22" s="77">
        <f t="shared" ref="I22" si="24">F22*$F$2+G22*$G$2+H22*$H$2</f>
        <v>0</v>
      </c>
    </row>
    <row r="23" spans="1:9" x14ac:dyDescent="0.25">
      <c r="A23" s="2" t="s">
        <v>180</v>
      </c>
      <c r="B23" s="1">
        <v>16</v>
      </c>
      <c r="C23" s="1">
        <v>2</v>
      </c>
      <c r="D23" s="1">
        <f t="shared" si="7"/>
        <v>32</v>
      </c>
      <c r="E23" s="1">
        <f>'YR2'!F40</f>
        <v>0.2</v>
      </c>
      <c r="F23" s="1">
        <f t="shared" si="8"/>
        <v>6.4</v>
      </c>
      <c r="G23" s="1">
        <f t="shared" si="9"/>
        <v>0.32000000000000006</v>
      </c>
      <c r="H23" s="1">
        <f t="shared" si="10"/>
        <v>0.64000000000000012</v>
      </c>
      <c r="I23" s="77">
        <f t="shared" si="11"/>
        <v>409.62240000000003</v>
      </c>
    </row>
    <row r="24" spans="1:9" ht="15.75" x14ac:dyDescent="0.25">
      <c r="A24" s="2" t="s">
        <v>190</v>
      </c>
      <c r="B24" s="1">
        <v>16</v>
      </c>
      <c r="C24" s="1">
        <v>1</v>
      </c>
      <c r="D24" s="1">
        <f t="shared" si="7"/>
        <v>16</v>
      </c>
      <c r="E24" s="1">
        <v>0</v>
      </c>
      <c r="F24" s="1">
        <f t="shared" si="8"/>
        <v>0</v>
      </c>
      <c r="G24" s="1">
        <f t="shared" si="9"/>
        <v>0</v>
      </c>
      <c r="H24" s="1">
        <f t="shared" si="10"/>
        <v>0</v>
      </c>
      <c r="I24" s="77">
        <f t="shared" si="11"/>
        <v>0</v>
      </c>
    </row>
    <row r="25" spans="1:9" ht="28.5" x14ac:dyDescent="0.25">
      <c r="A25" s="124" t="s">
        <v>182</v>
      </c>
      <c r="B25" s="70"/>
      <c r="C25" s="70"/>
      <c r="D25" s="70"/>
      <c r="E25" s="70"/>
      <c r="F25" s="125">
        <f>SUM(F6:F24)</f>
        <v>86.4</v>
      </c>
      <c r="G25" s="125">
        <f>SUM(G6:G24)</f>
        <v>4.32</v>
      </c>
      <c r="H25" s="125">
        <f>SUM(H6:H24)</f>
        <v>8.64</v>
      </c>
      <c r="I25" s="126">
        <f>ROUND(SUM(I7:I24),-1)</f>
        <v>5530</v>
      </c>
    </row>
    <row r="26" spans="1:9" x14ac:dyDescent="0.25">
      <c r="A26" s="76"/>
      <c r="B26" s="76"/>
      <c r="C26" s="76"/>
      <c r="D26" s="76"/>
      <c r="E26" s="76"/>
      <c r="F26" s="76"/>
      <c r="G26" s="76"/>
      <c r="H26" s="76"/>
      <c r="I26" s="76"/>
    </row>
    <row r="27" spans="1:9" x14ac:dyDescent="0.25">
      <c r="A27" s="127" t="s">
        <v>92</v>
      </c>
      <c r="B27" s="76"/>
      <c r="C27" s="76"/>
      <c r="D27" s="76"/>
      <c r="E27" s="76"/>
      <c r="F27" s="76"/>
      <c r="G27" s="76"/>
      <c r="H27" s="76"/>
      <c r="I27" s="76"/>
    </row>
    <row r="28" spans="1:9" ht="46.5" customHeight="1" x14ac:dyDescent="0.25">
      <c r="A28" s="175" t="s">
        <v>183</v>
      </c>
      <c r="B28" s="175"/>
      <c r="C28" s="175"/>
      <c r="D28" s="175"/>
      <c r="E28" s="175"/>
      <c r="F28" s="175"/>
      <c r="G28" s="175"/>
      <c r="H28" s="175"/>
      <c r="I28" s="175"/>
    </row>
    <row r="29" spans="1:9" ht="18.75" customHeight="1" x14ac:dyDescent="0.25">
      <c r="A29" s="175" t="s">
        <v>184</v>
      </c>
      <c r="B29" s="175"/>
      <c r="C29" s="175"/>
      <c r="D29" s="175"/>
      <c r="E29" s="175"/>
      <c r="F29" s="175"/>
      <c r="G29" s="175"/>
      <c r="H29" s="175"/>
      <c r="I29" s="175"/>
    </row>
    <row r="30" spans="1:9" ht="18.75" x14ac:dyDescent="0.25">
      <c r="A30" s="176" t="s">
        <v>185</v>
      </c>
      <c r="B30" s="176"/>
      <c r="C30" s="176"/>
      <c r="D30" s="176"/>
      <c r="E30" s="176"/>
      <c r="F30" s="176"/>
      <c r="G30" s="176"/>
      <c r="H30" s="176"/>
      <c r="I30" s="176"/>
    </row>
    <row r="31" spans="1:9" s="76" customFormat="1" ht="18.75" x14ac:dyDescent="0.25">
      <c r="A31" s="75" t="s">
        <v>186</v>
      </c>
    </row>
    <row r="32" spans="1:9" x14ac:dyDescent="0.25">
      <c r="A32" s="76"/>
      <c r="B32" s="76"/>
      <c r="C32" s="76"/>
      <c r="D32" s="76"/>
      <c r="E32" s="76"/>
      <c r="F32" s="76"/>
      <c r="G32" s="76"/>
      <c r="H32" s="76"/>
      <c r="I32" s="76"/>
    </row>
    <row r="33" spans="1:9" x14ac:dyDescent="0.25">
      <c r="A33" s="49"/>
      <c r="B33" s="76"/>
      <c r="C33" s="76"/>
      <c r="D33" s="76"/>
      <c r="E33" s="76"/>
      <c r="F33" s="76"/>
      <c r="G33" s="76"/>
      <c r="H33" s="76"/>
      <c r="I33" s="76"/>
    </row>
    <row r="34" spans="1:9" x14ac:dyDescent="0.25">
      <c r="A34" s="49"/>
      <c r="B34" s="76"/>
      <c r="C34" s="76"/>
      <c r="D34" s="76"/>
      <c r="E34" s="76"/>
      <c r="F34" s="76"/>
      <c r="G34" s="76"/>
      <c r="H34" s="76"/>
      <c r="I34" s="76"/>
    </row>
  </sheetData>
  <mergeCells count="4">
    <mergeCell ref="A3:A4"/>
    <mergeCell ref="A28:I28"/>
    <mergeCell ref="A29:I29"/>
    <mergeCell ref="A30:I30"/>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340F-E60B-400A-AFBA-634B61BCF981}">
  <dimension ref="A1:J32"/>
  <sheetViews>
    <sheetView topLeftCell="A15" workbookViewId="0">
      <selection activeCell="J34" sqref="J34"/>
    </sheetView>
  </sheetViews>
  <sheetFormatPr defaultColWidth="9.140625" defaultRowHeight="15" x14ac:dyDescent="0.25"/>
  <cols>
    <col min="1" max="1" width="41.42578125" style="45" customWidth="1"/>
    <col min="2" max="8" width="12.140625" style="45" customWidth="1"/>
    <col min="9" max="9" width="15.28515625" style="45" customWidth="1"/>
    <col min="10" max="16384" width="9.140625" style="45"/>
  </cols>
  <sheetData>
    <row r="1" spans="1:10" ht="15.75" x14ac:dyDescent="0.25">
      <c r="A1" s="8" t="s">
        <v>191</v>
      </c>
    </row>
    <row r="2" spans="1:10" x14ac:dyDescent="0.25">
      <c r="F2" s="45">
        <v>57.07</v>
      </c>
      <c r="G2" s="45">
        <v>76.91</v>
      </c>
      <c r="H2" s="45">
        <v>30.88</v>
      </c>
      <c r="J2" s="45" t="s">
        <v>147</v>
      </c>
    </row>
    <row r="3" spans="1:10" x14ac:dyDescent="0.25">
      <c r="A3" s="177" t="s">
        <v>148</v>
      </c>
      <c r="B3" s="160" t="s">
        <v>149</v>
      </c>
      <c r="C3" s="160" t="s">
        <v>150</v>
      </c>
      <c r="D3" s="160" t="s">
        <v>151</v>
      </c>
      <c r="E3" s="160" t="s">
        <v>152</v>
      </c>
      <c r="F3" s="160" t="s">
        <v>153</v>
      </c>
      <c r="G3" s="160" t="s">
        <v>154</v>
      </c>
      <c r="H3" s="160" t="s">
        <v>155</v>
      </c>
      <c r="I3" s="160" t="s">
        <v>156</v>
      </c>
    </row>
    <row r="4" spans="1:10" ht="51" x14ac:dyDescent="0.25">
      <c r="A4" s="177"/>
      <c r="B4" s="160" t="s">
        <v>157</v>
      </c>
      <c r="C4" s="160" t="s">
        <v>158</v>
      </c>
      <c r="D4" s="160" t="s">
        <v>159</v>
      </c>
      <c r="E4" s="160" t="s">
        <v>188</v>
      </c>
      <c r="F4" s="160" t="s">
        <v>161</v>
      </c>
      <c r="G4" s="160" t="s">
        <v>162</v>
      </c>
      <c r="H4" s="160" t="s">
        <v>163</v>
      </c>
      <c r="I4" s="160" t="s">
        <v>189</v>
      </c>
    </row>
    <row r="5" spans="1:10" x14ac:dyDescent="0.25">
      <c r="A5" s="2" t="s">
        <v>31</v>
      </c>
      <c r="B5" s="1" t="s">
        <v>32</v>
      </c>
      <c r="C5" s="1"/>
      <c r="D5" s="1"/>
      <c r="E5" s="1"/>
      <c r="F5" s="1"/>
      <c r="G5" s="1"/>
      <c r="H5" s="1"/>
      <c r="I5" s="46"/>
    </row>
    <row r="6" spans="1:10" x14ac:dyDescent="0.25">
      <c r="A6" s="2" t="s">
        <v>165</v>
      </c>
      <c r="B6" s="1" t="s">
        <v>32</v>
      </c>
      <c r="C6" s="1"/>
      <c r="D6" s="1"/>
      <c r="E6" s="1"/>
      <c r="F6" s="1"/>
      <c r="G6" s="1"/>
      <c r="H6" s="1"/>
      <c r="I6" s="47"/>
    </row>
    <row r="7" spans="1:10" x14ac:dyDescent="0.25">
      <c r="A7" s="2" t="s">
        <v>166</v>
      </c>
      <c r="B7" s="1"/>
      <c r="C7" s="1"/>
      <c r="D7" s="1"/>
      <c r="E7" s="1"/>
      <c r="F7" s="1"/>
      <c r="G7" s="1"/>
      <c r="H7" s="1"/>
      <c r="I7" s="46"/>
    </row>
    <row r="8" spans="1:10" x14ac:dyDescent="0.25">
      <c r="A8" s="2" t="s">
        <v>167</v>
      </c>
      <c r="B8" s="1" t="s">
        <v>32</v>
      </c>
      <c r="C8" s="1"/>
      <c r="D8" s="1"/>
      <c r="E8" s="1"/>
      <c r="F8" s="1"/>
      <c r="G8" s="1"/>
      <c r="H8" s="1"/>
      <c r="I8" s="46"/>
    </row>
    <row r="9" spans="1:10" x14ac:dyDescent="0.25">
      <c r="A9" s="2" t="s">
        <v>168</v>
      </c>
      <c r="B9" s="1" t="s">
        <v>75</v>
      </c>
      <c r="C9" s="1"/>
      <c r="D9" s="1"/>
      <c r="E9" s="1"/>
      <c r="F9" s="1"/>
      <c r="G9" s="1"/>
      <c r="H9" s="1"/>
      <c r="I9" s="46"/>
    </row>
    <row r="10" spans="1:10" x14ac:dyDescent="0.25">
      <c r="A10" s="2" t="s">
        <v>169</v>
      </c>
      <c r="B10" s="1"/>
      <c r="C10" s="1"/>
      <c r="D10" s="1"/>
      <c r="E10" s="1"/>
      <c r="F10" s="1"/>
      <c r="G10" s="1"/>
      <c r="H10" s="1"/>
      <c r="I10" s="46"/>
    </row>
    <row r="11" spans="1:10" x14ac:dyDescent="0.25">
      <c r="A11" s="120" t="s">
        <v>170</v>
      </c>
      <c r="B11" s="136"/>
      <c r="C11" s="136"/>
      <c r="D11" s="136"/>
      <c r="E11" s="136"/>
      <c r="F11" s="1"/>
      <c r="G11" s="1"/>
      <c r="H11" s="1"/>
      <c r="I11" s="47"/>
    </row>
    <row r="12" spans="1:10" x14ac:dyDescent="0.25">
      <c r="A12" s="122" t="s">
        <v>171</v>
      </c>
      <c r="B12" s="70">
        <v>1</v>
      </c>
      <c r="C12" s="70">
        <v>1</v>
      </c>
      <c r="D12" s="70">
        <f t="shared" ref="D12:D14" si="0">B12*C12</f>
        <v>1</v>
      </c>
      <c r="E12" s="70">
        <v>0</v>
      </c>
      <c r="F12" s="1">
        <f>D12*E12</f>
        <v>0</v>
      </c>
      <c r="G12" s="1">
        <f t="shared" ref="G12:G15" si="1">F12*0.05</f>
        <v>0</v>
      </c>
      <c r="H12" s="1">
        <f t="shared" ref="H12:H14" si="2">F12*0.1</f>
        <v>0</v>
      </c>
      <c r="I12" s="47">
        <f t="shared" ref="I12:I14" si="3">F12*$F$2+G12*$G$2+H12*$H$2</f>
        <v>0</v>
      </c>
    </row>
    <row r="13" spans="1:10" x14ac:dyDescent="0.25">
      <c r="A13" s="122" t="s">
        <v>172</v>
      </c>
      <c r="B13" s="70">
        <v>0.5</v>
      </c>
      <c r="C13" s="70">
        <v>1</v>
      </c>
      <c r="D13" s="70">
        <f t="shared" si="0"/>
        <v>0.5</v>
      </c>
      <c r="E13" s="70">
        <v>0</v>
      </c>
      <c r="F13" s="1">
        <f t="shared" ref="F13:F14" si="4">D13*E13</f>
        <v>0</v>
      </c>
      <c r="G13" s="1">
        <f t="shared" si="1"/>
        <v>0</v>
      </c>
      <c r="H13" s="1">
        <f t="shared" si="2"/>
        <v>0</v>
      </c>
      <c r="I13" s="47">
        <f t="shared" si="3"/>
        <v>0</v>
      </c>
    </row>
    <row r="14" spans="1:10" ht="25.5" x14ac:dyDescent="0.25">
      <c r="A14" s="122" t="s">
        <v>173</v>
      </c>
      <c r="B14" s="70">
        <v>0.5</v>
      </c>
      <c r="C14" s="70">
        <v>1</v>
      </c>
      <c r="D14" s="70">
        <f t="shared" si="0"/>
        <v>0.5</v>
      </c>
      <c r="E14" s="70">
        <v>0</v>
      </c>
      <c r="F14" s="1">
        <f t="shared" si="4"/>
        <v>0</v>
      </c>
      <c r="G14" s="1">
        <f t="shared" si="1"/>
        <v>0</v>
      </c>
      <c r="H14" s="1">
        <f t="shared" si="2"/>
        <v>0</v>
      </c>
      <c r="I14" s="47">
        <f t="shared" si="3"/>
        <v>0</v>
      </c>
    </row>
    <row r="15" spans="1:10" ht="15.75" x14ac:dyDescent="0.25">
      <c r="A15" s="122" t="s">
        <v>174</v>
      </c>
      <c r="B15" s="70">
        <v>1.5</v>
      </c>
      <c r="C15" s="70">
        <v>1</v>
      </c>
      <c r="D15" s="70">
        <f>B15*C15</f>
        <v>1.5</v>
      </c>
      <c r="E15" s="70">
        <v>0</v>
      </c>
      <c r="F15" s="1">
        <f>D15*E15</f>
        <v>0</v>
      </c>
      <c r="G15" s="1">
        <f t="shared" si="1"/>
        <v>0</v>
      </c>
      <c r="H15" s="1">
        <f>F15*0.1</f>
        <v>0</v>
      </c>
      <c r="I15" s="47">
        <f>F15*$F$2+G15*$G$2+H15*$H$2</f>
        <v>0</v>
      </c>
    </row>
    <row r="16" spans="1:10" x14ac:dyDescent="0.25">
      <c r="A16" s="2" t="s">
        <v>175</v>
      </c>
      <c r="B16" s="1"/>
      <c r="C16" s="1"/>
      <c r="D16" s="1"/>
      <c r="E16" s="1"/>
      <c r="F16" s="1"/>
      <c r="G16" s="1"/>
      <c r="H16" s="1"/>
      <c r="I16" s="47"/>
    </row>
    <row r="17" spans="1:9" ht="15.75" x14ac:dyDescent="0.25">
      <c r="A17" s="4" t="s">
        <v>64</v>
      </c>
      <c r="B17" s="1">
        <v>40</v>
      </c>
      <c r="C17" s="1">
        <v>1</v>
      </c>
      <c r="D17" s="1">
        <f t="shared" ref="D17:D24" si="5">B17*C17</f>
        <v>40</v>
      </c>
      <c r="E17" s="1">
        <v>0</v>
      </c>
      <c r="F17" s="1">
        <f t="shared" ref="F17:F24" si="6">D17*E17</f>
        <v>0</v>
      </c>
      <c r="G17" s="1">
        <f t="shared" ref="G17:G24" si="7">F17*0.05</f>
        <v>0</v>
      </c>
      <c r="H17" s="1">
        <f t="shared" ref="H17:H24" si="8">F17*0.1</f>
        <v>0</v>
      </c>
      <c r="I17" s="47">
        <f t="shared" ref="I17:I24" si="9">F17*$F$2+G17*$G$2+H17*$H$2</f>
        <v>0</v>
      </c>
    </row>
    <row r="18" spans="1:9" ht="15.75" x14ac:dyDescent="0.25">
      <c r="A18" s="4" t="s">
        <v>65</v>
      </c>
      <c r="B18" s="1">
        <v>10</v>
      </c>
      <c r="C18" s="1">
        <v>1</v>
      </c>
      <c r="D18" s="1">
        <f t="shared" si="5"/>
        <v>10</v>
      </c>
      <c r="E18" s="1">
        <v>0</v>
      </c>
      <c r="F18" s="1">
        <f t="shared" ref="F18" si="10">D18*E18</f>
        <v>0</v>
      </c>
      <c r="G18" s="1">
        <f t="shared" ref="G18" si="11">F18*0.05</f>
        <v>0</v>
      </c>
      <c r="H18" s="1">
        <f t="shared" ref="H18" si="12">F18*0.1</f>
        <v>0</v>
      </c>
      <c r="I18" s="47">
        <f t="shared" ref="I18" si="13">F18*$F$2+G18*$G$2+H18*$H$2</f>
        <v>0</v>
      </c>
    </row>
    <row r="19" spans="1:9" x14ac:dyDescent="0.25">
      <c r="A19" s="2" t="s">
        <v>176</v>
      </c>
      <c r="B19" s="1"/>
      <c r="C19" s="1"/>
      <c r="D19" s="1"/>
      <c r="E19" s="1"/>
      <c r="F19" s="1"/>
      <c r="G19" s="1"/>
      <c r="H19" s="1"/>
      <c r="I19" s="47"/>
    </row>
    <row r="20" spans="1:9" ht="25.5" x14ac:dyDescent="0.25">
      <c r="A20" s="122" t="s">
        <v>177</v>
      </c>
      <c r="B20" s="70">
        <v>40</v>
      </c>
      <c r="C20" s="70">
        <v>1</v>
      </c>
      <c r="D20" s="70">
        <f t="shared" ref="D20:D22" si="14">B20*C20</f>
        <v>40</v>
      </c>
      <c r="E20" s="70">
        <f>'YR1'!F37</f>
        <v>2</v>
      </c>
      <c r="F20" s="1">
        <f t="shared" si="6"/>
        <v>80</v>
      </c>
      <c r="G20" s="1">
        <f t="shared" si="7"/>
        <v>4</v>
      </c>
      <c r="H20" s="1">
        <f t="shared" si="8"/>
        <v>8</v>
      </c>
      <c r="I20" s="77">
        <f t="shared" si="9"/>
        <v>5120.2800000000007</v>
      </c>
    </row>
    <row r="21" spans="1:9" ht="25.5" x14ac:dyDescent="0.25">
      <c r="A21" s="122" t="s">
        <v>178</v>
      </c>
      <c r="B21" s="70">
        <v>10</v>
      </c>
      <c r="C21" s="70">
        <v>1</v>
      </c>
      <c r="D21" s="70">
        <f t="shared" si="14"/>
        <v>10</v>
      </c>
      <c r="E21" s="70">
        <v>0</v>
      </c>
      <c r="F21" s="1">
        <f t="shared" ref="F21" si="15">D21*E21</f>
        <v>0</v>
      </c>
      <c r="G21" s="1">
        <f t="shared" ref="G21" si="16">F21*0.05</f>
        <v>0</v>
      </c>
      <c r="H21" s="1">
        <f t="shared" ref="H21" si="17">F21*0.1</f>
        <v>0</v>
      </c>
      <c r="I21" s="77">
        <f t="shared" ref="I21" si="18">F21*$F$2+G21*$G$2+H21*$H$2</f>
        <v>0</v>
      </c>
    </row>
    <row r="22" spans="1:9" x14ac:dyDescent="0.25">
      <c r="A22" s="122" t="s">
        <v>179</v>
      </c>
      <c r="B22" s="70">
        <v>10</v>
      </c>
      <c r="C22" s="70">
        <v>1</v>
      </c>
      <c r="D22" s="70">
        <f t="shared" si="14"/>
        <v>10</v>
      </c>
      <c r="E22" s="70">
        <v>0</v>
      </c>
      <c r="F22" s="1">
        <f t="shared" ref="F22" si="19">D22*E22</f>
        <v>0</v>
      </c>
      <c r="G22" s="1">
        <f t="shared" ref="G22" si="20">F22*0.05</f>
        <v>0</v>
      </c>
      <c r="H22" s="1">
        <f t="shared" ref="H22" si="21">F22*0.1</f>
        <v>0</v>
      </c>
      <c r="I22" s="77">
        <f t="shared" ref="I22" si="22">F22*$F$2+G22*$G$2+H22*$H$2</f>
        <v>0</v>
      </c>
    </row>
    <row r="23" spans="1:9" x14ac:dyDescent="0.25">
      <c r="A23" s="2" t="s">
        <v>180</v>
      </c>
      <c r="B23" s="1">
        <v>16</v>
      </c>
      <c r="C23" s="1">
        <v>2</v>
      </c>
      <c r="D23" s="1">
        <f t="shared" si="5"/>
        <v>32</v>
      </c>
      <c r="E23" s="1">
        <f>'YR3'!F40</f>
        <v>0.2</v>
      </c>
      <c r="F23" s="1">
        <f t="shared" si="6"/>
        <v>6.4</v>
      </c>
      <c r="G23" s="1">
        <f t="shared" si="7"/>
        <v>0.32000000000000006</v>
      </c>
      <c r="H23" s="1">
        <f t="shared" si="8"/>
        <v>0.64000000000000012</v>
      </c>
      <c r="I23" s="77">
        <f t="shared" si="9"/>
        <v>409.62240000000003</v>
      </c>
    </row>
    <row r="24" spans="1:9" ht="15.75" x14ac:dyDescent="0.25">
      <c r="A24" s="2" t="s">
        <v>190</v>
      </c>
      <c r="B24" s="1">
        <v>16</v>
      </c>
      <c r="C24" s="1">
        <v>1</v>
      </c>
      <c r="D24" s="1">
        <f t="shared" si="5"/>
        <v>16</v>
      </c>
      <c r="E24" s="1">
        <v>0</v>
      </c>
      <c r="F24" s="1">
        <f t="shared" si="6"/>
        <v>0</v>
      </c>
      <c r="G24" s="1">
        <f t="shared" si="7"/>
        <v>0</v>
      </c>
      <c r="H24" s="1">
        <f t="shared" si="8"/>
        <v>0</v>
      </c>
      <c r="I24" s="77">
        <f t="shared" si="9"/>
        <v>0</v>
      </c>
    </row>
    <row r="25" spans="1:9" ht="28.5" x14ac:dyDescent="0.25">
      <c r="A25" s="124" t="s">
        <v>182</v>
      </c>
      <c r="B25" s="70"/>
      <c r="C25" s="70"/>
      <c r="D25" s="70"/>
      <c r="E25" s="70"/>
      <c r="F25" s="125">
        <f>SUM(F6:F24)</f>
        <v>86.4</v>
      </c>
      <c r="G25" s="125">
        <f>SUM(G6:G24)</f>
        <v>4.32</v>
      </c>
      <c r="H25" s="125">
        <f>SUM(H6:H24)</f>
        <v>8.64</v>
      </c>
      <c r="I25" s="126">
        <f>ROUND(SUM(I7:I24),-1)</f>
        <v>5530</v>
      </c>
    </row>
    <row r="26" spans="1:9" x14ac:dyDescent="0.25">
      <c r="A26" s="76"/>
      <c r="B26" s="76"/>
      <c r="C26" s="76"/>
      <c r="D26" s="76"/>
      <c r="E26" s="76"/>
      <c r="F26" s="76"/>
      <c r="G26" s="76"/>
      <c r="H26" s="76"/>
      <c r="I26" s="76"/>
    </row>
    <row r="27" spans="1:9" x14ac:dyDescent="0.25">
      <c r="A27" s="127" t="s">
        <v>92</v>
      </c>
      <c r="B27" s="76"/>
      <c r="C27" s="76"/>
      <c r="D27" s="76"/>
      <c r="E27" s="76"/>
      <c r="F27" s="76"/>
      <c r="G27" s="76"/>
      <c r="H27" s="76"/>
      <c r="I27" s="76"/>
    </row>
    <row r="28" spans="1:9" ht="48" customHeight="1" x14ac:dyDescent="0.25">
      <c r="A28" s="175" t="s">
        <v>183</v>
      </c>
      <c r="B28" s="175"/>
      <c r="C28" s="175"/>
      <c r="D28" s="175"/>
      <c r="E28" s="175"/>
      <c r="F28" s="175"/>
      <c r="G28" s="175"/>
      <c r="H28" s="175"/>
      <c r="I28" s="175"/>
    </row>
    <row r="29" spans="1:9" ht="30" customHeight="1" x14ac:dyDescent="0.25">
      <c r="A29" s="175" t="s">
        <v>184</v>
      </c>
      <c r="B29" s="175"/>
      <c r="C29" s="175"/>
      <c r="D29" s="175"/>
      <c r="E29" s="175"/>
      <c r="F29" s="175"/>
      <c r="G29" s="175"/>
      <c r="H29" s="175"/>
      <c r="I29" s="175"/>
    </row>
    <row r="30" spans="1:9" ht="18.75" x14ac:dyDescent="0.25">
      <c r="A30" s="176" t="s">
        <v>185</v>
      </c>
      <c r="B30" s="176"/>
      <c r="C30" s="176"/>
      <c r="D30" s="176"/>
      <c r="E30" s="176"/>
      <c r="F30" s="176"/>
      <c r="G30" s="176"/>
      <c r="H30" s="176"/>
      <c r="I30" s="176"/>
    </row>
    <row r="31" spans="1:9" ht="18.75" x14ac:dyDescent="0.25">
      <c r="A31" s="75" t="s">
        <v>186</v>
      </c>
      <c r="B31" s="76"/>
      <c r="C31" s="76"/>
      <c r="D31" s="76"/>
      <c r="E31" s="76"/>
      <c r="F31" s="76"/>
      <c r="G31" s="76"/>
      <c r="H31" s="76"/>
      <c r="I31" s="76"/>
    </row>
    <row r="32" spans="1:9" x14ac:dyDescent="0.25">
      <c r="A32" s="76"/>
      <c r="B32" s="76"/>
      <c r="C32" s="76"/>
      <c r="D32" s="76"/>
      <c r="E32" s="76"/>
      <c r="F32" s="76"/>
      <c r="G32" s="76"/>
      <c r="H32" s="76"/>
      <c r="I32" s="76"/>
    </row>
  </sheetData>
  <mergeCells count="4">
    <mergeCell ref="A3:A4"/>
    <mergeCell ref="A28:I28"/>
    <mergeCell ref="A29:I29"/>
    <mergeCell ref="A30:I30"/>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C83A-A283-464C-9FCB-FB6C33AA6F7B}">
  <dimension ref="A1:I9"/>
  <sheetViews>
    <sheetView workbookViewId="0">
      <selection activeCell="R12" sqref="R12"/>
    </sheetView>
  </sheetViews>
  <sheetFormatPr defaultRowHeight="15" x14ac:dyDescent="0.25"/>
  <sheetData>
    <row r="1" spans="1:9" ht="15.75" thickBot="1" x14ac:dyDescent="0.3">
      <c r="A1" t="s">
        <v>192</v>
      </c>
    </row>
    <row r="2" spans="1:9" ht="39.75" thickBot="1" x14ac:dyDescent="0.3">
      <c r="B2" s="13" t="s">
        <v>129</v>
      </c>
      <c r="C2" s="14" t="s">
        <v>130</v>
      </c>
      <c r="D2" s="14" t="s">
        <v>132</v>
      </c>
      <c r="E2" s="14" t="s">
        <v>131</v>
      </c>
      <c r="F2" s="14" t="s">
        <v>142</v>
      </c>
      <c r="G2" s="14" t="s">
        <v>134</v>
      </c>
      <c r="H2" s="37" t="s">
        <v>193</v>
      </c>
      <c r="I2" s="15" t="s">
        <v>136</v>
      </c>
    </row>
    <row r="3" spans="1:9" ht="15.75" thickTop="1" x14ac:dyDescent="0.25">
      <c r="B3" s="17">
        <v>1</v>
      </c>
      <c r="C3" s="18">
        <f>EPA_Yr1!F25</f>
        <v>86.4</v>
      </c>
      <c r="D3" s="18">
        <f>EPA_Yr1!G25</f>
        <v>4.32</v>
      </c>
      <c r="E3" s="18">
        <f>EPA_Yr1!H25</f>
        <v>8.64</v>
      </c>
      <c r="F3" s="18">
        <f>SUM(C3:E3)</f>
        <v>99.36</v>
      </c>
      <c r="G3" s="19">
        <f>EPA_Yr1!I25</f>
        <v>5530</v>
      </c>
      <c r="H3" s="66">
        <v>0</v>
      </c>
      <c r="I3" s="20">
        <f>+G3+H3</f>
        <v>5530</v>
      </c>
    </row>
    <row r="4" spans="1:9" x14ac:dyDescent="0.25">
      <c r="B4" s="21">
        <v>2</v>
      </c>
      <c r="C4" s="22">
        <f>EPA_Yr2!F25</f>
        <v>86.4</v>
      </c>
      <c r="D4" s="22">
        <f>EPA_Yr2!G25</f>
        <v>4.32</v>
      </c>
      <c r="E4" s="22">
        <f>EPA_Yr2!H25</f>
        <v>8.64</v>
      </c>
      <c r="F4" s="18">
        <f>SUM(C4:E4)</f>
        <v>99.36</v>
      </c>
      <c r="G4" s="23">
        <f>EPA_Yr2!I25</f>
        <v>5530</v>
      </c>
      <c r="H4" s="67">
        <v>0</v>
      </c>
      <c r="I4" s="24">
        <f>+G4+H4</f>
        <v>5530</v>
      </c>
    </row>
    <row r="5" spans="1:9" ht="15.75" thickBot="1" x14ac:dyDescent="0.3">
      <c r="B5" s="25">
        <v>3</v>
      </c>
      <c r="C5" s="26">
        <f>EPA_Yr3!F25</f>
        <v>86.4</v>
      </c>
      <c r="D5" s="26">
        <f>EPA_Yr3!G25</f>
        <v>4.32</v>
      </c>
      <c r="E5" s="26">
        <f>EPA_Yr3!H25</f>
        <v>8.64</v>
      </c>
      <c r="F5" s="26">
        <f>SUM(C5:E5)</f>
        <v>99.36</v>
      </c>
      <c r="G5" s="27">
        <f>EPA_Yr3!I25</f>
        <v>5530</v>
      </c>
      <c r="H5" s="68">
        <v>0</v>
      </c>
      <c r="I5" s="28">
        <f>+G5+H5</f>
        <v>5530</v>
      </c>
    </row>
    <row r="6" spans="1:9" ht="15.75" thickTop="1" x14ac:dyDescent="0.25">
      <c r="B6" s="17" t="s">
        <v>137</v>
      </c>
      <c r="C6" s="18">
        <f t="shared" ref="C6:I6" si="0">SUM(C3:C5)</f>
        <v>259.20000000000005</v>
      </c>
      <c r="D6" s="18">
        <f t="shared" si="0"/>
        <v>12.96</v>
      </c>
      <c r="E6" s="18">
        <f t="shared" si="0"/>
        <v>25.92</v>
      </c>
      <c r="F6" s="18">
        <f t="shared" si="0"/>
        <v>298.08</v>
      </c>
      <c r="G6" s="19">
        <f>SUM(G3:G5)</f>
        <v>16590</v>
      </c>
      <c r="H6" s="66">
        <f t="shared" si="0"/>
        <v>0</v>
      </c>
      <c r="I6" s="20">
        <f t="shared" si="0"/>
        <v>16590</v>
      </c>
    </row>
    <row r="7" spans="1:9" ht="15.75" thickBot="1" x14ac:dyDescent="0.3">
      <c r="B7" s="29" t="s">
        <v>138</v>
      </c>
      <c r="C7" s="30">
        <f t="shared" ref="C7:I7" si="1">AVERAGE(C3:C5)</f>
        <v>86.40000000000002</v>
      </c>
      <c r="D7" s="30">
        <f t="shared" si="1"/>
        <v>4.32</v>
      </c>
      <c r="E7" s="30">
        <f t="shared" si="1"/>
        <v>8.64</v>
      </c>
      <c r="F7" s="30">
        <f t="shared" si="1"/>
        <v>99.36</v>
      </c>
      <c r="G7" s="32">
        <f>AVERAGE(G3:G5)</f>
        <v>5530</v>
      </c>
      <c r="H7" s="31">
        <f t="shared" si="1"/>
        <v>0</v>
      </c>
      <c r="I7" s="33">
        <f t="shared" si="1"/>
        <v>5530</v>
      </c>
    </row>
    <row r="9" spans="1:9" x14ac:dyDescent="0.25">
      <c r="B9" s="128" t="s">
        <v>194</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F7431529F774B864E9E952F966EE3" ma:contentTypeVersion="14" ma:contentTypeDescription="Create a new document." ma:contentTypeScope="" ma:versionID="236860b9e1799fd0f67c2fc812484c9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411bf20-490e-4c62-8e59-aebad71fac36" xmlns:ns6="07a19f63-abdd-408c-b0da-b991ca54b0d1" targetNamespace="http://schemas.microsoft.com/office/2006/metadata/properties" ma:root="true" ma:fieldsID="e9b30037799844109e080c58c37e12ab" ns1:_="" ns2:_="" ns3:_="" ns4:_="" ns5:_="" ns6:_="">
    <xsd:import namespace="http://schemas.microsoft.com/sharepoint/v3"/>
    <xsd:import namespace="4ffa91fb-a0ff-4ac5-b2db-65c790d184a4"/>
    <xsd:import namespace="http://schemas.microsoft.com/sharepoint.v3"/>
    <xsd:import namespace="http://schemas.microsoft.com/sharepoint/v3/fields"/>
    <xsd:import namespace="4411bf20-490e-4c62-8e59-aebad71fac36"/>
    <xsd:import namespace="07a19f63-abdd-408c-b0da-b991ca54b0d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SharedWithUsers" minOccurs="0"/>
                <xsd:element ref="ns5:SharedWithDetails" minOccurs="0"/>
                <xsd:element ref="ns6:MediaServiceMetadata" minOccurs="0"/>
                <xsd:element ref="ns6:MediaServiceFastMetadata"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8027668-bcb5-4d3e-bd6e-dd4293268dab}" ma:internalName="TaxCatchAllLabel" ma:readOnly="true" ma:showField="CatchAllDataLabel" ma:web="4411bf20-490e-4c62-8e59-aebad71fac3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8027668-bcb5-4d3e-bd6e-dd4293268dab}" ma:internalName="TaxCatchAll" ma:showField="CatchAllData" ma:web="4411bf20-490e-4c62-8e59-aebad71fac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11bf20-490e-4c62-8e59-aebad71fac3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19f63-abdd-408c-b0da-b991ca54b0d1"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2025-04-02T18:11:41+00:00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Identifier xmlns="4ffa91fb-a0ff-4ac5-b2db-65c790d184a4" xsi:nil="true"/>
    <Creator xmlns="4ffa91fb-a0ff-4ac5-b2db-65c790d184a4">
      <UserInfo>
        <DisplayName/>
        <AccountId xsi:nil="true"/>
        <AccountType/>
      </UserInfo>
    </Creator>
    <Language xmlns="http://schemas.microsoft.com/sharepoint/v3">English</Language>
    <j747ac98061d40f0aa7bd47e1db5675d xmlns="4ffa91fb-a0ff-4ac5-b2db-65c790d184a4">
      <Terms xmlns="http://schemas.microsoft.com/office/infopath/2007/PartnerControls"/>
    </j747ac98061d40f0aa7bd47e1db5675d>
    <lcf76f155ced4ddcb4097134ff3c332f xmlns="07a19f63-abdd-408c-b0da-b991ca54b0d1">
      <Terms xmlns="http://schemas.microsoft.com/office/infopath/2007/PartnerControls"/>
    </lcf76f155ced4ddcb4097134ff3c332f>
    <TaxCatchAll xmlns="4ffa91fb-a0ff-4ac5-b2db-65c790d184a4" xsi:nil="true"/>
    <External_x0020_Contributor xmlns="4ffa91fb-a0ff-4ac5-b2db-65c790d184a4" xsi:nil="true"/>
  </documentManagement>
</p:properties>
</file>

<file path=customXml/itemProps1.xml><?xml version="1.0" encoding="utf-8"?>
<ds:datastoreItem xmlns:ds="http://schemas.openxmlformats.org/officeDocument/2006/customXml" ds:itemID="{0B547A27-A6AA-4F3B-8385-CFC75FADA445}"/>
</file>

<file path=customXml/itemProps2.xml><?xml version="1.0" encoding="utf-8"?>
<ds:datastoreItem xmlns:ds="http://schemas.openxmlformats.org/officeDocument/2006/customXml" ds:itemID="{04D5CD96-8892-482B-8310-8DB9C7CF517D}"/>
</file>

<file path=customXml/itemProps3.xml><?xml version="1.0" encoding="utf-8"?>
<ds:datastoreItem xmlns:ds="http://schemas.openxmlformats.org/officeDocument/2006/customXml" ds:itemID="{7CE1D27F-5711-4233-82B9-97FC5D7F7FCC}"/>
</file>

<file path=customXml/itemProps4.xml><?xml version="1.0" encoding="utf-8"?>
<ds:datastoreItem xmlns:ds="http://schemas.openxmlformats.org/officeDocument/2006/customXml" ds:itemID="{94F60464-EC9F-483B-B6BD-B317F236A1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ROCIS Summary</vt:lpstr>
      <vt:lpstr>YR1</vt:lpstr>
      <vt:lpstr>YR2</vt:lpstr>
      <vt:lpstr>YR3</vt:lpstr>
      <vt:lpstr>Respondent_Summary</vt:lpstr>
      <vt:lpstr>EPA_Yr1</vt:lpstr>
      <vt:lpstr>EPA_Yr2</vt:lpstr>
      <vt:lpstr>EPA_Yr3</vt:lpstr>
      <vt:lpstr>EPA_Summary</vt:lpstr>
      <vt:lpstr>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2025-05-14T18:34:26Z</dcterms:created>
  <dcterms:modified xsi:type="dcterms:W3CDTF">2025-05-14T18:34:30Z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Order">
    <vt:r8>6612200</vt:r8>
  </property>
  <property fmtid="{D5CDD505-2E9C-101B-9397-08002B2CF9AE}" pid="4" name="Document_x0020_Type">
    <vt:lpwstr/>
  </property>
  <property fmtid="{D5CDD505-2E9C-101B-9397-08002B2CF9AE}" pid="5" name="MediaServiceImageTags">
    <vt:lpwstr/>
  </property>
  <property fmtid="{D5CDD505-2E9C-101B-9397-08002B2CF9AE}" pid="6" name="ContentTypeId">
    <vt:lpwstr>0x010100EA2F7431529F774B864E9E952F966EE3</vt:lpwstr>
  </property>
  <property fmtid="{D5CDD505-2E9C-101B-9397-08002B2CF9AE}" pid="7" name="ComplianceAssetId">
    <vt:lpwstr/>
  </property>
  <property fmtid="{D5CDD505-2E9C-101B-9397-08002B2CF9AE}" pid="8" name="EPA Subject">
    <vt:lpwstr/>
  </property>
  <property fmtid="{D5CDD505-2E9C-101B-9397-08002B2CF9AE}" pid="9" name="_ExtendedDescription">
    <vt:lpwstr/>
  </property>
  <property fmtid="{D5CDD505-2E9C-101B-9397-08002B2CF9AE}" pid="10" name="EPA_x0020_Subject">
    <vt:lpwstr/>
  </property>
  <property fmtid="{D5CDD505-2E9C-101B-9397-08002B2CF9AE}" pid="11" name="TriggerFlowInfo">
    <vt:lpwstr/>
  </property>
  <property fmtid="{D5CDD505-2E9C-101B-9397-08002B2CF9AE}" pid="12" name="Document Type">
    <vt:lpwstr/>
  </property>
  <property fmtid="{D5CDD505-2E9C-101B-9397-08002B2CF9AE}" pid="13" name="e3f09c3df709400db2417a7161762d62">
    <vt:lpwstr/>
  </property>
</Properties>
</file>