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11" documentId="8_{018B4F86-47BF-45C6-B5D4-161B5003BDBA}" xr6:coauthVersionLast="47" xr6:coauthVersionMax="47" xr10:uidLastSave="{68D5039C-8651-4206-9723-A4F511D1C401}"/>
  <bookViews>
    <workbookView xWindow="-110" yWindow="-110" windowWidth="19420" windowHeight="10300" firstSheet="5" activeTab="10" xr2:uid="{00000000-000D-0000-FFFF-FFFF00000000}"/>
  </bookViews>
  <sheets>
    <sheet name="ROCIS Summary" sheetId="15" r:id="rId1"/>
    <sheet name="YR1" sheetId="4" r:id="rId2"/>
    <sheet name="YR2" sheetId="5" r:id="rId3"/>
    <sheet name="YR3" sheetId="6" r:id="rId4"/>
    <sheet name="Respondent Summary" sheetId="10" r:id="rId5"/>
    <sheet name="EPA_Yr1" sheetId="7" r:id="rId6"/>
    <sheet name="EPA_Yr2" sheetId="8" r:id="rId7"/>
    <sheet name="EPA_Yr3" sheetId="9" r:id="rId8"/>
    <sheet name="EPA_Summary" sheetId="11" r:id="rId9"/>
    <sheet name="O&amp;M" sheetId="12" r:id="rId10"/>
    <sheet name="Respondents" sheetId="13" r:id="rId11"/>
    <sheet name="Responses"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9" l="1"/>
  <c r="E21" i="8"/>
  <c r="G26" i="10"/>
  <c r="C19" i="10"/>
  <c r="F19" i="10" s="1"/>
  <c r="E38" i="4"/>
  <c r="D26" i="10" l="1"/>
  <c r="D24" i="7"/>
  <c r="F24" i="7" s="1"/>
  <c r="E24" i="7"/>
  <c r="E38" i="6"/>
  <c r="B10" i="14"/>
  <c r="B11" i="14"/>
  <c r="E38" i="5"/>
  <c r="H24" i="7" l="1"/>
  <c r="G24" i="7"/>
  <c r="I24" i="7" s="1"/>
  <c r="M50" i="6" l="1"/>
  <c r="M52" i="6"/>
  <c r="M53" i="6"/>
  <c r="M54" i="6"/>
  <c r="M40" i="5"/>
  <c r="I26" i="10"/>
  <c r="F26" i="10"/>
  <c r="E26" i="10"/>
  <c r="C12" i="10" l="1"/>
  <c r="C11" i="10"/>
  <c r="C10" i="10"/>
  <c r="E11" i="14" l="1"/>
  <c r="E9" i="14"/>
  <c r="E8" i="14"/>
  <c r="E6" i="14"/>
  <c r="E5" i="14"/>
  <c r="E4" i="14"/>
  <c r="E13" i="14"/>
  <c r="B3" i="15" l="1"/>
  <c r="G10" i="12"/>
  <c r="F10" i="12"/>
  <c r="F9" i="12"/>
  <c r="B8" i="12"/>
  <c r="E8" i="12"/>
  <c r="E7" i="12"/>
  <c r="E10" i="12"/>
  <c r="E9" i="12"/>
  <c r="G9" i="12" s="1"/>
  <c r="C8" i="12" l="1"/>
  <c r="D8" i="12" s="1"/>
  <c r="D11" i="12" s="1"/>
  <c r="C9" i="12"/>
  <c r="D9" i="12" s="1"/>
  <c r="D10" i="12"/>
  <c r="D7" i="12"/>
  <c r="B9" i="12"/>
  <c r="F12" i="9"/>
  <c r="G12" i="9" s="1"/>
  <c r="I12" i="9" s="1"/>
  <c r="H12" i="9"/>
  <c r="F13" i="9"/>
  <c r="G13" i="9" s="1"/>
  <c r="D14" i="9"/>
  <c r="F14" i="9" s="1"/>
  <c r="D13" i="9"/>
  <c r="D12" i="9"/>
  <c r="D21" i="9"/>
  <c r="F21" i="9" s="1"/>
  <c r="D21" i="8"/>
  <c r="F21" i="8" s="1"/>
  <c r="E14" i="8"/>
  <c r="F14" i="8" s="1"/>
  <c r="D14" i="8"/>
  <c r="E13" i="8"/>
  <c r="D13" i="8"/>
  <c r="F13" i="8" s="1"/>
  <c r="E12" i="8"/>
  <c r="D12" i="8"/>
  <c r="F12" i="8" s="1"/>
  <c r="E21" i="7"/>
  <c r="D21" i="7"/>
  <c r="E20" i="7"/>
  <c r="E12" i="7"/>
  <c r="E14" i="7"/>
  <c r="E15" i="7"/>
  <c r="B7" i="14" s="1"/>
  <c r="E13" i="7"/>
  <c r="D15" i="7"/>
  <c r="D14" i="7"/>
  <c r="D13" i="7"/>
  <c r="F13" i="7" s="1"/>
  <c r="G13" i="7" s="1"/>
  <c r="D12" i="7"/>
  <c r="F12" i="7" s="1"/>
  <c r="G21" i="8" l="1"/>
  <c r="H21" i="8"/>
  <c r="I21" i="8" s="1"/>
  <c r="F14" i="7"/>
  <c r="G21" i="9"/>
  <c r="H21" i="9"/>
  <c r="G14" i="9"/>
  <c r="H14" i="9"/>
  <c r="I14" i="9"/>
  <c r="H13" i="9"/>
  <c r="I13" i="9" s="1"/>
  <c r="G12" i="8"/>
  <c r="H12" i="8"/>
  <c r="G13" i="8"/>
  <c r="H13" i="8"/>
  <c r="G14" i="8"/>
  <c r="H14" i="8"/>
  <c r="I14" i="8"/>
  <c r="F15" i="7"/>
  <c r="H15" i="7" s="1"/>
  <c r="H14" i="7"/>
  <c r="G14" i="7"/>
  <c r="I14" i="7" s="1"/>
  <c r="F21" i="7"/>
  <c r="G21" i="7" s="1"/>
  <c r="H21" i="7"/>
  <c r="H13" i="7"/>
  <c r="I13" i="7" s="1"/>
  <c r="G12" i="7"/>
  <c r="H12" i="7"/>
  <c r="I13" i="8" l="1"/>
  <c r="G15" i="7"/>
  <c r="I21" i="9"/>
  <c r="I12" i="8"/>
  <c r="I15" i="7"/>
  <c r="I21" i="7"/>
  <c r="I12" i="7"/>
  <c r="C25" i="5" l="1"/>
  <c r="C18" i="5"/>
  <c r="C25" i="4"/>
  <c r="C18" i="4"/>
  <c r="C25" i="6"/>
  <c r="C18" i="6"/>
  <c r="F40" i="6" l="1"/>
  <c r="F35" i="6"/>
  <c r="F40" i="5"/>
  <c r="L57" i="6"/>
  <c r="E57" i="6"/>
  <c r="G57" i="6" s="1"/>
  <c r="L56" i="6"/>
  <c r="E56" i="6"/>
  <c r="G56" i="6" s="1"/>
  <c r="L55" i="6"/>
  <c r="E55" i="6"/>
  <c r="G55" i="6" s="1"/>
  <c r="L54" i="6"/>
  <c r="E54" i="6"/>
  <c r="G54" i="6" s="1"/>
  <c r="L53" i="6"/>
  <c r="E53" i="6"/>
  <c r="G53" i="6" s="1"/>
  <c r="L57" i="5"/>
  <c r="E57" i="5"/>
  <c r="G57" i="5" s="1"/>
  <c r="L56" i="5"/>
  <c r="E56" i="5"/>
  <c r="G56" i="5" s="1"/>
  <c r="L55" i="5"/>
  <c r="E55" i="5"/>
  <c r="G55" i="5" s="1"/>
  <c r="M54" i="5"/>
  <c r="L54" i="5"/>
  <c r="E54" i="5"/>
  <c r="G54" i="5" s="1"/>
  <c r="M53" i="5"/>
  <c r="L53" i="5"/>
  <c r="E53" i="5"/>
  <c r="G53" i="5" s="1"/>
  <c r="M39" i="4"/>
  <c r="L39" i="4"/>
  <c r="E39" i="4"/>
  <c r="G39" i="4" s="1"/>
  <c r="H39" i="4" s="1"/>
  <c r="M38" i="4"/>
  <c r="L38" i="4"/>
  <c r="G38" i="4"/>
  <c r="I38" i="4" s="1"/>
  <c r="M39" i="6"/>
  <c r="L39" i="6"/>
  <c r="E39" i="6"/>
  <c r="G39" i="6" s="1"/>
  <c r="M38" i="6"/>
  <c r="L38" i="6"/>
  <c r="G38" i="6"/>
  <c r="H38" i="6" s="1"/>
  <c r="M27" i="6"/>
  <c r="L27" i="6"/>
  <c r="G27" i="6"/>
  <c r="M27" i="5"/>
  <c r="L27" i="5"/>
  <c r="G27" i="5"/>
  <c r="H27" i="5" s="1"/>
  <c r="G27" i="4"/>
  <c r="H27" i="4" s="1"/>
  <c r="L27" i="4"/>
  <c r="M27" i="4"/>
  <c r="G38" i="5"/>
  <c r="L38" i="5"/>
  <c r="M38" i="5"/>
  <c r="D27" i="10" s="1"/>
  <c r="H38" i="5" l="1"/>
  <c r="I56" i="6"/>
  <c r="K56" i="6" s="1"/>
  <c r="H56" i="6"/>
  <c r="I54" i="6"/>
  <c r="H54" i="6"/>
  <c r="K54" i="6" s="1"/>
  <c r="J54" i="6"/>
  <c r="I55" i="6"/>
  <c r="H55" i="6"/>
  <c r="K55" i="6" s="1"/>
  <c r="I53" i="6"/>
  <c r="H53" i="6"/>
  <c r="J53" i="6" s="1"/>
  <c r="I57" i="6"/>
  <c r="H57" i="6"/>
  <c r="K57" i="6" s="1"/>
  <c r="J57" i="6"/>
  <c r="I53" i="5"/>
  <c r="K53" i="5" s="1"/>
  <c r="H53" i="5"/>
  <c r="I57" i="5"/>
  <c r="H57" i="5"/>
  <c r="K57" i="5" s="1"/>
  <c r="I54" i="5"/>
  <c r="H54" i="5"/>
  <c r="K54" i="5" s="1"/>
  <c r="I55" i="5"/>
  <c r="H55" i="5"/>
  <c r="N55" i="5" s="1"/>
  <c r="I56" i="5"/>
  <c r="H56" i="5"/>
  <c r="K56" i="5" s="1"/>
  <c r="I38" i="6"/>
  <c r="J38" i="6" s="1"/>
  <c r="I39" i="4"/>
  <c r="K39" i="4"/>
  <c r="J39" i="4"/>
  <c r="H38" i="4"/>
  <c r="I39" i="6"/>
  <c r="H39" i="6"/>
  <c r="H27" i="6"/>
  <c r="I27" i="6"/>
  <c r="I27" i="5"/>
  <c r="J27" i="5" s="1"/>
  <c r="I27" i="4"/>
  <c r="K27" i="4" s="1"/>
  <c r="I38" i="5"/>
  <c r="J56" i="6" l="1"/>
  <c r="K38" i="5"/>
  <c r="K55" i="5"/>
  <c r="O55" i="5" s="1"/>
  <c r="J55" i="6"/>
  <c r="F28" i="10" s="1"/>
  <c r="K53" i="6"/>
  <c r="J55" i="5"/>
  <c r="F27" i="10" s="1"/>
  <c r="J53" i="5"/>
  <c r="J54" i="5"/>
  <c r="J56" i="5"/>
  <c r="J57" i="5"/>
  <c r="K39" i="6"/>
  <c r="K38" i="6"/>
  <c r="K27" i="6"/>
  <c r="K27" i="5"/>
  <c r="K38" i="4"/>
  <c r="J38" i="4"/>
  <c r="J39" i="6"/>
  <c r="J27" i="6"/>
  <c r="J27" i="4"/>
  <c r="J38" i="5"/>
  <c r="L53" i="4" l="1"/>
  <c r="M53" i="4"/>
  <c r="L54" i="4"/>
  <c r="M54" i="4"/>
  <c r="L55" i="4"/>
  <c r="L56" i="4"/>
  <c r="L57" i="4"/>
  <c r="E57" i="4"/>
  <c r="G57" i="4" s="1"/>
  <c r="E56" i="4"/>
  <c r="G56" i="4" s="1"/>
  <c r="E55" i="4"/>
  <c r="G55" i="4" s="1"/>
  <c r="H55" i="4" s="1"/>
  <c r="E54" i="4"/>
  <c r="G54" i="4" s="1"/>
  <c r="E53" i="4"/>
  <c r="G53" i="4" s="1"/>
  <c r="H53" i="4" l="1"/>
  <c r="I53" i="4"/>
  <c r="H56" i="4"/>
  <c r="I56" i="4"/>
  <c r="I57" i="4"/>
  <c r="H57" i="4"/>
  <c r="J57" i="4" s="1"/>
  <c r="K57" i="4"/>
  <c r="H54" i="4"/>
  <c r="I54" i="4"/>
  <c r="K54" i="4" s="1"/>
  <c r="J53" i="4"/>
  <c r="K56" i="4"/>
  <c r="I55" i="4"/>
  <c r="K55" i="4" s="1"/>
  <c r="K53" i="4"/>
  <c r="J56" i="4" l="1"/>
  <c r="J54" i="4"/>
  <c r="J55" i="4"/>
  <c r="J59" i="4" l="1"/>
  <c r="F40" i="4"/>
  <c r="C16" i="6"/>
  <c r="C14" i="6"/>
  <c r="C16" i="5"/>
  <c r="C14" i="5"/>
  <c r="C16" i="4"/>
  <c r="C14" i="4"/>
  <c r="F35" i="5"/>
  <c r="L13" i="4" l="1"/>
  <c r="E7" i="14"/>
  <c r="E8" i="13"/>
  <c r="D8" i="13"/>
  <c r="B8" i="13"/>
  <c r="F5" i="13"/>
  <c r="C6" i="13" s="1"/>
  <c r="F6" i="13" s="1"/>
  <c r="C7" i="13" s="1"/>
  <c r="F30" i="10"/>
  <c r="C30" i="10"/>
  <c r="F29" i="10"/>
  <c r="L10" i="6"/>
  <c r="E10" i="6"/>
  <c r="G10" i="6" s="1"/>
  <c r="M9" i="6"/>
  <c r="L9" i="6"/>
  <c r="E9" i="6"/>
  <c r="G9" i="6" s="1"/>
  <c r="L10" i="5"/>
  <c r="E10" i="5"/>
  <c r="G10" i="5" s="1"/>
  <c r="M9" i="5"/>
  <c r="L9" i="5"/>
  <c r="E9" i="5"/>
  <c r="G9" i="5" s="1"/>
  <c r="L10" i="4"/>
  <c r="E10" i="4"/>
  <c r="G10" i="4" s="1"/>
  <c r="L9" i="4"/>
  <c r="E9" i="4"/>
  <c r="G9" i="4" s="1"/>
  <c r="F7" i="13" l="1"/>
  <c r="F8" i="13" s="1"/>
  <c r="C8" i="13"/>
  <c r="I10" i="6"/>
  <c r="H10" i="6"/>
  <c r="I9" i="6"/>
  <c r="H9" i="6"/>
  <c r="H10" i="5"/>
  <c r="I10" i="5"/>
  <c r="H9" i="5"/>
  <c r="I9" i="5"/>
  <c r="I9" i="4"/>
  <c r="D19" i="10" s="1"/>
  <c r="H9" i="4"/>
  <c r="E19" i="10" s="1"/>
  <c r="H10" i="4"/>
  <c r="I10" i="4"/>
  <c r="K10" i="6" l="1"/>
  <c r="J9" i="6"/>
  <c r="J9" i="5"/>
  <c r="K9" i="5"/>
  <c r="K9" i="4"/>
  <c r="K10" i="4"/>
  <c r="K10" i="5"/>
  <c r="J9" i="4"/>
  <c r="K9" i="6"/>
  <c r="H21" i="10" s="1"/>
  <c r="J10" i="6"/>
  <c r="J10" i="5"/>
  <c r="J10" i="4"/>
  <c r="C14" i="10"/>
  <c r="L52" i="6"/>
  <c r="E52" i="6"/>
  <c r="G52" i="6" s="1"/>
  <c r="L51" i="6"/>
  <c r="E51" i="6"/>
  <c r="G51" i="6" s="1"/>
  <c r="L50" i="6"/>
  <c r="E50" i="6"/>
  <c r="G50" i="6" s="1"/>
  <c r="M49" i="6"/>
  <c r="L49" i="6"/>
  <c r="E49" i="6"/>
  <c r="G49" i="6" s="1"/>
  <c r="M41" i="6"/>
  <c r="L41" i="6"/>
  <c r="E41" i="6"/>
  <c r="G41" i="6" s="1"/>
  <c r="E40" i="6"/>
  <c r="M37" i="6"/>
  <c r="L37" i="6"/>
  <c r="E37" i="6"/>
  <c r="G37" i="6" s="1"/>
  <c r="I37" i="6" s="1"/>
  <c r="M35" i="6"/>
  <c r="L35" i="6"/>
  <c r="E35" i="6"/>
  <c r="G35" i="6" s="1"/>
  <c r="I35" i="6" s="1"/>
  <c r="M34" i="6"/>
  <c r="L34" i="6"/>
  <c r="E34" i="6"/>
  <c r="G34" i="6" s="1"/>
  <c r="I34" i="6" s="1"/>
  <c r="M32" i="6"/>
  <c r="L32" i="6"/>
  <c r="E32" i="6"/>
  <c r="G32" i="6" s="1"/>
  <c r="I32" i="6" s="1"/>
  <c r="M31" i="6"/>
  <c r="L31" i="6"/>
  <c r="E31" i="6"/>
  <c r="G31" i="6" s="1"/>
  <c r="I31" i="6" s="1"/>
  <c r="M26" i="6"/>
  <c r="L26" i="6"/>
  <c r="E26" i="6"/>
  <c r="G26" i="6" s="1"/>
  <c r="I26" i="6" s="1"/>
  <c r="M25" i="6"/>
  <c r="L25" i="6"/>
  <c r="E25" i="6"/>
  <c r="G25" i="6" s="1"/>
  <c r="I25" i="6" s="1"/>
  <c r="E24" i="6"/>
  <c r="G24" i="6" s="1"/>
  <c r="L23" i="6"/>
  <c r="L21" i="6"/>
  <c r="E21" i="6"/>
  <c r="G21" i="6" s="1"/>
  <c r="M20" i="6"/>
  <c r="L20" i="6"/>
  <c r="E20" i="6"/>
  <c r="G20" i="6" s="1"/>
  <c r="M19" i="6"/>
  <c r="L19" i="6"/>
  <c r="M18" i="6"/>
  <c r="L18" i="6"/>
  <c r="E18" i="6"/>
  <c r="G18" i="6" s="1"/>
  <c r="M17" i="6"/>
  <c r="L17" i="6"/>
  <c r="E16" i="6"/>
  <c r="M15" i="6"/>
  <c r="L15" i="6"/>
  <c r="E15" i="6"/>
  <c r="G15" i="6" s="1"/>
  <c r="I15" i="6" s="1"/>
  <c r="M14" i="6"/>
  <c r="E14" i="6"/>
  <c r="L14" i="6"/>
  <c r="M13" i="6"/>
  <c r="L13" i="6"/>
  <c r="E13" i="6"/>
  <c r="G13" i="6" s="1"/>
  <c r="H22" i="10" l="1"/>
  <c r="H23" i="10"/>
  <c r="M59" i="6"/>
  <c r="G16" i="6"/>
  <c r="I16" i="6" s="1"/>
  <c r="M16" i="6"/>
  <c r="L24" i="6"/>
  <c r="L59" i="6"/>
  <c r="G40" i="6"/>
  <c r="I40" i="6" s="1"/>
  <c r="L16" i="6"/>
  <c r="G14" i="6"/>
  <c r="I14" i="6" s="1"/>
  <c r="H18" i="6"/>
  <c r="I18" i="6"/>
  <c r="I52" i="6"/>
  <c r="H52" i="6"/>
  <c r="I21" i="6"/>
  <c r="H21" i="6"/>
  <c r="I51" i="6"/>
  <c r="H51" i="6"/>
  <c r="I49" i="6"/>
  <c r="H49" i="6"/>
  <c r="G59" i="6"/>
  <c r="I13" i="6"/>
  <c r="H13" i="6"/>
  <c r="I20" i="6"/>
  <c r="H20" i="6"/>
  <c r="I41" i="6"/>
  <c r="H41" i="6"/>
  <c r="H24" i="6"/>
  <c r="I24" i="6"/>
  <c r="I50" i="6"/>
  <c r="H50" i="6"/>
  <c r="M23" i="6"/>
  <c r="E23" i="6"/>
  <c r="G23" i="6" s="1"/>
  <c r="M24" i="6"/>
  <c r="L40" i="6"/>
  <c r="M40" i="6"/>
  <c r="D28" i="10" s="1"/>
  <c r="H15" i="6"/>
  <c r="J15" i="6" s="1"/>
  <c r="H25" i="6"/>
  <c r="J25" i="6" s="1"/>
  <c r="H26" i="6"/>
  <c r="J26" i="6" s="1"/>
  <c r="H31" i="6"/>
  <c r="J31" i="6" s="1"/>
  <c r="H32" i="6"/>
  <c r="J32" i="6" s="1"/>
  <c r="H34" i="6"/>
  <c r="J34" i="6" s="1"/>
  <c r="H35" i="6"/>
  <c r="J35" i="6" s="1"/>
  <c r="H37" i="6"/>
  <c r="J37" i="6" s="1"/>
  <c r="H26" i="10" l="1"/>
  <c r="J50" i="6"/>
  <c r="H16" i="6"/>
  <c r="K16" i="6" s="1"/>
  <c r="J13" i="6"/>
  <c r="K41" i="6"/>
  <c r="J41" i="6"/>
  <c r="J20" i="6"/>
  <c r="K51" i="6"/>
  <c r="K24" i="6"/>
  <c r="H40" i="6"/>
  <c r="K40" i="6" s="1"/>
  <c r="G21" i="10" s="1"/>
  <c r="K37" i="6"/>
  <c r="I21" i="10" s="1"/>
  <c r="J24" i="6"/>
  <c r="J52" i="6"/>
  <c r="M42" i="6"/>
  <c r="M60" i="6" s="1"/>
  <c r="L42" i="6"/>
  <c r="L60" i="6" s="1"/>
  <c r="I59" i="6"/>
  <c r="G42" i="6"/>
  <c r="G60" i="6" s="1"/>
  <c r="J18" i="6"/>
  <c r="K15" i="6"/>
  <c r="K26" i="6"/>
  <c r="J21" i="6"/>
  <c r="H14" i="6"/>
  <c r="J14" i="6" s="1"/>
  <c r="K13" i="6"/>
  <c r="J51" i="6"/>
  <c r="K49" i="6"/>
  <c r="K52" i="6"/>
  <c r="K50" i="6"/>
  <c r="I23" i="6"/>
  <c r="I42" i="6" s="1"/>
  <c r="H23" i="6"/>
  <c r="K31" i="6"/>
  <c r="K32" i="6"/>
  <c r="K20" i="6"/>
  <c r="K21" i="6"/>
  <c r="K25" i="6"/>
  <c r="K35" i="6"/>
  <c r="K18" i="6"/>
  <c r="H59" i="6"/>
  <c r="J49" i="6"/>
  <c r="K34" i="6"/>
  <c r="J16" i="6" l="1"/>
  <c r="J40" i="6"/>
  <c r="E28" i="10" s="1"/>
  <c r="G28" i="10" s="1"/>
  <c r="K14" i="6"/>
  <c r="J59" i="6"/>
  <c r="I60" i="6"/>
  <c r="K59" i="6"/>
  <c r="K23" i="6"/>
  <c r="J23" i="6"/>
  <c r="H42" i="6"/>
  <c r="H60" i="6" s="1"/>
  <c r="H28" i="10" l="1"/>
  <c r="I28" i="10"/>
  <c r="J42" i="6"/>
  <c r="J60" i="6" s="1"/>
  <c r="K42" i="6"/>
  <c r="K60" i="6" s="1"/>
  <c r="M24" i="5"/>
  <c r="M23" i="5"/>
  <c r="M24" i="4"/>
  <c r="M23" i="4"/>
  <c r="L23" i="5" l="1"/>
  <c r="E23" i="5"/>
  <c r="G23" i="5" s="1"/>
  <c r="H23" i="5" s="1"/>
  <c r="E24" i="5"/>
  <c r="G24" i="5" s="1"/>
  <c r="H24" i="5" s="1"/>
  <c r="E24" i="4"/>
  <c r="G24" i="4" s="1"/>
  <c r="I24" i="4" s="1"/>
  <c r="L24" i="4"/>
  <c r="E23" i="4"/>
  <c r="G23" i="4" s="1"/>
  <c r="I23" i="4" s="1"/>
  <c r="L23" i="4"/>
  <c r="L24" i="5"/>
  <c r="H23" i="4"/>
  <c r="L41" i="5"/>
  <c r="M41" i="5"/>
  <c r="E41" i="5"/>
  <c r="G41" i="5" s="1"/>
  <c r="L41" i="4"/>
  <c r="M41" i="4"/>
  <c r="E41" i="4"/>
  <c r="G41" i="4" s="1"/>
  <c r="I24" i="5" l="1"/>
  <c r="J24" i="5" s="1"/>
  <c r="K23" i="4"/>
  <c r="H24" i="4"/>
  <c r="K24" i="4" s="1"/>
  <c r="I23" i="5"/>
  <c r="J23" i="5" s="1"/>
  <c r="K23" i="5"/>
  <c r="I41" i="4"/>
  <c r="H41" i="4"/>
  <c r="J23" i="4"/>
  <c r="H41" i="5"/>
  <c r="I41" i="5"/>
  <c r="K24" i="5" l="1"/>
  <c r="J41" i="5"/>
  <c r="K41" i="4"/>
  <c r="J24" i="4"/>
  <c r="K41" i="5"/>
  <c r="J41" i="4"/>
  <c r="L18" i="4" l="1"/>
  <c r="L25" i="5"/>
  <c r="B7" i="12" l="1"/>
  <c r="F35" i="4" l="1"/>
  <c r="E22" i="9" l="1"/>
  <c r="B12" i="14" s="1"/>
  <c r="E12" i="14" s="1"/>
  <c r="E20" i="9"/>
  <c r="E10" i="14" s="1"/>
  <c r="E22" i="8"/>
  <c r="E20" i="8"/>
  <c r="E23" i="7"/>
  <c r="E23" i="9"/>
  <c r="B14" i="14" s="1"/>
  <c r="E14" i="14" s="1"/>
  <c r="E23" i="8"/>
  <c r="D11" i="10" l="1"/>
  <c r="E15" i="14"/>
  <c r="D12" i="10"/>
  <c r="G8" i="12"/>
  <c r="B13" i="15" l="1"/>
  <c r="D10" i="10"/>
  <c r="H6" i="11"/>
  <c r="H7" i="11"/>
  <c r="D22" i="9"/>
  <c r="F22" i="9" s="1"/>
  <c r="H22" i="9" s="1"/>
  <c r="D18" i="9"/>
  <c r="F18" i="9" s="1"/>
  <c r="H18" i="9" s="1"/>
  <c r="D22" i="8"/>
  <c r="F22" i="8" s="1"/>
  <c r="H22" i="8" s="1"/>
  <c r="D18" i="8"/>
  <c r="F18" i="8" s="1"/>
  <c r="H18" i="8" s="1"/>
  <c r="E22" i="7"/>
  <c r="D22" i="7"/>
  <c r="E18" i="7"/>
  <c r="E17" i="7"/>
  <c r="D18" i="7"/>
  <c r="D14" i="10" l="1"/>
  <c r="D13" i="10"/>
  <c r="F18" i="7"/>
  <c r="F22" i="7"/>
  <c r="H22" i="7" s="1"/>
  <c r="G22" i="9"/>
  <c r="I22" i="9" s="1"/>
  <c r="G18" i="9"/>
  <c r="I18" i="9" s="1"/>
  <c r="G22" i="8"/>
  <c r="I22" i="8" s="1"/>
  <c r="G18" i="8"/>
  <c r="I18" i="8" s="1"/>
  <c r="G18" i="7" l="1"/>
  <c r="G22" i="7"/>
  <c r="I22" i="7" s="1"/>
  <c r="H18" i="7"/>
  <c r="I18" i="7" s="1"/>
  <c r="L35" i="4"/>
  <c r="M35" i="4"/>
  <c r="L35" i="5"/>
  <c r="M35" i="5"/>
  <c r="L39" i="5"/>
  <c r="M39" i="5"/>
  <c r="E39" i="5"/>
  <c r="G39" i="5" s="1"/>
  <c r="I39" i="5" s="1"/>
  <c r="H39" i="5" l="1"/>
  <c r="J39" i="5" s="1"/>
  <c r="E35" i="5"/>
  <c r="G35" i="5" s="1"/>
  <c r="E34" i="5"/>
  <c r="G34" i="5" s="1"/>
  <c r="L34" i="5"/>
  <c r="M34" i="5"/>
  <c r="E35" i="4"/>
  <c r="G35" i="4" s="1"/>
  <c r="I35" i="4" s="1"/>
  <c r="K39" i="5" l="1"/>
  <c r="H35" i="4"/>
  <c r="K35" i="4" s="1"/>
  <c r="H35" i="5"/>
  <c r="I35" i="5"/>
  <c r="H34" i="5"/>
  <c r="I34" i="5"/>
  <c r="J35" i="4" l="1"/>
  <c r="K34" i="5"/>
  <c r="K35" i="5"/>
  <c r="J34" i="5"/>
  <c r="J35" i="5"/>
  <c r="C7" i="12"/>
  <c r="G7" i="12"/>
  <c r="G11" i="12" s="1"/>
  <c r="B15" i="15" s="1"/>
  <c r="E49" i="4" l="1"/>
  <c r="G49" i="4" s="1"/>
  <c r="E50" i="4"/>
  <c r="G50" i="4" s="1"/>
  <c r="E51" i="4"/>
  <c r="G51" i="4" s="1"/>
  <c r="H51" i="4" s="1"/>
  <c r="E52" i="4"/>
  <c r="G52" i="4" s="1"/>
  <c r="I52" i="4" s="1"/>
  <c r="L37" i="4"/>
  <c r="H49" i="4" l="1"/>
  <c r="G59" i="4"/>
  <c r="H52" i="4"/>
  <c r="J52" i="4" s="1"/>
  <c r="K52" i="4"/>
  <c r="I49" i="4"/>
  <c r="I51" i="4"/>
  <c r="K51" i="4" s="1"/>
  <c r="I50" i="4"/>
  <c r="H50" i="4"/>
  <c r="H59" i="4" l="1"/>
  <c r="J49" i="4"/>
  <c r="I59" i="4"/>
  <c r="K50" i="4"/>
  <c r="K49" i="4"/>
  <c r="J50" i="4"/>
  <c r="J51" i="4"/>
  <c r="K59" i="4" l="1"/>
  <c r="D24" i="9" l="1"/>
  <c r="F24" i="9" s="1"/>
  <c r="H24" i="9" s="1"/>
  <c r="D23" i="9"/>
  <c r="D20" i="9"/>
  <c r="F20" i="9" s="1"/>
  <c r="D17" i="9"/>
  <c r="F17" i="9" s="1"/>
  <c r="H17" i="9" s="1"/>
  <c r="D15" i="9"/>
  <c r="F15" i="9" s="1"/>
  <c r="D24" i="8"/>
  <c r="F24" i="8" s="1"/>
  <c r="D23" i="8"/>
  <c r="F23" i="8" s="1"/>
  <c r="D20" i="8"/>
  <c r="F20" i="8" s="1"/>
  <c r="D17" i="8"/>
  <c r="F17" i="8" s="1"/>
  <c r="D15" i="8"/>
  <c r="F15" i="8" s="1"/>
  <c r="F23" i="9" l="1"/>
  <c r="F25" i="8"/>
  <c r="C4" i="11" s="1"/>
  <c r="H20" i="9"/>
  <c r="G20" i="9"/>
  <c r="G15" i="9"/>
  <c r="G24" i="9"/>
  <c r="I24" i="9" s="1"/>
  <c r="H15" i="9"/>
  <c r="G17" i="9"/>
  <c r="I17" i="9" s="1"/>
  <c r="H23" i="8"/>
  <c r="G23" i="8"/>
  <c r="H15" i="8"/>
  <c r="G15" i="8"/>
  <c r="G17" i="8"/>
  <c r="H17" i="8"/>
  <c r="H20" i="8"/>
  <c r="G20" i="8"/>
  <c r="H24" i="8"/>
  <c r="G24" i="8"/>
  <c r="F25" i="9" l="1"/>
  <c r="C5" i="11" s="1"/>
  <c r="H25" i="8"/>
  <c r="E4" i="11" s="1"/>
  <c r="I15" i="9"/>
  <c r="I23" i="8"/>
  <c r="I17" i="8"/>
  <c r="I24" i="8"/>
  <c r="G23" i="9"/>
  <c r="H23" i="9"/>
  <c r="H25" i="9" s="1"/>
  <c r="E5" i="11" s="1"/>
  <c r="I20" i="9"/>
  <c r="I20" i="8"/>
  <c r="G25" i="8"/>
  <c r="D4" i="11" s="1"/>
  <c r="I15" i="8"/>
  <c r="I25" i="8" l="1"/>
  <c r="G4" i="11" s="1"/>
  <c r="I4" i="11" s="1"/>
  <c r="I23" i="9"/>
  <c r="G25" i="9"/>
  <c r="D5" i="11" s="1"/>
  <c r="F5" i="11" s="1"/>
  <c r="F4" i="11"/>
  <c r="L25" i="4"/>
  <c r="F7" i="11" l="1"/>
  <c r="I25" i="9"/>
  <c r="G5" i="11" s="1"/>
  <c r="I5" i="11" s="1"/>
  <c r="D23" i="7"/>
  <c r="F23" i="7" s="1"/>
  <c r="D20" i="7"/>
  <c r="F20" i="7" s="1"/>
  <c r="D17" i="7"/>
  <c r="F17" i="7" s="1"/>
  <c r="L50" i="5"/>
  <c r="M16" i="5"/>
  <c r="M52" i="5"/>
  <c r="L52" i="5"/>
  <c r="E52" i="5"/>
  <c r="G52" i="5" s="1"/>
  <c r="H52" i="5" s="1"/>
  <c r="L51" i="5"/>
  <c r="E51" i="5"/>
  <c r="G51" i="5" s="1"/>
  <c r="H51" i="5" s="1"/>
  <c r="M50" i="5"/>
  <c r="E50" i="5"/>
  <c r="M49" i="5"/>
  <c r="L49" i="5"/>
  <c r="E49" i="5"/>
  <c r="G49" i="5" s="1"/>
  <c r="E40" i="5"/>
  <c r="M37" i="5"/>
  <c r="L37" i="5"/>
  <c r="E37" i="5"/>
  <c r="G37" i="5" s="1"/>
  <c r="M32" i="5"/>
  <c r="L32" i="5"/>
  <c r="E32" i="5"/>
  <c r="G32" i="5" s="1"/>
  <c r="M31" i="5"/>
  <c r="L31" i="5"/>
  <c r="E31" i="5"/>
  <c r="G31" i="5" s="1"/>
  <c r="M26" i="5"/>
  <c r="L26" i="5"/>
  <c r="E26" i="5"/>
  <c r="G26" i="5" s="1"/>
  <c r="M25" i="5"/>
  <c r="E25" i="5"/>
  <c r="G25" i="5" s="1"/>
  <c r="L21" i="5"/>
  <c r="E21" i="5"/>
  <c r="G21" i="5" s="1"/>
  <c r="M20" i="5"/>
  <c r="L20" i="5"/>
  <c r="E20" i="5"/>
  <c r="G20" i="5" s="1"/>
  <c r="M19" i="5"/>
  <c r="L19" i="5"/>
  <c r="M18" i="5"/>
  <c r="L18" i="5"/>
  <c r="E18" i="5"/>
  <c r="G18" i="5" s="1"/>
  <c r="M17" i="5"/>
  <c r="L17" i="5"/>
  <c r="E16" i="5"/>
  <c r="M15" i="5"/>
  <c r="L15" i="5"/>
  <c r="E15" i="5"/>
  <c r="G15" i="5" s="1"/>
  <c r="E14" i="5"/>
  <c r="M13" i="5"/>
  <c r="L13" i="5"/>
  <c r="E13" i="5"/>
  <c r="G13" i="5" s="1"/>
  <c r="M52" i="4"/>
  <c r="L52" i="4"/>
  <c r="L51" i="4"/>
  <c r="M49" i="4"/>
  <c r="L49" i="4"/>
  <c r="M37" i="4"/>
  <c r="M34" i="4"/>
  <c r="L34" i="4"/>
  <c r="M32" i="4"/>
  <c r="L32" i="4"/>
  <c r="M31" i="4"/>
  <c r="L31" i="4"/>
  <c r="L26" i="4"/>
  <c r="M25" i="4"/>
  <c r="L21" i="4"/>
  <c r="M20" i="4"/>
  <c r="L20" i="4"/>
  <c r="M19" i="4"/>
  <c r="L19" i="4"/>
  <c r="M18" i="4"/>
  <c r="M17" i="4"/>
  <c r="L17" i="4"/>
  <c r="M15" i="4"/>
  <c r="L15" i="4"/>
  <c r="M13" i="4"/>
  <c r="L16" i="4"/>
  <c r="F25" i="7" l="1"/>
  <c r="C3" i="11" s="1"/>
  <c r="D29" i="10"/>
  <c r="D30" i="10"/>
  <c r="G50" i="5"/>
  <c r="H50" i="5" s="1"/>
  <c r="H20" i="7"/>
  <c r="G40" i="5"/>
  <c r="G20" i="7"/>
  <c r="H23" i="7"/>
  <c r="G23" i="7"/>
  <c r="H17" i="7"/>
  <c r="G17" i="7"/>
  <c r="G14" i="5"/>
  <c r="H14" i="5" s="1"/>
  <c r="I51" i="5"/>
  <c r="J51" i="5" s="1"/>
  <c r="L59" i="5"/>
  <c r="M59" i="5"/>
  <c r="I52" i="5"/>
  <c r="J52" i="5" s="1"/>
  <c r="L40" i="5"/>
  <c r="L16" i="5"/>
  <c r="L14" i="5"/>
  <c r="L42" i="5" s="1"/>
  <c r="I31" i="5"/>
  <c r="H31" i="5"/>
  <c r="I20" i="5"/>
  <c r="H20" i="5"/>
  <c r="I26" i="5"/>
  <c r="H26" i="5"/>
  <c r="H15" i="5"/>
  <c r="I15" i="5"/>
  <c r="I37" i="5"/>
  <c r="H37" i="5"/>
  <c r="I25" i="5"/>
  <c r="H25" i="5"/>
  <c r="I49" i="5"/>
  <c r="H49" i="5"/>
  <c r="I21" i="5"/>
  <c r="H21" i="5"/>
  <c r="I13" i="5"/>
  <c r="H13" i="5"/>
  <c r="I32" i="5"/>
  <c r="H32" i="5"/>
  <c r="J32" i="5" s="1"/>
  <c r="G16" i="5"/>
  <c r="H18" i="5"/>
  <c r="M14" i="5"/>
  <c r="M42" i="5" s="1"/>
  <c r="I18" i="5"/>
  <c r="H40" i="5" l="1"/>
  <c r="E20" i="10" s="1"/>
  <c r="E21" i="10" s="1"/>
  <c r="E22" i="10" s="1"/>
  <c r="C20" i="10"/>
  <c r="K26" i="5"/>
  <c r="M60" i="5"/>
  <c r="L60" i="5"/>
  <c r="K52" i="5"/>
  <c r="K21" i="5"/>
  <c r="G42" i="5"/>
  <c r="K51" i="5"/>
  <c r="G25" i="7"/>
  <c r="D3" i="11" s="1"/>
  <c r="G59" i="5"/>
  <c r="I40" i="5"/>
  <c r="H25" i="7"/>
  <c r="E3" i="11" s="1"/>
  <c r="K37" i="5"/>
  <c r="I17" i="7"/>
  <c r="H5" i="10"/>
  <c r="I14" i="5"/>
  <c r="J14" i="5" s="1"/>
  <c r="J13" i="5"/>
  <c r="C5" i="10"/>
  <c r="J37" i="5"/>
  <c r="I50" i="5"/>
  <c r="J50" i="5" s="1"/>
  <c r="J21" i="5"/>
  <c r="H59" i="5"/>
  <c r="I23" i="7"/>
  <c r="C7" i="11"/>
  <c r="C6" i="11"/>
  <c r="I20" i="7"/>
  <c r="K20" i="5"/>
  <c r="K15" i="5"/>
  <c r="K31" i="5"/>
  <c r="J18" i="5"/>
  <c r="K32" i="5"/>
  <c r="K25" i="5"/>
  <c r="J25" i="5"/>
  <c r="J20" i="5"/>
  <c r="K13" i="5"/>
  <c r="J26" i="5"/>
  <c r="K18" i="5"/>
  <c r="J15" i="5"/>
  <c r="J49" i="5"/>
  <c r="J31" i="5"/>
  <c r="I16" i="5"/>
  <c r="H16" i="5"/>
  <c r="H42" i="5" s="1"/>
  <c r="K49" i="5"/>
  <c r="J40" i="5" l="1"/>
  <c r="E27" i="10" s="1"/>
  <c r="D20" i="10"/>
  <c r="D21" i="10" s="1"/>
  <c r="C21" i="10"/>
  <c r="F21" i="10"/>
  <c r="E23" i="10"/>
  <c r="D23" i="10"/>
  <c r="D22" i="10"/>
  <c r="G27" i="10"/>
  <c r="E29" i="10"/>
  <c r="E30" i="10"/>
  <c r="G60" i="5"/>
  <c r="C4" i="10" s="1"/>
  <c r="F12" i="10"/>
  <c r="E5" i="10"/>
  <c r="E12" i="10"/>
  <c r="K14" i="5"/>
  <c r="I42" i="5"/>
  <c r="H4" i="10"/>
  <c r="H7" i="10" s="1"/>
  <c r="D5" i="10"/>
  <c r="H60" i="5"/>
  <c r="E4" i="10" s="1"/>
  <c r="K50" i="5"/>
  <c r="K59" i="5" s="1"/>
  <c r="J59" i="5"/>
  <c r="I59" i="5"/>
  <c r="K40" i="5"/>
  <c r="I25" i="7"/>
  <c r="G3" i="11" s="1"/>
  <c r="G7" i="11" s="1"/>
  <c r="E7" i="11"/>
  <c r="E6" i="11"/>
  <c r="D7" i="11"/>
  <c r="D6" i="11"/>
  <c r="F3" i="11"/>
  <c r="J16" i="5"/>
  <c r="J42" i="5" s="1"/>
  <c r="K16" i="5"/>
  <c r="G20" i="10" l="1"/>
  <c r="I20" i="10" s="1"/>
  <c r="F20" i="10"/>
  <c r="F23" i="10" s="1"/>
  <c r="C23" i="10"/>
  <c r="C22" i="10"/>
  <c r="F22" i="10"/>
  <c r="I27" i="10"/>
  <c r="H27" i="10"/>
  <c r="G30" i="10"/>
  <c r="G29" i="10"/>
  <c r="F11" i="10"/>
  <c r="J60" i="5"/>
  <c r="G12" i="10"/>
  <c r="H12" i="10" s="1"/>
  <c r="K42" i="5"/>
  <c r="K60" i="5" s="1"/>
  <c r="F5" i="10"/>
  <c r="I60" i="5"/>
  <c r="D4" i="10" s="1"/>
  <c r="F4" i="10" s="1"/>
  <c r="I3" i="11"/>
  <c r="I7" i="11" s="1"/>
  <c r="G6" i="11"/>
  <c r="G5" i="10"/>
  <c r="I5" i="10" s="1"/>
  <c r="F6" i="11"/>
  <c r="E11" i="10"/>
  <c r="G11" i="10" s="1"/>
  <c r="H11" i="10" s="1"/>
  <c r="I30" i="10" l="1"/>
  <c r="H30" i="10"/>
  <c r="H29" i="10"/>
  <c r="I29" i="10"/>
  <c r="I12" i="10"/>
  <c r="I11" i="10"/>
  <c r="G4" i="10"/>
  <c r="I4" i="10" s="1"/>
  <c r="I6" i="11"/>
  <c r="L50" i="4" l="1"/>
  <c r="L59" i="4" s="1"/>
  <c r="M50" i="4"/>
  <c r="M59" i="4" s="1"/>
  <c r="M40" i="4"/>
  <c r="L40" i="4"/>
  <c r="E40" i="4"/>
  <c r="G40" i="4" s="1"/>
  <c r="E37" i="4"/>
  <c r="G37" i="4" s="1"/>
  <c r="E34" i="4"/>
  <c r="G34" i="4" s="1"/>
  <c r="E32" i="4"/>
  <c r="G32" i="4" s="1"/>
  <c r="E31" i="4"/>
  <c r="G31" i="4" s="1"/>
  <c r="E26" i="4"/>
  <c r="G26" i="4" s="1"/>
  <c r="E25" i="4"/>
  <c r="G25" i="4" s="1"/>
  <c r="E21" i="4"/>
  <c r="G21" i="4" s="1"/>
  <c r="E20" i="4"/>
  <c r="G20" i="4" s="1"/>
  <c r="E18" i="4"/>
  <c r="G18" i="4" s="1"/>
  <c r="E16" i="4"/>
  <c r="E15" i="4"/>
  <c r="G15" i="4" s="1"/>
  <c r="E14" i="4"/>
  <c r="E13" i="4"/>
  <c r="G13" i="4" s="1"/>
  <c r="M16" i="4" l="1"/>
  <c r="M14" i="4"/>
  <c r="L14" i="4"/>
  <c r="L42" i="4" s="1"/>
  <c r="L60" i="4" s="1"/>
  <c r="I13" i="4"/>
  <c r="G16" i="4"/>
  <c r="G14" i="4"/>
  <c r="H31" i="4"/>
  <c r="I31" i="4"/>
  <c r="I37" i="4"/>
  <c r="H37" i="4"/>
  <c r="H40" i="4"/>
  <c r="I40" i="4"/>
  <c r="I18" i="4"/>
  <c r="H18" i="4"/>
  <c r="I21" i="4"/>
  <c r="H21" i="4"/>
  <c r="I20" i="4"/>
  <c r="H20" i="4"/>
  <c r="H25" i="4"/>
  <c r="I25" i="4"/>
  <c r="I32" i="4"/>
  <c r="H32" i="4"/>
  <c r="I15" i="4"/>
  <c r="H15" i="4"/>
  <c r="I26" i="4"/>
  <c r="H26" i="4"/>
  <c r="I34" i="4"/>
  <c r="H34" i="4"/>
  <c r="H13" i="4"/>
  <c r="K20" i="4" l="1"/>
  <c r="G42" i="4"/>
  <c r="G60" i="4" s="1"/>
  <c r="J26" i="4"/>
  <c r="M42" i="4"/>
  <c r="M60" i="4" s="1"/>
  <c r="K21" i="4"/>
  <c r="K34" i="4"/>
  <c r="K25" i="4"/>
  <c r="J32" i="4"/>
  <c r="J31" i="4"/>
  <c r="K15" i="4"/>
  <c r="J18" i="4"/>
  <c r="K13" i="4"/>
  <c r="J21" i="4"/>
  <c r="J34" i="4"/>
  <c r="I16" i="4"/>
  <c r="J15" i="4"/>
  <c r="F10" i="10"/>
  <c r="J20" i="4"/>
  <c r="J25" i="4"/>
  <c r="K18" i="4"/>
  <c r="K37" i="4"/>
  <c r="J40" i="4"/>
  <c r="J37" i="4"/>
  <c r="I14" i="4"/>
  <c r="J13" i="4"/>
  <c r="H16" i="4"/>
  <c r="H14" i="4"/>
  <c r="K40" i="4"/>
  <c r="K31" i="4"/>
  <c r="K26" i="4"/>
  <c r="K32" i="4"/>
  <c r="G19" i="10" l="1"/>
  <c r="H42" i="4"/>
  <c r="H60" i="4" s="1"/>
  <c r="E3" i="10" s="1"/>
  <c r="I42" i="4"/>
  <c r="I60" i="4" s="1"/>
  <c r="D3" i="10" s="1"/>
  <c r="D6" i="10" s="1"/>
  <c r="K16" i="4"/>
  <c r="J16" i="4"/>
  <c r="F13" i="10"/>
  <c r="F14" i="10"/>
  <c r="K14" i="4"/>
  <c r="K42" i="4" s="1"/>
  <c r="K60" i="4" s="1"/>
  <c r="C3" i="10"/>
  <c r="J14" i="4"/>
  <c r="J42" i="4" s="1"/>
  <c r="J60" i="4" s="1"/>
  <c r="G23" i="10" l="1"/>
  <c r="G22" i="10"/>
  <c r="I19" i="10"/>
  <c r="E10" i="10"/>
  <c r="H3" i="10"/>
  <c r="D7" i="10"/>
  <c r="F3" i="10"/>
  <c r="F7" i="10" s="1"/>
  <c r="B14" i="15" s="1"/>
  <c r="E7" i="10"/>
  <c r="E6" i="10"/>
  <c r="C6" i="10"/>
  <c r="C7" i="10"/>
  <c r="I23" i="10" l="1"/>
  <c r="I22" i="10"/>
  <c r="F6" i="10"/>
  <c r="E13" i="10"/>
  <c r="G10" i="10"/>
  <c r="E14" i="10"/>
  <c r="B6" i="15"/>
  <c r="H6" i="10"/>
  <c r="I10" i="10" l="1"/>
  <c r="H10" i="10"/>
  <c r="G13" i="10"/>
  <c r="G14" i="10"/>
  <c r="G3" i="10"/>
  <c r="I14" i="10" l="1"/>
  <c r="H14" i="10"/>
  <c r="B2" i="15" s="1"/>
  <c r="H13" i="10"/>
  <c r="I13" i="10"/>
  <c r="G6" i="10"/>
  <c r="G7" i="10"/>
  <c r="B4" i="15"/>
  <c r="I3" i="10"/>
  <c r="I7" i="10" s="1"/>
  <c r="B5" i="15" s="1"/>
  <c r="I6" i="10" l="1"/>
</calcChain>
</file>

<file path=xl/sharedStrings.xml><?xml version="1.0" encoding="utf-8"?>
<sst xmlns="http://schemas.openxmlformats.org/spreadsheetml/2006/main" count="568" uniqueCount="211">
  <si>
    <t>Burden item</t>
  </si>
  <si>
    <t>(A)</t>
  </si>
  <si>
    <t>(B)</t>
  </si>
  <si>
    <t>(C)</t>
  </si>
  <si>
    <t>(D)</t>
  </si>
  <si>
    <t>(E)</t>
  </si>
  <si>
    <t>(F)</t>
  </si>
  <si>
    <t>(G)</t>
  </si>
  <si>
    <t>(H)</t>
  </si>
  <si>
    <t>1.  Applications</t>
  </si>
  <si>
    <t>N/A</t>
  </si>
  <si>
    <t>2.  Survey and Studies</t>
  </si>
  <si>
    <t>3.  Reporting requirements</t>
  </si>
  <si>
    <t xml:space="preserve">     B.  Required activities</t>
  </si>
  <si>
    <t xml:space="preserve">     C.  Create information</t>
  </si>
  <si>
    <t>See 3B</t>
  </si>
  <si>
    <t>See 3E</t>
  </si>
  <si>
    <t>Subtotal for Reporting Requirements</t>
  </si>
  <si>
    <t>4.  Recordkeeping requirements</t>
  </si>
  <si>
    <t>See 3A</t>
  </si>
  <si>
    <t xml:space="preserve">     B.  Plan activities</t>
  </si>
  <si>
    <t xml:space="preserve">     D.  Develop record system</t>
  </si>
  <si>
    <t xml:space="preserve">     E.  Record information</t>
  </si>
  <si>
    <t>Assumptions:</t>
  </si>
  <si>
    <t>Technical person- hours per year (E=CxD)</t>
  </si>
  <si>
    <t>Activity</t>
  </si>
  <si>
    <t>EPA person- hours per occurrence</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</si>
  <si>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</si>
  <si>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</si>
  <si>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</si>
  <si>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t>3.  Required activities</t>
  </si>
  <si>
    <t xml:space="preserve">     A.  Create information</t>
  </si>
  <si>
    <t xml:space="preserve">     B.  Gather information</t>
  </si>
  <si>
    <t xml:space="preserve">     C.  Report reviews</t>
  </si>
  <si>
    <t xml:space="preserve">          3) Review annual compliance report </t>
  </si>
  <si>
    <t xml:space="preserve">          4) Review semiannual deviation reports</t>
  </si>
  <si>
    <r>
      <t xml:space="preserve">          5)  Review waste management plan </t>
    </r>
    <r>
      <rPr>
        <vertAlign val="superscript"/>
        <sz val="10"/>
        <color theme="1"/>
        <rFont val="Times New Roman"/>
        <family val="1"/>
      </rPr>
      <t>c</t>
    </r>
  </si>
  <si>
    <t>EPA person- hours per plant per year (C=AxB)</t>
  </si>
  <si>
    <t>Management person-hours per year (Ex0.05)</t>
  </si>
  <si>
    <t>Clerical person-hours per year (Ex0.1)</t>
  </si>
  <si>
    <t>2.  Familiarization with rule requirements</t>
  </si>
  <si>
    <t>Capital/Startup vs. Operation and Maintenance (O&amp;M) Costs</t>
  </si>
  <si>
    <t>Capital/Startup Cost for One Respondent</t>
  </si>
  <si>
    <t>Total Capital/Startup Cost, (B X C)</t>
  </si>
  <si>
    <t>Annual O&amp;M Costs for One Respondent</t>
  </si>
  <si>
    <t>Number of Respondents with O&amp;M</t>
  </si>
  <si>
    <t>Total</t>
  </si>
  <si>
    <t>Person-hours per year</t>
  </si>
  <si>
    <t>(A)
Person hours per occurrence</t>
  </si>
  <si>
    <t>1)  Initial performance test and reports</t>
  </si>
  <si>
    <t>2)  CEMS demonstration (CO, O2)</t>
  </si>
  <si>
    <t>b) Annual Costs</t>
  </si>
  <si>
    <t>See 3.B.5</t>
  </si>
  <si>
    <t xml:space="preserve">     D.  Gather existing information</t>
  </si>
  <si>
    <t xml:space="preserve">     E.  Write Report</t>
  </si>
  <si>
    <r>
      <t xml:space="preserve">     A. Familiarize with rule requirements</t>
    </r>
    <r>
      <rPr>
        <vertAlign val="superscript"/>
        <sz val="10"/>
        <rFont val="Times New Roman"/>
        <family val="1"/>
      </rPr>
      <t>c</t>
    </r>
  </si>
  <si>
    <t xml:space="preserve">     C.  Implement activities</t>
  </si>
  <si>
    <t xml:space="preserve">3)  Records of employee review of operations manual </t>
  </si>
  <si>
    <t>F.  Perform Audits</t>
  </si>
  <si>
    <t>Subtotal for Recordkeeping Requirements</t>
  </si>
  <si>
    <t>(C)
No. of occurrences per respondent per year</t>
  </si>
  <si>
    <t>(D)
Person hours per respondent per year
(C=AxB)</t>
  </si>
  <si>
    <t>(B)
Non-Labor Costs Per Occurrence</t>
  </si>
  <si>
    <t>(F)
Technical person- hours per year
(E=CxD)</t>
  </si>
  <si>
    <t>(G)
Management person hours per year
(Ex0.05)</t>
  </si>
  <si>
    <t>(H)
Clerical person hours per year
(Ex0.1)</t>
  </si>
  <si>
    <t>(I)
Total Hours per Year
(F + G + H)</t>
  </si>
  <si>
    <t>(K)
Total Non-Labor Costs Per Year 
(B x C x E)</t>
  </si>
  <si>
    <t>(L)
Total Number of Responses per Year
(C X E)</t>
  </si>
  <si>
    <t>Total Hours</t>
  </si>
  <si>
    <t>Year</t>
  </si>
  <si>
    <t>Technical Hours</t>
  </si>
  <si>
    <t>Clerical Hours</t>
  </si>
  <si>
    <t>Management Hours</t>
  </si>
  <si>
    <t>Total Labor Hours</t>
  </si>
  <si>
    <t>Labor Costs</t>
  </si>
  <si>
    <t>Total Costs</t>
  </si>
  <si>
    <t>Average</t>
  </si>
  <si>
    <t>Number of Respondents</t>
  </si>
  <si>
    <t>Number of Responses</t>
  </si>
  <si>
    <t>Reporting Hours</t>
  </si>
  <si>
    <t>Recordkeeping Hours</t>
  </si>
  <si>
    <t>Hours per Response</t>
  </si>
  <si>
    <t>Hours Per Respondent</t>
  </si>
  <si>
    <t>Non-Labor (Capital/Startup and O&amp;M) Costs</t>
  </si>
  <si>
    <t>Non-Labor Costs</t>
  </si>
  <si>
    <t>Initial Stack Test</t>
  </si>
  <si>
    <r>
      <t xml:space="preserve">a) Initial test report (non-ACI) </t>
    </r>
    <r>
      <rPr>
        <vertAlign val="superscript"/>
        <sz val="10"/>
        <color rgb="FF000000"/>
        <rFont val="Times New Roman"/>
        <family val="1"/>
      </rPr>
      <t>c</t>
    </r>
  </si>
  <si>
    <r>
      <t xml:space="preserve">b) Initial test report (ACI) </t>
    </r>
    <r>
      <rPr>
        <vertAlign val="superscript"/>
        <sz val="10"/>
        <color rgb="FF000000"/>
        <rFont val="Times New Roman"/>
        <family val="1"/>
      </rPr>
      <t>c</t>
    </r>
  </si>
  <si>
    <t>4)  Annual compliance reports</t>
  </si>
  <si>
    <t xml:space="preserve">          2) Review initial compliance test report</t>
  </si>
  <si>
    <t>Total O&amp;M, (E X F)</t>
  </si>
  <si>
    <r>
      <t xml:space="preserve">      6) Waste management plan </t>
    </r>
    <r>
      <rPr>
        <vertAlign val="superscript"/>
        <sz val="10"/>
        <rFont val="Times New Roman"/>
        <family val="1"/>
      </rPr>
      <t>c</t>
    </r>
  </si>
  <si>
    <t xml:space="preserve">        5)  Quarterly Appendix F audits of CEMS (CO)</t>
  </si>
  <si>
    <t>6)  Notification of final compliance</t>
  </si>
  <si>
    <r>
      <t xml:space="preserve">Number of New Respondents </t>
    </r>
    <r>
      <rPr>
        <vertAlign val="superscript"/>
        <sz val="10"/>
        <color rgb="FF000000"/>
        <rFont val="Times New Roman"/>
        <family val="1"/>
      </rPr>
      <t>a</t>
    </r>
  </si>
  <si>
    <t>Updated to 2024 dollars</t>
  </si>
  <si>
    <t xml:space="preserve">          2) Familiarize with rule (existing burden)</t>
  </si>
  <si>
    <t>Respondents That Submit Reports</t>
  </si>
  <si>
    <t>Respondents That Do Not Submit Any Reports</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</si>
  <si>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</si>
  <si>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</si>
  <si>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</si>
  <si>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</si>
  <si>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</si>
  <si>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</si>
  <si>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</si>
  <si>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</si>
  <si>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Existing Respondents That Keep Records But Do Not Submit Reports</t>
  </si>
  <si>
    <t>Total Annual Responses
E=(BxC)+D</t>
  </si>
  <si>
    <t>Preconstruction Report</t>
  </si>
  <si>
    <t>Startup notification</t>
  </si>
  <si>
    <t>Initial test report (non-ACI)</t>
  </si>
  <si>
    <t>Initial test report (ACI)</t>
  </si>
  <si>
    <t>Semiannual deviation report</t>
  </si>
  <si>
    <t>Notification of final compliance</t>
  </si>
  <si>
    <t>Total (rounded)</t>
  </si>
  <si>
    <t>ICR Summary Information</t>
  </si>
  <si>
    <t>Hours Per Response</t>
  </si>
  <si>
    <t>Total Estimated Burden Hours</t>
  </si>
  <si>
    <t>Total Estimated Costs</t>
  </si>
  <si>
    <t>Annualized Capital O&amp;M</t>
  </si>
  <si>
    <t>Form Number</t>
  </si>
  <si>
    <t>Note: There are no incremental costs to the Agency associated with the rulemaking.</t>
  </si>
  <si>
    <r>
      <rPr>
        <vertAlign val="superscript"/>
        <sz val="10"/>
        <rFont val="Times New Roman"/>
        <family val="1"/>
      </rPr>
      <t>k</t>
    </r>
    <r>
      <rPr>
        <sz val="10"/>
        <rFont val="Times New Roman"/>
        <family val="1"/>
      </rPr>
      <t xml:space="preserve"> We have assumed that each respondent will record information 52 times per year. The non-labor costs shown for control device operating parameters are total cost for the entire year, not the cost per occurrence.</t>
    </r>
  </si>
  <si>
    <r>
      <t>a</t>
    </r>
    <r>
      <rPr>
        <sz val="10"/>
        <rFont val="Times New Roman"/>
        <family val="1"/>
      </rPr>
      <t xml:space="preserve"> EPA estimates that there are no existing facilities subject to 40 CFR 60, Subpart FFFF.</t>
    </r>
  </si>
  <si>
    <r>
      <t>d</t>
    </r>
    <r>
      <rPr>
        <sz val="10"/>
        <rFont val="Times New Roman"/>
        <family val="1"/>
      </rPr>
      <t xml:space="preserve">  We have assumed that no respondents would be required to repeat a performance test.</t>
    </r>
  </si>
  <si>
    <r>
      <t xml:space="preserve">h </t>
    </r>
    <r>
      <rPr>
        <sz val="10"/>
        <rFont val="Times New Roman"/>
        <family val="1"/>
      </rPr>
      <t xml:space="preserve"> We have assumed that each respondent will record information 52 times per year.</t>
    </r>
  </si>
  <si>
    <r>
      <t xml:space="preserve">i </t>
    </r>
    <r>
      <rPr>
        <sz val="10"/>
        <rFont val="Times New Roman"/>
        <family val="1"/>
      </rPr>
      <t>We have assumed that 10 percent of the respondents will report exceedances.</t>
    </r>
  </si>
  <si>
    <r>
      <t xml:space="preserve">j </t>
    </r>
    <r>
      <rPr>
        <sz val="10"/>
        <rFont val="Times New Roman"/>
        <family val="1"/>
      </rPr>
      <t>Totals have been rounded to 3 significant figures. Figures may not add exactly due to rounding.</t>
    </r>
  </si>
  <si>
    <r>
      <t>(E)
Respondents per year</t>
    </r>
    <r>
      <rPr>
        <vertAlign val="superscript"/>
        <sz val="10"/>
        <rFont val="Times New Roman"/>
        <family val="1"/>
      </rPr>
      <t>a</t>
    </r>
  </si>
  <si>
    <r>
      <t>(J)
Total Labor Cost per year</t>
    </r>
    <r>
      <rPr>
        <vertAlign val="superscript"/>
        <sz val="10"/>
        <rFont val="Times New Roman"/>
        <family val="1"/>
      </rPr>
      <t>b</t>
    </r>
  </si>
  <si>
    <r>
      <t xml:space="preserve">     A.  Familiarize with rule requirements</t>
    </r>
    <r>
      <rPr>
        <vertAlign val="superscript"/>
        <sz val="10"/>
        <rFont val="Times New Roman"/>
        <family val="1"/>
      </rPr>
      <t>c</t>
    </r>
  </si>
  <si>
    <r>
      <t xml:space="preserve">a) Initial performance tests (PM, dioxins/furans, opacity, fugitives, HCl, Cd, Pb, Hg) </t>
    </r>
    <r>
      <rPr>
        <vertAlign val="superscript"/>
        <sz val="10"/>
        <rFont val="Times New Roman"/>
        <family val="1"/>
      </rPr>
      <t>c</t>
    </r>
  </si>
  <si>
    <r>
      <t xml:space="preserve">b) Repeat of initial performance tests </t>
    </r>
    <r>
      <rPr>
        <vertAlign val="superscript"/>
        <sz val="10"/>
        <rFont val="Times New Roman"/>
        <family val="1"/>
      </rPr>
      <t>c,d</t>
    </r>
  </si>
  <si>
    <r>
      <t xml:space="preserve">c) Initial performance tests - Air Curtain Incinerators (opacity) </t>
    </r>
    <r>
      <rPr>
        <vertAlign val="superscript"/>
        <sz val="10"/>
        <rFont val="Times New Roman"/>
        <family val="1"/>
      </rPr>
      <t>c</t>
    </r>
  </si>
  <si>
    <r>
      <t xml:space="preserve">d) Repeat of initial performance tests - Air Curtain Incinerators </t>
    </r>
    <r>
      <rPr>
        <vertAlign val="superscript"/>
        <sz val="10"/>
        <rFont val="Times New Roman"/>
        <family val="1"/>
      </rPr>
      <t>c,d</t>
    </r>
  </si>
  <si>
    <r>
      <t xml:space="preserve">a) Initial demonstration </t>
    </r>
    <r>
      <rPr>
        <vertAlign val="superscript"/>
        <sz val="10"/>
        <rFont val="Times New Roman"/>
        <family val="1"/>
      </rPr>
      <t>e</t>
    </r>
  </si>
  <si>
    <r>
      <t>3)  Annual performance tests and test reports (PM, dioxins/furans, opacity, fugitives, HCl, Cd, Pb, Hg)</t>
    </r>
    <r>
      <rPr>
        <vertAlign val="superscript"/>
        <sz val="10"/>
        <rFont val="Times New Roman"/>
        <family val="1"/>
      </rPr>
      <t>f</t>
    </r>
  </si>
  <si>
    <r>
      <t>4)  Annual performance tests and test reports - Air Curtain Incinerators (opacity)</t>
    </r>
    <r>
      <rPr>
        <vertAlign val="superscript"/>
        <sz val="10"/>
        <rFont val="Times New Roman"/>
        <family val="1"/>
      </rPr>
      <t>f</t>
    </r>
  </si>
  <si>
    <r>
      <t xml:space="preserve">a)  RATA audit (one per year) </t>
    </r>
    <r>
      <rPr>
        <vertAlign val="superscript"/>
        <sz val="10"/>
        <rFont val="Times New Roman"/>
        <family val="1"/>
      </rPr>
      <t>e,f</t>
    </r>
  </si>
  <si>
    <r>
      <t xml:space="preserve">b)  RAA audit (three per year) </t>
    </r>
    <r>
      <rPr>
        <vertAlign val="superscript"/>
        <sz val="10"/>
        <rFont val="Times New Roman"/>
        <family val="1"/>
      </rPr>
      <t>e,f</t>
    </r>
  </si>
  <si>
    <r>
      <t xml:space="preserve">c)  Daily calibration and operation </t>
    </r>
    <r>
      <rPr>
        <vertAlign val="superscript"/>
        <sz val="10"/>
        <rFont val="Times New Roman"/>
        <family val="1"/>
      </rPr>
      <t>e,f</t>
    </r>
  </si>
  <si>
    <r>
      <t>1)  Preconstruction report</t>
    </r>
    <r>
      <rPr>
        <vertAlign val="superscript"/>
        <sz val="10"/>
        <rFont val="Times New Roman"/>
        <family val="1"/>
      </rPr>
      <t>c</t>
    </r>
    <r>
      <rPr>
        <sz val="10"/>
        <rFont val="Times New Roman"/>
        <family val="1"/>
      </rPr>
      <t xml:space="preserve"> </t>
    </r>
  </si>
  <si>
    <r>
      <t>2)  Startup notification</t>
    </r>
    <r>
      <rPr>
        <vertAlign val="superscript"/>
        <sz val="10"/>
        <rFont val="Times New Roman"/>
        <family val="1"/>
      </rPr>
      <t>c</t>
    </r>
  </si>
  <si>
    <r>
      <t xml:space="preserve">3)  Initial test report </t>
    </r>
    <r>
      <rPr>
        <vertAlign val="superscript"/>
        <sz val="10"/>
        <rFont val="Times New Roman"/>
        <family val="1"/>
      </rPr>
      <t>c</t>
    </r>
  </si>
  <si>
    <r>
      <t xml:space="preserve">a) Initial test report (non-ACI) </t>
    </r>
    <r>
      <rPr>
        <vertAlign val="superscript"/>
        <sz val="10"/>
        <rFont val="Times New Roman"/>
        <family val="1"/>
      </rPr>
      <t>c</t>
    </r>
  </si>
  <si>
    <r>
      <t xml:space="preserve">b) Initial test report (ACI) </t>
    </r>
    <r>
      <rPr>
        <vertAlign val="superscript"/>
        <sz val="10"/>
        <rFont val="Times New Roman"/>
        <family val="1"/>
      </rPr>
      <t>c</t>
    </r>
  </si>
  <si>
    <r>
      <t>5)  Semiannual deviation reports</t>
    </r>
    <r>
      <rPr>
        <vertAlign val="superscript"/>
        <sz val="10"/>
        <rFont val="Times New Roman"/>
        <family val="1"/>
      </rPr>
      <t xml:space="preserve"> i</t>
    </r>
  </si>
  <si>
    <r>
      <t xml:space="preserve">1)  Records of malfunctions </t>
    </r>
    <r>
      <rPr>
        <vertAlign val="superscript"/>
        <sz val="10"/>
        <rFont val="Times New Roman"/>
        <family val="1"/>
      </rPr>
      <t>h</t>
    </r>
  </si>
  <si>
    <r>
      <t xml:space="preserve">2)  Records of emission rate computations, all emission exceedances and periods when there is no data </t>
    </r>
    <r>
      <rPr>
        <vertAlign val="superscript"/>
        <sz val="10"/>
        <rFont val="Times New Roman"/>
        <family val="1"/>
      </rPr>
      <t>i,k</t>
    </r>
  </si>
  <si>
    <r>
      <t xml:space="preserve">4)  Record of control devices operating parameters </t>
    </r>
    <r>
      <rPr>
        <vertAlign val="superscript"/>
        <sz val="10"/>
        <rFont val="Times New Roman"/>
        <family val="1"/>
      </rPr>
      <t>k,f</t>
    </r>
  </si>
  <si>
    <r>
      <t xml:space="preserve">TOTAL (rounded) </t>
    </r>
    <r>
      <rPr>
        <b/>
        <vertAlign val="superscript"/>
        <sz val="10"/>
        <rFont val="Times New Roman"/>
        <family val="1"/>
      </rPr>
      <t>j</t>
    </r>
  </si>
  <si>
    <r>
      <t>TOTAL (rounded)</t>
    </r>
    <r>
      <rPr>
        <b/>
        <vertAlign val="superscript"/>
        <sz val="10"/>
        <rFont val="Times New Roman"/>
        <family val="1"/>
      </rPr>
      <t>h</t>
    </r>
  </si>
  <si>
    <r>
      <t>c</t>
    </r>
    <r>
      <rPr>
        <sz val="12"/>
        <rFont val="Times New Roman"/>
        <family val="1"/>
      </rPr>
      <t xml:space="preserve"> </t>
    </r>
    <r>
      <rPr>
        <sz val="10"/>
        <rFont val="Times New Roman"/>
        <family val="1"/>
      </rPr>
      <t xml:space="preserve">We have assumed that this is a one-time only cost for existing respondents with units greater than 10 TPD. </t>
    </r>
  </si>
  <si>
    <r>
      <t>b</t>
    </r>
    <r>
      <rPr>
        <sz val="10"/>
        <rFont val="Times New Roman"/>
        <family val="1"/>
      </rPr>
      <t xml:space="preserve">  This ICR uses the following labor rates: $57.07 (technical), $76.91 (managerial), and $30.88 (clerical).  These rates are from the Office of Personnel Management (OPM), 2024 General Schedule, which excludes locality rates of pay.  The rates have been increased by 60 percent to account for the benefit packages available to government employees.</t>
    </r>
  </si>
  <si>
    <t>Updated to 2024 labor rates</t>
  </si>
  <si>
    <t>5)  Initial Records of waste burned and information on representative test (weekly)</t>
  </si>
  <si>
    <t>6)  Copy of representative performance test and documention</t>
  </si>
  <si>
    <t>9) Records of deviations</t>
  </si>
  <si>
    <r>
      <t xml:space="preserve">c) Annual compliance report (ACI) </t>
    </r>
    <r>
      <rPr>
        <vertAlign val="superscript"/>
        <sz val="10"/>
        <rFont val="Times New Roman"/>
        <family val="1"/>
      </rPr>
      <t>g</t>
    </r>
  </si>
  <si>
    <r>
      <t xml:space="preserve">      7) Notification of intent to use substitute
           means of compliance </t>
    </r>
    <r>
      <rPr>
        <vertAlign val="superscript"/>
        <sz val="10"/>
        <rFont val="Times New Roman"/>
        <family val="1"/>
      </rPr>
      <t>c</t>
    </r>
  </si>
  <si>
    <r>
      <t xml:space="preserve">a) Annual compliance report (non-ACI, for units using stack tests) </t>
    </r>
    <r>
      <rPr>
        <vertAlign val="superscript"/>
        <sz val="10"/>
        <color rgb="FF000000"/>
        <rFont val="Times New Roman"/>
        <family val="1"/>
      </rPr>
      <t>f</t>
    </r>
  </si>
  <si>
    <t xml:space="preserve">          1) Review Notifications</t>
  </si>
  <si>
    <t>a)  Preconstruction report</t>
  </si>
  <si>
    <t>b)  Startup notification</t>
  </si>
  <si>
    <t>c) Notification of intent to use substitute means of compliance</t>
  </si>
  <si>
    <r>
      <t xml:space="preserve">d) Notification of final compliance </t>
    </r>
    <r>
      <rPr>
        <vertAlign val="superscript"/>
        <sz val="10"/>
        <rFont val="Times New Roman"/>
        <family val="1"/>
      </rPr>
      <t>c</t>
    </r>
  </si>
  <si>
    <t>a) Annual compliance report (non-ACI, for units using stack tests)</t>
  </si>
  <si>
    <t>b) Annual compliance report (non-ACI, for units using the SMOC)</t>
  </si>
  <si>
    <t>c) Annual compliance report (ACI)</t>
  </si>
  <si>
    <t>Performance Tests (Non-ACI)</t>
  </si>
  <si>
    <t>Performance Tests (ACI)</t>
  </si>
  <si>
    <t>CEMS (CO and O2)</t>
  </si>
  <si>
    <t xml:space="preserve">Control Device </t>
  </si>
  <si>
    <t>Waste Management Plan</t>
  </si>
  <si>
    <t>Notification of intent to use substitute means of compliance</t>
  </si>
  <si>
    <t>1) Initial review and familiarization with final revisions (new sources)</t>
  </si>
  <si>
    <t>Table 1: Annual Respondent Burden and Cost – Emission Guidelines for Other Solid Waste Incineration Units (40 CFR Part 60, Subpart FFFF) (Final Rule) - Year 1 Burden</t>
  </si>
  <si>
    <t>Table 2: Annual Respondent Burden and Cost – Emission Guidelines for Other Solid Waste Incineration Units (40 CFR Part 60, Subpart FFFF) (Final Rule) - Year 2 Burden</t>
  </si>
  <si>
    <t>Table 3: Annual Respondent Burden and Cost – Emission Guidelines for Other Solid Waste Incineration Units (40 CFR Part 60, Subpart FFFF) (Final Rule) - Year 3 Burden</t>
  </si>
  <si>
    <t>Table 6:  Average Annual EPA Burden and Cost – Emission Guidelines for Existing Other Solid Waste Incineration Units (40 CFR Part 60, Subpart FFFF) (Final Rule) - Year 1 Burden</t>
  </si>
  <si>
    <t>Table 7:  Average Annual EPA Burden and Cost – Emission Guidelines for Existing Other Solid Waste Incineration Units (40 CFR Part 60, Subpart FFFF) (Final Rule) - Year 2 Burden</t>
  </si>
  <si>
    <t>Table 8:  Average Annual EPA Burden and Cost – Emission Guidelines for Existing Other Solid Waste Incineration Units (40 CFR Part 60, Subpart FFFF) (Final Rule) - Year 3 Burden</t>
  </si>
  <si>
    <t>Table 9 - Summary of Annual Agency Burden and Cost - Emission Guidelines for Existing Other Solid Waste Incineration Units (40 CFR Part 60, Subpart FFFF) (Final Rule)</t>
  </si>
  <si>
    <t>Table 4 - Summary of Annual Respondent Burden and Cost of Recordkeeping and Reporting Requirements - Emission Guidelines for Other Solid Waste Incineration Units (40 CFR Part 60, Subpart FFFF) (Final Rule)</t>
  </si>
  <si>
    <t>Table 5 - Summary of Incremental Respondent Burden and Cost of Recordkeeping and Reporting Requirements From Final Rule- Emission Guidelines  for Other Solid Waste Incineration Units (40 CFR Part 60, Subpart FFFF) (Final Rule)</t>
  </si>
  <si>
    <r>
      <t xml:space="preserve">b  </t>
    </r>
    <r>
      <rPr>
        <sz val="10"/>
        <rFont val="Times New Roman"/>
        <family val="1"/>
      </rPr>
      <t>This ICR uses the following labor rates: $145.99 (technical), $177.98 (managerial), and $74.28 (clerical).  These rates are from the United States Department of Labor, Bureau of Labor Statistics, September 2024, “Table 2. Civilian workers, by occupational and industry group.”  The rates are from column 1, “Total compensation.”  They have been increased by 110 percent to account for the benefit packages available to those employed by private industry.</t>
    </r>
  </si>
  <si>
    <t>Burden Change Table</t>
  </si>
  <si>
    <t>Inventory as of this Action</t>
  </si>
  <si>
    <t>Previously Approved</t>
  </si>
  <si>
    <t>Respondents</t>
  </si>
  <si>
    <t>Responses</t>
  </si>
  <si>
    <t>Time Burden (Hours)</t>
  </si>
  <si>
    <t>Cost Burden (Dollars)</t>
  </si>
  <si>
    <r>
      <t>c</t>
    </r>
    <r>
      <rPr>
        <sz val="10"/>
        <rFont val="Times New Roman"/>
        <family val="1"/>
      </rPr>
      <t xml:space="preserve">  This estimate includes additional burden for a one-time only cost for new respondents from revisions to the final rule.</t>
    </r>
    <r>
      <rPr>
        <vertAlign val="superscript"/>
        <sz val="10"/>
        <rFont val="Times New Roman"/>
        <family val="1"/>
      </rPr>
      <t xml:space="preserve"> </t>
    </r>
    <r>
      <rPr>
        <sz val="10"/>
        <rFont val="Times New Roman"/>
        <family val="1"/>
      </rPr>
      <t>Note that the waste management plan is submitted as part of the preconstruction report.</t>
    </r>
  </si>
  <si>
    <r>
      <t xml:space="preserve">e </t>
    </r>
    <r>
      <rPr>
        <sz val="10"/>
        <rFont val="Times New Roman"/>
        <family val="1"/>
      </rPr>
      <t>We have assumed that none of the existing units subject to FFFF have CEMS, all units are less than 10 TPD and have already conducted initial testing; therefore no facilities will submit an initial demonstration report.</t>
    </r>
  </si>
  <si>
    <r>
      <rPr>
        <vertAlign val="superscript"/>
        <sz val="10"/>
        <rFont val="Times New Roman"/>
        <family val="1"/>
      </rPr>
      <t>g</t>
    </r>
    <r>
      <rPr>
        <sz val="10"/>
        <rFont val="Times New Roman"/>
        <family val="1"/>
      </rPr>
      <t xml:space="preserve">  The requirement to submit an annual compliance report is not new, therefore there are no incremental costs associated with this requirement.</t>
    </r>
  </si>
  <si>
    <r>
      <t xml:space="preserve">b) Annual compliance report (non-ACI, for units using the SMOC or AWC) </t>
    </r>
    <r>
      <rPr>
        <vertAlign val="superscript"/>
        <sz val="10"/>
        <rFont val="Times New Roman"/>
        <family val="1"/>
      </rPr>
      <t>f</t>
    </r>
  </si>
  <si>
    <t>7)  Records of quarterly waste burned and operating information</t>
  </si>
  <si>
    <t>8) Quarterly records of waste characterization, including % of each waste category</t>
  </si>
  <si>
    <r>
      <t>a</t>
    </r>
    <r>
      <rPr>
        <sz val="10"/>
        <rFont val="Times New Roman"/>
        <family val="1"/>
      </rPr>
      <t xml:space="preserve"> EPA estimates that there are 54 existing facilities subject to 40 CFR 60, Subpart FFFF. This includes 29 ACI units and 25 VSMWC with capacity less than or equal to 10 TPD.</t>
    </r>
  </si>
  <si>
    <r>
      <t>f</t>
    </r>
    <r>
      <rPr>
        <sz val="10"/>
        <rFont val="Times New Roman"/>
        <family val="1"/>
      </rPr>
      <t xml:space="preserve"> We have assumed that ACI units will conduct annual testing; no other respondents are expected to conduct annual performance tests or record daily calibration and operation or control devices operating parameters.  Units using the alternative waste characterization methods for continuous compliance submit annual reports which consist of a statement that there were no deviations from the percentage of waste burned in each category and the OSWI unit has been operated within the established operating parameter limits. We have assumed the 25 SRI units have already conducted initial testing in the first year and will use the alternative waste characterization option in subsequent years.</t>
    </r>
  </si>
  <si>
    <r>
      <t xml:space="preserve">a) Annual compliance report (non-ACI, for units using stack tests) </t>
    </r>
    <r>
      <rPr>
        <vertAlign val="superscript"/>
        <sz val="10"/>
        <rFont val="Times New Roman"/>
        <family val="1"/>
      </rPr>
      <t>f</t>
    </r>
  </si>
  <si>
    <r>
      <t>TOTAL ANNUAL BURDEN AND COST (rounded)</t>
    </r>
    <r>
      <rPr>
        <b/>
        <vertAlign val="superscript"/>
        <sz val="10"/>
        <color theme="1"/>
        <rFont val="Times New Roman"/>
        <family val="1"/>
      </rPr>
      <t>d</t>
    </r>
  </si>
  <si>
    <r>
      <rPr>
        <vertAlign val="superscript"/>
        <sz val="12"/>
        <rFont val="Times New Roman"/>
        <family val="1"/>
      </rPr>
      <t>d</t>
    </r>
    <r>
      <rPr>
        <vertAlign val="superscript"/>
        <sz val="10"/>
        <rFont val="Times New Roman"/>
        <family val="1"/>
      </rPr>
      <t xml:space="preserve">  </t>
    </r>
    <r>
      <rPr>
        <sz val="10"/>
        <rFont val="Times New Roman"/>
        <family val="1"/>
      </rPr>
      <t>Totals have been rounded to 3 significant figures.  Figures may not add exactly due to rounding.</t>
    </r>
  </si>
  <si>
    <r>
      <rPr>
        <vertAlign val="superscript"/>
        <sz val="12"/>
        <rFont val="Times New Roman"/>
        <family val="1"/>
      </rPr>
      <t>d</t>
    </r>
    <r>
      <rPr>
        <vertAlign val="superscript"/>
        <sz val="10"/>
        <rFont val="Times New Roman"/>
        <family val="1"/>
      </rPr>
      <t xml:space="preserve"> </t>
    </r>
    <r>
      <rPr>
        <sz val="10"/>
        <rFont val="Times New Roman"/>
        <family val="1"/>
      </rPr>
      <t>Totals have been rounded to 3 significant figures.  Figures may not add exactly due to rounding.</t>
    </r>
  </si>
  <si>
    <t>Annual compliance reports (non-ACI, for units using stack tests)</t>
  </si>
  <si>
    <t>Annual compliance reports (ACI)</t>
  </si>
  <si>
    <t>Annual compliance reports (non-ACI, for units using the SMOC or AWC)</t>
  </si>
  <si>
    <t>5900-560 and 5900-561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</si>
</sst>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8" formatCode="&quot;$&quot;#,##0.00_);[Red]\(&quot;$&quot;#,##0.00\)"/>
    <numFmt numFmtId="43" formatCode="_(* #,##0.00_);_(* \(#,##0.00\);_(* &quot;-&quot;??_);_(@_)"/>
    <numFmt numFmtId="164" formatCode="&quot;$&quot;#,##0"/>
    <numFmt numFmtId="165" formatCode="General_)"/>
  </numFmts>
  <fonts count="37"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2"/>
      <color theme="1"/>
      <name val="Times New Roman"/>
      <family val="1"/>
    </font>
    <font>
      <vertAlign val="superscript"/>
      <sz val="10"/>
      <color theme="1"/>
      <name val="Times New Roman"/>
      <family val="1"/>
    </font>
    <font>
      <sz val="11"/>
      <color theme="1"/>
      <name val="Times New Roman"/>
      <family val="1"/>
    </font>
    <font>
      <b/>
      <vertAlign val="superscript"/>
      <sz val="10"/>
      <color theme="1"/>
      <name val="Times New Roman"/>
      <family val="1"/>
    </font>
    <font>
      <sz val="12"/>
      <color rgb="FF000000"/>
      <name val="Times New Roman"/>
      <family val="1"/>
    </font>
    <font>
      <b/>
      <sz val="12"/>
      <color rgb="FF000000"/>
      <name val="Times New Roman"/>
      <family val="1"/>
    </font>
    <font>
      <sz val="10"/>
      <color rgb="FF000000"/>
      <name val="Times New Roman"/>
      <family val="1"/>
    </font>
    <font>
      <sz val="11"/>
      <color theme="1"/>
      <name val="Calibri"/>
      <family val="2"/>
      <scheme val="minor"/>
    </font>
    <font>
      <vertAlign val="superscript"/>
      <sz val="10"/>
      <color rgb="FF000000"/>
      <name val="Times New Roman"/>
      <family val="1"/>
    </font>
    <font>
      <sz val="10"/>
      <name val="Times New Roman"/>
      <family val="1"/>
    </font>
    <font>
      <vertAlign val="superscript"/>
      <sz val="10"/>
      <name val="Times New Roman"/>
      <family val="1"/>
    </font>
    <font>
      <b/>
      <sz val="10"/>
      <color rgb="FF000000"/>
      <name val="Times New Roman"/>
      <family val="1"/>
    </font>
    <font>
      <sz val="8"/>
      <name val="Arial"/>
      <family val="2"/>
    </font>
    <font>
      <sz val="10"/>
      <name val="Arial"/>
      <family val="2"/>
    </font>
    <font>
      <sz val="11"/>
      <color theme="1"/>
      <name val="Arial"/>
      <family val="2"/>
    </font>
    <font>
      <b/>
      <sz val="11"/>
      <color rgb="FF7030A0"/>
      <name val="Times New Roman"/>
      <family val="1"/>
    </font>
    <font>
      <b/>
      <sz val="11"/>
      <color rgb="FF0070C0"/>
      <name val="Times New Roman"/>
      <family val="1"/>
    </font>
    <font>
      <sz val="11"/>
      <name val="Calibri"/>
      <family val="2"/>
      <scheme val="minor"/>
    </font>
    <font>
      <vertAlign val="superscript"/>
      <sz val="12"/>
      <name val="Times New Roman"/>
      <family val="1"/>
    </font>
    <font>
      <sz val="12"/>
      <name val="Times New Roman"/>
      <family val="1"/>
    </font>
    <font>
      <sz val="11"/>
      <name val="Times New Roman"/>
      <family val="1"/>
    </font>
    <font>
      <sz val="11"/>
      <color rgb="FFFF0000"/>
      <name val="Calibri"/>
      <family val="2"/>
      <scheme val="minor"/>
    </font>
    <font>
      <b/>
      <sz val="11"/>
      <color rgb="FF000000"/>
      <name val="Times New Roman"/>
      <family val="1"/>
    </font>
    <font>
      <b/>
      <sz val="10"/>
      <name val="Times New Roman"/>
      <family val="1"/>
    </font>
    <font>
      <b/>
      <i/>
      <sz val="10"/>
      <name val="Times New Roman"/>
      <family val="1"/>
    </font>
    <font>
      <b/>
      <vertAlign val="superscript"/>
      <sz val="10"/>
      <name val="Times New Roman"/>
      <family val="1"/>
    </font>
    <font>
      <b/>
      <sz val="11"/>
      <name val="Calibri"/>
      <family val="2"/>
      <scheme val="minor"/>
    </font>
    <font>
      <sz val="10"/>
      <name val="Calibri"/>
      <family val="2"/>
      <scheme val="minor"/>
    </font>
    <font>
      <strike/>
      <sz val="11"/>
      <color theme="1"/>
      <name val="Calibri"/>
      <family val="2"/>
      <scheme val="minor"/>
    </font>
    <font>
      <strike/>
      <sz val="11"/>
      <color theme="1"/>
      <name val="Arial"/>
      <family val="2"/>
    </font>
    <font>
      <b/>
      <sz val="11"/>
      <color theme="1"/>
      <name val="Times New Roman"/>
      <family val="1"/>
    </font>
    <font>
      <sz val="11"/>
      <color rgb="FF000000"/>
      <name val="Times New Roman"/>
      <family val="1"/>
    </font>
    <font>
      <strike/>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2">
    <xf numFmtId="0" fontId="0" fillId="0" borderId="0"/>
    <xf numFmtId="43" fontId="11" fillId="0" borderId="0" applyFont="0" applyFill="0" applyBorder="0" applyAlignment="0" applyProtection="0"/>
  </cellStyleXfs>
  <cellXfs count="195">
    <xf numFmtId="0" fontId="0" fillId="0" borderId="0" xfId="0"/>
    <xf numFmtId="0" fontId="3" fillId="0" borderId="0" xfId="0" applyFont="1" applyAlignment="1">
      <alignment vertical="center"/>
    </xf>
    <xf numFmtId="0" fontId="1" fillId="0" borderId="0" xfId="0" applyFont="1"/>
    <xf numFmtId="0" fontId="6" fillId="0" borderId="0" xfId="0" applyFont="1"/>
    <xf numFmtId="0" fontId="2" fillId="0" borderId="1" xfId="0" applyFont="1" applyBorder="1" applyAlignment="1">
      <alignment horizontal="left" vertical="center" wrapText="1" indent="1"/>
    </xf>
    <xf numFmtId="0" fontId="2" fillId="0" borderId="1" xfId="0" applyFont="1" applyBorder="1" applyAlignment="1">
      <alignment horizontal="right" vertical="center" wrapText="1" indent="1"/>
    </xf>
    <xf numFmtId="6" fontId="2" fillId="0" borderId="1" xfId="0" applyNumberFormat="1" applyFont="1" applyBorder="1" applyAlignment="1">
      <alignment horizontal="right" vertical="center" wrapText="1" indent="1"/>
    </xf>
    <xf numFmtId="0" fontId="2" fillId="0" borderId="1" xfId="0" applyFont="1" applyBorder="1" applyAlignment="1">
      <alignment horizontal="center" vertical="center" wrapText="1"/>
    </xf>
    <xf numFmtId="6" fontId="3" fillId="0" borderId="1"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3" fontId="3" fillId="0" borderId="3" xfId="0" applyNumberFormat="1" applyFont="1" applyBorder="1" applyAlignment="1">
      <alignment horizontal="center" vertical="center" wrapText="1"/>
    </xf>
    <xf numFmtId="0" fontId="10" fillId="0" borderId="1" xfId="0" applyFont="1" applyBorder="1" applyAlignment="1">
      <alignment horizontal="center" vertical="center" wrapText="1"/>
    </xf>
    <xf numFmtId="165" fontId="17" fillId="2" borderId="19" xfId="0" applyNumberFormat="1" applyFont="1" applyFill="1" applyBorder="1" applyAlignment="1">
      <alignment horizontal="center"/>
    </xf>
    <xf numFmtId="165" fontId="17" fillId="2" borderId="20" xfId="0" applyNumberFormat="1" applyFont="1" applyFill="1" applyBorder="1" applyAlignment="1">
      <alignment horizontal="center" wrapText="1"/>
    </xf>
    <xf numFmtId="165" fontId="17" fillId="2" borderId="21" xfId="0" applyNumberFormat="1" applyFont="1" applyFill="1" applyBorder="1" applyAlignment="1">
      <alignment horizontal="center" wrapText="1"/>
    </xf>
    <xf numFmtId="165" fontId="17" fillId="2" borderId="22" xfId="0" applyNumberFormat="1" applyFont="1" applyFill="1" applyBorder="1" applyAlignment="1">
      <alignment horizontal="center"/>
    </xf>
    <xf numFmtId="3" fontId="17" fillId="2" borderId="23" xfId="0" applyNumberFormat="1" applyFont="1" applyFill="1" applyBorder="1" applyAlignment="1">
      <alignment horizontal="center"/>
    </xf>
    <xf numFmtId="164" fontId="17" fillId="2" borderId="23" xfId="0" applyNumberFormat="1" applyFont="1" applyFill="1" applyBorder="1" applyAlignment="1">
      <alignment horizontal="center"/>
    </xf>
    <xf numFmtId="164" fontId="17" fillId="2" borderId="24" xfId="0" applyNumberFormat="1" applyFont="1" applyFill="1" applyBorder="1" applyAlignment="1">
      <alignment horizontal="center"/>
    </xf>
    <xf numFmtId="165" fontId="17" fillId="2" borderId="25" xfId="0" applyNumberFormat="1" applyFont="1" applyFill="1" applyBorder="1" applyAlignment="1">
      <alignment horizontal="center"/>
    </xf>
    <xf numFmtId="3" fontId="17" fillId="2" borderId="1" xfId="0" applyNumberFormat="1" applyFont="1" applyFill="1" applyBorder="1" applyAlignment="1">
      <alignment horizontal="center"/>
    </xf>
    <xf numFmtId="164" fontId="17" fillId="2" borderId="1" xfId="0" applyNumberFormat="1" applyFont="1" applyFill="1" applyBorder="1" applyAlignment="1">
      <alignment horizontal="center"/>
    </xf>
    <xf numFmtId="164" fontId="17" fillId="2" borderId="15" xfId="0" applyNumberFormat="1" applyFont="1" applyFill="1" applyBorder="1" applyAlignment="1">
      <alignment horizontal="center"/>
    </xf>
    <xf numFmtId="165" fontId="17" fillId="2" borderId="26" xfId="0" applyNumberFormat="1" applyFont="1" applyFill="1" applyBorder="1" applyAlignment="1">
      <alignment horizontal="center"/>
    </xf>
    <xf numFmtId="3" fontId="17" fillId="2" borderId="27" xfId="0" applyNumberFormat="1" applyFont="1" applyFill="1" applyBorder="1" applyAlignment="1">
      <alignment horizontal="center"/>
    </xf>
    <xf numFmtId="164" fontId="17" fillId="2" borderId="27" xfId="0" applyNumberFormat="1" applyFont="1" applyFill="1" applyBorder="1" applyAlignment="1">
      <alignment horizontal="center"/>
    </xf>
    <xf numFmtId="164" fontId="17" fillId="2" borderId="28" xfId="0" applyNumberFormat="1" applyFont="1" applyFill="1" applyBorder="1" applyAlignment="1">
      <alignment horizontal="center"/>
    </xf>
    <xf numFmtId="0" fontId="18" fillId="3" borderId="32" xfId="0" applyFont="1" applyFill="1" applyBorder="1"/>
    <xf numFmtId="0" fontId="18" fillId="3" borderId="0" xfId="0" applyFont="1" applyFill="1"/>
    <xf numFmtId="0" fontId="18" fillId="3" borderId="13" xfId="0" applyFont="1" applyFill="1" applyBorder="1"/>
    <xf numFmtId="165" fontId="17" fillId="0" borderId="20" xfId="0" applyNumberFormat="1" applyFont="1" applyBorder="1" applyAlignment="1">
      <alignment horizontal="center" wrapText="1"/>
    </xf>
    <xf numFmtId="165" fontId="17" fillId="0" borderId="21" xfId="0" applyNumberFormat="1" applyFont="1" applyBorder="1" applyAlignment="1">
      <alignment horizontal="center" wrapText="1"/>
    </xf>
    <xf numFmtId="3" fontId="17" fillId="0" borderId="23" xfId="0" applyNumberFormat="1" applyFont="1" applyBorder="1" applyAlignment="1">
      <alignment horizontal="center"/>
    </xf>
    <xf numFmtId="3" fontId="17" fillId="0" borderId="24" xfId="0" applyNumberFormat="1" applyFont="1" applyBorder="1" applyAlignment="1">
      <alignment horizontal="center"/>
    </xf>
    <xf numFmtId="3" fontId="17" fillId="0" borderId="1" xfId="0" applyNumberFormat="1" applyFont="1" applyBorder="1" applyAlignment="1">
      <alignment horizontal="center"/>
    </xf>
    <xf numFmtId="3" fontId="17" fillId="0" borderId="27" xfId="0" applyNumberFormat="1" applyFont="1" applyBorder="1" applyAlignment="1">
      <alignment horizontal="center"/>
    </xf>
    <xf numFmtId="3" fontId="17" fillId="0" borderId="28" xfId="0" applyNumberFormat="1" applyFont="1" applyBorder="1" applyAlignment="1">
      <alignment horizontal="center"/>
    </xf>
    <xf numFmtId="165" fontId="17" fillId="2" borderId="0" xfId="0" applyNumberFormat="1" applyFont="1" applyFill="1" applyAlignment="1">
      <alignment horizontal="left"/>
    </xf>
    <xf numFmtId="164" fontId="17" fillId="0" borderId="23" xfId="0" applyNumberFormat="1" applyFont="1" applyBorder="1" applyAlignment="1">
      <alignment horizontal="center"/>
    </xf>
    <xf numFmtId="0" fontId="19" fillId="0" borderId="0" xfId="0" applyFont="1"/>
    <xf numFmtId="0" fontId="10" fillId="0" borderId="1" xfId="0" applyFont="1" applyBorder="1" applyAlignment="1">
      <alignment horizontal="left" vertical="center" wrapText="1" indent="7"/>
    </xf>
    <xf numFmtId="0" fontId="6" fillId="0" borderId="1" xfId="0" applyFont="1" applyBorder="1"/>
    <xf numFmtId="0" fontId="20" fillId="0" borderId="0" xfId="0" applyFont="1"/>
    <xf numFmtId="164" fontId="17" fillId="0" borderId="1" xfId="0" applyNumberFormat="1" applyFont="1" applyBorder="1" applyAlignment="1">
      <alignment horizontal="center"/>
    </xf>
    <xf numFmtId="164" fontId="17" fillId="0" borderId="27" xfId="0" applyNumberFormat="1" applyFont="1" applyBorder="1" applyAlignment="1">
      <alignment horizontal="center"/>
    </xf>
    <xf numFmtId="0" fontId="10" fillId="0" borderId="34" xfId="0" applyFont="1" applyBorder="1" applyAlignment="1">
      <alignment vertical="center" wrapText="1"/>
    </xf>
    <xf numFmtId="0" fontId="9" fillId="0" borderId="35" xfId="0" applyFont="1" applyBorder="1" applyAlignment="1">
      <alignment vertical="center" wrapText="1"/>
    </xf>
    <xf numFmtId="0" fontId="10" fillId="0" borderId="32" xfId="0" applyFont="1" applyBorder="1" applyAlignment="1">
      <alignment horizontal="center" vertical="center" wrapText="1"/>
    </xf>
    <xf numFmtId="0" fontId="10" fillId="0" borderId="32" xfId="0" applyFont="1" applyBorder="1" applyAlignment="1">
      <alignment vertical="center" wrapText="1"/>
    </xf>
    <xf numFmtId="0" fontId="2" fillId="0" borderId="36" xfId="0" applyFont="1" applyBorder="1" applyAlignment="1">
      <alignment horizontal="right" vertical="center" wrapText="1"/>
    </xf>
    <xf numFmtId="0" fontId="10" fillId="0" borderId="37" xfId="0" applyFont="1" applyBorder="1" applyAlignment="1">
      <alignment vertical="center" wrapText="1"/>
    </xf>
    <xf numFmtId="6" fontId="2" fillId="0" borderId="38" xfId="0" applyNumberFormat="1" applyFont="1" applyBorder="1" applyAlignment="1">
      <alignment horizontal="center" vertical="center" wrapText="1"/>
    </xf>
    <xf numFmtId="0" fontId="2" fillId="0" borderId="3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3" xfId="0" applyFont="1" applyBorder="1" applyAlignment="1">
      <alignment horizontal="center" vertical="center" wrapText="1"/>
    </xf>
    <xf numFmtId="6" fontId="10" fillId="0" borderId="38" xfId="0" applyNumberFormat="1" applyFont="1" applyBorder="1" applyAlignment="1">
      <alignment horizontal="center" vertical="center" wrapText="1"/>
    </xf>
    <xf numFmtId="6" fontId="10" fillId="0" borderId="33" xfId="0" applyNumberFormat="1" applyFont="1" applyBorder="1" applyAlignment="1">
      <alignment horizontal="center" vertical="center" wrapText="1"/>
    </xf>
    <xf numFmtId="6" fontId="10" fillId="0" borderId="39"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1" fillId="0" borderId="0" xfId="0" applyFont="1"/>
    <xf numFmtId="0" fontId="24" fillId="0" borderId="0" xfId="0" applyFont="1"/>
    <xf numFmtId="0" fontId="25" fillId="0" borderId="0" xfId="0" applyFont="1"/>
    <xf numFmtId="0" fontId="15"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xf numFmtId="0" fontId="2" fillId="0" borderId="1" xfId="0" applyFont="1" applyBorder="1" applyAlignment="1">
      <alignment vertical="center" wrapText="1"/>
    </xf>
    <xf numFmtId="0" fontId="15" fillId="0" borderId="1" xfId="0" applyFont="1" applyBorder="1" applyAlignment="1">
      <alignment horizontal="center" vertical="center" wrapText="1"/>
    </xf>
    <xf numFmtId="0" fontId="6" fillId="0" borderId="0" xfId="0" applyFont="1" applyAlignment="1">
      <alignment vertical="center" wrapText="1"/>
    </xf>
    <xf numFmtId="1" fontId="6" fillId="0" borderId="0" xfId="0" applyNumberFormat="1" applyFont="1"/>
    <xf numFmtId="3" fontId="6" fillId="0" borderId="0" xfId="0" applyNumberFormat="1" applyFont="1"/>
    <xf numFmtId="6" fontId="6" fillId="0" borderId="0" xfId="0" applyNumberFormat="1" applyFont="1"/>
    <xf numFmtId="0" fontId="13" fillId="0" borderId="0" xfId="0" applyFont="1"/>
    <xf numFmtId="3" fontId="13" fillId="0" borderId="14" xfId="0" applyNumberFormat="1" applyFont="1" applyBorder="1" applyAlignment="1">
      <alignment horizontal="center" wrapText="1"/>
    </xf>
    <xf numFmtId="0" fontId="13" fillId="0" borderId="1" xfId="0" applyFont="1" applyBorder="1"/>
    <xf numFmtId="0" fontId="13" fillId="0" borderId="1" xfId="0" applyFont="1" applyBorder="1" applyAlignment="1">
      <alignment horizontal="center" wrapText="1"/>
    </xf>
    <xf numFmtId="6" fontId="13" fillId="0" borderId="1" xfId="0" applyNumberFormat="1" applyFont="1" applyBorder="1" applyAlignment="1">
      <alignment horizontal="center" wrapText="1"/>
    </xf>
    <xf numFmtId="6" fontId="13" fillId="0" borderId="1" xfId="0" applyNumberFormat="1" applyFont="1" applyBorder="1" applyAlignment="1">
      <alignment horizontal="right" wrapText="1"/>
    </xf>
    <xf numFmtId="164" fontId="13" fillId="0" borderId="1" xfId="0" applyNumberFormat="1" applyFont="1" applyBorder="1"/>
    <xf numFmtId="164" fontId="13" fillId="0" borderId="1" xfId="0" applyNumberFormat="1" applyFont="1" applyBorder="1" applyAlignment="1">
      <alignment horizontal="right" wrapText="1"/>
    </xf>
    <xf numFmtId="0" fontId="13" fillId="0" borderId="1" xfId="0" applyFont="1" applyBorder="1" applyAlignment="1">
      <alignment horizontal="left" wrapText="1" indent="1"/>
    </xf>
    <xf numFmtId="0" fontId="13" fillId="0" borderId="1" xfId="0" applyFont="1" applyBorder="1" applyAlignment="1">
      <alignment horizontal="left" wrapText="1"/>
    </xf>
    <xf numFmtId="5" fontId="16" fillId="0" borderId="0" xfId="0" applyNumberFormat="1" applyFont="1" applyAlignment="1">
      <alignment horizontal="center" vertical="center"/>
    </xf>
    <xf numFmtId="0" fontId="23" fillId="0" borderId="0" xfId="0" applyFont="1"/>
    <xf numFmtId="0" fontId="13" fillId="0" borderId="0" xfId="0" applyFont="1" applyAlignment="1">
      <alignment horizontal="center" wrapText="1"/>
    </xf>
    <xf numFmtId="0" fontId="13" fillId="0" borderId="1" xfId="0" applyFont="1" applyBorder="1" applyAlignment="1">
      <alignment wrapText="1"/>
    </xf>
    <xf numFmtId="0" fontId="13" fillId="0" borderId="1" xfId="0" applyFont="1" applyBorder="1" applyAlignment="1">
      <alignment horizontal="right" wrapText="1"/>
    </xf>
    <xf numFmtId="0" fontId="13" fillId="0" borderId="1" xfId="0" applyFont="1" applyBorder="1" applyAlignment="1">
      <alignment horizontal="left" wrapText="1" indent="3"/>
    </xf>
    <xf numFmtId="0" fontId="13" fillId="0" borderId="1" xfId="0" applyFont="1" applyBorder="1" applyAlignment="1">
      <alignment horizontal="left" wrapText="1" indent="4"/>
    </xf>
    <xf numFmtId="0" fontId="27" fillId="0" borderId="0" xfId="0" applyFont="1"/>
    <xf numFmtId="0" fontId="13" fillId="0" borderId="1" xfId="0" applyFont="1" applyBorder="1" applyAlignment="1">
      <alignment horizontal="left" vertical="center" wrapText="1"/>
    </xf>
    <xf numFmtId="0" fontId="13" fillId="0" borderId="1" xfId="0" applyFont="1" applyBorder="1" applyAlignment="1">
      <alignment horizontal="left" vertical="center" wrapText="1" indent="4"/>
    </xf>
    <xf numFmtId="8" fontId="13" fillId="0" borderId="1" xfId="0" applyNumberFormat="1" applyFont="1" applyBorder="1" applyAlignment="1">
      <alignment horizontal="right" wrapText="1"/>
    </xf>
    <xf numFmtId="0" fontId="13" fillId="0" borderId="1" xfId="0" applyFont="1" applyBorder="1" applyAlignment="1">
      <alignment horizontal="left" vertical="center" wrapText="1" indent="3"/>
    </xf>
    <xf numFmtId="38" fontId="28" fillId="0" borderId="1" xfId="0" applyNumberFormat="1" applyFont="1" applyBorder="1" applyAlignment="1">
      <alignment horizontal="center" wrapText="1"/>
    </xf>
    <xf numFmtId="6" fontId="28" fillId="0" borderId="1" xfId="0" applyNumberFormat="1" applyFont="1" applyBorder="1" applyAlignment="1">
      <alignment horizontal="right" wrapText="1"/>
    </xf>
    <xf numFmtId="164" fontId="28" fillId="0" borderId="1" xfId="0" applyNumberFormat="1" applyFont="1" applyBorder="1" applyAlignment="1">
      <alignment horizontal="right" wrapText="1"/>
    </xf>
    <xf numFmtId="38" fontId="28" fillId="0" borderId="1" xfId="0" applyNumberFormat="1" applyFont="1" applyBorder="1" applyAlignment="1">
      <alignment horizontal="right" wrapText="1"/>
    </xf>
    <xf numFmtId="6" fontId="13" fillId="0" borderId="0" xfId="0" applyNumberFormat="1" applyFont="1"/>
    <xf numFmtId="38" fontId="28" fillId="0" borderId="5" xfId="0" applyNumberFormat="1" applyFont="1" applyBorder="1" applyAlignment="1">
      <alignment horizontal="right" wrapText="1"/>
    </xf>
    <xf numFmtId="164" fontId="28" fillId="0" borderId="5" xfId="0" applyNumberFormat="1" applyFont="1" applyBorder="1" applyAlignment="1">
      <alignment horizontal="right" wrapText="1"/>
    </xf>
    <xf numFmtId="3" fontId="28" fillId="0" borderId="3" xfId="1" applyNumberFormat="1" applyFont="1" applyFill="1" applyBorder="1" applyAlignment="1">
      <alignment wrapText="1"/>
    </xf>
    <xf numFmtId="0" fontId="13" fillId="0" borderId="17" xfId="0" applyFont="1" applyBorder="1"/>
    <xf numFmtId="0" fontId="14" fillId="0" borderId="0" xfId="0" applyFont="1" applyAlignment="1">
      <alignment vertical="center"/>
    </xf>
    <xf numFmtId="0" fontId="31" fillId="0" borderId="0" xfId="0" applyFont="1"/>
    <xf numFmtId="0" fontId="13" fillId="0" borderId="1" xfId="0" applyFont="1" applyBorder="1" applyAlignment="1">
      <alignment horizontal="left" vertical="center" wrapText="1" indent="1"/>
    </xf>
    <xf numFmtId="0" fontId="24" fillId="0" borderId="1" xfId="0" applyFont="1" applyBorder="1"/>
    <xf numFmtId="0" fontId="13" fillId="0" borderId="1" xfId="0" applyFont="1" applyBorder="1" applyAlignment="1">
      <alignment horizontal="left" vertical="center" wrapText="1" indent="7"/>
    </xf>
    <xf numFmtId="0" fontId="2" fillId="0" borderId="3" xfId="0" applyFont="1" applyBorder="1" applyAlignment="1">
      <alignment vertical="center" wrapText="1"/>
    </xf>
    <xf numFmtId="6" fontId="2" fillId="0" borderId="40" xfId="0" applyNumberFormat="1" applyFont="1" applyBorder="1" applyAlignment="1">
      <alignment horizontal="center" vertical="center" wrapText="1"/>
    </xf>
    <xf numFmtId="6" fontId="2" fillId="0" borderId="41" xfId="0" applyNumberFormat="1" applyFont="1" applyBorder="1" applyAlignment="1">
      <alignment horizontal="center" vertical="center" wrapText="1"/>
    </xf>
    <xf numFmtId="0" fontId="10" fillId="0" borderId="40" xfId="0" applyFont="1" applyBorder="1" applyAlignment="1">
      <alignment horizontal="center" vertical="center" wrapText="1"/>
    </xf>
    <xf numFmtId="6" fontId="10" fillId="0" borderId="40" xfId="0" applyNumberFormat="1" applyFont="1" applyBorder="1" applyAlignment="1">
      <alignment horizontal="center" vertical="center" wrapText="1"/>
    </xf>
    <xf numFmtId="6" fontId="10" fillId="0" borderId="42" xfId="0" applyNumberFormat="1" applyFont="1" applyBorder="1" applyAlignment="1">
      <alignment horizontal="center" vertical="center" wrapText="1"/>
    </xf>
    <xf numFmtId="0" fontId="10" fillId="0" borderId="41" xfId="0" applyFont="1" applyBorder="1" applyAlignment="1">
      <alignment horizontal="center" vertical="center" wrapText="1"/>
    </xf>
    <xf numFmtId="6" fontId="10" fillId="0" borderId="41" xfId="0" applyNumberFormat="1" applyFont="1" applyBorder="1" applyAlignment="1">
      <alignment horizontal="center" vertical="center" wrapText="1"/>
    </xf>
    <xf numFmtId="3" fontId="28" fillId="0" borderId="0" xfId="1" applyNumberFormat="1" applyFont="1" applyFill="1" applyBorder="1" applyAlignment="1">
      <alignment wrapText="1"/>
    </xf>
    <xf numFmtId="6" fontId="28" fillId="0" borderId="0" xfId="0" applyNumberFormat="1" applyFont="1" applyAlignment="1">
      <alignment horizontal="right" wrapText="1"/>
    </xf>
    <xf numFmtId="0" fontId="10" fillId="0" borderId="1" xfId="0" applyFont="1" applyBorder="1" applyAlignment="1">
      <alignment horizontal="left" vertical="center" wrapText="1"/>
    </xf>
    <xf numFmtId="0" fontId="10" fillId="0" borderId="1" xfId="0" applyFont="1" applyBorder="1"/>
    <xf numFmtId="0" fontId="32" fillId="0" borderId="0" xfId="0" applyFont="1"/>
    <xf numFmtId="0" fontId="33" fillId="3" borderId="32" xfId="0" applyFont="1" applyFill="1" applyBorder="1"/>
    <xf numFmtId="0" fontId="33" fillId="3" borderId="0" xfId="0" applyFont="1" applyFill="1"/>
    <xf numFmtId="0" fontId="33" fillId="3" borderId="13" xfId="0" applyFont="1" applyFill="1" applyBorder="1"/>
    <xf numFmtId="165" fontId="17" fillId="0" borderId="19" xfId="0" applyNumberFormat="1" applyFont="1" applyBorder="1" applyAlignment="1">
      <alignment horizontal="center"/>
    </xf>
    <xf numFmtId="165" fontId="17" fillId="0" borderId="22" xfId="0" applyNumberFormat="1" applyFont="1" applyBorder="1" applyAlignment="1">
      <alignment horizontal="center"/>
    </xf>
    <xf numFmtId="165" fontId="17" fillId="0" borderId="25" xfId="0" applyNumberFormat="1" applyFont="1" applyBorder="1" applyAlignment="1">
      <alignment horizontal="center"/>
    </xf>
    <xf numFmtId="165" fontId="17" fillId="0" borderId="26" xfId="0" applyNumberFormat="1" applyFont="1" applyBorder="1" applyAlignment="1">
      <alignment horizontal="center"/>
    </xf>
    <xf numFmtId="3" fontId="17" fillId="0" borderId="45" xfId="0" applyNumberFormat="1" applyFont="1" applyBorder="1" applyAlignment="1">
      <alignment horizontal="center"/>
    </xf>
    <xf numFmtId="3" fontId="17" fillId="0" borderId="44" xfId="0" applyNumberFormat="1" applyFont="1" applyBorder="1" applyAlignment="1">
      <alignment horizontal="center"/>
    </xf>
    <xf numFmtId="1" fontId="28" fillId="0" borderId="1" xfId="0" applyNumberFormat="1" applyFont="1" applyBorder="1" applyAlignment="1">
      <alignment horizontal="right" wrapText="1"/>
    </xf>
    <xf numFmtId="38" fontId="13" fillId="0" borderId="0" xfId="0" applyNumberFormat="1" applyFont="1"/>
    <xf numFmtId="3" fontId="17" fillId="0" borderId="46" xfId="0" applyNumberFormat="1" applyFont="1" applyBorder="1" applyAlignment="1">
      <alignment horizontal="center"/>
    </xf>
    <xf numFmtId="0" fontId="36" fillId="0" borderId="0" xfId="0" applyFont="1"/>
    <xf numFmtId="0" fontId="2" fillId="0" borderId="2" xfId="0" applyFont="1" applyBorder="1" applyAlignment="1">
      <alignment horizontal="center" vertical="center" wrapText="1"/>
    </xf>
    <xf numFmtId="0" fontId="13" fillId="0" borderId="2" xfId="0" applyFont="1" applyBorder="1" applyAlignment="1">
      <alignment horizontal="center" wrapText="1"/>
    </xf>
    <xf numFmtId="6" fontId="28" fillId="0" borderId="5" xfId="0" applyNumberFormat="1" applyFont="1" applyBorder="1" applyAlignment="1">
      <alignment horizontal="right" wrapText="1"/>
    </xf>
    <xf numFmtId="0" fontId="27" fillId="0" borderId="16" xfId="0" applyFont="1" applyBorder="1" applyAlignment="1">
      <alignment wrapText="1"/>
    </xf>
    <xf numFmtId="0" fontId="27" fillId="0" borderId="17" xfId="0" applyFont="1" applyBorder="1" applyAlignment="1">
      <alignment wrapText="1"/>
    </xf>
    <xf numFmtId="165" fontId="16" fillId="0" borderId="0" xfId="0" applyNumberFormat="1" applyFont="1" applyAlignment="1">
      <alignment horizontal="center" vertical="center"/>
    </xf>
    <xf numFmtId="3" fontId="16" fillId="0" borderId="0" xfId="0" applyNumberFormat="1" applyFont="1" applyAlignment="1">
      <alignment horizontal="center" vertical="center"/>
    </xf>
    <xf numFmtId="0" fontId="14" fillId="0" borderId="0" xfId="0" applyFont="1"/>
    <xf numFmtId="0" fontId="30" fillId="0" borderId="0" xfId="0" applyFont="1"/>
    <xf numFmtId="38" fontId="21" fillId="0" borderId="0" xfId="0" applyNumberFormat="1" applyFont="1"/>
    <xf numFmtId="0" fontId="13" fillId="0" borderId="2" xfId="0" applyFont="1" applyBorder="1" applyAlignment="1">
      <alignment horizontal="center" vertical="center" wrapText="1"/>
    </xf>
    <xf numFmtId="0" fontId="27" fillId="0" borderId="18" xfId="0" applyFont="1" applyBorder="1" applyAlignment="1">
      <alignment horizontal="left" wrapText="1"/>
    </xf>
    <xf numFmtId="0" fontId="27" fillId="0" borderId="0" xfId="0" applyFont="1" applyAlignment="1">
      <alignment horizontal="left" wrapText="1"/>
    </xf>
    <xf numFmtId="165" fontId="16" fillId="0" borderId="0" xfId="0" applyNumberFormat="1" applyFont="1" applyAlignment="1">
      <alignment horizontal="left" vertical="center"/>
    </xf>
    <xf numFmtId="164" fontId="16" fillId="0" borderId="0" xfId="0" applyNumberFormat="1" applyFont="1" applyAlignment="1">
      <alignment horizontal="center" vertical="center"/>
    </xf>
    <xf numFmtId="0" fontId="26" fillId="0" borderId="1"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horizontal="right" vertical="center" wrapText="1"/>
    </xf>
    <xf numFmtId="0" fontId="35" fillId="0" borderId="1" xfId="0" applyFont="1" applyBorder="1" applyAlignment="1">
      <alignment horizontal="right" vertical="center" wrapText="1"/>
    </xf>
    <xf numFmtId="0" fontId="6" fillId="0" borderId="0" xfId="0" applyFont="1" applyAlignment="1">
      <alignment horizontal="right"/>
    </xf>
    <xf numFmtId="0" fontId="26" fillId="0" borderId="0" xfId="0" applyFont="1" applyAlignment="1">
      <alignment horizontal="center"/>
    </xf>
    <xf numFmtId="0" fontId="34" fillId="0" borderId="43" xfId="0" applyFont="1" applyBorder="1" applyAlignment="1">
      <alignment horizontal="center"/>
    </xf>
    <xf numFmtId="0" fontId="14" fillId="0" borderId="0" xfId="0" applyFont="1" applyAlignment="1">
      <alignment horizontal="left" wrapText="1"/>
    </xf>
    <xf numFmtId="0" fontId="13" fillId="0" borderId="0" xfId="0" applyFont="1" applyAlignment="1">
      <alignment horizontal="left" wrapText="1"/>
    </xf>
    <xf numFmtId="0" fontId="27" fillId="0" borderId="1" xfId="0" applyFont="1" applyBorder="1" applyAlignment="1">
      <alignment horizontal="left" wrapText="1"/>
    </xf>
    <xf numFmtId="0" fontId="13" fillId="0" borderId="3" xfId="0"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28" fillId="0" borderId="1" xfId="0" applyFont="1" applyBorder="1" applyAlignment="1">
      <alignment horizontal="left" wrapText="1"/>
    </xf>
    <xf numFmtId="0" fontId="28" fillId="0" borderId="3" xfId="0" applyFont="1" applyBorder="1" applyAlignment="1">
      <alignment horizontal="left" wrapText="1"/>
    </xf>
    <xf numFmtId="0" fontId="3" fillId="0" borderId="1" xfId="0" applyFont="1" applyBorder="1" applyAlignment="1">
      <alignment horizontal="center" vertical="center" wrapText="1"/>
    </xf>
    <xf numFmtId="0" fontId="22" fillId="0" borderId="0" xfId="0" applyFont="1" applyAlignment="1">
      <alignment horizontal="lef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2" fillId="0" borderId="17" xfId="0" applyFont="1" applyBorder="1" applyAlignment="1">
      <alignment horizontal="left" vertical="top"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28" fillId="4" borderId="1" xfId="0" applyFont="1" applyFill="1" applyBorder="1" applyAlignment="1">
      <alignment horizontal="left" wrapText="1"/>
    </xf>
    <xf numFmtId="38" fontId="28" fillId="4" borderId="1" xfId="0" applyNumberFormat="1" applyFont="1" applyFill="1" applyBorder="1" applyAlignment="1">
      <alignment horizontal="center" wrapText="1"/>
    </xf>
    <xf numFmtId="6" fontId="28" fillId="4" borderId="1" xfId="0" applyNumberFormat="1" applyFont="1" applyFill="1" applyBorder="1" applyAlignment="1">
      <alignment horizontal="right" wrapText="1"/>
    </xf>
    <xf numFmtId="164" fontId="28" fillId="4" borderId="1" xfId="0" applyNumberFormat="1" applyFont="1" applyFill="1" applyBorder="1" applyAlignment="1">
      <alignment horizontal="right" wrapText="1"/>
    </xf>
    <xf numFmtId="38" fontId="28" fillId="4" borderId="1" xfId="0" applyNumberFormat="1" applyFont="1" applyFill="1" applyBorder="1" applyAlignment="1">
      <alignment horizontal="right" wrapText="1"/>
    </xf>
    <xf numFmtId="0" fontId="28" fillId="4" borderId="3" xfId="0" applyFont="1" applyFill="1" applyBorder="1" applyAlignment="1">
      <alignment horizontal="left" wrapText="1"/>
    </xf>
    <xf numFmtId="38" fontId="28" fillId="4" borderId="5" xfId="0" applyNumberFormat="1" applyFont="1" applyFill="1" applyBorder="1" applyAlignment="1">
      <alignment horizontal="right" wrapText="1"/>
    </xf>
    <xf numFmtId="6" fontId="28" fillId="4" borderId="5" xfId="0" applyNumberFormat="1" applyFont="1" applyFill="1" applyBorder="1" applyAlignment="1">
      <alignment horizontal="right" wrapText="1"/>
    </xf>
    <xf numFmtId="164" fontId="28" fillId="4" borderId="5" xfId="0" applyNumberFormat="1" applyFont="1" applyFill="1" applyBorder="1" applyAlignment="1">
      <alignment horizontal="right" wrapText="1"/>
    </xf>
    <xf numFmtId="165" fontId="17" fillId="4" borderId="29" xfId="0" applyNumberFormat="1" applyFont="1" applyFill="1" applyBorder="1" applyAlignment="1">
      <alignment horizontal="center"/>
    </xf>
    <xf numFmtId="3" fontId="17" fillId="4" borderId="30" xfId="0" applyNumberFormat="1" applyFont="1" applyFill="1" applyBorder="1" applyAlignment="1">
      <alignment horizontal="center"/>
    </xf>
    <xf numFmtId="164" fontId="17" fillId="4" borderId="30" xfId="0" applyNumberFormat="1" applyFont="1" applyFill="1" applyBorder="1" applyAlignment="1">
      <alignment horizontal="center"/>
    </xf>
    <xf numFmtId="164" fontId="17" fillId="4" borderId="31" xfId="0" applyNumberFormat="1" applyFont="1" applyFill="1" applyBorder="1" applyAlignment="1">
      <alignment horizontal="center"/>
    </xf>
    <xf numFmtId="3" fontId="17" fillId="4" borderId="31" xfId="0" applyNumberFormat="1"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BBD47-377C-4E95-9B64-22D37F94288C}">
  <dimension ref="A1:C15"/>
  <sheetViews>
    <sheetView topLeftCell="A7" workbookViewId="0">
      <selection activeCell="K21" sqref="K21"/>
    </sheetView>
  </sheetViews>
  <sheetFormatPr defaultRowHeight="14.5" x14ac:dyDescent="0.35"/>
  <cols>
    <col min="1" max="1" width="27.1796875" bestFit="1" customWidth="1"/>
    <col min="2" max="2" width="23.7265625" bestFit="1" customWidth="1"/>
    <col min="3" max="3" width="25.7265625" customWidth="1"/>
  </cols>
  <sheetData>
    <row r="1" spans="1:3" x14ac:dyDescent="0.35">
      <c r="A1" s="158" t="s">
        <v>117</v>
      </c>
      <c r="B1" s="158"/>
    </row>
    <row r="2" spans="1:3" x14ac:dyDescent="0.35">
      <c r="A2" s="72" t="s">
        <v>118</v>
      </c>
      <c r="B2" s="73">
        <f>'Respondent Summary'!H14</f>
        <v>31.18</v>
      </c>
    </row>
    <row r="3" spans="1:3" x14ac:dyDescent="0.35">
      <c r="A3" s="72" t="s">
        <v>78</v>
      </c>
      <c r="B3" s="74">
        <f>Respondents!F8</f>
        <v>54</v>
      </c>
    </row>
    <row r="4" spans="1:3" x14ac:dyDescent="0.35">
      <c r="A4" s="72" t="s">
        <v>119</v>
      </c>
      <c r="B4" s="74">
        <f>'Respondent Summary'!G14</f>
        <v>2390.4666666666667</v>
      </c>
    </row>
    <row r="5" spans="1:3" x14ac:dyDescent="0.35">
      <c r="A5" s="72" t="s">
        <v>120</v>
      </c>
      <c r="B5" s="75">
        <f>'Respondent Summary'!I7</f>
        <v>424000</v>
      </c>
    </row>
    <row r="6" spans="1:3" x14ac:dyDescent="0.35">
      <c r="A6" s="72" t="s">
        <v>121</v>
      </c>
      <c r="B6" s="75">
        <f>'Respondent Summary'!H7</f>
        <v>87000</v>
      </c>
    </row>
    <row r="7" spans="1:3" x14ac:dyDescent="0.35">
      <c r="A7" s="72" t="s">
        <v>122</v>
      </c>
      <c r="B7" s="157" t="s">
        <v>210</v>
      </c>
    </row>
    <row r="10" spans="1:3" x14ac:dyDescent="0.35">
      <c r="A10" s="159" t="s">
        <v>188</v>
      </c>
      <c r="B10" s="159"/>
      <c r="C10" s="159"/>
    </row>
    <row r="11" spans="1:3" x14ac:dyDescent="0.35">
      <c r="A11" s="153"/>
      <c r="B11" s="46" t="s">
        <v>189</v>
      </c>
      <c r="C11" s="46" t="s">
        <v>190</v>
      </c>
    </row>
    <row r="12" spans="1:3" x14ac:dyDescent="0.35">
      <c r="A12" s="154" t="s">
        <v>191</v>
      </c>
      <c r="B12" s="46">
        <v>54</v>
      </c>
      <c r="C12" s="46">
        <v>155</v>
      </c>
    </row>
    <row r="13" spans="1:3" x14ac:dyDescent="0.35">
      <c r="A13" s="154" t="s">
        <v>192</v>
      </c>
      <c r="B13" s="155">
        <f>Responses!E15</f>
        <v>110</v>
      </c>
      <c r="C13" s="156">
        <v>407</v>
      </c>
    </row>
    <row r="14" spans="1:3" x14ac:dyDescent="0.35">
      <c r="A14" s="154" t="s">
        <v>193</v>
      </c>
      <c r="B14" s="155">
        <f>'Respondent Summary'!F7</f>
        <v>2390</v>
      </c>
      <c r="C14" s="155">
        <v>91600</v>
      </c>
    </row>
    <row r="15" spans="1:3" x14ac:dyDescent="0.35">
      <c r="A15" s="154" t="s">
        <v>194</v>
      </c>
      <c r="B15" s="155">
        <f>'O&amp;M'!G11</f>
        <v>87000</v>
      </c>
      <c r="C15" s="155">
        <v>630000</v>
      </c>
    </row>
  </sheetData>
  <mergeCells count="2">
    <mergeCell ref="A1:B1"/>
    <mergeCell ref="A10:C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71D4-D08D-4303-AFCE-AB0E48609D7A}">
  <dimension ref="A1:G11"/>
  <sheetViews>
    <sheetView topLeftCell="A6" workbookViewId="0">
      <selection activeCell="C13" sqref="C13"/>
    </sheetView>
  </sheetViews>
  <sheetFormatPr defaultRowHeight="14.5" x14ac:dyDescent="0.35"/>
  <cols>
    <col min="1" max="1" width="32.453125" customWidth="1"/>
    <col min="2" max="2" width="19.81640625" customWidth="1"/>
    <col min="3" max="3" width="15.7265625" customWidth="1"/>
    <col min="4" max="4" width="16.54296875" customWidth="1"/>
    <col min="5" max="5" width="16.1796875" customWidth="1"/>
    <col min="6" max="6" width="14.7265625" customWidth="1"/>
    <col min="7" max="7" width="10.7265625" customWidth="1"/>
  </cols>
  <sheetData>
    <row r="1" spans="1:7" ht="15" thickBot="1" x14ac:dyDescent="0.4"/>
    <row r="2" spans="1:7" ht="15.5" x14ac:dyDescent="0.35">
      <c r="A2" s="170"/>
      <c r="B2" s="171"/>
      <c r="C2" s="171"/>
      <c r="D2" s="171"/>
      <c r="E2" s="171"/>
      <c r="F2" s="171"/>
      <c r="G2" s="172"/>
    </row>
    <row r="3" spans="1:7" ht="15.5" thickBot="1" x14ac:dyDescent="0.4">
      <c r="A3" s="173" t="s">
        <v>41</v>
      </c>
      <c r="B3" s="174"/>
      <c r="C3" s="174"/>
      <c r="D3" s="174"/>
      <c r="E3" s="174"/>
      <c r="F3" s="174"/>
      <c r="G3" s="175"/>
    </row>
    <row r="4" spans="1:7" ht="15" x14ac:dyDescent="0.35">
      <c r="A4" s="51"/>
      <c r="B4" s="50"/>
      <c r="C4" s="50"/>
      <c r="D4" s="50"/>
      <c r="E4" s="50"/>
      <c r="F4" s="50"/>
      <c r="G4" s="55"/>
    </row>
    <row r="5" spans="1:7" x14ac:dyDescent="0.35">
      <c r="A5" s="52" t="s">
        <v>1</v>
      </c>
      <c r="B5" s="9" t="s">
        <v>2</v>
      </c>
      <c r="C5" s="9" t="s">
        <v>3</v>
      </c>
      <c r="D5" s="9" t="s">
        <v>4</v>
      </c>
      <c r="E5" s="9" t="s">
        <v>5</v>
      </c>
      <c r="F5" s="9" t="s">
        <v>6</v>
      </c>
      <c r="G5" s="12" t="s">
        <v>7</v>
      </c>
    </row>
    <row r="6" spans="1:7" ht="39.5" thickBot="1" x14ac:dyDescent="0.4">
      <c r="A6" s="53" t="s">
        <v>86</v>
      </c>
      <c r="B6" s="10" t="s">
        <v>42</v>
      </c>
      <c r="C6" s="10" t="s">
        <v>95</v>
      </c>
      <c r="D6" s="10" t="s">
        <v>43</v>
      </c>
      <c r="E6" s="10" t="s">
        <v>44</v>
      </c>
      <c r="F6" s="10" t="s">
        <v>45</v>
      </c>
      <c r="G6" s="11" t="s">
        <v>91</v>
      </c>
    </row>
    <row r="7" spans="1:7" x14ac:dyDescent="0.35">
      <c r="A7" s="112" t="s">
        <v>171</v>
      </c>
      <c r="B7" s="56">
        <f>'YR1'!C13</f>
        <v>76666.666666666657</v>
      </c>
      <c r="C7" s="58">
        <f>'YR1'!F13</f>
        <v>0</v>
      </c>
      <c r="D7" s="60">
        <f>B7*C7</f>
        <v>0</v>
      </c>
      <c r="E7" s="60">
        <f>'YR2'!C20</f>
        <v>76666.666666666657</v>
      </c>
      <c r="F7" s="58">
        <v>0</v>
      </c>
      <c r="G7" s="62">
        <f>E7*F7</f>
        <v>0</v>
      </c>
    </row>
    <row r="8" spans="1:7" x14ac:dyDescent="0.35">
      <c r="A8" s="112" t="s">
        <v>172</v>
      </c>
      <c r="B8" s="113">
        <f>'YR1'!C15</f>
        <v>3000</v>
      </c>
      <c r="C8" s="115">
        <f>'YR1'!F15</f>
        <v>0</v>
      </c>
      <c r="D8" s="116">
        <f>B8*C8</f>
        <v>0</v>
      </c>
      <c r="E8" s="116">
        <f>'YR2'!C21</f>
        <v>3000</v>
      </c>
      <c r="F8" s="115">
        <v>29</v>
      </c>
      <c r="G8" s="117">
        <f>E8*F8</f>
        <v>87000</v>
      </c>
    </row>
    <row r="9" spans="1:7" x14ac:dyDescent="0.35">
      <c r="A9" s="112" t="s">
        <v>173</v>
      </c>
      <c r="B9" s="113">
        <f>'YR1'!C18</f>
        <v>395000</v>
      </c>
      <c r="C9" s="115">
        <f>'YR1'!F18</f>
        <v>0</v>
      </c>
      <c r="D9" s="116">
        <f t="shared" ref="D9:D10" si="0">B9*C9</f>
        <v>0</v>
      </c>
      <c r="E9" s="116">
        <f>'YR2'!C25</f>
        <v>73700</v>
      </c>
      <c r="F9" s="115">
        <f>'YR2'!F25</f>
        <v>0</v>
      </c>
      <c r="G9" s="117">
        <f t="shared" ref="G9:G10" si="1">E9*F9</f>
        <v>0</v>
      </c>
    </row>
    <row r="10" spans="1:7" ht="15" thickBot="1" x14ac:dyDescent="0.4">
      <c r="A10" s="112" t="s">
        <v>174</v>
      </c>
      <c r="B10" s="114">
        <v>33800</v>
      </c>
      <c r="C10" s="118">
        <v>0</v>
      </c>
      <c r="D10" s="119">
        <f t="shared" si="0"/>
        <v>0</v>
      </c>
      <c r="E10" s="119">
        <f>'YR2'!C52</f>
        <v>2500</v>
      </c>
      <c r="F10" s="118">
        <f>'YR2'!F52</f>
        <v>0</v>
      </c>
      <c r="G10" s="117">
        <f t="shared" si="1"/>
        <v>0</v>
      </c>
    </row>
    <row r="11" spans="1:7" ht="15" thickBot="1" x14ac:dyDescent="0.4">
      <c r="A11" s="54" t="s">
        <v>46</v>
      </c>
      <c r="B11" s="57"/>
      <c r="C11" s="59"/>
      <c r="D11" s="61">
        <f>ROUND(SUM(D7:D8),-2)</f>
        <v>0</v>
      </c>
      <c r="E11" s="59"/>
      <c r="F11" s="59"/>
      <c r="G11" s="61">
        <f>ROUND(SUM(G7:G8),-2)</f>
        <v>87000</v>
      </c>
    </row>
  </sheetData>
  <mergeCells count="2">
    <mergeCell ref="A2:G2"/>
    <mergeCell ref="A3:G3"/>
  </mergeCell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61108-F44A-4855-9E1F-3942000E5434}">
  <dimension ref="A1:F9"/>
  <sheetViews>
    <sheetView tabSelected="1" workbookViewId="0">
      <selection activeCell="D15" sqref="D15"/>
    </sheetView>
  </sheetViews>
  <sheetFormatPr defaultRowHeight="14.5" x14ac:dyDescent="0.35"/>
  <cols>
    <col min="1" max="1" width="13.81640625" customWidth="1"/>
    <col min="2" max="2" width="18.81640625" customWidth="1"/>
    <col min="3" max="3" width="17.81640625" customWidth="1"/>
    <col min="4" max="4" width="21.7265625" customWidth="1"/>
    <col min="5" max="5" width="31.81640625" customWidth="1"/>
    <col min="6" max="6" width="22.81640625" customWidth="1"/>
  </cols>
  <sheetData>
    <row r="1" spans="1:6" ht="15" x14ac:dyDescent="0.35">
      <c r="A1" s="176" t="s">
        <v>78</v>
      </c>
      <c r="B1" s="176"/>
      <c r="C1" s="176"/>
      <c r="D1" s="176"/>
      <c r="E1" s="176"/>
      <c r="F1" s="176"/>
    </row>
    <row r="2" spans="1:6" ht="26" x14ac:dyDescent="0.35">
      <c r="A2" s="67"/>
      <c r="B2" s="177" t="s">
        <v>98</v>
      </c>
      <c r="C2" s="177"/>
      <c r="D2" s="68" t="s">
        <v>99</v>
      </c>
      <c r="E2" s="68"/>
      <c r="F2" s="68"/>
    </row>
    <row r="3" spans="1:6" x14ac:dyDescent="0.35">
      <c r="A3" s="68"/>
      <c r="B3" s="16" t="s">
        <v>1</v>
      </c>
      <c r="C3" s="16" t="s">
        <v>2</v>
      </c>
      <c r="D3" s="16" t="s">
        <v>3</v>
      </c>
      <c r="E3" s="16" t="s">
        <v>4</v>
      </c>
      <c r="F3" s="16" t="s">
        <v>5</v>
      </c>
    </row>
    <row r="4" spans="1:6" ht="52" x14ac:dyDescent="0.35">
      <c r="A4" s="16" t="s">
        <v>70</v>
      </c>
      <c r="B4" s="68" t="s">
        <v>100</v>
      </c>
      <c r="C4" s="68" t="s">
        <v>101</v>
      </c>
      <c r="D4" s="68" t="s">
        <v>102</v>
      </c>
      <c r="E4" s="68" t="s">
        <v>103</v>
      </c>
      <c r="F4" s="68" t="s">
        <v>104</v>
      </c>
    </row>
    <row r="5" spans="1:6" x14ac:dyDescent="0.35">
      <c r="A5" s="16">
        <v>1</v>
      </c>
      <c r="B5" s="16">
        <v>0</v>
      </c>
      <c r="C5" s="16">
        <v>54</v>
      </c>
      <c r="D5" s="16">
        <v>0</v>
      </c>
      <c r="E5" s="16">
        <v>0</v>
      </c>
      <c r="F5" s="16">
        <f>B5+C5+D5-E5</f>
        <v>54</v>
      </c>
    </row>
    <row r="6" spans="1:6" x14ac:dyDescent="0.35">
      <c r="A6" s="16">
        <v>2</v>
      </c>
      <c r="B6" s="16">
        <v>0</v>
      </c>
      <c r="C6" s="16">
        <f>F5+B6</f>
        <v>54</v>
      </c>
      <c r="D6" s="16">
        <v>0</v>
      </c>
      <c r="E6" s="16">
        <v>0</v>
      </c>
      <c r="F6" s="16">
        <f t="shared" ref="F6:F7" si="0">B6+C6+D6-E6</f>
        <v>54</v>
      </c>
    </row>
    <row r="7" spans="1:6" x14ac:dyDescent="0.35">
      <c r="A7" s="16">
        <v>3</v>
      </c>
      <c r="B7" s="16">
        <v>0</v>
      </c>
      <c r="C7" s="16">
        <f>F6+B7</f>
        <v>54</v>
      </c>
      <c r="D7" s="16">
        <v>0</v>
      </c>
      <c r="E7" s="16">
        <v>0</v>
      </c>
      <c r="F7" s="16">
        <f t="shared" si="0"/>
        <v>54</v>
      </c>
    </row>
    <row r="8" spans="1:6" x14ac:dyDescent="0.35">
      <c r="A8" s="68" t="s">
        <v>77</v>
      </c>
      <c r="B8" s="16">
        <f>AVERAGE(B5:B7)</f>
        <v>0</v>
      </c>
      <c r="C8" s="16">
        <f>AVERAGE(C5:C7)</f>
        <v>54</v>
      </c>
      <c r="D8" s="16">
        <f t="shared" ref="D8:E8" si="1">AVERAGE(D5:D7)</f>
        <v>0</v>
      </c>
      <c r="E8" s="16">
        <f t="shared" si="1"/>
        <v>0</v>
      </c>
      <c r="F8" s="16">
        <f>AVERAGE(F5:F7)</f>
        <v>54</v>
      </c>
    </row>
    <row r="9" spans="1:6" ht="15.5" x14ac:dyDescent="0.35">
      <c r="A9" s="178" t="s">
        <v>105</v>
      </c>
      <c r="B9" s="178"/>
      <c r="C9" s="178"/>
      <c r="D9" s="178"/>
      <c r="E9" s="178"/>
      <c r="F9" s="178"/>
    </row>
  </sheetData>
  <mergeCells count="3">
    <mergeCell ref="A1:F1"/>
    <mergeCell ref="B2:C2"/>
    <mergeCell ref="A9:F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F1C7-4576-44D7-85D5-16613A260E86}">
  <dimension ref="A1:E15"/>
  <sheetViews>
    <sheetView topLeftCell="A4" zoomScale="70" zoomScaleNormal="70" workbookViewId="0">
      <selection activeCell="B11" sqref="B11"/>
    </sheetView>
  </sheetViews>
  <sheetFormatPr defaultColWidth="13.7265625" defaultRowHeight="13" x14ac:dyDescent="0.3"/>
  <cols>
    <col min="1" max="1" width="19.26953125" style="69" customWidth="1"/>
    <col min="2" max="8" width="13.7265625" style="69"/>
    <col min="9" max="9" width="15.7265625" style="69" customWidth="1"/>
    <col min="10" max="16384" width="13.7265625" style="69"/>
  </cols>
  <sheetData>
    <row r="1" spans="1:5" ht="15" x14ac:dyDescent="0.3">
      <c r="A1" s="176" t="s">
        <v>106</v>
      </c>
      <c r="B1" s="176"/>
      <c r="C1" s="176"/>
      <c r="D1" s="176"/>
      <c r="E1" s="176"/>
    </row>
    <row r="2" spans="1:5" x14ac:dyDescent="0.3">
      <c r="A2" s="16" t="s">
        <v>1</v>
      </c>
      <c r="B2" s="16" t="s">
        <v>2</v>
      </c>
      <c r="C2" s="16" t="s">
        <v>3</v>
      </c>
      <c r="D2" s="16" t="s">
        <v>4</v>
      </c>
      <c r="E2" s="16" t="s">
        <v>5</v>
      </c>
    </row>
    <row r="3" spans="1:5" ht="78" x14ac:dyDescent="0.3">
      <c r="A3" s="16" t="s">
        <v>107</v>
      </c>
      <c r="B3" s="16" t="s">
        <v>78</v>
      </c>
      <c r="C3" s="16" t="s">
        <v>79</v>
      </c>
      <c r="D3" s="16" t="s">
        <v>108</v>
      </c>
      <c r="E3" s="16" t="s">
        <v>109</v>
      </c>
    </row>
    <row r="4" spans="1:5" x14ac:dyDescent="0.3">
      <c r="A4" s="70" t="s">
        <v>110</v>
      </c>
      <c r="B4" s="7">
        <v>0</v>
      </c>
      <c r="C4" s="7">
        <v>1</v>
      </c>
      <c r="D4" s="16" t="s">
        <v>10</v>
      </c>
      <c r="E4" s="16">
        <f t="shared" ref="E4:E9" si="0">B4*C4</f>
        <v>0</v>
      </c>
    </row>
    <row r="5" spans="1:5" x14ac:dyDescent="0.3">
      <c r="A5" s="70" t="s">
        <v>111</v>
      </c>
      <c r="B5" s="7">
        <v>0</v>
      </c>
      <c r="C5" s="7">
        <v>1</v>
      </c>
      <c r="D5" s="16" t="s">
        <v>10</v>
      </c>
      <c r="E5" s="16">
        <f t="shared" si="0"/>
        <v>0</v>
      </c>
    </row>
    <row r="6" spans="1:5" ht="39" x14ac:dyDescent="0.3">
      <c r="A6" s="70" t="s">
        <v>176</v>
      </c>
      <c r="B6" s="7">
        <v>0</v>
      </c>
      <c r="C6" s="7">
        <v>1</v>
      </c>
      <c r="D6" s="16" t="s">
        <v>10</v>
      </c>
      <c r="E6" s="16">
        <f t="shared" si="0"/>
        <v>0</v>
      </c>
    </row>
    <row r="7" spans="1:5" ht="36.75" customHeight="1" x14ac:dyDescent="0.3">
      <c r="A7" s="70" t="s">
        <v>115</v>
      </c>
      <c r="B7" s="7">
        <f>EPA_Yr1!E15</f>
        <v>25</v>
      </c>
      <c r="C7" s="7">
        <v>1</v>
      </c>
      <c r="D7" s="16" t="s">
        <v>10</v>
      </c>
      <c r="E7" s="16">
        <f t="shared" si="0"/>
        <v>25</v>
      </c>
    </row>
    <row r="8" spans="1:5" ht="36.75" customHeight="1" x14ac:dyDescent="0.3">
      <c r="A8" s="70" t="s">
        <v>112</v>
      </c>
      <c r="B8" s="7">
        <v>0</v>
      </c>
      <c r="C8" s="7">
        <v>1</v>
      </c>
      <c r="D8" s="16" t="s">
        <v>10</v>
      </c>
      <c r="E8" s="16">
        <f t="shared" si="0"/>
        <v>0</v>
      </c>
    </row>
    <row r="9" spans="1:5" ht="36.75" customHeight="1" x14ac:dyDescent="0.3">
      <c r="A9" s="70" t="s">
        <v>113</v>
      </c>
      <c r="B9" s="7">
        <v>0</v>
      </c>
      <c r="C9" s="7">
        <v>1</v>
      </c>
      <c r="D9" s="16" t="s">
        <v>10</v>
      </c>
      <c r="E9" s="16">
        <f t="shared" si="0"/>
        <v>0</v>
      </c>
    </row>
    <row r="10" spans="1:5" ht="36.75" customHeight="1" x14ac:dyDescent="0.3">
      <c r="A10" s="70" t="s">
        <v>207</v>
      </c>
      <c r="B10" s="7">
        <f>'YR3'!F37</f>
        <v>0</v>
      </c>
      <c r="C10" s="7">
        <v>1</v>
      </c>
      <c r="D10" s="16" t="s">
        <v>10</v>
      </c>
      <c r="E10" s="16">
        <f t="shared" ref="E10:E12" si="1">B10*C10</f>
        <v>0</v>
      </c>
    </row>
    <row r="11" spans="1:5" ht="36.75" customHeight="1" x14ac:dyDescent="0.3">
      <c r="A11" s="70" t="s">
        <v>209</v>
      </c>
      <c r="B11" s="7">
        <f>'YR3'!F38</f>
        <v>25</v>
      </c>
      <c r="C11" s="7">
        <v>1</v>
      </c>
      <c r="D11" s="16" t="s">
        <v>10</v>
      </c>
      <c r="E11" s="16">
        <f t="shared" si="1"/>
        <v>25</v>
      </c>
    </row>
    <row r="12" spans="1:5" ht="36.75" customHeight="1" x14ac:dyDescent="0.3">
      <c r="A12" s="70" t="s">
        <v>208</v>
      </c>
      <c r="B12" s="7">
        <f>EPA_Yr3!E22</f>
        <v>29</v>
      </c>
      <c r="C12" s="7">
        <v>1</v>
      </c>
      <c r="D12" s="16" t="s">
        <v>10</v>
      </c>
      <c r="E12" s="16">
        <f t="shared" si="1"/>
        <v>29</v>
      </c>
    </row>
    <row r="13" spans="1:5" ht="36.75" customHeight="1" x14ac:dyDescent="0.3">
      <c r="A13" s="122" t="s">
        <v>175</v>
      </c>
      <c r="B13" s="16">
        <v>25</v>
      </c>
      <c r="C13" s="16">
        <v>1</v>
      </c>
      <c r="D13" s="16" t="s">
        <v>10</v>
      </c>
      <c r="E13" s="16">
        <f t="shared" ref="E13" si="2">B13*C13</f>
        <v>25</v>
      </c>
    </row>
    <row r="14" spans="1:5" ht="27" customHeight="1" x14ac:dyDescent="0.3">
      <c r="A14" s="70" t="s">
        <v>114</v>
      </c>
      <c r="B14" s="7">
        <f>EPA_Yr3!E23</f>
        <v>3</v>
      </c>
      <c r="C14" s="7">
        <v>2</v>
      </c>
      <c r="D14" s="16" t="s">
        <v>10</v>
      </c>
      <c r="E14" s="16">
        <f t="shared" ref="E14" si="3">B14*C14</f>
        <v>6</v>
      </c>
    </row>
    <row r="15" spans="1:5" x14ac:dyDescent="0.3">
      <c r="A15" s="123"/>
      <c r="B15" s="16"/>
      <c r="C15" s="179" t="s">
        <v>116</v>
      </c>
      <c r="D15" s="180"/>
      <c r="E15" s="71">
        <f>ROUND(SUM(E4:E14),0)</f>
        <v>110</v>
      </c>
    </row>
  </sheetData>
  <mergeCells count="2">
    <mergeCell ref="A1:E1"/>
    <mergeCell ref="C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68E1-EA0E-4903-B308-744C89CCF020}">
  <dimension ref="A1:O73"/>
  <sheetViews>
    <sheetView topLeftCell="A66" zoomScaleNormal="100" workbookViewId="0">
      <selection activeCell="A68" sqref="A68:K68"/>
    </sheetView>
  </sheetViews>
  <sheetFormatPr defaultColWidth="9.1796875" defaultRowHeight="13" x14ac:dyDescent="0.3"/>
  <cols>
    <col min="1" max="1" width="47.7265625" style="76" customWidth="1"/>
    <col min="2" max="3" width="12.453125" style="76" customWidth="1"/>
    <col min="4" max="4" width="12.54296875" style="76" customWidth="1"/>
    <col min="5" max="5" width="11.7265625" style="76" customWidth="1"/>
    <col min="6" max="6" width="12.54296875" style="76" customWidth="1"/>
    <col min="7" max="7" width="12.7265625" style="76" customWidth="1"/>
    <col min="8" max="8" width="12.453125" style="76" customWidth="1"/>
    <col min="9" max="9" width="11.54296875" style="76" customWidth="1"/>
    <col min="10" max="10" width="12.1796875" style="76" customWidth="1"/>
    <col min="11" max="11" width="14.453125" style="76" customWidth="1"/>
    <col min="12" max="12" width="13.54296875" style="76" customWidth="1"/>
    <col min="13" max="16384" width="9.1796875" style="76"/>
  </cols>
  <sheetData>
    <row r="1" spans="1:14" ht="15.5" x14ac:dyDescent="0.35">
      <c r="A1" s="87" t="s">
        <v>178</v>
      </c>
    </row>
    <row r="2" spans="1:14" x14ac:dyDescent="0.3">
      <c r="H2" s="76">
        <v>145.99</v>
      </c>
      <c r="I2" s="76">
        <v>177.98</v>
      </c>
      <c r="K2" s="76">
        <v>74.28</v>
      </c>
      <c r="L2" s="76" t="s">
        <v>156</v>
      </c>
    </row>
    <row r="3" spans="1:14" ht="13.5" thickBot="1" x14ac:dyDescent="0.35">
      <c r="G3" s="163" t="s">
        <v>47</v>
      </c>
      <c r="H3" s="164"/>
      <c r="I3" s="165"/>
      <c r="J3" s="88"/>
    </row>
    <row r="4" spans="1:14" ht="78" x14ac:dyDescent="0.3">
      <c r="A4" s="89" t="s">
        <v>0</v>
      </c>
      <c r="B4" s="79" t="s">
        <v>48</v>
      </c>
      <c r="C4" s="79" t="s">
        <v>62</v>
      </c>
      <c r="D4" s="79" t="s">
        <v>60</v>
      </c>
      <c r="E4" s="79" t="s">
        <v>61</v>
      </c>
      <c r="F4" s="79" t="s">
        <v>130</v>
      </c>
      <c r="G4" s="79" t="s">
        <v>63</v>
      </c>
      <c r="H4" s="79" t="s">
        <v>64</v>
      </c>
      <c r="I4" s="79" t="s">
        <v>65</v>
      </c>
      <c r="J4" s="79" t="s">
        <v>66</v>
      </c>
      <c r="K4" s="79" t="s">
        <v>131</v>
      </c>
      <c r="L4" s="77" t="s">
        <v>67</v>
      </c>
      <c r="M4" s="77" t="s">
        <v>68</v>
      </c>
    </row>
    <row r="5" spans="1:14" x14ac:dyDescent="0.3">
      <c r="A5" s="85" t="s">
        <v>9</v>
      </c>
      <c r="B5" s="79" t="s">
        <v>10</v>
      </c>
      <c r="C5" s="79"/>
      <c r="D5" s="85"/>
      <c r="E5" s="79"/>
      <c r="F5" s="79"/>
      <c r="G5" s="79"/>
      <c r="H5" s="79"/>
      <c r="I5" s="79"/>
      <c r="J5" s="79"/>
      <c r="K5" s="90"/>
      <c r="L5" s="78"/>
      <c r="M5" s="78"/>
    </row>
    <row r="6" spans="1:14" x14ac:dyDescent="0.3">
      <c r="A6" s="85" t="s">
        <v>11</v>
      </c>
      <c r="B6" s="79" t="s">
        <v>10</v>
      </c>
      <c r="C6" s="79"/>
      <c r="D6" s="85"/>
      <c r="E6" s="79"/>
      <c r="F6" s="79"/>
      <c r="G6" s="79"/>
      <c r="H6" s="79"/>
      <c r="I6" s="79"/>
      <c r="J6" s="79"/>
      <c r="K6" s="90"/>
      <c r="L6" s="78"/>
      <c r="M6" s="78"/>
    </row>
    <row r="7" spans="1:14" x14ac:dyDescent="0.3">
      <c r="A7" s="85" t="s">
        <v>12</v>
      </c>
      <c r="B7" s="79"/>
      <c r="C7" s="79"/>
      <c r="D7" s="79"/>
      <c r="E7" s="79"/>
      <c r="F7" s="79"/>
      <c r="G7" s="79"/>
      <c r="H7" s="79"/>
      <c r="I7" s="79"/>
      <c r="J7" s="79"/>
      <c r="K7" s="90"/>
      <c r="L7" s="78"/>
      <c r="M7" s="78"/>
    </row>
    <row r="8" spans="1:14" ht="15.5" x14ac:dyDescent="0.3">
      <c r="A8" s="85" t="s">
        <v>132</v>
      </c>
      <c r="B8" s="78"/>
      <c r="C8" s="78"/>
      <c r="D8" s="78"/>
      <c r="E8" s="78"/>
      <c r="F8" s="78"/>
      <c r="G8" s="78"/>
      <c r="H8" s="78"/>
      <c r="I8" s="78"/>
      <c r="J8" s="78"/>
      <c r="K8" s="78"/>
      <c r="L8" s="78"/>
      <c r="M8" s="78"/>
    </row>
    <row r="9" spans="1:14" ht="26" x14ac:dyDescent="0.3">
      <c r="A9" s="91" t="s">
        <v>177</v>
      </c>
      <c r="B9" s="79">
        <v>18</v>
      </c>
      <c r="C9" s="80">
        <v>0</v>
      </c>
      <c r="D9" s="79">
        <v>1</v>
      </c>
      <c r="E9" s="79">
        <f>B9*D9</f>
        <v>18</v>
      </c>
      <c r="F9" s="79">
        <v>25</v>
      </c>
      <c r="G9" s="79">
        <f>+F9*E9</f>
        <v>450</v>
      </c>
      <c r="H9" s="79">
        <f>+G9*0.05</f>
        <v>22.5</v>
      </c>
      <c r="I9" s="79">
        <f>+G9*0.1</f>
        <v>45</v>
      </c>
      <c r="J9" s="79">
        <f>G9+H9+I9</f>
        <v>517.5</v>
      </c>
      <c r="K9" s="81">
        <f>+G9*$H$2+H9*$I$2+I9*$K$2</f>
        <v>73042.650000000009</v>
      </c>
      <c r="L9" s="82">
        <f>C9*D9*F9</f>
        <v>0</v>
      </c>
      <c r="M9" s="78">
        <v>0</v>
      </c>
    </row>
    <row r="10" spans="1:14" x14ac:dyDescent="0.3">
      <c r="A10" s="85" t="s">
        <v>97</v>
      </c>
      <c r="B10" s="79">
        <v>4</v>
      </c>
      <c r="C10" s="80">
        <v>0</v>
      </c>
      <c r="D10" s="79">
        <v>1</v>
      </c>
      <c r="E10" s="79">
        <f>B10*D10</f>
        <v>4</v>
      </c>
      <c r="F10" s="79">
        <v>29</v>
      </c>
      <c r="G10" s="79">
        <f>+F10*E10</f>
        <v>116</v>
      </c>
      <c r="H10" s="79">
        <f>+G10*0.05</f>
        <v>5.8000000000000007</v>
      </c>
      <c r="I10" s="79">
        <f>+G10*0.1</f>
        <v>11.600000000000001</v>
      </c>
      <c r="J10" s="79">
        <f>G10+H10+I10</f>
        <v>133.4</v>
      </c>
      <c r="K10" s="81">
        <f>+G10*$H$2+H10*$I$2+I10*$K$2</f>
        <v>18828.772000000001</v>
      </c>
      <c r="L10" s="82">
        <f>C10*D10*F10</f>
        <v>0</v>
      </c>
      <c r="M10" s="78">
        <v>0</v>
      </c>
    </row>
    <row r="11" spans="1:14" x14ac:dyDescent="0.3">
      <c r="A11" s="85" t="s">
        <v>13</v>
      </c>
      <c r="B11" s="79"/>
      <c r="C11" s="79"/>
      <c r="D11" s="79"/>
      <c r="E11" s="79"/>
      <c r="F11" s="79"/>
      <c r="G11" s="79"/>
      <c r="H11" s="79"/>
      <c r="I11" s="79"/>
      <c r="J11" s="79"/>
      <c r="K11" s="90"/>
      <c r="L11" s="82"/>
      <c r="M11" s="78"/>
    </row>
    <row r="12" spans="1:14" x14ac:dyDescent="0.3">
      <c r="A12" s="91" t="s">
        <v>49</v>
      </c>
      <c r="B12" s="79"/>
      <c r="C12" s="79"/>
      <c r="D12" s="79"/>
      <c r="E12" s="79"/>
      <c r="F12" s="79"/>
      <c r="G12" s="79"/>
      <c r="H12" s="79"/>
      <c r="I12" s="79"/>
      <c r="J12" s="79"/>
      <c r="K12" s="90"/>
      <c r="L12" s="82"/>
      <c r="M12" s="78"/>
    </row>
    <row r="13" spans="1:14" ht="28.5" x14ac:dyDescent="0.3">
      <c r="A13" s="92" t="s">
        <v>133</v>
      </c>
      <c r="B13" s="79">
        <v>24</v>
      </c>
      <c r="C13" s="80">
        <v>76666.666666666657</v>
      </c>
      <c r="D13" s="79">
        <v>1</v>
      </c>
      <c r="E13" s="79">
        <f t="shared" ref="E13:E16" si="0">B13*D13</f>
        <v>24</v>
      </c>
      <c r="F13" s="79">
        <v>0</v>
      </c>
      <c r="G13" s="79">
        <f>+F13*E13</f>
        <v>0</v>
      </c>
      <c r="H13" s="79">
        <f>+G13*0.05</f>
        <v>0</v>
      </c>
      <c r="I13" s="79">
        <f>+G13*0.1</f>
        <v>0</v>
      </c>
      <c r="J13" s="79">
        <f t="shared" ref="J13:J16" si="1">G13+H13+I13</f>
        <v>0</v>
      </c>
      <c r="K13" s="81">
        <f>+G13*$H$2+H13*$I$2+I13*$K$2</f>
        <v>0</v>
      </c>
      <c r="L13" s="82">
        <f>C13*D13*F13</f>
        <v>0</v>
      </c>
      <c r="M13" s="78">
        <f t="shared" ref="M13:M25" si="2">D13*F13</f>
        <v>0</v>
      </c>
      <c r="N13" s="93"/>
    </row>
    <row r="14" spans="1:14" ht="15.5" x14ac:dyDescent="0.3">
      <c r="A14" s="92" t="s">
        <v>134</v>
      </c>
      <c r="B14" s="79">
        <v>24</v>
      </c>
      <c r="C14" s="80">
        <f>ROUND(C13*0.2,0)</f>
        <v>15333</v>
      </c>
      <c r="D14" s="79">
        <v>1</v>
      </c>
      <c r="E14" s="79">
        <f t="shared" si="0"/>
        <v>24</v>
      </c>
      <c r="F14" s="79">
        <v>0</v>
      </c>
      <c r="G14" s="79">
        <f>+F14*E14</f>
        <v>0</v>
      </c>
      <c r="H14" s="79">
        <f>+G14*0.05</f>
        <v>0</v>
      </c>
      <c r="I14" s="79">
        <f>+G14*0.1</f>
        <v>0</v>
      </c>
      <c r="J14" s="79">
        <f t="shared" si="1"/>
        <v>0</v>
      </c>
      <c r="K14" s="81">
        <f>+G14*$H$2+H14*$I$2+I14*$K$2</f>
        <v>0</v>
      </c>
      <c r="L14" s="82">
        <f t="shared" ref="L14:L26" si="3">C14*D14*F14</f>
        <v>0</v>
      </c>
      <c r="M14" s="78">
        <f t="shared" si="2"/>
        <v>0</v>
      </c>
    </row>
    <row r="15" spans="1:14" ht="28.5" x14ac:dyDescent="0.3">
      <c r="A15" s="92" t="s">
        <v>135</v>
      </c>
      <c r="B15" s="79">
        <v>3</v>
      </c>
      <c r="C15" s="80">
        <v>3000</v>
      </c>
      <c r="D15" s="79">
        <v>1</v>
      </c>
      <c r="E15" s="79">
        <f t="shared" si="0"/>
        <v>3</v>
      </c>
      <c r="F15" s="79">
        <v>0</v>
      </c>
      <c r="G15" s="79">
        <f>+F15*E15</f>
        <v>0</v>
      </c>
      <c r="H15" s="79">
        <f>+G15*0.05</f>
        <v>0</v>
      </c>
      <c r="I15" s="79">
        <f>+G15*0.1</f>
        <v>0</v>
      </c>
      <c r="J15" s="79">
        <f t="shared" si="1"/>
        <v>0</v>
      </c>
      <c r="K15" s="81">
        <f>+G15*$H$2+H15*$I$2+I15*$K$2</f>
        <v>0</v>
      </c>
      <c r="L15" s="82">
        <f t="shared" si="3"/>
        <v>0</v>
      </c>
      <c r="M15" s="78">
        <f t="shared" si="2"/>
        <v>0</v>
      </c>
    </row>
    <row r="16" spans="1:14" ht="28.5" x14ac:dyDescent="0.3">
      <c r="A16" s="92" t="s">
        <v>136</v>
      </c>
      <c r="B16" s="79">
        <v>3</v>
      </c>
      <c r="C16" s="80">
        <f>ROUND(C15*0.2,0)</f>
        <v>600</v>
      </c>
      <c r="D16" s="79">
        <v>1</v>
      </c>
      <c r="E16" s="79">
        <f t="shared" si="0"/>
        <v>3</v>
      </c>
      <c r="F16" s="79">
        <v>0</v>
      </c>
      <c r="G16" s="79">
        <f>+F16*E16</f>
        <v>0</v>
      </c>
      <c r="H16" s="79">
        <f>+G16*0.05</f>
        <v>0</v>
      </c>
      <c r="I16" s="79">
        <f>+G16*0.1</f>
        <v>0</v>
      </c>
      <c r="J16" s="79">
        <f t="shared" si="1"/>
        <v>0</v>
      </c>
      <c r="K16" s="81">
        <f>+G16*$H$2+H16*$I$2+I16*$K$2</f>
        <v>0</v>
      </c>
      <c r="L16" s="82">
        <f>C16*D16*F16</f>
        <v>0</v>
      </c>
      <c r="M16" s="78">
        <f t="shared" si="2"/>
        <v>0</v>
      </c>
      <c r="N16" s="93"/>
    </row>
    <row r="17" spans="1:14" x14ac:dyDescent="0.3">
      <c r="A17" s="91" t="s">
        <v>50</v>
      </c>
      <c r="B17" s="79"/>
      <c r="C17" s="79"/>
      <c r="D17" s="79"/>
      <c r="E17" s="79"/>
      <c r="F17" s="79"/>
      <c r="G17" s="79"/>
      <c r="H17" s="79"/>
      <c r="I17" s="79"/>
      <c r="J17" s="79"/>
      <c r="K17" s="90"/>
      <c r="L17" s="82">
        <f t="shared" si="3"/>
        <v>0</v>
      </c>
      <c r="M17" s="78">
        <f t="shared" si="2"/>
        <v>0</v>
      </c>
    </row>
    <row r="18" spans="1:14" ht="15.5" x14ac:dyDescent="0.3">
      <c r="A18" s="92" t="s">
        <v>137</v>
      </c>
      <c r="B18" s="79">
        <v>229</v>
      </c>
      <c r="C18" s="80">
        <f>185000+210000</f>
        <v>395000</v>
      </c>
      <c r="D18" s="79">
        <v>1</v>
      </c>
      <c r="E18" s="79">
        <f>B18*D18</f>
        <v>229</v>
      </c>
      <c r="F18" s="79">
        <v>0</v>
      </c>
      <c r="G18" s="79">
        <f>+F18*E18</f>
        <v>0</v>
      </c>
      <c r="H18" s="79">
        <f>+G18*0.05</f>
        <v>0</v>
      </c>
      <c r="I18" s="79">
        <f>+G18*0.1</f>
        <v>0</v>
      </c>
      <c r="J18" s="79">
        <f>G18+H18+I18</f>
        <v>0</v>
      </c>
      <c r="K18" s="81">
        <f>+G18*$H$2+H18*$I$2+I18*$K$2</f>
        <v>0</v>
      </c>
      <c r="L18" s="82">
        <f>C18*D18*F18</f>
        <v>0</v>
      </c>
      <c r="M18" s="78">
        <f t="shared" si="2"/>
        <v>0</v>
      </c>
    </row>
    <row r="19" spans="1:14" x14ac:dyDescent="0.3">
      <c r="A19" s="92" t="s">
        <v>51</v>
      </c>
      <c r="B19" s="79" t="s">
        <v>52</v>
      </c>
      <c r="C19" s="79"/>
      <c r="D19" s="79"/>
      <c r="E19" s="79"/>
      <c r="F19" s="79"/>
      <c r="G19" s="79"/>
      <c r="H19" s="79"/>
      <c r="I19" s="79"/>
      <c r="J19" s="79"/>
      <c r="K19" s="81"/>
      <c r="L19" s="82">
        <f t="shared" si="3"/>
        <v>0</v>
      </c>
      <c r="M19" s="78">
        <f t="shared" si="2"/>
        <v>0</v>
      </c>
    </row>
    <row r="20" spans="1:14" ht="28.5" x14ac:dyDescent="0.3">
      <c r="A20" s="91" t="s">
        <v>138</v>
      </c>
      <c r="B20" s="79">
        <v>24</v>
      </c>
      <c r="C20" s="80">
        <v>76666.666666666657</v>
      </c>
      <c r="D20" s="79">
        <v>1</v>
      </c>
      <c r="E20" s="79">
        <f>B20*D20</f>
        <v>24</v>
      </c>
      <c r="F20" s="79">
        <v>0</v>
      </c>
      <c r="G20" s="79">
        <f>+F20*E20</f>
        <v>0</v>
      </c>
      <c r="H20" s="79">
        <f>+G20*0.05</f>
        <v>0</v>
      </c>
      <c r="I20" s="79">
        <f>+G20*0.1</f>
        <v>0</v>
      </c>
      <c r="J20" s="79">
        <f t="shared" ref="J20:J26" si="4">G20+H20+I20</f>
        <v>0</v>
      </c>
      <c r="K20" s="81">
        <f>+G20*$H$2+H20*$I$2+I20*$K$2</f>
        <v>0</v>
      </c>
      <c r="L20" s="82">
        <f t="shared" si="3"/>
        <v>0</v>
      </c>
      <c r="M20" s="78">
        <f t="shared" si="2"/>
        <v>0</v>
      </c>
      <c r="N20" s="93"/>
    </row>
    <row r="21" spans="1:14" ht="28.5" x14ac:dyDescent="0.3">
      <c r="A21" s="91" t="s">
        <v>139</v>
      </c>
      <c r="B21" s="79">
        <v>3</v>
      </c>
      <c r="C21" s="80">
        <v>3000</v>
      </c>
      <c r="D21" s="79">
        <v>1</v>
      </c>
      <c r="E21" s="79">
        <f>B21*D21</f>
        <v>3</v>
      </c>
      <c r="F21" s="79">
        <v>29</v>
      </c>
      <c r="G21" s="79">
        <f>+F21*E21</f>
        <v>87</v>
      </c>
      <c r="H21" s="79">
        <f>+G21*0.05</f>
        <v>4.3500000000000005</v>
      </c>
      <c r="I21" s="79">
        <f>+G21*0.1</f>
        <v>8.7000000000000011</v>
      </c>
      <c r="J21" s="79">
        <f t="shared" si="4"/>
        <v>100.05</v>
      </c>
      <c r="K21" s="81">
        <f>+G21*$H$2+H21*$I$2+I21*$K$2</f>
        <v>14121.579000000002</v>
      </c>
      <c r="L21" s="82">
        <f t="shared" si="3"/>
        <v>87000</v>
      </c>
      <c r="M21" s="78">
        <v>0</v>
      </c>
      <c r="N21" s="93"/>
    </row>
    <row r="22" spans="1:14" x14ac:dyDescent="0.3">
      <c r="A22" s="94" t="s">
        <v>93</v>
      </c>
      <c r="B22" s="79"/>
      <c r="C22" s="79"/>
      <c r="D22" s="79"/>
      <c r="E22" s="79"/>
      <c r="F22" s="79"/>
      <c r="G22" s="79"/>
      <c r="H22" s="79"/>
      <c r="I22" s="79"/>
      <c r="J22" s="79"/>
      <c r="K22" s="81"/>
      <c r="L22" s="82"/>
      <c r="M22" s="78"/>
      <c r="N22" s="93"/>
    </row>
    <row r="23" spans="1:14" ht="15.5" x14ac:dyDescent="0.3">
      <c r="A23" s="95" t="s">
        <v>140</v>
      </c>
      <c r="B23" s="7">
        <v>16</v>
      </c>
      <c r="C23" s="80">
        <v>0</v>
      </c>
      <c r="D23" s="138">
        <v>1</v>
      </c>
      <c r="E23" s="79">
        <f>B23*D23</f>
        <v>16</v>
      </c>
      <c r="F23" s="79">
        <v>0</v>
      </c>
      <c r="G23" s="79">
        <f t="shared" ref="G23:G24" si="5">+F23*E23</f>
        <v>0</v>
      </c>
      <c r="H23" s="79">
        <f t="shared" ref="H23:H24" si="6">+G23*0.05</f>
        <v>0</v>
      </c>
      <c r="I23" s="79">
        <f t="shared" ref="I23:I24" si="7">+G23*0.1</f>
        <v>0</v>
      </c>
      <c r="J23" s="79">
        <f t="shared" ref="J23:J24" si="8">G23+H23+I23</f>
        <v>0</v>
      </c>
      <c r="K23" s="83">
        <f t="shared" ref="K23:K24" si="9">+G23*$H$2+H23*$I$2+I23*$K$2</f>
        <v>0</v>
      </c>
      <c r="L23" s="82">
        <f t="shared" ref="L23:L24" si="10">C23*D23*F23</f>
        <v>0</v>
      </c>
      <c r="M23" s="78">
        <f t="shared" ref="M23:M24" si="11">D23*F23</f>
        <v>0</v>
      </c>
      <c r="N23" s="93"/>
    </row>
    <row r="24" spans="1:14" ht="15.5" x14ac:dyDescent="0.3">
      <c r="A24" s="95" t="s">
        <v>141</v>
      </c>
      <c r="B24" s="7">
        <v>16</v>
      </c>
      <c r="C24" s="80">
        <v>0</v>
      </c>
      <c r="D24" s="138">
        <v>3</v>
      </c>
      <c r="E24" s="79">
        <f>B24*D24</f>
        <v>48</v>
      </c>
      <c r="F24" s="79">
        <v>0</v>
      </c>
      <c r="G24" s="79">
        <f t="shared" si="5"/>
        <v>0</v>
      </c>
      <c r="H24" s="79">
        <f t="shared" si="6"/>
        <v>0</v>
      </c>
      <c r="I24" s="79">
        <f t="shared" si="7"/>
        <v>0</v>
      </c>
      <c r="J24" s="79">
        <f t="shared" si="8"/>
        <v>0</v>
      </c>
      <c r="K24" s="83">
        <f t="shared" si="9"/>
        <v>0</v>
      </c>
      <c r="L24" s="82">
        <f t="shared" si="10"/>
        <v>0</v>
      </c>
      <c r="M24" s="78">
        <f t="shared" si="11"/>
        <v>0</v>
      </c>
      <c r="N24" s="93"/>
    </row>
    <row r="25" spans="1:14" ht="15.5" x14ac:dyDescent="0.3">
      <c r="A25" s="92" t="s">
        <v>142</v>
      </c>
      <c r="B25" s="79">
        <v>0.25</v>
      </c>
      <c r="C25" s="80">
        <f>38100+35600</f>
        <v>73700</v>
      </c>
      <c r="D25" s="79">
        <v>250</v>
      </c>
      <c r="E25" s="79">
        <f>B25*D25</f>
        <v>62.5</v>
      </c>
      <c r="F25" s="79">
        <v>0</v>
      </c>
      <c r="G25" s="79">
        <f>+F25*E25</f>
        <v>0</v>
      </c>
      <c r="H25" s="79">
        <f>+G25*0.05</f>
        <v>0</v>
      </c>
      <c r="I25" s="79">
        <f>+G25*0.1</f>
        <v>0</v>
      </c>
      <c r="J25" s="79">
        <f t="shared" si="4"/>
        <v>0</v>
      </c>
      <c r="K25" s="81">
        <f>+G25*$H$2+H25*$I$2+I25*$K$2</f>
        <v>0</v>
      </c>
      <c r="L25" s="82">
        <f>C25*F25</f>
        <v>0</v>
      </c>
      <c r="M25" s="78">
        <f t="shared" si="2"/>
        <v>0</v>
      </c>
    </row>
    <row r="26" spans="1:14" ht="15.5" x14ac:dyDescent="0.3">
      <c r="A26" s="84" t="s">
        <v>92</v>
      </c>
      <c r="B26" s="79">
        <v>20</v>
      </c>
      <c r="C26" s="80">
        <v>0</v>
      </c>
      <c r="D26" s="79">
        <v>1</v>
      </c>
      <c r="E26" s="79">
        <f>B26*D26</f>
        <v>20</v>
      </c>
      <c r="F26" s="79">
        <v>25</v>
      </c>
      <c r="G26" s="79">
        <f>+F26*E26</f>
        <v>500</v>
      </c>
      <c r="H26" s="79">
        <f>+G26*0.05</f>
        <v>25</v>
      </c>
      <c r="I26" s="79">
        <f>+G26*0.1</f>
        <v>50</v>
      </c>
      <c r="J26" s="79">
        <f t="shared" si="4"/>
        <v>575</v>
      </c>
      <c r="K26" s="81">
        <f>+G26*$H$2+H26*$I$2+I26*$K$2</f>
        <v>81158.5</v>
      </c>
      <c r="L26" s="82">
        <f t="shared" si="3"/>
        <v>0</v>
      </c>
      <c r="M26" s="78">
        <v>25</v>
      </c>
      <c r="N26" s="93"/>
    </row>
    <row r="27" spans="1:14" ht="28.5" x14ac:dyDescent="0.3">
      <c r="A27" s="84" t="s">
        <v>161</v>
      </c>
      <c r="B27" s="79">
        <v>4</v>
      </c>
      <c r="C27" s="80">
        <v>0</v>
      </c>
      <c r="D27" s="79">
        <v>1</v>
      </c>
      <c r="E27" s="79">
        <v>4</v>
      </c>
      <c r="F27" s="79">
        <v>0</v>
      </c>
      <c r="G27" s="79">
        <f>+F27*E27</f>
        <v>0</v>
      </c>
      <c r="H27" s="79">
        <f>+G27*0.05</f>
        <v>0</v>
      </c>
      <c r="I27" s="79">
        <f>+G27*0.1</f>
        <v>0</v>
      </c>
      <c r="J27" s="79">
        <f t="shared" ref="J27" si="12">G27+H27+I27</f>
        <v>0</v>
      </c>
      <c r="K27" s="81">
        <f>+G27*$H$2+H27*$I$2+I27*$K$2</f>
        <v>0</v>
      </c>
      <c r="L27" s="82">
        <f t="shared" ref="L27" si="13">C27*D27*F27</f>
        <v>0</v>
      </c>
      <c r="M27" s="78">
        <f t="shared" ref="M27" si="14">D27*F27</f>
        <v>0</v>
      </c>
      <c r="N27" s="93"/>
    </row>
    <row r="28" spans="1:14" x14ac:dyDescent="0.3">
      <c r="A28" s="85" t="s">
        <v>14</v>
      </c>
      <c r="B28" s="79" t="s">
        <v>15</v>
      </c>
      <c r="C28" s="79"/>
      <c r="D28" s="79"/>
      <c r="E28" s="79"/>
      <c r="F28" s="79"/>
      <c r="G28" s="79"/>
      <c r="H28" s="79"/>
      <c r="I28" s="79"/>
      <c r="J28" s="79"/>
      <c r="K28" s="90"/>
      <c r="L28" s="82"/>
      <c r="M28" s="78"/>
    </row>
    <row r="29" spans="1:14" x14ac:dyDescent="0.3">
      <c r="A29" s="85" t="s">
        <v>53</v>
      </c>
      <c r="B29" s="79" t="s">
        <v>16</v>
      </c>
      <c r="C29" s="79"/>
      <c r="D29" s="79"/>
      <c r="E29" s="79"/>
      <c r="F29" s="79"/>
      <c r="G29" s="79"/>
      <c r="H29" s="79"/>
      <c r="I29" s="79"/>
      <c r="J29" s="79"/>
      <c r="K29" s="90"/>
      <c r="L29" s="82"/>
      <c r="M29" s="78"/>
    </row>
    <row r="30" spans="1:14" x14ac:dyDescent="0.3">
      <c r="A30" s="85" t="s">
        <v>54</v>
      </c>
      <c r="B30" s="79"/>
      <c r="C30" s="79"/>
      <c r="D30" s="79"/>
      <c r="E30" s="79"/>
      <c r="F30" s="79"/>
      <c r="G30" s="79"/>
      <c r="H30" s="79"/>
      <c r="I30" s="79"/>
      <c r="J30" s="79"/>
      <c r="K30" s="90"/>
      <c r="L30" s="82"/>
      <c r="M30" s="78"/>
    </row>
    <row r="31" spans="1:14" ht="15.5" x14ac:dyDescent="0.3">
      <c r="A31" s="91" t="s">
        <v>143</v>
      </c>
      <c r="B31" s="79">
        <v>8</v>
      </c>
      <c r="C31" s="80">
        <v>0</v>
      </c>
      <c r="D31" s="79">
        <v>1</v>
      </c>
      <c r="E31" s="79">
        <f>B31*D31</f>
        <v>8</v>
      </c>
      <c r="F31" s="79">
        <v>0</v>
      </c>
      <c r="G31" s="79">
        <f>+F31*E31</f>
        <v>0</v>
      </c>
      <c r="H31" s="79">
        <f>+G31*0.05</f>
        <v>0</v>
      </c>
      <c r="I31" s="79">
        <f>+G31*0.1</f>
        <v>0</v>
      </c>
      <c r="J31" s="79">
        <f t="shared" ref="J31:J40" si="15">G31+H31+I31</f>
        <v>0</v>
      </c>
      <c r="K31" s="81">
        <f>+G31*$H$2+H31*$I$2+I31*$K$2</f>
        <v>0</v>
      </c>
      <c r="L31" s="82">
        <f t="shared" ref="L31:L40" si="16">C31*D31*F31</f>
        <v>0</v>
      </c>
      <c r="M31" s="78">
        <f t="shared" ref="M31:M40" si="17">D31*F31</f>
        <v>0</v>
      </c>
    </row>
    <row r="32" spans="1:14" ht="15.5" x14ac:dyDescent="0.3">
      <c r="A32" s="91" t="s">
        <v>144</v>
      </c>
      <c r="B32" s="79">
        <v>2</v>
      </c>
      <c r="C32" s="80">
        <v>0</v>
      </c>
      <c r="D32" s="79">
        <v>1</v>
      </c>
      <c r="E32" s="79">
        <f>B32*D32</f>
        <v>2</v>
      </c>
      <c r="F32" s="79">
        <v>0</v>
      </c>
      <c r="G32" s="79">
        <f>+F32*E32</f>
        <v>0</v>
      </c>
      <c r="H32" s="79">
        <f>+G32*0.05</f>
        <v>0</v>
      </c>
      <c r="I32" s="79">
        <f>+G32*0.1</f>
        <v>0</v>
      </c>
      <c r="J32" s="79">
        <f t="shared" si="15"/>
        <v>0</v>
      </c>
      <c r="K32" s="81">
        <f>+G32*$H$2+H32*$I$2+I32*$K$2</f>
        <v>0</v>
      </c>
      <c r="L32" s="82">
        <f t="shared" si="16"/>
        <v>0</v>
      </c>
      <c r="M32" s="78">
        <f t="shared" si="17"/>
        <v>0</v>
      </c>
    </row>
    <row r="33" spans="1:15" ht="15.5" x14ac:dyDescent="0.3">
      <c r="A33" s="91" t="s">
        <v>145</v>
      </c>
      <c r="B33" s="79"/>
      <c r="C33" s="80"/>
      <c r="D33" s="79"/>
      <c r="E33" s="79"/>
      <c r="F33" s="79"/>
      <c r="G33" s="79"/>
      <c r="H33" s="79"/>
      <c r="I33" s="79"/>
      <c r="J33" s="79"/>
      <c r="K33" s="96"/>
      <c r="L33" s="82"/>
      <c r="M33" s="78"/>
    </row>
    <row r="34" spans="1:15" ht="15.5" x14ac:dyDescent="0.3">
      <c r="A34" s="95" t="s">
        <v>146</v>
      </c>
      <c r="B34" s="79">
        <v>40</v>
      </c>
      <c r="C34" s="80">
        <v>0</v>
      </c>
      <c r="D34" s="79">
        <v>1</v>
      </c>
      <c r="E34" s="79">
        <f>B34*D34</f>
        <v>40</v>
      </c>
      <c r="F34" s="79">
        <v>0</v>
      </c>
      <c r="G34" s="79">
        <f>+F34*E34</f>
        <v>0</v>
      </c>
      <c r="H34" s="79">
        <f>+G34*0.05</f>
        <v>0</v>
      </c>
      <c r="I34" s="79">
        <f>+G34*0.1</f>
        <v>0</v>
      </c>
      <c r="J34" s="79">
        <f t="shared" si="15"/>
        <v>0</v>
      </c>
      <c r="K34" s="81">
        <f>+G34*$H$2+H34*$I$2+I34*$K$2</f>
        <v>0</v>
      </c>
      <c r="L34" s="82">
        <f t="shared" si="16"/>
        <v>0</v>
      </c>
      <c r="M34" s="78">
        <f t="shared" si="17"/>
        <v>0</v>
      </c>
      <c r="N34" s="93"/>
    </row>
    <row r="35" spans="1:15" ht="15.5" x14ac:dyDescent="0.3">
      <c r="A35" s="95" t="s">
        <v>147</v>
      </c>
      <c r="B35" s="79">
        <v>10</v>
      </c>
      <c r="C35" s="80">
        <v>0</v>
      </c>
      <c r="D35" s="79">
        <v>1</v>
      </c>
      <c r="E35" s="79">
        <f>B35*D35</f>
        <v>10</v>
      </c>
      <c r="F35" s="79">
        <f>F15</f>
        <v>0</v>
      </c>
      <c r="G35" s="79">
        <f>+F35*E35</f>
        <v>0</v>
      </c>
      <c r="H35" s="79">
        <f>+G35*0.05</f>
        <v>0</v>
      </c>
      <c r="I35" s="79">
        <f>+G35*0.1</f>
        <v>0</v>
      </c>
      <c r="J35" s="79">
        <f t="shared" ref="J35" si="18">G35+H35+I35</f>
        <v>0</v>
      </c>
      <c r="K35" s="81">
        <f>+G35*$H$2+H35*$I$2+I35*$K$2</f>
        <v>0</v>
      </c>
      <c r="L35" s="82">
        <f t="shared" ref="L35" si="19">C35*D35*F35</f>
        <v>0</v>
      </c>
      <c r="M35" s="78">
        <f t="shared" ref="M35" si="20">D35*F35</f>
        <v>0</v>
      </c>
      <c r="N35" s="93"/>
    </row>
    <row r="36" spans="1:15" x14ac:dyDescent="0.3">
      <c r="A36" s="97" t="s">
        <v>89</v>
      </c>
      <c r="B36" s="79"/>
      <c r="C36" s="80"/>
      <c r="D36" s="79"/>
      <c r="E36" s="79"/>
      <c r="F36" s="79"/>
      <c r="G36" s="79"/>
      <c r="H36" s="79"/>
      <c r="I36" s="79"/>
      <c r="J36" s="79"/>
      <c r="K36" s="81"/>
      <c r="L36" s="82"/>
      <c r="M36" s="78"/>
      <c r="N36" s="93"/>
    </row>
    <row r="37" spans="1:15" ht="28.5" x14ac:dyDescent="0.3">
      <c r="A37" s="95" t="s">
        <v>162</v>
      </c>
      <c r="B37" s="79">
        <v>28</v>
      </c>
      <c r="C37" s="80">
        <v>0</v>
      </c>
      <c r="D37" s="79">
        <v>1</v>
      </c>
      <c r="E37" s="79">
        <f>B37*D37</f>
        <v>28</v>
      </c>
      <c r="F37" s="79">
        <v>25</v>
      </c>
      <c r="G37" s="79">
        <f>+F37*E37</f>
        <v>700</v>
      </c>
      <c r="H37" s="79">
        <f>+G37*0.05</f>
        <v>35</v>
      </c>
      <c r="I37" s="79">
        <f>+G37*0.1</f>
        <v>70</v>
      </c>
      <c r="J37" s="79">
        <f t="shared" si="15"/>
        <v>805</v>
      </c>
      <c r="K37" s="81">
        <f>+G37*$H$2+H37*$I$2+I37*$K$2</f>
        <v>113621.90000000001</v>
      </c>
      <c r="L37" s="82">
        <f>C37*D37*F37</f>
        <v>0</v>
      </c>
      <c r="M37" s="78">
        <f t="shared" si="17"/>
        <v>25</v>
      </c>
      <c r="N37" s="93"/>
    </row>
    <row r="38" spans="1:15" ht="28.5" x14ac:dyDescent="0.3">
      <c r="A38" s="95" t="s">
        <v>198</v>
      </c>
      <c r="B38" s="79">
        <v>28</v>
      </c>
      <c r="C38" s="80">
        <v>0</v>
      </c>
      <c r="D38" s="79">
        <v>1</v>
      </c>
      <c r="E38" s="79">
        <f>B38*D38</f>
        <v>28</v>
      </c>
      <c r="F38" s="79">
        <v>0</v>
      </c>
      <c r="G38" s="79">
        <f>+F38*E38</f>
        <v>0</v>
      </c>
      <c r="H38" s="79">
        <f>+G38*0.05</f>
        <v>0</v>
      </c>
      <c r="I38" s="79">
        <f>+G38*0.1</f>
        <v>0</v>
      </c>
      <c r="J38" s="79">
        <f t="shared" si="15"/>
        <v>0</v>
      </c>
      <c r="K38" s="81">
        <f>+G38*$H$2+H38*$I$2+I38*$K$2</f>
        <v>0</v>
      </c>
      <c r="L38" s="82">
        <f t="shared" ref="L38:L39" si="21">C38*D38*F38</f>
        <v>0</v>
      </c>
      <c r="M38" s="78">
        <f t="shared" si="17"/>
        <v>0</v>
      </c>
      <c r="N38" s="93"/>
    </row>
    <row r="39" spans="1:15" ht="15.5" x14ac:dyDescent="0.3">
      <c r="A39" s="95" t="s">
        <v>160</v>
      </c>
      <c r="B39" s="79">
        <v>10</v>
      </c>
      <c r="C39" s="80">
        <v>0</v>
      </c>
      <c r="D39" s="79">
        <v>1</v>
      </c>
      <c r="E39" s="79">
        <f>B39*D39</f>
        <v>10</v>
      </c>
      <c r="F39" s="79">
        <v>29</v>
      </c>
      <c r="G39" s="79">
        <f>+F39*E39</f>
        <v>290</v>
      </c>
      <c r="H39" s="79">
        <f>+G39*0.05</f>
        <v>14.5</v>
      </c>
      <c r="I39" s="79">
        <f>+G39*0.1</f>
        <v>29</v>
      </c>
      <c r="J39" s="79">
        <f t="shared" si="15"/>
        <v>333.5</v>
      </c>
      <c r="K39" s="81">
        <f>+G39*$H$2+H39*$I$2+I39*$K$2</f>
        <v>47071.930000000008</v>
      </c>
      <c r="L39" s="82">
        <f t="shared" si="21"/>
        <v>0</v>
      </c>
      <c r="M39" s="78">
        <f t="shared" si="17"/>
        <v>29</v>
      </c>
      <c r="N39" s="93"/>
    </row>
    <row r="40" spans="1:15" ht="15.5" x14ac:dyDescent="0.3">
      <c r="A40" s="91" t="s">
        <v>148</v>
      </c>
      <c r="B40" s="79">
        <v>24</v>
      </c>
      <c r="C40" s="80">
        <v>0</v>
      </c>
      <c r="D40" s="79">
        <v>2</v>
      </c>
      <c r="E40" s="79">
        <f>B40*D40</f>
        <v>48</v>
      </c>
      <c r="F40" s="79">
        <f>ROUND(0.1*25,0)</f>
        <v>3</v>
      </c>
      <c r="G40" s="79">
        <f>+F40*E40</f>
        <v>144</v>
      </c>
      <c r="H40" s="79">
        <f>+G40*0.05</f>
        <v>7.2</v>
      </c>
      <c r="I40" s="79">
        <f>+G40*0.1</f>
        <v>14.4</v>
      </c>
      <c r="J40" s="79">
        <f t="shared" si="15"/>
        <v>165.6</v>
      </c>
      <c r="K40" s="81">
        <f>+G40*$H$2+H40*$I$2+I40*$K$2</f>
        <v>23373.648000000001</v>
      </c>
      <c r="L40" s="82">
        <f t="shared" si="16"/>
        <v>0</v>
      </c>
      <c r="M40" s="78">
        <f t="shared" si="17"/>
        <v>6</v>
      </c>
    </row>
    <row r="41" spans="1:15" x14ac:dyDescent="0.3">
      <c r="A41" s="91" t="s">
        <v>94</v>
      </c>
      <c r="B41" s="79">
        <v>1</v>
      </c>
      <c r="C41" s="80">
        <v>0</v>
      </c>
      <c r="D41" s="79">
        <v>1</v>
      </c>
      <c r="E41" s="79">
        <f>B41*D41</f>
        <v>1</v>
      </c>
      <c r="F41" s="79">
        <v>25</v>
      </c>
      <c r="G41" s="79">
        <f>+F41*E41</f>
        <v>25</v>
      </c>
      <c r="H41" s="79">
        <f>+G41*0.05</f>
        <v>1.25</v>
      </c>
      <c r="I41" s="79">
        <f>+G41*0.1</f>
        <v>2.5</v>
      </c>
      <c r="J41" s="79">
        <f t="shared" ref="J41" si="22">G41+H41+I41</f>
        <v>28.75</v>
      </c>
      <c r="K41" s="81">
        <f>+G41*$H$2+H41*$I$2+I41*$K$2</f>
        <v>4057.9249999999997</v>
      </c>
      <c r="L41" s="82">
        <f t="shared" ref="L41" si="23">C41*D41*F41</f>
        <v>0</v>
      </c>
      <c r="M41" s="78">
        <f t="shared" ref="M41" si="24">D41*F41</f>
        <v>25</v>
      </c>
    </row>
    <row r="42" spans="1:15" ht="13.5" x14ac:dyDescent="0.35">
      <c r="A42" s="181" t="s">
        <v>17</v>
      </c>
      <c r="B42" s="181"/>
      <c r="C42" s="181"/>
      <c r="D42" s="181"/>
      <c r="E42" s="181"/>
      <c r="F42" s="181"/>
      <c r="G42" s="182">
        <f t="shared" ref="G42:M42" si="25">SUM(G8:G41)</f>
        <v>2312</v>
      </c>
      <c r="H42" s="182">
        <f t="shared" si="25"/>
        <v>115.60000000000001</v>
      </c>
      <c r="I42" s="182">
        <f t="shared" si="25"/>
        <v>231.20000000000002</v>
      </c>
      <c r="J42" s="182">
        <f t="shared" si="25"/>
        <v>2658.7999999999997</v>
      </c>
      <c r="K42" s="183">
        <f>SUM(K8:K41)</f>
        <v>375276.90399999998</v>
      </c>
      <c r="L42" s="184">
        <f>SUM(L8:L41)</f>
        <v>87000</v>
      </c>
      <c r="M42" s="185">
        <f t="shared" si="25"/>
        <v>110</v>
      </c>
      <c r="O42" s="135"/>
    </row>
    <row r="43" spans="1:15" ht="15.75" customHeight="1" x14ac:dyDescent="0.3">
      <c r="A43" s="85" t="s">
        <v>18</v>
      </c>
      <c r="B43" s="79"/>
      <c r="C43" s="79"/>
      <c r="D43" s="79"/>
      <c r="E43" s="79"/>
      <c r="F43" s="79"/>
      <c r="G43" s="79"/>
      <c r="H43" s="79"/>
      <c r="I43" s="79"/>
      <c r="J43" s="79"/>
      <c r="K43" s="90"/>
      <c r="L43" s="82"/>
      <c r="M43" s="78"/>
    </row>
    <row r="44" spans="1:15" ht="15.75" customHeight="1" x14ac:dyDescent="0.3">
      <c r="A44" s="85" t="s">
        <v>55</v>
      </c>
      <c r="B44" s="79" t="s">
        <v>19</v>
      </c>
      <c r="C44" s="79"/>
      <c r="D44" s="79"/>
      <c r="E44" s="79"/>
      <c r="F44" s="79"/>
      <c r="G44" s="79"/>
      <c r="H44" s="79"/>
      <c r="I44" s="79"/>
      <c r="J44" s="79"/>
      <c r="K44" s="79"/>
      <c r="L44" s="82"/>
      <c r="M44" s="78"/>
    </row>
    <row r="45" spans="1:15" x14ac:dyDescent="0.3">
      <c r="A45" s="85" t="s">
        <v>20</v>
      </c>
      <c r="B45" s="79" t="s">
        <v>15</v>
      </c>
      <c r="C45" s="79"/>
      <c r="D45" s="79"/>
      <c r="E45" s="79"/>
      <c r="F45" s="79"/>
      <c r="G45" s="79"/>
      <c r="H45" s="79"/>
      <c r="I45" s="79"/>
      <c r="J45" s="79"/>
      <c r="K45" s="90"/>
      <c r="L45" s="82"/>
      <c r="M45" s="78"/>
    </row>
    <row r="46" spans="1:15" x14ac:dyDescent="0.3">
      <c r="A46" s="85" t="s">
        <v>56</v>
      </c>
      <c r="B46" s="79" t="s">
        <v>15</v>
      </c>
      <c r="C46" s="79"/>
      <c r="D46" s="79"/>
      <c r="E46" s="79"/>
      <c r="F46" s="79"/>
      <c r="G46" s="79"/>
      <c r="H46" s="79"/>
      <c r="I46" s="79"/>
      <c r="J46" s="79"/>
      <c r="K46" s="90"/>
      <c r="L46" s="82"/>
      <c r="M46" s="78"/>
    </row>
    <row r="47" spans="1:15" x14ac:dyDescent="0.3">
      <c r="A47" s="85" t="s">
        <v>21</v>
      </c>
      <c r="B47" s="79" t="s">
        <v>10</v>
      </c>
      <c r="C47" s="79"/>
      <c r="D47" s="79"/>
      <c r="E47" s="79"/>
      <c r="F47" s="79"/>
      <c r="G47" s="79"/>
      <c r="H47" s="79"/>
      <c r="I47" s="79"/>
      <c r="J47" s="79"/>
      <c r="K47" s="90"/>
      <c r="L47" s="82"/>
      <c r="M47" s="78"/>
    </row>
    <row r="48" spans="1:15" x14ac:dyDescent="0.3">
      <c r="A48" s="85" t="s">
        <v>22</v>
      </c>
      <c r="B48" s="79"/>
      <c r="C48" s="79"/>
      <c r="D48" s="79"/>
      <c r="E48" s="79"/>
      <c r="F48" s="79"/>
      <c r="G48" s="79"/>
      <c r="H48" s="79"/>
      <c r="I48" s="79"/>
      <c r="J48" s="79"/>
      <c r="K48" s="90"/>
      <c r="L48" s="82"/>
      <c r="M48" s="78"/>
    </row>
    <row r="49" spans="1:15" ht="15.75" customHeight="1" x14ac:dyDescent="0.3">
      <c r="A49" s="91" t="s">
        <v>149</v>
      </c>
      <c r="B49" s="79">
        <v>1.5</v>
      </c>
      <c r="C49" s="80">
        <v>0</v>
      </c>
      <c r="D49" s="79">
        <v>52</v>
      </c>
      <c r="E49" s="79">
        <f t="shared" ref="E49:E57" si="26">B49*D49</f>
        <v>78</v>
      </c>
      <c r="F49" s="79">
        <v>0</v>
      </c>
      <c r="G49" s="79">
        <f>+F49*E49</f>
        <v>0</v>
      </c>
      <c r="H49" s="79">
        <f>+G49*0.05</f>
        <v>0</v>
      </c>
      <c r="I49" s="79">
        <f>+G49*0.1</f>
        <v>0</v>
      </c>
      <c r="J49" s="79">
        <f t="shared" ref="J49:J52" si="27">G49+H49+I49</f>
        <v>0</v>
      </c>
      <c r="K49" s="81">
        <f>+G49*$H$2+H49*$I$2+I49*$K$2</f>
        <v>0</v>
      </c>
      <c r="L49" s="82">
        <f t="shared" ref="L49:L52" si="28">C49*D49*F49</f>
        <v>0</v>
      </c>
      <c r="M49" s="78">
        <f t="shared" ref="M49:M52" si="29">D49*F49</f>
        <v>0</v>
      </c>
    </row>
    <row r="50" spans="1:15" ht="28.5" x14ac:dyDescent="0.3">
      <c r="A50" s="91" t="s">
        <v>150</v>
      </c>
      <c r="B50" s="79">
        <v>1.5</v>
      </c>
      <c r="C50" s="80">
        <v>0</v>
      </c>
      <c r="D50" s="79">
        <v>52</v>
      </c>
      <c r="E50" s="79">
        <f t="shared" si="26"/>
        <v>78</v>
      </c>
      <c r="F50" s="79">
        <v>0</v>
      </c>
      <c r="G50" s="79">
        <f t="shared" ref="G50:G52" si="30">+F50*E50</f>
        <v>0</v>
      </c>
      <c r="H50" s="79">
        <f t="shared" ref="H50:H52" si="31">+G50*0.05</f>
        <v>0</v>
      </c>
      <c r="I50" s="79">
        <f t="shared" ref="I50:I52" si="32">+G50*0.1</f>
        <v>0</v>
      </c>
      <c r="J50" s="79">
        <f t="shared" si="27"/>
        <v>0</v>
      </c>
      <c r="K50" s="81">
        <f t="shared" ref="K50:K52" si="33">+G50*$H$2+H50*$I$2+I50*$K$2</f>
        <v>0</v>
      </c>
      <c r="L50" s="82">
        <f t="shared" si="28"/>
        <v>0</v>
      </c>
      <c r="M50" s="78">
        <f t="shared" si="29"/>
        <v>0</v>
      </c>
    </row>
    <row r="51" spans="1:15" x14ac:dyDescent="0.3">
      <c r="A51" s="91" t="s">
        <v>57</v>
      </c>
      <c r="B51" s="79">
        <v>4</v>
      </c>
      <c r="C51" s="80">
        <v>0</v>
      </c>
      <c r="D51" s="79">
        <v>1</v>
      </c>
      <c r="E51" s="79">
        <f t="shared" si="26"/>
        <v>4</v>
      </c>
      <c r="F51" s="79">
        <v>25</v>
      </c>
      <c r="G51" s="79">
        <f t="shared" si="30"/>
        <v>100</v>
      </c>
      <c r="H51" s="79">
        <f t="shared" si="31"/>
        <v>5</v>
      </c>
      <c r="I51" s="79">
        <f t="shared" si="32"/>
        <v>10</v>
      </c>
      <c r="J51" s="79">
        <f t="shared" si="27"/>
        <v>115</v>
      </c>
      <c r="K51" s="81">
        <f t="shared" si="33"/>
        <v>16231.699999999999</v>
      </c>
      <c r="L51" s="82">
        <f t="shared" si="28"/>
        <v>0</v>
      </c>
      <c r="M51" s="78">
        <v>0</v>
      </c>
    </row>
    <row r="52" spans="1:15" ht="15.5" x14ac:dyDescent="0.3">
      <c r="A52" s="91" t="s">
        <v>151</v>
      </c>
      <c r="B52" s="79">
        <v>1.5</v>
      </c>
      <c r="C52" s="80">
        <v>2500</v>
      </c>
      <c r="D52" s="79">
        <v>52</v>
      </c>
      <c r="E52" s="79">
        <f t="shared" si="26"/>
        <v>78</v>
      </c>
      <c r="F52" s="79">
        <v>0</v>
      </c>
      <c r="G52" s="79">
        <f t="shared" si="30"/>
        <v>0</v>
      </c>
      <c r="H52" s="79">
        <f t="shared" si="31"/>
        <v>0</v>
      </c>
      <c r="I52" s="79">
        <f t="shared" si="32"/>
        <v>0</v>
      </c>
      <c r="J52" s="79">
        <f t="shared" si="27"/>
        <v>0</v>
      </c>
      <c r="K52" s="81">
        <f t="shared" si="33"/>
        <v>0</v>
      </c>
      <c r="L52" s="82">
        <f t="shared" si="28"/>
        <v>0</v>
      </c>
      <c r="M52" s="78">
        <f t="shared" si="29"/>
        <v>0</v>
      </c>
      <c r="O52" s="102"/>
    </row>
    <row r="53" spans="1:15" ht="26" x14ac:dyDescent="0.3">
      <c r="A53" s="91" t="s">
        <v>157</v>
      </c>
      <c r="B53" s="79">
        <v>0.5</v>
      </c>
      <c r="C53" s="80">
        <v>0</v>
      </c>
      <c r="D53" s="79">
        <v>52</v>
      </c>
      <c r="E53" s="79">
        <f t="shared" si="26"/>
        <v>26</v>
      </c>
      <c r="F53" s="79">
        <v>0</v>
      </c>
      <c r="G53" s="79">
        <f t="shared" ref="G53:G57" si="34">+F53*E53</f>
        <v>0</v>
      </c>
      <c r="H53" s="79">
        <f t="shared" ref="H53:H57" si="35">+G53*0.05</f>
        <v>0</v>
      </c>
      <c r="I53" s="79">
        <f t="shared" ref="I53:I57" si="36">+G53*0.1</f>
        <v>0</v>
      </c>
      <c r="J53" s="79">
        <f t="shared" ref="J53:J57" si="37">G53+H53+I53</f>
        <v>0</v>
      </c>
      <c r="K53" s="81">
        <f t="shared" ref="K53:K57" si="38">+G53*$H$2+H53*$I$2+I53*$K$2</f>
        <v>0</v>
      </c>
      <c r="L53" s="82">
        <f t="shared" ref="L53:L57" si="39">C53*D53*F53</f>
        <v>0</v>
      </c>
      <c r="M53" s="78">
        <f t="shared" ref="M53:M54" si="40">D53*F53</f>
        <v>0</v>
      </c>
      <c r="O53" s="102"/>
    </row>
    <row r="54" spans="1:15" ht="26" x14ac:dyDescent="0.3">
      <c r="A54" s="91" t="s">
        <v>158</v>
      </c>
      <c r="B54" s="79">
        <v>4</v>
      </c>
      <c r="C54" s="80">
        <v>0</v>
      </c>
      <c r="D54" s="79">
        <v>1</v>
      </c>
      <c r="E54" s="79">
        <f t="shared" si="26"/>
        <v>4</v>
      </c>
      <c r="F54" s="79">
        <v>0</v>
      </c>
      <c r="G54" s="79">
        <f t="shared" si="34"/>
        <v>0</v>
      </c>
      <c r="H54" s="79">
        <f t="shared" si="35"/>
        <v>0</v>
      </c>
      <c r="I54" s="79">
        <f t="shared" si="36"/>
        <v>0</v>
      </c>
      <c r="J54" s="79">
        <f t="shared" si="37"/>
        <v>0</v>
      </c>
      <c r="K54" s="81">
        <f t="shared" si="38"/>
        <v>0</v>
      </c>
      <c r="L54" s="82">
        <f t="shared" si="39"/>
        <v>0</v>
      </c>
      <c r="M54" s="78">
        <f t="shared" si="40"/>
        <v>0</v>
      </c>
      <c r="O54" s="102"/>
    </row>
    <row r="55" spans="1:15" ht="26" x14ac:dyDescent="0.3">
      <c r="A55" s="91" t="s">
        <v>199</v>
      </c>
      <c r="B55" s="79">
        <v>1</v>
      </c>
      <c r="C55" s="80">
        <v>0</v>
      </c>
      <c r="D55" s="79">
        <v>4</v>
      </c>
      <c r="E55" s="79">
        <f t="shared" si="26"/>
        <v>4</v>
      </c>
      <c r="F55" s="79">
        <v>25</v>
      </c>
      <c r="G55" s="79">
        <f t="shared" si="34"/>
        <v>100</v>
      </c>
      <c r="H55" s="79">
        <f t="shared" si="35"/>
        <v>5</v>
      </c>
      <c r="I55" s="79">
        <f t="shared" si="36"/>
        <v>10</v>
      </c>
      <c r="J55" s="79">
        <f t="shared" si="37"/>
        <v>115</v>
      </c>
      <c r="K55" s="81">
        <f t="shared" si="38"/>
        <v>16231.699999999999</v>
      </c>
      <c r="L55" s="82">
        <f t="shared" si="39"/>
        <v>0</v>
      </c>
      <c r="M55" s="78">
        <v>0</v>
      </c>
      <c r="O55" s="102"/>
    </row>
    <row r="56" spans="1:15" ht="26" x14ac:dyDescent="0.3">
      <c r="A56" s="91" t="s">
        <v>200</v>
      </c>
      <c r="B56" s="79">
        <v>1</v>
      </c>
      <c r="C56" s="80">
        <v>0</v>
      </c>
      <c r="D56" s="79">
        <v>4</v>
      </c>
      <c r="E56" s="79">
        <f t="shared" si="26"/>
        <v>4</v>
      </c>
      <c r="F56" s="79">
        <v>25</v>
      </c>
      <c r="G56" s="79">
        <f t="shared" si="34"/>
        <v>100</v>
      </c>
      <c r="H56" s="79">
        <f t="shared" si="35"/>
        <v>5</v>
      </c>
      <c r="I56" s="79">
        <f t="shared" si="36"/>
        <v>10</v>
      </c>
      <c r="J56" s="79">
        <f t="shared" si="37"/>
        <v>115</v>
      </c>
      <c r="K56" s="81">
        <f t="shared" si="38"/>
        <v>16231.699999999999</v>
      </c>
      <c r="L56" s="82">
        <f t="shared" si="39"/>
        <v>0</v>
      </c>
      <c r="M56" s="78">
        <v>0</v>
      </c>
      <c r="O56" s="102"/>
    </row>
    <row r="57" spans="1:15" x14ac:dyDescent="0.3">
      <c r="A57" s="91" t="s">
        <v>159</v>
      </c>
      <c r="B57" s="79">
        <v>0.5</v>
      </c>
      <c r="C57" s="80">
        <v>0</v>
      </c>
      <c r="D57" s="79">
        <v>4</v>
      </c>
      <c r="E57" s="79">
        <f t="shared" si="26"/>
        <v>2</v>
      </c>
      <c r="F57" s="79">
        <v>25</v>
      </c>
      <c r="G57" s="79">
        <f t="shared" si="34"/>
        <v>50</v>
      </c>
      <c r="H57" s="79">
        <f t="shared" si="35"/>
        <v>2.5</v>
      </c>
      <c r="I57" s="79">
        <f t="shared" si="36"/>
        <v>5</v>
      </c>
      <c r="J57" s="79">
        <f t="shared" si="37"/>
        <v>57.5</v>
      </c>
      <c r="K57" s="81">
        <f t="shared" si="38"/>
        <v>8115.8499999999995</v>
      </c>
      <c r="L57" s="82">
        <f t="shared" si="39"/>
        <v>0</v>
      </c>
      <c r="M57" s="78">
        <v>0</v>
      </c>
      <c r="O57" s="102"/>
    </row>
    <row r="58" spans="1:15" x14ac:dyDescent="0.3">
      <c r="A58" s="85" t="s">
        <v>58</v>
      </c>
      <c r="B58" s="79" t="s">
        <v>10</v>
      </c>
      <c r="C58" s="79"/>
      <c r="D58" s="79"/>
      <c r="E58" s="79"/>
      <c r="F58" s="79"/>
      <c r="G58" s="139"/>
      <c r="H58" s="139"/>
      <c r="I58" s="139"/>
      <c r="J58" s="139"/>
      <c r="K58" s="90"/>
      <c r="L58" s="82"/>
      <c r="M58" s="78"/>
    </row>
    <row r="59" spans="1:15" ht="13.5" x14ac:dyDescent="0.35">
      <c r="A59" s="181" t="s">
        <v>59</v>
      </c>
      <c r="B59" s="181"/>
      <c r="C59" s="181"/>
      <c r="D59" s="181"/>
      <c r="E59" s="181"/>
      <c r="F59" s="186"/>
      <c r="G59" s="185">
        <f t="shared" ref="G59:M59" si="41">SUM(G49:G58)</f>
        <v>350</v>
      </c>
      <c r="H59" s="187">
        <f t="shared" si="41"/>
        <v>17.5</v>
      </c>
      <c r="I59" s="187">
        <f t="shared" si="41"/>
        <v>35</v>
      </c>
      <c r="J59" s="187">
        <f>SUM(J49:J58)</f>
        <v>402.5</v>
      </c>
      <c r="K59" s="188">
        <f t="shared" si="41"/>
        <v>56810.95</v>
      </c>
      <c r="L59" s="189">
        <f t="shared" si="41"/>
        <v>0</v>
      </c>
      <c r="M59" s="187">
        <f t="shared" si="41"/>
        <v>0</v>
      </c>
    </row>
    <row r="60" spans="1:15" ht="13.5" x14ac:dyDescent="0.35">
      <c r="A60" s="162" t="s">
        <v>152</v>
      </c>
      <c r="B60" s="162"/>
      <c r="C60" s="162"/>
      <c r="D60" s="162"/>
      <c r="E60" s="162"/>
      <c r="F60" s="162"/>
      <c r="G60" s="105">
        <f>ROUND(G42+G59,-1)</f>
        <v>2660</v>
      </c>
      <c r="H60" s="105">
        <f>H42+H59</f>
        <v>133.10000000000002</v>
      </c>
      <c r="I60" s="105">
        <f>I42+I59</f>
        <v>266.20000000000005</v>
      </c>
      <c r="J60" s="105">
        <f>ROUND(J42+J59,-1)</f>
        <v>3060</v>
      </c>
      <c r="K60" s="99">
        <f>ROUND(K42+K59,-3)</f>
        <v>432000</v>
      </c>
      <c r="L60" s="99">
        <f>ROUND(L42+L59,0)</f>
        <v>87000</v>
      </c>
      <c r="M60" s="134">
        <f>ROUND(M42+M59,-1)</f>
        <v>110</v>
      </c>
      <c r="O60" s="102"/>
    </row>
    <row r="61" spans="1:15" x14ac:dyDescent="0.3">
      <c r="A61" s="141"/>
      <c r="B61" s="142"/>
      <c r="C61" s="142"/>
      <c r="D61" s="142"/>
      <c r="E61" s="142"/>
      <c r="F61" s="143"/>
      <c r="G61" s="143"/>
      <c r="H61" s="144"/>
      <c r="I61" s="144"/>
      <c r="J61" s="144"/>
      <c r="K61" s="86"/>
      <c r="L61" s="86"/>
      <c r="M61" s="106"/>
    </row>
    <row r="62" spans="1:15" ht="13.5" x14ac:dyDescent="0.35">
      <c r="A62" s="93" t="s">
        <v>23</v>
      </c>
      <c r="G62" s="120"/>
      <c r="H62" s="120"/>
      <c r="I62" s="120"/>
      <c r="J62" s="120"/>
      <c r="K62" s="121"/>
      <c r="L62" s="121"/>
      <c r="M62" s="121"/>
    </row>
    <row r="63" spans="1:15" ht="30.75" customHeight="1" x14ac:dyDescent="0.3">
      <c r="A63" s="160" t="s">
        <v>201</v>
      </c>
      <c r="B63" s="160"/>
      <c r="C63" s="160"/>
      <c r="D63" s="160"/>
      <c r="E63" s="160"/>
      <c r="F63" s="160"/>
      <c r="G63" s="160"/>
      <c r="H63" s="160"/>
      <c r="I63" s="160"/>
      <c r="J63" s="160"/>
      <c r="K63" s="160"/>
    </row>
    <row r="64" spans="1:15" ht="49.15" customHeight="1" x14ac:dyDescent="0.3">
      <c r="A64" s="160" t="s">
        <v>187</v>
      </c>
      <c r="B64" s="160"/>
      <c r="C64" s="160"/>
      <c r="D64" s="160"/>
      <c r="E64" s="160"/>
      <c r="F64" s="160"/>
      <c r="G64" s="160"/>
      <c r="H64" s="160"/>
      <c r="I64" s="160"/>
      <c r="J64" s="160"/>
      <c r="K64" s="160"/>
    </row>
    <row r="65" spans="1:11" ht="29.25" customHeight="1" x14ac:dyDescent="0.3">
      <c r="A65" s="160" t="s">
        <v>195</v>
      </c>
      <c r="B65" s="160"/>
      <c r="C65" s="160"/>
      <c r="D65" s="160"/>
      <c r="E65" s="160"/>
      <c r="F65" s="160"/>
      <c r="G65" s="160"/>
      <c r="H65" s="160"/>
      <c r="I65" s="160"/>
      <c r="J65" s="160"/>
      <c r="K65" s="160"/>
    </row>
    <row r="66" spans="1:11" ht="15.5" x14ac:dyDescent="0.3">
      <c r="A66" s="145" t="s">
        <v>126</v>
      </c>
    </row>
    <row r="67" spans="1:11" ht="15.5" x14ac:dyDescent="0.3">
      <c r="A67" s="145" t="s">
        <v>196</v>
      </c>
    </row>
    <row r="68" spans="1:11" ht="56.25" customHeight="1" x14ac:dyDescent="0.3">
      <c r="A68" s="160" t="s">
        <v>202</v>
      </c>
      <c r="B68" s="160"/>
      <c r="C68" s="160"/>
      <c r="D68" s="160"/>
      <c r="E68" s="160"/>
      <c r="F68" s="160"/>
      <c r="G68" s="160"/>
      <c r="H68" s="160"/>
      <c r="I68" s="160"/>
      <c r="J68" s="160"/>
      <c r="K68" s="160"/>
    </row>
    <row r="69" spans="1:11" ht="27" customHeight="1" x14ac:dyDescent="0.3">
      <c r="A69" s="161" t="s">
        <v>197</v>
      </c>
      <c r="B69" s="160"/>
      <c r="C69" s="160"/>
      <c r="D69" s="160"/>
      <c r="E69" s="160"/>
      <c r="F69" s="160"/>
      <c r="G69" s="160"/>
      <c r="H69" s="160"/>
      <c r="I69" s="160"/>
      <c r="J69" s="160"/>
      <c r="K69" s="160"/>
    </row>
    <row r="70" spans="1:11" ht="15.5" x14ac:dyDescent="0.3">
      <c r="A70" s="145" t="s">
        <v>127</v>
      </c>
    </row>
    <row r="71" spans="1:11" ht="15.5" x14ac:dyDescent="0.3">
      <c r="A71" s="145" t="s">
        <v>128</v>
      </c>
    </row>
    <row r="72" spans="1:11" ht="15.5" x14ac:dyDescent="0.3">
      <c r="A72" s="145" t="s">
        <v>129</v>
      </c>
    </row>
    <row r="73" spans="1:11" ht="15.5" x14ac:dyDescent="0.3">
      <c r="A73" s="76" t="s">
        <v>124</v>
      </c>
    </row>
  </sheetData>
  <mergeCells count="9">
    <mergeCell ref="A63:K63"/>
    <mergeCell ref="A64:K64"/>
    <mergeCell ref="A69:K69"/>
    <mergeCell ref="A60:F60"/>
    <mergeCell ref="G3:I3"/>
    <mergeCell ref="A42:F42"/>
    <mergeCell ref="A59:F59"/>
    <mergeCell ref="A65:K65"/>
    <mergeCell ref="A68:K6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72D7-1B67-47CD-9CF9-F03F13D249A2}">
  <dimension ref="A1:R74"/>
  <sheetViews>
    <sheetView topLeftCell="A30" zoomScaleNormal="100" workbookViewId="0">
      <selection activeCell="E38" sqref="E38"/>
    </sheetView>
  </sheetViews>
  <sheetFormatPr defaultColWidth="9.1796875" defaultRowHeight="14.5" x14ac:dyDescent="0.35"/>
  <cols>
    <col min="1" max="1" width="47.81640625" style="76" customWidth="1"/>
    <col min="2" max="3" width="12.453125" style="76" customWidth="1"/>
    <col min="4" max="4" width="12.54296875" style="76" customWidth="1"/>
    <col min="5" max="5" width="11.7265625" style="76" customWidth="1"/>
    <col min="6" max="6" width="12.54296875" style="76" customWidth="1"/>
    <col min="7" max="7" width="12.7265625" style="76" customWidth="1"/>
    <col min="8" max="8" width="12.453125" style="76" customWidth="1"/>
    <col min="9" max="9" width="11.54296875" style="76" customWidth="1"/>
    <col min="10" max="10" width="12.1796875" style="76" customWidth="1"/>
    <col min="11" max="11" width="14.453125" style="76" customWidth="1"/>
    <col min="12" max="12" width="13.54296875" style="76" customWidth="1"/>
    <col min="13" max="13" width="9.1796875" style="76"/>
    <col min="14" max="16384" width="9.1796875" style="64"/>
  </cols>
  <sheetData>
    <row r="1" spans="1:18" ht="15.5" x14ac:dyDescent="0.35">
      <c r="A1" s="87" t="s">
        <v>179</v>
      </c>
    </row>
    <row r="2" spans="1:18" x14ac:dyDescent="0.35">
      <c r="H2" s="76">
        <v>145.99</v>
      </c>
      <c r="I2" s="76">
        <v>177.98</v>
      </c>
      <c r="K2" s="76">
        <v>74.28</v>
      </c>
      <c r="L2" s="76" t="s">
        <v>156</v>
      </c>
    </row>
    <row r="3" spans="1:18" ht="15" customHeight="1" thickBot="1" x14ac:dyDescent="0.4">
      <c r="G3" s="163" t="s">
        <v>47</v>
      </c>
      <c r="H3" s="164"/>
      <c r="I3" s="165"/>
      <c r="J3" s="88"/>
    </row>
    <row r="4" spans="1:18" ht="78.5" x14ac:dyDescent="0.35">
      <c r="A4" s="89" t="s">
        <v>0</v>
      </c>
      <c r="B4" s="79" t="s">
        <v>48</v>
      </c>
      <c r="C4" s="79" t="s">
        <v>62</v>
      </c>
      <c r="D4" s="79" t="s">
        <v>60</v>
      </c>
      <c r="E4" s="79" t="s">
        <v>61</v>
      </c>
      <c r="F4" s="79" t="s">
        <v>130</v>
      </c>
      <c r="G4" s="79" t="s">
        <v>63</v>
      </c>
      <c r="H4" s="79" t="s">
        <v>64</v>
      </c>
      <c r="I4" s="79" t="s">
        <v>65</v>
      </c>
      <c r="J4" s="79" t="s">
        <v>66</v>
      </c>
      <c r="K4" s="79" t="s">
        <v>131</v>
      </c>
      <c r="L4" s="77" t="s">
        <v>67</v>
      </c>
      <c r="M4" s="77" t="s">
        <v>68</v>
      </c>
    </row>
    <row r="5" spans="1:18" x14ac:dyDescent="0.35">
      <c r="A5" s="85" t="s">
        <v>9</v>
      </c>
      <c r="B5" s="79" t="s">
        <v>10</v>
      </c>
      <c r="C5" s="79"/>
      <c r="D5" s="85"/>
      <c r="E5" s="79"/>
      <c r="F5" s="63"/>
      <c r="G5" s="79"/>
      <c r="H5" s="79"/>
      <c r="I5" s="79"/>
      <c r="J5" s="79"/>
      <c r="K5" s="90"/>
      <c r="L5" s="78"/>
      <c r="M5" s="78"/>
    </row>
    <row r="6" spans="1:18" x14ac:dyDescent="0.35">
      <c r="A6" s="85" t="s">
        <v>11</v>
      </c>
      <c r="B6" s="79" t="s">
        <v>10</v>
      </c>
      <c r="C6" s="79"/>
      <c r="D6" s="85"/>
      <c r="E6" s="79"/>
      <c r="F6" s="63"/>
      <c r="G6" s="79"/>
      <c r="H6" s="79"/>
      <c r="I6" s="79"/>
      <c r="J6" s="79"/>
      <c r="K6" s="90"/>
      <c r="L6" s="78"/>
      <c r="M6" s="78"/>
    </row>
    <row r="7" spans="1:18" x14ac:dyDescent="0.35">
      <c r="A7" s="85" t="s">
        <v>12</v>
      </c>
      <c r="B7" s="79"/>
      <c r="C7" s="79"/>
      <c r="D7" s="79"/>
      <c r="E7" s="79"/>
      <c r="F7" s="63"/>
      <c r="G7" s="79"/>
      <c r="H7" s="79"/>
      <c r="I7" s="79"/>
      <c r="J7" s="79"/>
      <c r="K7" s="90"/>
      <c r="L7" s="78"/>
      <c r="M7" s="78"/>
    </row>
    <row r="8" spans="1:18" ht="16" x14ac:dyDescent="0.35">
      <c r="A8" s="85" t="s">
        <v>132</v>
      </c>
      <c r="B8" s="78"/>
      <c r="C8" s="78"/>
      <c r="D8" s="78"/>
      <c r="E8" s="78"/>
      <c r="F8" s="78"/>
      <c r="G8" s="78"/>
      <c r="H8" s="78"/>
      <c r="I8" s="78"/>
      <c r="J8" s="78"/>
      <c r="K8" s="78"/>
      <c r="L8" s="78"/>
      <c r="M8" s="78"/>
      <c r="N8" s="146"/>
    </row>
    <row r="9" spans="1:18" ht="26.5" x14ac:dyDescent="0.35">
      <c r="A9" s="91" t="s">
        <v>177</v>
      </c>
      <c r="B9" s="79">
        <v>18</v>
      </c>
      <c r="C9" s="80">
        <v>0</v>
      </c>
      <c r="D9" s="79">
        <v>1</v>
      </c>
      <c r="E9" s="79">
        <f>B9*D9</f>
        <v>18</v>
      </c>
      <c r="F9" s="79">
        <v>0</v>
      </c>
      <c r="G9" s="79">
        <f>+F9*E9</f>
        <v>0</v>
      </c>
      <c r="H9" s="79">
        <f>+G9*0.05</f>
        <v>0</v>
      </c>
      <c r="I9" s="79">
        <f>+G9*0.1</f>
        <v>0</v>
      </c>
      <c r="J9" s="79">
        <f>G9+H9+I9</f>
        <v>0</v>
      </c>
      <c r="K9" s="81">
        <f>+G9*$H$2+H9*$I$2+I9*$K$2</f>
        <v>0</v>
      </c>
      <c r="L9" s="82">
        <f>C9*D9*F9</f>
        <v>0</v>
      </c>
      <c r="M9" s="78">
        <f>D9*F9</f>
        <v>0</v>
      </c>
      <c r="N9" s="146"/>
    </row>
    <row r="10" spans="1:18" x14ac:dyDescent="0.35">
      <c r="A10" s="85" t="s">
        <v>97</v>
      </c>
      <c r="B10" s="79">
        <v>4</v>
      </c>
      <c r="C10" s="80">
        <v>0</v>
      </c>
      <c r="D10" s="79">
        <v>1</v>
      </c>
      <c r="E10" s="79">
        <f>B10*D10</f>
        <v>4</v>
      </c>
      <c r="F10" s="79">
        <v>54</v>
      </c>
      <c r="G10" s="79">
        <f>+F10*E10</f>
        <v>216</v>
      </c>
      <c r="H10" s="79">
        <f>+G10*0.05</f>
        <v>10.8</v>
      </c>
      <c r="I10" s="79">
        <f>+G10*0.1</f>
        <v>21.6</v>
      </c>
      <c r="J10" s="79">
        <f>G10+H10+I10</f>
        <v>248.4</v>
      </c>
      <c r="K10" s="81">
        <f>+G10*$H$2+H10*$I$2+I10*$K$2</f>
        <v>35060.472000000002</v>
      </c>
      <c r="L10" s="82">
        <f>C10*D10*F10</f>
        <v>0</v>
      </c>
      <c r="M10" s="78">
        <v>0</v>
      </c>
      <c r="N10" s="146"/>
      <c r="P10" s="147"/>
      <c r="Q10" s="147"/>
      <c r="R10" s="147"/>
    </row>
    <row r="11" spans="1:18" x14ac:dyDescent="0.35">
      <c r="A11" s="85" t="s">
        <v>13</v>
      </c>
      <c r="B11" s="79"/>
      <c r="C11" s="79"/>
      <c r="D11" s="79"/>
      <c r="E11" s="79"/>
      <c r="F11" s="79"/>
      <c r="G11" s="79"/>
      <c r="H11" s="79"/>
      <c r="I11" s="79"/>
      <c r="J11" s="79"/>
      <c r="K11" s="83"/>
      <c r="L11" s="82"/>
      <c r="M11" s="78"/>
    </row>
    <row r="12" spans="1:18" x14ac:dyDescent="0.35">
      <c r="A12" s="91" t="s">
        <v>49</v>
      </c>
      <c r="B12" s="79"/>
      <c r="C12" s="79"/>
      <c r="D12" s="79"/>
      <c r="E12" s="79"/>
      <c r="F12" s="79"/>
      <c r="G12" s="79"/>
      <c r="H12" s="79"/>
      <c r="I12" s="79"/>
      <c r="J12" s="79"/>
      <c r="K12" s="83"/>
      <c r="L12" s="82"/>
      <c r="M12" s="78"/>
    </row>
    <row r="13" spans="1:18" ht="29" x14ac:dyDescent="0.35">
      <c r="A13" s="92" t="s">
        <v>133</v>
      </c>
      <c r="B13" s="79">
        <v>24</v>
      </c>
      <c r="C13" s="80">
        <v>76666.666666666657</v>
      </c>
      <c r="D13" s="79">
        <v>1</v>
      </c>
      <c r="E13" s="79">
        <f t="shared" ref="E13:E16" si="0">B13*D13</f>
        <v>24</v>
      </c>
      <c r="F13" s="79">
        <v>0</v>
      </c>
      <c r="G13" s="79">
        <f>+F13*E13</f>
        <v>0</v>
      </c>
      <c r="H13" s="79">
        <f>+G13*0.05</f>
        <v>0</v>
      </c>
      <c r="I13" s="79">
        <f>+G13*0.1</f>
        <v>0</v>
      </c>
      <c r="J13" s="79">
        <f t="shared" ref="J13:J16" si="1">G13+H13+I13</f>
        <v>0</v>
      </c>
      <c r="K13" s="83">
        <f>+G13*$H$2+H13*$I$2+I13*$K$2</f>
        <v>0</v>
      </c>
      <c r="L13" s="82">
        <f t="shared" ref="L13:L27" si="2">C13*D13*F13</f>
        <v>0</v>
      </c>
      <c r="M13" s="78">
        <f t="shared" ref="M13:M27" si="3">D13*F13</f>
        <v>0</v>
      </c>
    </row>
    <row r="14" spans="1:18" ht="16" x14ac:dyDescent="0.35">
      <c r="A14" s="92" t="s">
        <v>134</v>
      </c>
      <c r="B14" s="79">
        <v>24</v>
      </c>
      <c r="C14" s="80">
        <f>ROUND(C13*0.2,0)</f>
        <v>15333</v>
      </c>
      <c r="D14" s="79">
        <v>1</v>
      </c>
      <c r="E14" s="79">
        <f t="shared" si="0"/>
        <v>24</v>
      </c>
      <c r="F14" s="79">
        <v>0</v>
      </c>
      <c r="G14" s="79">
        <f>+F14*E14</f>
        <v>0</v>
      </c>
      <c r="H14" s="79">
        <f>+G14*0.05</f>
        <v>0</v>
      </c>
      <c r="I14" s="79">
        <f>+G14*0.1</f>
        <v>0</v>
      </c>
      <c r="J14" s="79">
        <f t="shared" si="1"/>
        <v>0</v>
      </c>
      <c r="K14" s="83">
        <f>+G14*$H$2+H14*$I$2+I14*$K$2</f>
        <v>0</v>
      </c>
      <c r="L14" s="82">
        <f t="shared" si="2"/>
        <v>0</v>
      </c>
      <c r="M14" s="78">
        <f t="shared" si="3"/>
        <v>0</v>
      </c>
    </row>
    <row r="15" spans="1:18" ht="29" x14ac:dyDescent="0.35">
      <c r="A15" s="92" t="s">
        <v>135</v>
      </c>
      <c r="B15" s="79">
        <v>3</v>
      </c>
      <c r="C15" s="80">
        <v>3000</v>
      </c>
      <c r="D15" s="79">
        <v>1</v>
      </c>
      <c r="E15" s="79">
        <f t="shared" si="0"/>
        <v>3</v>
      </c>
      <c r="F15" s="79">
        <v>0</v>
      </c>
      <c r="G15" s="79">
        <f>+F15*E15</f>
        <v>0</v>
      </c>
      <c r="H15" s="79">
        <f>+G15*0.05</f>
        <v>0</v>
      </c>
      <c r="I15" s="79">
        <f>+G15*0.1</f>
        <v>0</v>
      </c>
      <c r="J15" s="79">
        <f t="shared" si="1"/>
        <v>0</v>
      </c>
      <c r="K15" s="83">
        <f>+G15*$H$2+H15*$I$2+I15*$K$2</f>
        <v>0</v>
      </c>
      <c r="L15" s="82">
        <f t="shared" si="2"/>
        <v>0</v>
      </c>
      <c r="M15" s="78">
        <f t="shared" si="3"/>
        <v>0</v>
      </c>
    </row>
    <row r="16" spans="1:18" ht="29" x14ac:dyDescent="0.35">
      <c r="A16" s="92" t="s">
        <v>136</v>
      </c>
      <c r="B16" s="79">
        <v>3</v>
      </c>
      <c r="C16" s="80">
        <f>ROUND(C15*0.2,0)</f>
        <v>600</v>
      </c>
      <c r="D16" s="79">
        <v>1</v>
      </c>
      <c r="E16" s="79">
        <f t="shared" si="0"/>
        <v>3</v>
      </c>
      <c r="F16" s="79">
        <v>0</v>
      </c>
      <c r="G16" s="79">
        <f>+F16*E16</f>
        <v>0</v>
      </c>
      <c r="H16" s="79">
        <f>+G16*0.05</f>
        <v>0</v>
      </c>
      <c r="I16" s="79">
        <f>+G16*0.1</f>
        <v>0</v>
      </c>
      <c r="J16" s="79">
        <f t="shared" si="1"/>
        <v>0</v>
      </c>
      <c r="K16" s="83">
        <f>+G16*$H$2+H16*$I$2+I16*$K$2</f>
        <v>0</v>
      </c>
      <c r="L16" s="82">
        <f t="shared" si="2"/>
        <v>0</v>
      </c>
      <c r="M16" s="78">
        <f t="shared" si="3"/>
        <v>0</v>
      </c>
    </row>
    <row r="17" spans="1:14" x14ac:dyDescent="0.35">
      <c r="A17" s="91" t="s">
        <v>50</v>
      </c>
      <c r="B17" s="79"/>
      <c r="C17" s="79"/>
      <c r="D17" s="79"/>
      <c r="E17" s="79"/>
      <c r="F17" s="79"/>
      <c r="G17" s="79"/>
      <c r="H17" s="79"/>
      <c r="I17" s="79"/>
      <c r="J17" s="79"/>
      <c r="K17" s="83"/>
      <c r="L17" s="82">
        <f t="shared" si="2"/>
        <v>0</v>
      </c>
      <c r="M17" s="78">
        <f t="shared" si="3"/>
        <v>0</v>
      </c>
    </row>
    <row r="18" spans="1:14" ht="16" x14ac:dyDescent="0.35">
      <c r="A18" s="92" t="s">
        <v>137</v>
      </c>
      <c r="B18" s="79">
        <v>229</v>
      </c>
      <c r="C18" s="80">
        <f>185000+210000</f>
        <v>395000</v>
      </c>
      <c r="D18" s="79">
        <v>1</v>
      </c>
      <c r="E18" s="79">
        <f>B18*D18</f>
        <v>229</v>
      </c>
      <c r="F18" s="79">
        <v>0</v>
      </c>
      <c r="G18" s="79">
        <f>+F18*E18</f>
        <v>0</v>
      </c>
      <c r="H18" s="79">
        <f>+G18*0.05</f>
        <v>0</v>
      </c>
      <c r="I18" s="79">
        <f>+G18*0.1</f>
        <v>0</v>
      </c>
      <c r="J18" s="79">
        <f>G18+H18+I18</f>
        <v>0</v>
      </c>
      <c r="K18" s="83">
        <f>+G18*$H$2+H18*$I$2+I18*$K$2</f>
        <v>0</v>
      </c>
      <c r="L18" s="82">
        <f t="shared" si="2"/>
        <v>0</v>
      </c>
      <c r="M18" s="78">
        <f t="shared" si="3"/>
        <v>0</v>
      </c>
    </row>
    <row r="19" spans="1:14" x14ac:dyDescent="0.35">
      <c r="A19" s="92" t="s">
        <v>51</v>
      </c>
      <c r="B19" s="79" t="s">
        <v>52</v>
      </c>
      <c r="C19" s="79"/>
      <c r="D19" s="79"/>
      <c r="E19" s="79"/>
      <c r="F19" s="79"/>
      <c r="G19" s="79"/>
      <c r="H19" s="79"/>
      <c r="I19" s="79"/>
      <c r="J19" s="79"/>
      <c r="K19" s="83"/>
      <c r="L19" s="82">
        <f t="shared" si="2"/>
        <v>0</v>
      </c>
      <c r="M19" s="78">
        <f t="shared" si="3"/>
        <v>0</v>
      </c>
    </row>
    <row r="20" spans="1:14" ht="29" x14ac:dyDescent="0.35">
      <c r="A20" s="91" t="s">
        <v>138</v>
      </c>
      <c r="B20" s="79">
        <v>24</v>
      </c>
      <c r="C20" s="80">
        <v>76666.666666666657</v>
      </c>
      <c r="D20" s="79">
        <v>1</v>
      </c>
      <c r="E20" s="79">
        <f>B20*D20</f>
        <v>24</v>
      </c>
      <c r="F20" s="79">
        <v>0</v>
      </c>
      <c r="G20" s="79">
        <f>+F20*E20</f>
        <v>0</v>
      </c>
      <c r="H20" s="79">
        <f>+G20*0.05</f>
        <v>0</v>
      </c>
      <c r="I20" s="79">
        <f>+G20*0.1</f>
        <v>0</v>
      </c>
      <c r="J20" s="79">
        <f t="shared" ref="J20:J27" si="4">G20+H20+I20</f>
        <v>0</v>
      </c>
      <c r="K20" s="83">
        <f>+G20*$H$2+H20*$I$2+I20*$K$2</f>
        <v>0</v>
      </c>
      <c r="L20" s="82">
        <f t="shared" si="2"/>
        <v>0</v>
      </c>
      <c r="M20" s="78">
        <f t="shared" si="3"/>
        <v>0</v>
      </c>
    </row>
    <row r="21" spans="1:14" ht="29" x14ac:dyDescent="0.35">
      <c r="A21" s="91" t="s">
        <v>139</v>
      </c>
      <c r="B21" s="79">
        <v>3</v>
      </c>
      <c r="C21" s="80">
        <v>3000</v>
      </c>
      <c r="D21" s="79">
        <v>1</v>
      </c>
      <c r="E21" s="79">
        <f>B21*D21</f>
        <v>3</v>
      </c>
      <c r="F21" s="79">
        <v>29</v>
      </c>
      <c r="G21" s="79">
        <f>+F21*E21</f>
        <v>87</v>
      </c>
      <c r="H21" s="79">
        <f>+G21*0.05</f>
        <v>4.3500000000000005</v>
      </c>
      <c r="I21" s="79">
        <f>+G21*0.1</f>
        <v>8.7000000000000011</v>
      </c>
      <c r="J21" s="79">
        <f t="shared" si="4"/>
        <v>100.05</v>
      </c>
      <c r="K21" s="81">
        <f>+G21*$H$2+H21*$I$2+I21*$K$2</f>
        <v>14121.579000000002</v>
      </c>
      <c r="L21" s="82">
        <f t="shared" si="2"/>
        <v>87000</v>
      </c>
      <c r="M21" s="78">
        <v>0</v>
      </c>
      <c r="N21" s="146"/>
    </row>
    <row r="22" spans="1:14" x14ac:dyDescent="0.35">
      <c r="A22" s="94" t="s">
        <v>93</v>
      </c>
      <c r="B22" s="79"/>
      <c r="C22" s="79"/>
      <c r="D22" s="79"/>
      <c r="E22" s="79"/>
      <c r="F22" s="79"/>
      <c r="G22" s="79"/>
      <c r="H22" s="79"/>
      <c r="I22" s="79"/>
      <c r="J22" s="79"/>
      <c r="K22" s="96"/>
      <c r="L22" s="82"/>
      <c r="M22" s="78"/>
      <c r="N22" s="146"/>
    </row>
    <row r="23" spans="1:14" ht="15.5" x14ac:dyDescent="0.35">
      <c r="A23" s="95" t="s">
        <v>140</v>
      </c>
      <c r="B23" s="63">
        <v>16</v>
      </c>
      <c r="C23" s="80">
        <v>0</v>
      </c>
      <c r="D23" s="148">
        <v>1</v>
      </c>
      <c r="E23" s="79">
        <f>B23*D23</f>
        <v>16</v>
      </c>
      <c r="F23" s="79">
        <v>0</v>
      </c>
      <c r="G23" s="79">
        <f t="shared" ref="G23:G24" si="5">+F23*E23</f>
        <v>0</v>
      </c>
      <c r="H23" s="79">
        <f t="shared" ref="H23:H24" si="6">+G23*0.05</f>
        <v>0</v>
      </c>
      <c r="I23" s="79">
        <f t="shared" ref="I23:I24" si="7">+G23*0.1</f>
        <v>0</v>
      </c>
      <c r="J23" s="79">
        <f t="shared" ref="J23:J24" si="8">G23+H23+I23</f>
        <v>0</v>
      </c>
      <c r="K23" s="83">
        <f t="shared" ref="K23:K24" si="9">+G23*$H$2+H23*$I$2+I23*$K$2</f>
        <v>0</v>
      </c>
      <c r="L23" s="82">
        <f t="shared" ref="L23:L24" si="10">C23*D23*F23</f>
        <v>0</v>
      </c>
      <c r="M23" s="78">
        <f t="shared" ref="M23:M24" si="11">D23*F23</f>
        <v>0</v>
      </c>
      <c r="N23" s="146"/>
    </row>
    <row r="24" spans="1:14" ht="15.5" x14ac:dyDescent="0.35">
      <c r="A24" s="95" t="s">
        <v>141</v>
      </c>
      <c r="B24" s="63">
        <v>16</v>
      </c>
      <c r="C24" s="80">
        <v>0</v>
      </c>
      <c r="D24" s="148">
        <v>3</v>
      </c>
      <c r="E24" s="79">
        <f>B24*D24</f>
        <v>48</v>
      </c>
      <c r="F24" s="79">
        <v>0</v>
      </c>
      <c r="G24" s="79">
        <f t="shared" si="5"/>
        <v>0</v>
      </c>
      <c r="H24" s="79">
        <f t="shared" si="6"/>
        <v>0</v>
      </c>
      <c r="I24" s="79">
        <f t="shared" si="7"/>
        <v>0</v>
      </c>
      <c r="J24" s="79">
        <f t="shared" si="8"/>
        <v>0</v>
      </c>
      <c r="K24" s="83">
        <f t="shared" si="9"/>
        <v>0</v>
      </c>
      <c r="L24" s="82">
        <f t="shared" si="10"/>
        <v>0</v>
      </c>
      <c r="M24" s="78">
        <f t="shared" si="11"/>
        <v>0</v>
      </c>
      <c r="N24" s="146"/>
    </row>
    <row r="25" spans="1:14" ht="16" x14ac:dyDescent="0.35">
      <c r="A25" s="92" t="s">
        <v>142</v>
      </c>
      <c r="B25" s="79">
        <v>0.25</v>
      </c>
      <c r="C25" s="80">
        <f>38100+35600</f>
        <v>73700</v>
      </c>
      <c r="D25" s="79">
        <v>250</v>
      </c>
      <c r="E25" s="79">
        <f>B25*D25</f>
        <v>62.5</v>
      </c>
      <c r="F25" s="79">
        <v>0</v>
      </c>
      <c r="G25" s="79">
        <f>+F25*E25</f>
        <v>0</v>
      </c>
      <c r="H25" s="79">
        <f>+G25*0.05</f>
        <v>0</v>
      </c>
      <c r="I25" s="79">
        <f>+G25*0.1</f>
        <v>0</v>
      </c>
      <c r="J25" s="79">
        <f t="shared" si="4"/>
        <v>0</v>
      </c>
      <c r="K25" s="83">
        <f>+G25*$H$2+H25*$I$2+I25*$K$2</f>
        <v>0</v>
      </c>
      <c r="L25" s="82">
        <f>C25*F25</f>
        <v>0</v>
      </c>
      <c r="M25" s="78">
        <f t="shared" si="3"/>
        <v>0</v>
      </c>
    </row>
    <row r="26" spans="1:14" ht="16" x14ac:dyDescent="0.35">
      <c r="A26" s="84" t="s">
        <v>92</v>
      </c>
      <c r="B26" s="79">
        <v>20</v>
      </c>
      <c r="C26" s="80">
        <v>0</v>
      </c>
      <c r="D26" s="79">
        <v>1</v>
      </c>
      <c r="E26" s="79">
        <f>B26*D26</f>
        <v>20</v>
      </c>
      <c r="F26" s="79">
        <v>0</v>
      </c>
      <c r="G26" s="79">
        <f>+F26*E26</f>
        <v>0</v>
      </c>
      <c r="H26" s="79">
        <f>+G26*0.05</f>
        <v>0</v>
      </c>
      <c r="I26" s="79">
        <f>+G26*0.1</f>
        <v>0</v>
      </c>
      <c r="J26" s="79">
        <f t="shared" si="4"/>
        <v>0</v>
      </c>
      <c r="K26" s="83">
        <f>+G26*$H$2+H26*$I$2+I26*$K$2</f>
        <v>0</v>
      </c>
      <c r="L26" s="82">
        <f t="shared" si="2"/>
        <v>0</v>
      </c>
      <c r="M26" s="78">
        <f t="shared" si="3"/>
        <v>0</v>
      </c>
    </row>
    <row r="27" spans="1:14" ht="29" x14ac:dyDescent="0.35">
      <c r="A27" s="84" t="s">
        <v>161</v>
      </c>
      <c r="B27" s="79">
        <v>4</v>
      </c>
      <c r="C27" s="80">
        <v>0</v>
      </c>
      <c r="D27" s="79">
        <v>1</v>
      </c>
      <c r="E27" s="79">
        <v>4</v>
      </c>
      <c r="F27" s="79">
        <v>0</v>
      </c>
      <c r="G27" s="79">
        <f>+F27*E27</f>
        <v>0</v>
      </c>
      <c r="H27" s="79">
        <f>+G27*0.05</f>
        <v>0</v>
      </c>
      <c r="I27" s="79">
        <f>+G27*0.1</f>
        <v>0</v>
      </c>
      <c r="J27" s="79">
        <f t="shared" si="4"/>
        <v>0</v>
      </c>
      <c r="K27" s="81">
        <f>+G27*$H$2+H27*$I$2+I27*$K$2</f>
        <v>0</v>
      </c>
      <c r="L27" s="82">
        <f t="shared" si="2"/>
        <v>0</v>
      </c>
      <c r="M27" s="78">
        <f t="shared" si="3"/>
        <v>0</v>
      </c>
    </row>
    <row r="28" spans="1:14" x14ac:dyDescent="0.35">
      <c r="A28" s="85" t="s">
        <v>14</v>
      </c>
      <c r="B28" s="79" t="s">
        <v>15</v>
      </c>
      <c r="C28" s="79"/>
      <c r="D28" s="79"/>
      <c r="E28" s="79"/>
      <c r="F28" s="79"/>
      <c r="G28" s="79"/>
      <c r="H28" s="79"/>
      <c r="I28" s="79"/>
      <c r="J28" s="79"/>
      <c r="K28" s="90"/>
      <c r="L28" s="82"/>
      <c r="M28" s="78"/>
    </row>
    <row r="29" spans="1:14" x14ac:dyDescent="0.35">
      <c r="A29" s="85" t="s">
        <v>53</v>
      </c>
      <c r="B29" s="79" t="s">
        <v>16</v>
      </c>
      <c r="C29" s="79"/>
      <c r="D29" s="79"/>
      <c r="E29" s="79"/>
      <c r="F29" s="79"/>
      <c r="G29" s="79"/>
      <c r="H29" s="79"/>
      <c r="I29" s="79"/>
      <c r="J29" s="79"/>
      <c r="K29" s="90"/>
      <c r="L29" s="82"/>
      <c r="M29" s="78"/>
    </row>
    <row r="30" spans="1:14" x14ac:dyDescent="0.35">
      <c r="A30" s="85" t="s">
        <v>54</v>
      </c>
      <c r="B30" s="79"/>
      <c r="C30" s="79"/>
      <c r="D30" s="79"/>
      <c r="E30" s="79"/>
      <c r="F30" s="79"/>
      <c r="G30" s="79"/>
      <c r="H30" s="79"/>
      <c r="I30" s="79"/>
      <c r="J30" s="79"/>
      <c r="K30" s="90"/>
      <c r="L30" s="82"/>
      <c r="M30" s="78"/>
    </row>
    <row r="31" spans="1:14" ht="16" x14ac:dyDescent="0.35">
      <c r="A31" s="91" t="s">
        <v>143</v>
      </c>
      <c r="B31" s="79">
        <v>8</v>
      </c>
      <c r="C31" s="80">
        <v>0</v>
      </c>
      <c r="D31" s="79">
        <v>1</v>
      </c>
      <c r="E31" s="79">
        <f>B31*D31</f>
        <v>8</v>
      </c>
      <c r="F31" s="79">
        <v>0</v>
      </c>
      <c r="G31" s="79">
        <f>+F31*E31</f>
        <v>0</v>
      </c>
      <c r="H31" s="79">
        <f>+G31*0.05</f>
        <v>0</v>
      </c>
      <c r="I31" s="79">
        <f>+G31*0.1</f>
        <v>0</v>
      </c>
      <c r="J31" s="79">
        <f t="shared" ref="J31:J40" si="12">G31+H31+I31</f>
        <v>0</v>
      </c>
      <c r="K31" s="83">
        <f>+G31*$H$2+H31*$I$2+I31*$K$2</f>
        <v>0</v>
      </c>
      <c r="L31" s="82">
        <f t="shared" ref="L31:L40" si="13">C31*D31*F31</f>
        <v>0</v>
      </c>
      <c r="M31" s="78">
        <f t="shared" ref="M31:M37" si="14">D31*F31</f>
        <v>0</v>
      </c>
    </row>
    <row r="32" spans="1:14" ht="16" x14ac:dyDescent="0.35">
      <c r="A32" s="91" t="s">
        <v>144</v>
      </c>
      <c r="B32" s="79">
        <v>2</v>
      </c>
      <c r="C32" s="80">
        <v>0</v>
      </c>
      <c r="D32" s="79">
        <v>1</v>
      </c>
      <c r="E32" s="79">
        <f>B32*D32</f>
        <v>2</v>
      </c>
      <c r="F32" s="79">
        <v>0</v>
      </c>
      <c r="G32" s="79">
        <f>+F32*E32</f>
        <v>0</v>
      </c>
      <c r="H32" s="79">
        <f>+G32*0.05</f>
        <v>0</v>
      </c>
      <c r="I32" s="79">
        <f>+G32*0.1</f>
        <v>0</v>
      </c>
      <c r="J32" s="79">
        <f t="shared" si="12"/>
        <v>0</v>
      </c>
      <c r="K32" s="83">
        <f>+G32*$H$2+H32*$I$2+I32*$K$2</f>
        <v>0</v>
      </c>
      <c r="L32" s="82">
        <f t="shared" si="13"/>
        <v>0</v>
      </c>
      <c r="M32" s="78">
        <f t="shared" si="14"/>
        <v>0</v>
      </c>
    </row>
    <row r="33" spans="1:15" ht="16" x14ac:dyDescent="0.35">
      <c r="A33" s="91" t="s">
        <v>145</v>
      </c>
      <c r="B33" s="79"/>
      <c r="C33" s="80"/>
      <c r="D33" s="79"/>
      <c r="E33" s="79"/>
      <c r="F33" s="79"/>
      <c r="G33" s="79"/>
      <c r="H33" s="79"/>
      <c r="I33" s="79"/>
      <c r="J33" s="79"/>
      <c r="K33" s="83"/>
      <c r="L33" s="82"/>
      <c r="M33" s="78"/>
    </row>
    <row r="34" spans="1:15" ht="15.5" x14ac:dyDescent="0.35">
      <c r="A34" s="95" t="s">
        <v>146</v>
      </c>
      <c r="B34" s="79">
        <v>40</v>
      </c>
      <c r="C34" s="80">
        <v>0</v>
      </c>
      <c r="D34" s="79">
        <v>1</v>
      </c>
      <c r="E34" s="79">
        <f>B34*D34</f>
        <v>40</v>
      </c>
      <c r="F34" s="79">
        <v>0</v>
      </c>
      <c r="G34" s="79">
        <f>+F34*E34</f>
        <v>0</v>
      </c>
      <c r="H34" s="79">
        <f>+G34*0.05</f>
        <v>0</v>
      </c>
      <c r="I34" s="79">
        <f>+G34*0.1</f>
        <v>0</v>
      </c>
      <c r="J34" s="79">
        <f t="shared" si="12"/>
        <v>0</v>
      </c>
      <c r="K34" s="83">
        <f>+G34*$H$2+H34*$I$2+I34*$K$2</f>
        <v>0</v>
      </c>
      <c r="L34" s="82">
        <f t="shared" si="13"/>
        <v>0</v>
      </c>
      <c r="M34" s="78">
        <f t="shared" si="14"/>
        <v>0</v>
      </c>
    </row>
    <row r="35" spans="1:15" ht="15.5" x14ac:dyDescent="0.35">
      <c r="A35" s="95" t="s">
        <v>147</v>
      </c>
      <c r="B35" s="79">
        <v>10</v>
      </c>
      <c r="C35" s="80">
        <v>0</v>
      </c>
      <c r="D35" s="79">
        <v>1</v>
      </c>
      <c r="E35" s="79">
        <f>B35*D35</f>
        <v>10</v>
      </c>
      <c r="F35" s="79">
        <f>F15</f>
        <v>0</v>
      </c>
      <c r="G35" s="79">
        <f>+F35*E35</f>
        <v>0</v>
      </c>
      <c r="H35" s="79">
        <f>+G35*0.05</f>
        <v>0</v>
      </c>
      <c r="I35" s="79">
        <f>+G35*0.1</f>
        <v>0</v>
      </c>
      <c r="J35" s="79">
        <f t="shared" ref="J35" si="15">G35+H35+I35</f>
        <v>0</v>
      </c>
      <c r="K35" s="83">
        <f>+G35*$H$2+H35*$I$2+I35*$K$2</f>
        <v>0</v>
      </c>
      <c r="L35" s="82">
        <f t="shared" ref="L35" si="16">C35*D35*F35</f>
        <v>0</v>
      </c>
      <c r="M35" s="78">
        <f t="shared" ref="M35" si="17">D35*F35</f>
        <v>0</v>
      </c>
    </row>
    <row r="36" spans="1:15" x14ac:dyDescent="0.35">
      <c r="A36" s="97" t="s">
        <v>89</v>
      </c>
      <c r="B36" s="79"/>
      <c r="C36" s="80"/>
      <c r="D36" s="79"/>
      <c r="E36" s="79"/>
      <c r="F36" s="79"/>
      <c r="G36" s="79"/>
      <c r="H36" s="79"/>
      <c r="I36" s="79"/>
      <c r="J36" s="79"/>
      <c r="K36" s="96"/>
      <c r="L36" s="82"/>
      <c r="M36" s="78"/>
    </row>
    <row r="37" spans="1:15" ht="31.5" customHeight="1" x14ac:dyDescent="0.35">
      <c r="A37" s="95" t="s">
        <v>203</v>
      </c>
      <c r="B37" s="79">
        <v>28</v>
      </c>
      <c r="C37" s="80">
        <v>0</v>
      </c>
      <c r="D37" s="79">
        <v>1</v>
      </c>
      <c r="E37" s="79">
        <f>B37*D37</f>
        <v>28</v>
      </c>
      <c r="F37" s="79">
        <v>0</v>
      </c>
      <c r="G37" s="79">
        <f>+F37*E37</f>
        <v>0</v>
      </c>
      <c r="H37" s="79">
        <f>+G37*0.05</f>
        <v>0</v>
      </c>
      <c r="I37" s="79">
        <f>+G37*0.1</f>
        <v>0</v>
      </c>
      <c r="J37" s="79">
        <f t="shared" si="12"/>
        <v>0</v>
      </c>
      <c r="K37" s="81">
        <f>+G37*$H$2+H37*$I$2+I37*$K$2</f>
        <v>0</v>
      </c>
      <c r="L37" s="82">
        <f t="shared" si="13"/>
        <v>0</v>
      </c>
      <c r="M37" s="78">
        <f t="shared" si="14"/>
        <v>0</v>
      </c>
    </row>
    <row r="38" spans="1:15" ht="31.5" customHeight="1" x14ac:dyDescent="0.35">
      <c r="A38" s="95" t="s">
        <v>198</v>
      </c>
      <c r="B38" s="79">
        <v>28</v>
      </c>
      <c r="C38" s="80">
        <v>0</v>
      </c>
      <c r="D38" s="79">
        <v>1</v>
      </c>
      <c r="E38" s="79">
        <f>B38*D38</f>
        <v>28</v>
      </c>
      <c r="F38" s="79">
        <v>25</v>
      </c>
      <c r="G38" s="79">
        <f>+F38*E38</f>
        <v>700</v>
      </c>
      <c r="H38" s="79">
        <f>+G38*0.05</f>
        <v>35</v>
      </c>
      <c r="I38" s="79">
        <f>+G38*0.1</f>
        <v>70</v>
      </c>
      <c r="J38" s="79">
        <f t="shared" ref="J38" si="18">G38+H38+I38</f>
        <v>805</v>
      </c>
      <c r="K38" s="81">
        <f>+G38*$H$2+H38*$I$2+I38*$K$2</f>
        <v>113621.90000000001</v>
      </c>
      <c r="L38" s="82">
        <f t="shared" ref="L38" si="19">C38*D38*F38</f>
        <v>0</v>
      </c>
      <c r="M38" s="78">
        <f t="shared" ref="M38" si="20">D38*F38</f>
        <v>25</v>
      </c>
    </row>
    <row r="39" spans="1:15" ht="15.5" x14ac:dyDescent="0.35">
      <c r="A39" s="95" t="s">
        <v>160</v>
      </c>
      <c r="B39" s="79">
        <v>10</v>
      </c>
      <c r="C39" s="80">
        <v>0</v>
      </c>
      <c r="D39" s="79">
        <v>1</v>
      </c>
      <c r="E39" s="79">
        <f>B39*D39</f>
        <v>10</v>
      </c>
      <c r="F39" s="79">
        <v>29</v>
      </c>
      <c r="G39" s="79">
        <f>+F39*E39</f>
        <v>290</v>
      </c>
      <c r="H39" s="79">
        <f>+G39*0.05</f>
        <v>14.5</v>
      </c>
      <c r="I39" s="79">
        <f>+G39*0.1</f>
        <v>29</v>
      </c>
      <c r="J39" s="79">
        <f t="shared" ref="J39" si="21">G39+H39+I39</f>
        <v>333.5</v>
      </c>
      <c r="K39" s="81">
        <f>+G39*$H$2+H39*$I$2+I39*$K$2</f>
        <v>47071.930000000008</v>
      </c>
      <c r="L39" s="82">
        <f t="shared" ref="L39" si="22">C39*D39*F39</f>
        <v>0</v>
      </c>
      <c r="M39" s="78">
        <f t="shared" ref="M39" si="23">D39*F39</f>
        <v>29</v>
      </c>
    </row>
    <row r="40" spans="1:15" ht="16" x14ac:dyDescent="0.35">
      <c r="A40" s="91" t="s">
        <v>148</v>
      </c>
      <c r="B40" s="79">
        <v>24</v>
      </c>
      <c r="C40" s="80">
        <v>0</v>
      </c>
      <c r="D40" s="79">
        <v>2</v>
      </c>
      <c r="E40" s="79">
        <f>B40*D40</f>
        <v>48</v>
      </c>
      <c r="F40" s="79">
        <f>ROUND(0.1*25,0)</f>
        <v>3</v>
      </c>
      <c r="G40" s="79">
        <f>+F40*E40</f>
        <v>144</v>
      </c>
      <c r="H40" s="79">
        <f>+G40*0.05</f>
        <v>7.2</v>
      </c>
      <c r="I40" s="79">
        <f>+G40*0.1</f>
        <v>14.4</v>
      </c>
      <c r="J40" s="79">
        <f t="shared" si="12"/>
        <v>165.6</v>
      </c>
      <c r="K40" s="81">
        <f>+G40*$H$2+H40*$I$2+I40*$K$2</f>
        <v>23373.648000000001</v>
      </c>
      <c r="L40" s="82">
        <f t="shared" si="13"/>
        <v>0</v>
      </c>
      <c r="M40" s="78">
        <f>D40*F40</f>
        <v>6</v>
      </c>
    </row>
    <row r="41" spans="1:15" x14ac:dyDescent="0.35">
      <c r="A41" s="91" t="s">
        <v>94</v>
      </c>
      <c r="B41" s="79">
        <v>1</v>
      </c>
      <c r="C41" s="80">
        <v>0</v>
      </c>
      <c r="D41" s="79">
        <v>1</v>
      </c>
      <c r="E41" s="79">
        <f>B41*D41</f>
        <v>1</v>
      </c>
      <c r="F41" s="79">
        <v>0</v>
      </c>
      <c r="G41" s="79">
        <f>+F41*E41</f>
        <v>0</v>
      </c>
      <c r="H41" s="79">
        <f>+G41*0.05</f>
        <v>0</v>
      </c>
      <c r="I41" s="79">
        <f>+G41*0.1</f>
        <v>0</v>
      </c>
      <c r="J41" s="79">
        <f t="shared" ref="J41" si="24">G41+H41+I41</f>
        <v>0</v>
      </c>
      <c r="K41" s="81">
        <f>+G41*$H$2+H41*$I$2+I41*$K$2</f>
        <v>0</v>
      </c>
      <c r="L41" s="82">
        <f t="shared" ref="L41" si="25">C41*D41*F41</f>
        <v>0</v>
      </c>
      <c r="M41" s="78">
        <f t="shared" ref="M41" si="26">D41*F41</f>
        <v>0</v>
      </c>
    </row>
    <row r="42" spans="1:15" x14ac:dyDescent="0.35">
      <c r="A42" s="166" t="s">
        <v>17</v>
      </c>
      <c r="B42" s="166"/>
      <c r="C42" s="166"/>
      <c r="D42" s="166"/>
      <c r="E42" s="166"/>
      <c r="F42" s="166"/>
      <c r="G42" s="98">
        <f t="shared" ref="G42:M42" si="27">SUM(G8:G41)</f>
        <v>1437</v>
      </c>
      <c r="H42" s="98">
        <f t="shared" si="27"/>
        <v>71.850000000000009</v>
      </c>
      <c r="I42" s="98">
        <f t="shared" si="27"/>
        <v>143.70000000000002</v>
      </c>
      <c r="J42" s="98">
        <f t="shared" si="27"/>
        <v>1652.55</v>
      </c>
      <c r="K42" s="99">
        <f t="shared" si="27"/>
        <v>233249.52899999998</v>
      </c>
      <c r="L42" s="100">
        <f t="shared" si="27"/>
        <v>87000</v>
      </c>
      <c r="M42" s="98">
        <f t="shared" si="27"/>
        <v>60</v>
      </c>
      <c r="O42" s="147"/>
    </row>
    <row r="43" spans="1:15" x14ac:dyDescent="0.35">
      <c r="A43" s="85" t="s">
        <v>18</v>
      </c>
      <c r="B43" s="79"/>
      <c r="C43" s="79"/>
      <c r="D43" s="79"/>
      <c r="E43" s="79"/>
      <c r="F43" s="79"/>
      <c r="G43" s="79"/>
      <c r="H43" s="79"/>
      <c r="I43" s="79"/>
      <c r="J43" s="79"/>
      <c r="K43" s="90"/>
      <c r="L43" s="82"/>
      <c r="M43" s="78"/>
    </row>
    <row r="44" spans="1:15" ht="16" x14ac:dyDescent="0.35">
      <c r="A44" s="85" t="s">
        <v>55</v>
      </c>
      <c r="B44" s="79" t="s">
        <v>19</v>
      </c>
      <c r="C44" s="79"/>
      <c r="D44" s="79"/>
      <c r="E44" s="79"/>
      <c r="F44" s="79"/>
      <c r="G44" s="79"/>
      <c r="H44" s="79"/>
      <c r="I44" s="79"/>
      <c r="J44" s="79"/>
      <c r="K44" s="79"/>
      <c r="L44" s="82"/>
      <c r="M44" s="78"/>
    </row>
    <row r="45" spans="1:15" x14ac:dyDescent="0.35">
      <c r="A45" s="85" t="s">
        <v>20</v>
      </c>
      <c r="B45" s="79" t="s">
        <v>15</v>
      </c>
      <c r="C45" s="79"/>
      <c r="D45" s="79"/>
      <c r="E45" s="79"/>
      <c r="F45" s="79"/>
      <c r="G45" s="79"/>
      <c r="H45" s="79"/>
      <c r="I45" s="79"/>
      <c r="J45" s="79"/>
      <c r="K45" s="90"/>
      <c r="L45" s="82"/>
      <c r="M45" s="78"/>
    </row>
    <row r="46" spans="1:15" x14ac:dyDescent="0.35">
      <c r="A46" s="85" t="s">
        <v>56</v>
      </c>
      <c r="B46" s="79" t="s">
        <v>15</v>
      </c>
      <c r="C46" s="79"/>
      <c r="D46" s="79"/>
      <c r="E46" s="79"/>
      <c r="F46" s="79"/>
      <c r="G46" s="79"/>
      <c r="H46" s="79"/>
      <c r="I46" s="79"/>
      <c r="J46" s="79"/>
      <c r="K46" s="90"/>
      <c r="L46" s="82"/>
      <c r="M46" s="78"/>
    </row>
    <row r="47" spans="1:15" x14ac:dyDescent="0.35">
      <c r="A47" s="85" t="s">
        <v>21</v>
      </c>
      <c r="B47" s="79" t="s">
        <v>10</v>
      </c>
      <c r="C47" s="79"/>
      <c r="D47" s="79"/>
      <c r="E47" s="79"/>
      <c r="F47" s="79"/>
      <c r="G47" s="79"/>
      <c r="H47" s="79"/>
      <c r="I47" s="79"/>
      <c r="J47" s="79"/>
      <c r="K47" s="90"/>
      <c r="L47" s="82"/>
      <c r="M47" s="78"/>
    </row>
    <row r="48" spans="1:15" x14ac:dyDescent="0.35">
      <c r="A48" s="85" t="s">
        <v>22</v>
      </c>
      <c r="B48" s="79"/>
      <c r="C48" s="79"/>
      <c r="D48" s="79"/>
      <c r="E48" s="79"/>
      <c r="F48" s="79"/>
      <c r="G48" s="79"/>
      <c r="H48" s="79"/>
      <c r="I48" s="79"/>
      <c r="J48" s="79"/>
      <c r="K48" s="90"/>
      <c r="L48" s="82"/>
      <c r="M48" s="78"/>
    </row>
    <row r="49" spans="1:15" ht="16" x14ac:dyDescent="0.35">
      <c r="A49" s="91" t="s">
        <v>149</v>
      </c>
      <c r="B49" s="79">
        <v>1.5</v>
      </c>
      <c r="C49" s="80">
        <v>0</v>
      </c>
      <c r="D49" s="79">
        <v>52</v>
      </c>
      <c r="E49" s="79">
        <f t="shared" ref="E49:E57" si="28">B49*D49</f>
        <v>78</v>
      </c>
      <c r="F49" s="63">
        <v>0</v>
      </c>
      <c r="G49" s="79">
        <f>+F49*E49</f>
        <v>0</v>
      </c>
      <c r="H49" s="79">
        <f>+G49*0.05</f>
        <v>0</v>
      </c>
      <c r="I49" s="79">
        <f>+G49*0.1</f>
        <v>0</v>
      </c>
      <c r="J49" s="79">
        <f t="shared" ref="J49:J57" si="29">G49+H49+I49</f>
        <v>0</v>
      </c>
      <c r="K49" s="83">
        <f>+G49*$H$2+H49*$I$2+I49*$K$2</f>
        <v>0</v>
      </c>
      <c r="L49" s="82">
        <f t="shared" ref="L49:L57" si="30">C49*D49*F49</f>
        <v>0</v>
      </c>
      <c r="M49" s="78">
        <f t="shared" ref="M49:M54" si="31">D49*F49</f>
        <v>0</v>
      </c>
    </row>
    <row r="50" spans="1:15" ht="29" x14ac:dyDescent="0.35">
      <c r="A50" s="91" t="s">
        <v>150</v>
      </c>
      <c r="B50" s="79">
        <v>1.5</v>
      </c>
      <c r="C50" s="80">
        <v>0</v>
      </c>
      <c r="D50" s="79">
        <v>52</v>
      </c>
      <c r="E50" s="79">
        <f t="shared" si="28"/>
        <v>78</v>
      </c>
      <c r="F50" s="79">
        <v>0</v>
      </c>
      <c r="G50" s="79">
        <f t="shared" ref="G50:G57" si="32">+F50*E50</f>
        <v>0</v>
      </c>
      <c r="H50" s="79">
        <f t="shared" ref="H50:H57" si="33">+G50*0.05</f>
        <v>0</v>
      </c>
      <c r="I50" s="79">
        <f t="shared" ref="I50:I57" si="34">+G50*0.1</f>
        <v>0</v>
      </c>
      <c r="J50" s="79">
        <f t="shared" si="29"/>
        <v>0</v>
      </c>
      <c r="K50" s="81">
        <f t="shared" ref="K50:K57" si="35">+G50*$H$2+H50*$I$2+I50*$K$2</f>
        <v>0</v>
      </c>
      <c r="L50" s="82">
        <f t="shared" si="30"/>
        <v>0</v>
      </c>
      <c r="M50" s="78">
        <f t="shared" si="31"/>
        <v>0</v>
      </c>
    </row>
    <row r="51" spans="1:15" x14ac:dyDescent="0.35">
      <c r="A51" s="91" t="s">
        <v>57</v>
      </c>
      <c r="B51" s="79">
        <v>4</v>
      </c>
      <c r="C51" s="80">
        <v>0</v>
      </c>
      <c r="D51" s="79">
        <v>1</v>
      </c>
      <c r="E51" s="79">
        <f t="shared" si="28"/>
        <v>4</v>
      </c>
      <c r="F51" s="63">
        <v>25</v>
      </c>
      <c r="G51" s="79">
        <f t="shared" si="32"/>
        <v>100</v>
      </c>
      <c r="H51" s="79">
        <f t="shared" si="33"/>
        <v>5</v>
      </c>
      <c r="I51" s="79">
        <f t="shared" si="34"/>
        <v>10</v>
      </c>
      <c r="J51" s="79">
        <f t="shared" si="29"/>
        <v>115</v>
      </c>
      <c r="K51" s="81">
        <f t="shared" si="35"/>
        <v>16231.699999999999</v>
      </c>
      <c r="L51" s="82">
        <f t="shared" si="30"/>
        <v>0</v>
      </c>
      <c r="M51" s="78">
        <v>0</v>
      </c>
    </row>
    <row r="52" spans="1:15" ht="16" x14ac:dyDescent="0.35">
      <c r="A52" s="91" t="s">
        <v>151</v>
      </c>
      <c r="B52" s="79">
        <v>1.5</v>
      </c>
      <c r="C52" s="80">
        <v>2500</v>
      </c>
      <c r="D52" s="79">
        <v>52</v>
      </c>
      <c r="E52" s="79">
        <f t="shared" si="28"/>
        <v>78</v>
      </c>
      <c r="F52" s="63">
        <v>0</v>
      </c>
      <c r="G52" s="79">
        <f t="shared" si="32"/>
        <v>0</v>
      </c>
      <c r="H52" s="79">
        <f t="shared" si="33"/>
        <v>0</v>
      </c>
      <c r="I52" s="79">
        <f t="shared" si="34"/>
        <v>0</v>
      </c>
      <c r="J52" s="79">
        <f t="shared" si="29"/>
        <v>0</v>
      </c>
      <c r="K52" s="83">
        <f t="shared" si="35"/>
        <v>0</v>
      </c>
      <c r="L52" s="82">
        <f t="shared" si="30"/>
        <v>0</v>
      </c>
      <c r="M52" s="78">
        <f t="shared" si="31"/>
        <v>0</v>
      </c>
      <c r="O52" s="102"/>
    </row>
    <row r="53" spans="1:15" ht="26.5" x14ac:dyDescent="0.35">
      <c r="A53" s="91" t="s">
        <v>157</v>
      </c>
      <c r="B53" s="79">
        <v>0.5</v>
      </c>
      <c r="C53" s="80">
        <v>0</v>
      </c>
      <c r="D53" s="79">
        <v>52</v>
      </c>
      <c r="E53" s="79">
        <f t="shared" si="28"/>
        <v>26</v>
      </c>
      <c r="F53" s="79">
        <v>0</v>
      </c>
      <c r="G53" s="79">
        <f t="shared" si="32"/>
        <v>0</v>
      </c>
      <c r="H53" s="79">
        <f t="shared" si="33"/>
        <v>0</v>
      </c>
      <c r="I53" s="79">
        <f t="shared" si="34"/>
        <v>0</v>
      </c>
      <c r="J53" s="79">
        <f t="shared" si="29"/>
        <v>0</v>
      </c>
      <c r="K53" s="81">
        <f t="shared" si="35"/>
        <v>0</v>
      </c>
      <c r="L53" s="82">
        <f t="shared" si="30"/>
        <v>0</v>
      </c>
      <c r="M53" s="78">
        <f t="shared" si="31"/>
        <v>0</v>
      </c>
      <c r="O53" s="102"/>
    </row>
    <row r="54" spans="1:15" ht="26.5" x14ac:dyDescent="0.35">
      <c r="A54" s="91" t="s">
        <v>158</v>
      </c>
      <c r="B54" s="79">
        <v>4</v>
      </c>
      <c r="C54" s="80">
        <v>0</v>
      </c>
      <c r="D54" s="79">
        <v>1</v>
      </c>
      <c r="E54" s="79">
        <f t="shared" si="28"/>
        <v>4</v>
      </c>
      <c r="F54" s="79">
        <v>0</v>
      </c>
      <c r="G54" s="79">
        <f t="shared" si="32"/>
        <v>0</v>
      </c>
      <c r="H54" s="79">
        <f t="shared" si="33"/>
        <v>0</v>
      </c>
      <c r="I54" s="79">
        <f t="shared" si="34"/>
        <v>0</v>
      </c>
      <c r="J54" s="79">
        <f t="shared" si="29"/>
        <v>0</v>
      </c>
      <c r="K54" s="81">
        <f t="shared" si="35"/>
        <v>0</v>
      </c>
      <c r="L54" s="82">
        <f t="shared" si="30"/>
        <v>0</v>
      </c>
      <c r="M54" s="78">
        <f t="shared" si="31"/>
        <v>0</v>
      </c>
      <c r="O54" s="102"/>
    </row>
    <row r="55" spans="1:15" ht="26.5" x14ac:dyDescent="0.35">
      <c r="A55" s="91" t="s">
        <v>199</v>
      </c>
      <c r="B55" s="79">
        <v>1</v>
      </c>
      <c r="C55" s="80">
        <v>0</v>
      </c>
      <c r="D55" s="79">
        <v>4</v>
      </c>
      <c r="E55" s="79">
        <f t="shared" si="28"/>
        <v>4</v>
      </c>
      <c r="F55" s="79">
        <v>25</v>
      </c>
      <c r="G55" s="79">
        <f t="shared" si="32"/>
        <v>100</v>
      </c>
      <c r="H55" s="79">
        <f t="shared" si="33"/>
        <v>5</v>
      </c>
      <c r="I55" s="79">
        <f t="shared" si="34"/>
        <v>10</v>
      </c>
      <c r="J55" s="79">
        <f t="shared" si="29"/>
        <v>115</v>
      </c>
      <c r="K55" s="81">
        <f t="shared" si="35"/>
        <v>16231.699999999999</v>
      </c>
      <c r="L55" s="82">
        <f t="shared" si="30"/>
        <v>0</v>
      </c>
      <c r="M55" s="78">
        <v>0</v>
      </c>
      <c r="N55" s="64">
        <f>SUM(G54:I57)</f>
        <v>287.5</v>
      </c>
      <c r="O55" s="102">
        <f>SUM(K55:K57)</f>
        <v>40579.25</v>
      </c>
    </row>
    <row r="56" spans="1:15" ht="26.5" x14ac:dyDescent="0.35">
      <c r="A56" s="91" t="s">
        <v>200</v>
      </c>
      <c r="B56" s="79">
        <v>1</v>
      </c>
      <c r="C56" s="80">
        <v>0</v>
      </c>
      <c r="D56" s="79">
        <v>4</v>
      </c>
      <c r="E56" s="79">
        <f t="shared" si="28"/>
        <v>4</v>
      </c>
      <c r="F56" s="79">
        <v>25</v>
      </c>
      <c r="G56" s="79">
        <f t="shared" si="32"/>
        <v>100</v>
      </c>
      <c r="H56" s="79">
        <f t="shared" si="33"/>
        <v>5</v>
      </c>
      <c r="I56" s="79">
        <f t="shared" si="34"/>
        <v>10</v>
      </c>
      <c r="J56" s="79">
        <f t="shared" si="29"/>
        <v>115</v>
      </c>
      <c r="K56" s="81">
        <f t="shared" si="35"/>
        <v>16231.699999999999</v>
      </c>
      <c r="L56" s="82">
        <f t="shared" si="30"/>
        <v>0</v>
      </c>
      <c r="M56" s="78">
        <v>0</v>
      </c>
      <c r="O56" s="102"/>
    </row>
    <row r="57" spans="1:15" x14ac:dyDescent="0.35">
      <c r="A57" s="91" t="s">
        <v>159</v>
      </c>
      <c r="B57" s="79">
        <v>0.5</v>
      </c>
      <c r="C57" s="80">
        <v>0</v>
      </c>
      <c r="D57" s="79">
        <v>4</v>
      </c>
      <c r="E57" s="79">
        <f t="shared" si="28"/>
        <v>2</v>
      </c>
      <c r="F57" s="79">
        <v>25</v>
      </c>
      <c r="G57" s="79">
        <f t="shared" si="32"/>
        <v>50</v>
      </c>
      <c r="H57" s="79">
        <f t="shared" si="33"/>
        <v>2.5</v>
      </c>
      <c r="I57" s="79">
        <f t="shared" si="34"/>
        <v>5</v>
      </c>
      <c r="J57" s="79">
        <f t="shared" si="29"/>
        <v>57.5</v>
      </c>
      <c r="K57" s="81">
        <f t="shared" si="35"/>
        <v>8115.8499999999995</v>
      </c>
      <c r="L57" s="82">
        <f t="shared" si="30"/>
        <v>0</v>
      </c>
      <c r="M57" s="78">
        <v>0</v>
      </c>
      <c r="O57" s="102"/>
    </row>
    <row r="58" spans="1:15" x14ac:dyDescent="0.35">
      <c r="A58" s="85" t="s">
        <v>58</v>
      </c>
      <c r="B58" s="79" t="s">
        <v>10</v>
      </c>
      <c r="C58" s="79"/>
      <c r="D58" s="79"/>
      <c r="E58" s="79"/>
      <c r="F58" s="63"/>
      <c r="G58" s="139"/>
      <c r="H58" s="139"/>
      <c r="I58" s="139"/>
      <c r="J58" s="139"/>
      <c r="K58" s="90"/>
      <c r="L58" s="82"/>
      <c r="M58" s="78"/>
    </row>
    <row r="59" spans="1:15" x14ac:dyDescent="0.35">
      <c r="A59" s="166" t="s">
        <v>59</v>
      </c>
      <c r="B59" s="166"/>
      <c r="C59" s="166"/>
      <c r="D59" s="166"/>
      <c r="E59" s="166"/>
      <c r="F59" s="167"/>
      <c r="G59" s="101">
        <f t="shared" ref="G59:M59" si="36">SUM(G49:G58)</f>
        <v>350</v>
      </c>
      <c r="H59" s="103">
        <f t="shared" si="36"/>
        <v>17.5</v>
      </c>
      <c r="I59" s="103">
        <f t="shared" si="36"/>
        <v>35</v>
      </c>
      <c r="J59" s="103">
        <f t="shared" si="36"/>
        <v>402.5</v>
      </c>
      <c r="K59" s="140">
        <f t="shared" si="36"/>
        <v>56810.95</v>
      </c>
      <c r="L59" s="104">
        <f t="shared" si="36"/>
        <v>0</v>
      </c>
      <c r="M59" s="103">
        <f t="shared" si="36"/>
        <v>0</v>
      </c>
    </row>
    <row r="60" spans="1:15" ht="15" customHeight="1" x14ac:dyDescent="0.35">
      <c r="A60" s="162" t="s">
        <v>153</v>
      </c>
      <c r="B60" s="162"/>
      <c r="C60" s="162"/>
      <c r="D60" s="162"/>
      <c r="E60" s="162"/>
      <c r="F60" s="162"/>
      <c r="G60" s="105">
        <f>ROUND(G42+G59,-1)</f>
        <v>1790</v>
      </c>
      <c r="H60" s="105">
        <f>H42+H59</f>
        <v>89.350000000000009</v>
      </c>
      <c r="I60" s="105">
        <f>I42+I59</f>
        <v>178.70000000000002</v>
      </c>
      <c r="J60" s="105">
        <f>ROUND(J42+J59,-1)</f>
        <v>2060</v>
      </c>
      <c r="K60" s="99">
        <f>ROUND(K42+K59,-3)</f>
        <v>290000</v>
      </c>
      <c r="L60" s="99">
        <f>ROUND(L42+L59,-1)</f>
        <v>87000</v>
      </c>
      <c r="M60" s="101">
        <f>ROUND(SUM(M26:M59),-1)</f>
        <v>120</v>
      </c>
    </row>
    <row r="61" spans="1:15" ht="15" customHeight="1" x14ac:dyDescent="0.35">
      <c r="A61" s="141"/>
      <c r="B61" s="142"/>
      <c r="C61" s="142"/>
      <c r="D61" s="142"/>
      <c r="E61" s="142"/>
      <c r="F61" s="143"/>
      <c r="G61" s="143"/>
      <c r="H61" s="144"/>
      <c r="I61" s="144"/>
      <c r="J61" s="144"/>
      <c r="K61" s="86"/>
      <c r="L61" s="86"/>
      <c r="M61" s="106"/>
    </row>
    <row r="62" spans="1:15" ht="15" customHeight="1" x14ac:dyDescent="0.35">
      <c r="A62" s="149"/>
      <c r="B62" s="150"/>
      <c r="C62" s="150"/>
      <c r="D62" s="150"/>
      <c r="E62" s="150"/>
      <c r="F62" s="151"/>
      <c r="G62" s="143"/>
      <c r="H62" s="144"/>
      <c r="I62" s="144"/>
      <c r="J62" s="152"/>
      <c r="K62" s="152"/>
      <c r="L62" s="152"/>
    </row>
    <row r="63" spans="1:15" ht="15.75" customHeight="1" x14ac:dyDescent="0.35">
      <c r="A63" s="93" t="s">
        <v>23</v>
      </c>
    </row>
    <row r="64" spans="1:15" ht="51" customHeight="1" x14ac:dyDescent="0.35">
      <c r="A64" s="160" t="s">
        <v>201</v>
      </c>
      <c r="B64" s="160"/>
      <c r="C64" s="160"/>
      <c r="D64" s="160"/>
      <c r="E64" s="160"/>
      <c r="F64" s="160"/>
      <c r="G64" s="160"/>
      <c r="H64" s="160"/>
      <c r="I64" s="160"/>
      <c r="J64" s="160"/>
      <c r="K64" s="160"/>
      <c r="M64" s="102"/>
    </row>
    <row r="65" spans="1:11" ht="41.25" customHeight="1" x14ac:dyDescent="0.35">
      <c r="A65" s="160" t="s">
        <v>187</v>
      </c>
      <c r="B65" s="160"/>
      <c r="C65" s="160"/>
      <c r="D65" s="160"/>
      <c r="E65" s="160"/>
      <c r="F65" s="160"/>
      <c r="G65" s="160"/>
      <c r="H65" s="160"/>
      <c r="I65" s="160"/>
      <c r="J65" s="160"/>
      <c r="K65" s="160"/>
    </row>
    <row r="66" spans="1:11" ht="45" customHeight="1" x14ac:dyDescent="0.35">
      <c r="A66" s="160" t="s">
        <v>195</v>
      </c>
      <c r="B66" s="160"/>
      <c r="C66" s="160"/>
      <c r="D66" s="160"/>
      <c r="E66" s="160"/>
      <c r="F66" s="160"/>
      <c r="G66" s="160"/>
      <c r="H66" s="160"/>
      <c r="I66" s="160"/>
      <c r="J66" s="160"/>
      <c r="K66" s="160"/>
    </row>
    <row r="67" spans="1:11" ht="18.75" customHeight="1" x14ac:dyDescent="0.35">
      <c r="A67" s="145" t="s">
        <v>126</v>
      </c>
    </row>
    <row r="68" spans="1:11" ht="16" x14ac:dyDescent="0.35">
      <c r="A68" s="145" t="s">
        <v>196</v>
      </c>
    </row>
    <row r="69" spans="1:11" ht="51.75" customHeight="1" x14ac:dyDescent="0.35">
      <c r="A69" s="160" t="s">
        <v>202</v>
      </c>
      <c r="B69" s="160"/>
      <c r="C69" s="160"/>
      <c r="D69" s="160"/>
      <c r="E69" s="160"/>
      <c r="F69" s="160"/>
      <c r="G69" s="160"/>
      <c r="H69" s="160"/>
      <c r="I69" s="160"/>
      <c r="J69" s="160"/>
      <c r="K69" s="160"/>
    </row>
    <row r="70" spans="1:11" ht="16.5" customHeight="1" x14ac:dyDescent="0.35">
      <c r="A70" s="161" t="s">
        <v>197</v>
      </c>
      <c r="B70" s="160"/>
      <c r="C70" s="160"/>
      <c r="D70" s="160"/>
      <c r="E70" s="160"/>
      <c r="F70" s="160"/>
      <c r="G70" s="160"/>
      <c r="H70" s="160"/>
      <c r="I70" s="160"/>
      <c r="J70" s="160"/>
      <c r="K70" s="160"/>
    </row>
    <row r="71" spans="1:11" ht="16" x14ac:dyDescent="0.35">
      <c r="A71" s="145" t="s">
        <v>127</v>
      </c>
    </row>
    <row r="72" spans="1:11" ht="16" x14ac:dyDescent="0.35">
      <c r="A72" s="145" t="s">
        <v>128</v>
      </c>
    </row>
    <row r="73" spans="1:11" ht="16" x14ac:dyDescent="0.35">
      <c r="A73" s="145" t="s">
        <v>129</v>
      </c>
    </row>
    <row r="74" spans="1:11" ht="16" x14ac:dyDescent="0.35">
      <c r="A74" s="76" t="s">
        <v>124</v>
      </c>
    </row>
  </sheetData>
  <mergeCells count="9">
    <mergeCell ref="A70:K70"/>
    <mergeCell ref="A64:K64"/>
    <mergeCell ref="A65:K65"/>
    <mergeCell ref="G3:I3"/>
    <mergeCell ref="A42:F42"/>
    <mergeCell ref="A59:F59"/>
    <mergeCell ref="A60:F60"/>
    <mergeCell ref="A66:K66"/>
    <mergeCell ref="A69:K69"/>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DB389-D2B3-439C-AD07-D5E7713E8F2E}">
  <dimension ref="A1:M73"/>
  <sheetViews>
    <sheetView topLeftCell="A28" workbookViewId="0">
      <selection activeCell="H46" sqref="H46"/>
    </sheetView>
  </sheetViews>
  <sheetFormatPr defaultColWidth="9.1796875" defaultRowHeight="14.5" x14ac:dyDescent="0.35"/>
  <cols>
    <col min="1" max="1" width="48.453125" style="76" customWidth="1"/>
    <col min="2" max="3" width="12.453125" style="76" customWidth="1"/>
    <col min="4" max="4" width="12.54296875" style="76" customWidth="1"/>
    <col min="5" max="5" width="11.7265625" style="76" customWidth="1"/>
    <col min="6" max="6" width="12.54296875" style="76" customWidth="1"/>
    <col min="7" max="7" width="12.7265625" style="76" customWidth="1"/>
    <col min="8" max="8" width="12.453125" style="76" customWidth="1"/>
    <col min="9" max="9" width="11.54296875" style="76" customWidth="1"/>
    <col min="10" max="10" width="12.1796875" style="76" customWidth="1"/>
    <col min="11" max="11" width="14.453125" style="76" customWidth="1"/>
    <col min="12" max="12" width="13.54296875" style="76" customWidth="1"/>
    <col min="13" max="13" width="9.1796875" style="76"/>
    <col min="14" max="16384" width="9.1796875" style="64"/>
  </cols>
  <sheetData>
    <row r="1" spans="1:13" ht="15.5" x14ac:dyDescent="0.35">
      <c r="A1" s="87" t="s">
        <v>180</v>
      </c>
    </row>
    <row r="2" spans="1:13" x14ac:dyDescent="0.35">
      <c r="H2" s="76">
        <v>145.99</v>
      </c>
      <c r="I2" s="76">
        <v>177.98</v>
      </c>
      <c r="K2" s="76">
        <v>74.28</v>
      </c>
      <c r="L2" s="76" t="s">
        <v>156</v>
      </c>
    </row>
    <row r="3" spans="1:13" ht="15" customHeight="1" thickBot="1" x14ac:dyDescent="0.4">
      <c r="G3" s="163" t="s">
        <v>47</v>
      </c>
      <c r="H3" s="164"/>
      <c r="I3" s="165"/>
      <c r="J3" s="88"/>
    </row>
    <row r="4" spans="1:13" ht="78.5" x14ac:dyDescent="0.35">
      <c r="A4" s="89" t="s">
        <v>0</v>
      </c>
      <c r="B4" s="79" t="s">
        <v>48</v>
      </c>
      <c r="C4" s="79" t="s">
        <v>62</v>
      </c>
      <c r="D4" s="79" t="s">
        <v>60</v>
      </c>
      <c r="E4" s="79" t="s">
        <v>61</v>
      </c>
      <c r="F4" s="79" t="s">
        <v>130</v>
      </c>
      <c r="G4" s="79" t="s">
        <v>63</v>
      </c>
      <c r="H4" s="79" t="s">
        <v>64</v>
      </c>
      <c r="I4" s="79" t="s">
        <v>65</v>
      </c>
      <c r="J4" s="79" t="s">
        <v>66</v>
      </c>
      <c r="K4" s="79" t="s">
        <v>131</v>
      </c>
      <c r="L4" s="77" t="s">
        <v>67</v>
      </c>
      <c r="M4" s="77" t="s">
        <v>68</v>
      </c>
    </row>
    <row r="5" spans="1:13" x14ac:dyDescent="0.35">
      <c r="A5" s="85" t="s">
        <v>9</v>
      </c>
      <c r="B5" s="79" t="s">
        <v>10</v>
      </c>
      <c r="C5" s="79"/>
      <c r="D5" s="85"/>
      <c r="E5" s="79"/>
      <c r="F5" s="63"/>
      <c r="G5" s="79"/>
      <c r="H5" s="79"/>
      <c r="I5" s="79"/>
      <c r="J5" s="79"/>
      <c r="K5" s="90"/>
      <c r="L5" s="78"/>
      <c r="M5" s="78"/>
    </row>
    <row r="6" spans="1:13" x14ac:dyDescent="0.35">
      <c r="A6" s="85" t="s">
        <v>11</v>
      </c>
      <c r="B6" s="79" t="s">
        <v>10</v>
      </c>
      <c r="C6" s="79"/>
      <c r="D6" s="85"/>
      <c r="E6" s="79"/>
      <c r="F6" s="63"/>
      <c r="G6" s="79"/>
      <c r="H6" s="79"/>
      <c r="I6" s="79"/>
      <c r="J6" s="79"/>
      <c r="K6" s="90"/>
      <c r="L6" s="78"/>
      <c r="M6" s="78"/>
    </row>
    <row r="7" spans="1:13" x14ac:dyDescent="0.35">
      <c r="A7" s="85" t="s">
        <v>12</v>
      </c>
      <c r="B7" s="79"/>
      <c r="C7" s="79"/>
      <c r="D7" s="79"/>
      <c r="E7" s="79"/>
      <c r="F7" s="63"/>
      <c r="G7" s="79"/>
      <c r="H7" s="79"/>
      <c r="I7" s="79"/>
      <c r="J7" s="79"/>
      <c r="K7" s="90"/>
      <c r="L7" s="78"/>
      <c r="M7" s="78"/>
    </row>
    <row r="8" spans="1:13" ht="16" x14ac:dyDescent="0.35">
      <c r="A8" s="85" t="s">
        <v>132</v>
      </c>
      <c r="B8" s="78"/>
      <c r="C8" s="78"/>
      <c r="D8" s="78"/>
      <c r="E8" s="78"/>
      <c r="F8" s="78"/>
      <c r="G8" s="78"/>
      <c r="H8" s="78"/>
      <c r="I8" s="78"/>
      <c r="J8" s="78"/>
      <c r="K8" s="78"/>
      <c r="L8" s="78"/>
      <c r="M8" s="78"/>
    </row>
    <row r="9" spans="1:13" ht="26.5" x14ac:dyDescent="0.35">
      <c r="A9" s="91" t="s">
        <v>177</v>
      </c>
      <c r="B9" s="79">
        <v>18</v>
      </c>
      <c r="C9" s="80">
        <v>0</v>
      </c>
      <c r="D9" s="79">
        <v>1</v>
      </c>
      <c r="E9" s="79">
        <f>B9*D9</f>
        <v>18</v>
      </c>
      <c r="F9" s="79">
        <v>0</v>
      </c>
      <c r="G9" s="79">
        <f>+F9*E9</f>
        <v>0</v>
      </c>
      <c r="H9" s="79">
        <f>+G9*0.05</f>
        <v>0</v>
      </c>
      <c r="I9" s="79">
        <f>+G9*0.1</f>
        <v>0</v>
      </c>
      <c r="J9" s="79">
        <f>G9+H9+I9</f>
        <v>0</v>
      </c>
      <c r="K9" s="81">
        <f>+G9*$H$2+H9*$I$2+I9*$K$2</f>
        <v>0</v>
      </c>
      <c r="L9" s="82">
        <f>C9*D9*F9</f>
        <v>0</v>
      </c>
      <c r="M9" s="78">
        <f>D9*F9</f>
        <v>0</v>
      </c>
    </row>
    <row r="10" spans="1:13" x14ac:dyDescent="0.35">
      <c r="A10" s="85" t="s">
        <v>97</v>
      </c>
      <c r="B10" s="79">
        <v>4</v>
      </c>
      <c r="C10" s="80">
        <v>0</v>
      </c>
      <c r="D10" s="79">
        <v>1</v>
      </c>
      <c r="E10" s="79">
        <f>B10*D10</f>
        <v>4</v>
      </c>
      <c r="F10" s="79">
        <v>54</v>
      </c>
      <c r="G10" s="79">
        <f>+F10*E10</f>
        <v>216</v>
      </c>
      <c r="H10" s="79">
        <f>+G10*0.05</f>
        <v>10.8</v>
      </c>
      <c r="I10" s="79">
        <f>+G10*0.1</f>
        <v>21.6</v>
      </c>
      <c r="J10" s="79">
        <f>G10+H10+I10</f>
        <v>248.4</v>
      </c>
      <c r="K10" s="81">
        <f>+G10*$H$2+H10*$I$2+I10*$K$2</f>
        <v>35060.472000000002</v>
      </c>
      <c r="L10" s="82">
        <f>C10*D10*F10</f>
        <v>0</v>
      </c>
      <c r="M10" s="78">
        <v>0</v>
      </c>
    </row>
    <row r="11" spans="1:13" x14ac:dyDescent="0.35">
      <c r="A11" s="85" t="s">
        <v>13</v>
      </c>
      <c r="B11" s="79"/>
      <c r="C11" s="79"/>
      <c r="D11" s="79"/>
      <c r="E11" s="79"/>
      <c r="F11" s="79"/>
      <c r="G11" s="79"/>
      <c r="H11" s="79"/>
      <c r="I11" s="79"/>
      <c r="J11" s="79"/>
      <c r="K11" s="83"/>
      <c r="L11" s="82"/>
      <c r="M11" s="78"/>
    </row>
    <row r="12" spans="1:13" x14ac:dyDescent="0.35">
      <c r="A12" s="91" t="s">
        <v>49</v>
      </c>
      <c r="B12" s="79"/>
      <c r="C12" s="79"/>
      <c r="D12" s="79"/>
      <c r="E12" s="79"/>
      <c r="F12" s="79"/>
      <c r="G12" s="79"/>
      <c r="H12" s="79"/>
      <c r="I12" s="79"/>
      <c r="J12" s="79"/>
      <c r="K12" s="83"/>
      <c r="L12" s="82"/>
      <c r="M12" s="78"/>
    </row>
    <row r="13" spans="1:13" ht="29" x14ac:dyDescent="0.35">
      <c r="A13" s="92" t="s">
        <v>133</v>
      </c>
      <c r="B13" s="79">
        <v>24</v>
      </c>
      <c r="C13" s="80">
        <v>76666.666666666657</v>
      </c>
      <c r="D13" s="79">
        <v>1</v>
      </c>
      <c r="E13" s="79">
        <f t="shared" ref="E13:E16" si="0">B13*D13</f>
        <v>24</v>
      </c>
      <c r="F13" s="79">
        <v>0</v>
      </c>
      <c r="G13" s="79">
        <f>+F13*E13</f>
        <v>0</v>
      </c>
      <c r="H13" s="79">
        <f>+G13*0.05</f>
        <v>0</v>
      </c>
      <c r="I13" s="79">
        <f>+G13*0.1</f>
        <v>0</v>
      </c>
      <c r="J13" s="79">
        <f t="shared" ref="J13:J16" si="1">G13+H13+I13</f>
        <v>0</v>
      </c>
      <c r="K13" s="83">
        <f>+G13*$H$2+H13*$I$2+I13*$K$2</f>
        <v>0</v>
      </c>
      <c r="L13" s="82">
        <f t="shared" ref="L13:L27" si="2">C13*D13*F13</f>
        <v>0</v>
      </c>
      <c r="M13" s="78">
        <f t="shared" ref="M13:M27" si="3">D13*F13</f>
        <v>0</v>
      </c>
    </row>
    <row r="14" spans="1:13" ht="16" x14ac:dyDescent="0.35">
      <c r="A14" s="92" t="s">
        <v>134</v>
      </c>
      <c r="B14" s="79">
        <v>24</v>
      </c>
      <c r="C14" s="80">
        <f>ROUND(C13*0.2,0)</f>
        <v>15333</v>
      </c>
      <c r="D14" s="79">
        <v>1</v>
      </c>
      <c r="E14" s="79">
        <f t="shared" si="0"/>
        <v>24</v>
      </c>
      <c r="F14" s="79">
        <v>0</v>
      </c>
      <c r="G14" s="79">
        <f>+F14*E14</f>
        <v>0</v>
      </c>
      <c r="H14" s="79">
        <f>+G14*0.05</f>
        <v>0</v>
      </c>
      <c r="I14" s="79">
        <f>+G14*0.1</f>
        <v>0</v>
      </c>
      <c r="J14" s="79">
        <f t="shared" si="1"/>
        <v>0</v>
      </c>
      <c r="K14" s="83">
        <f>+G14*$H$2+H14*$I$2+I14*$K$2</f>
        <v>0</v>
      </c>
      <c r="L14" s="82">
        <f t="shared" si="2"/>
        <v>0</v>
      </c>
      <c r="M14" s="78">
        <f t="shared" si="3"/>
        <v>0</v>
      </c>
    </row>
    <row r="15" spans="1:13" ht="29" x14ac:dyDescent="0.35">
      <c r="A15" s="92" t="s">
        <v>135</v>
      </c>
      <c r="B15" s="79">
        <v>3</v>
      </c>
      <c r="C15" s="80">
        <v>3000</v>
      </c>
      <c r="D15" s="79">
        <v>1</v>
      </c>
      <c r="E15" s="79">
        <f t="shared" si="0"/>
        <v>3</v>
      </c>
      <c r="F15" s="79">
        <v>0</v>
      </c>
      <c r="G15" s="79">
        <f>+F15*E15</f>
        <v>0</v>
      </c>
      <c r="H15" s="79">
        <f>+G15*0.05</f>
        <v>0</v>
      </c>
      <c r="I15" s="79">
        <f>+G15*0.1</f>
        <v>0</v>
      </c>
      <c r="J15" s="79">
        <f t="shared" si="1"/>
        <v>0</v>
      </c>
      <c r="K15" s="83">
        <f>+G15*$H$2+H15*$I$2+I15*$K$2</f>
        <v>0</v>
      </c>
      <c r="L15" s="82">
        <f t="shared" si="2"/>
        <v>0</v>
      </c>
      <c r="M15" s="78">
        <f t="shared" si="3"/>
        <v>0</v>
      </c>
    </row>
    <row r="16" spans="1:13" ht="29" x14ac:dyDescent="0.35">
      <c r="A16" s="92" t="s">
        <v>136</v>
      </c>
      <c r="B16" s="79">
        <v>3</v>
      </c>
      <c r="C16" s="80">
        <f>ROUND(C15*0.2,0)</f>
        <v>600</v>
      </c>
      <c r="D16" s="79">
        <v>1</v>
      </c>
      <c r="E16" s="79">
        <f t="shared" si="0"/>
        <v>3</v>
      </c>
      <c r="F16" s="79">
        <v>0</v>
      </c>
      <c r="G16" s="79">
        <f>+F16*E16</f>
        <v>0</v>
      </c>
      <c r="H16" s="79">
        <f>+G16*0.05</f>
        <v>0</v>
      </c>
      <c r="I16" s="79">
        <f>+G16*0.1</f>
        <v>0</v>
      </c>
      <c r="J16" s="79">
        <f t="shared" si="1"/>
        <v>0</v>
      </c>
      <c r="K16" s="83">
        <f>+G16*$H$2+H16*$I$2+I16*$K$2</f>
        <v>0</v>
      </c>
      <c r="L16" s="82">
        <f t="shared" si="2"/>
        <v>0</v>
      </c>
      <c r="M16" s="78">
        <f t="shared" si="3"/>
        <v>0</v>
      </c>
    </row>
    <row r="17" spans="1:13" x14ac:dyDescent="0.35">
      <c r="A17" s="91" t="s">
        <v>50</v>
      </c>
      <c r="B17" s="79"/>
      <c r="C17" s="79"/>
      <c r="D17" s="79"/>
      <c r="E17" s="79"/>
      <c r="F17" s="79"/>
      <c r="G17" s="79"/>
      <c r="H17" s="79"/>
      <c r="I17" s="79"/>
      <c r="J17" s="79"/>
      <c r="K17" s="83"/>
      <c r="L17" s="82">
        <f t="shared" si="2"/>
        <v>0</v>
      </c>
      <c r="M17" s="78">
        <f t="shared" si="3"/>
        <v>0</v>
      </c>
    </row>
    <row r="18" spans="1:13" ht="16" x14ac:dyDescent="0.35">
      <c r="A18" s="92" t="s">
        <v>137</v>
      </c>
      <c r="B18" s="79">
        <v>229</v>
      </c>
      <c r="C18" s="80">
        <f>185000+210000</f>
        <v>395000</v>
      </c>
      <c r="D18" s="79">
        <v>1</v>
      </c>
      <c r="E18" s="79">
        <f>B18*D18</f>
        <v>229</v>
      </c>
      <c r="F18" s="79">
        <v>0</v>
      </c>
      <c r="G18" s="79">
        <f>+F18*E18</f>
        <v>0</v>
      </c>
      <c r="H18" s="79">
        <f>+G18*0.05</f>
        <v>0</v>
      </c>
      <c r="I18" s="79">
        <f>+G18*0.1</f>
        <v>0</v>
      </c>
      <c r="J18" s="79">
        <f>G18+H18+I18</f>
        <v>0</v>
      </c>
      <c r="K18" s="83">
        <f>+G18*$H$2+H18*$I$2+I18*$K$2</f>
        <v>0</v>
      </c>
      <c r="L18" s="82">
        <f t="shared" si="2"/>
        <v>0</v>
      </c>
      <c r="M18" s="78">
        <f t="shared" si="3"/>
        <v>0</v>
      </c>
    </row>
    <row r="19" spans="1:13" x14ac:dyDescent="0.35">
      <c r="A19" s="92" t="s">
        <v>51</v>
      </c>
      <c r="B19" s="79" t="s">
        <v>52</v>
      </c>
      <c r="C19" s="79"/>
      <c r="D19" s="79"/>
      <c r="E19" s="79"/>
      <c r="F19" s="79"/>
      <c r="G19" s="79"/>
      <c r="H19" s="79"/>
      <c r="I19" s="79"/>
      <c r="J19" s="79"/>
      <c r="K19" s="83"/>
      <c r="L19" s="82">
        <f t="shared" si="2"/>
        <v>0</v>
      </c>
      <c r="M19" s="78">
        <f t="shared" si="3"/>
        <v>0</v>
      </c>
    </row>
    <row r="20" spans="1:13" ht="29" x14ac:dyDescent="0.35">
      <c r="A20" s="91" t="s">
        <v>138</v>
      </c>
      <c r="B20" s="79">
        <v>24</v>
      </c>
      <c r="C20" s="80">
        <v>76666.666666666657</v>
      </c>
      <c r="D20" s="79">
        <v>1</v>
      </c>
      <c r="E20" s="79">
        <f>B20*D20</f>
        <v>24</v>
      </c>
      <c r="F20" s="79">
        <v>0</v>
      </c>
      <c r="G20" s="79">
        <f>+F20*E20</f>
        <v>0</v>
      </c>
      <c r="H20" s="79">
        <f>+G20*0.05</f>
        <v>0</v>
      </c>
      <c r="I20" s="79">
        <f>+G20*0.1</f>
        <v>0</v>
      </c>
      <c r="J20" s="79">
        <f t="shared" ref="J20:J27" si="4">G20+H20+I20</f>
        <v>0</v>
      </c>
      <c r="K20" s="83">
        <f>+G20*$H$2+H20*$I$2+I20*$K$2</f>
        <v>0</v>
      </c>
      <c r="L20" s="82">
        <f t="shared" si="2"/>
        <v>0</v>
      </c>
      <c r="M20" s="78">
        <f t="shared" si="3"/>
        <v>0</v>
      </c>
    </row>
    <row r="21" spans="1:13" ht="29" x14ac:dyDescent="0.35">
      <c r="A21" s="91" t="s">
        <v>139</v>
      </c>
      <c r="B21" s="79">
        <v>3</v>
      </c>
      <c r="C21" s="80">
        <v>3000</v>
      </c>
      <c r="D21" s="79">
        <v>1</v>
      </c>
      <c r="E21" s="79">
        <f>B21*D21</f>
        <v>3</v>
      </c>
      <c r="F21" s="79">
        <v>29</v>
      </c>
      <c r="G21" s="79">
        <f>+F21*E21</f>
        <v>87</v>
      </c>
      <c r="H21" s="79">
        <f>+G21*0.05</f>
        <v>4.3500000000000005</v>
      </c>
      <c r="I21" s="79">
        <f>+G21*0.1</f>
        <v>8.7000000000000011</v>
      </c>
      <c r="J21" s="79">
        <f t="shared" si="4"/>
        <v>100.05</v>
      </c>
      <c r="K21" s="81">
        <f>+G21*$H$2+H21*$I$2+I21*$K$2</f>
        <v>14121.579000000002</v>
      </c>
      <c r="L21" s="82">
        <f t="shared" si="2"/>
        <v>87000</v>
      </c>
      <c r="M21" s="78">
        <v>0</v>
      </c>
    </row>
    <row r="22" spans="1:13" x14ac:dyDescent="0.35">
      <c r="A22" s="94" t="s">
        <v>93</v>
      </c>
      <c r="B22" s="79"/>
      <c r="C22" s="79"/>
      <c r="D22" s="79"/>
      <c r="E22" s="79"/>
      <c r="F22" s="79"/>
      <c r="G22" s="79"/>
      <c r="H22" s="79"/>
      <c r="I22" s="79"/>
      <c r="J22" s="79"/>
      <c r="K22" s="96"/>
      <c r="L22" s="82"/>
      <c r="M22" s="78"/>
    </row>
    <row r="23" spans="1:13" ht="15.5" x14ac:dyDescent="0.35">
      <c r="A23" s="95" t="s">
        <v>140</v>
      </c>
      <c r="B23" s="63">
        <v>16</v>
      </c>
      <c r="C23" s="80">
        <v>0</v>
      </c>
      <c r="D23" s="148">
        <v>1</v>
      </c>
      <c r="E23" s="79">
        <f>B23*D23</f>
        <v>16</v>
      </c>
      <c r="F23" s="79">
        <v>0</v>
      </c>
      <c r="G23" s="79">
        <f t="shared" ref="G23:G24" si="5">+F23*E23</f>
        <v>0</v>
      </c>
      <c r="H23" s="79">
        <f t="shared" ref="H23:H24" si="6">+G23*0.05</f>
        <v>0</v>
      </c>
      <c r="I23" s="79">
        <f t="shared" ref="I23:I24" si="7">+G23*0.1</f>
        <v>0</v>
      </c>
      <c r="J23" s="79">
        <f t="shared" ref="J23:J24" si="8">G23+H23+I23</f>
        <v>0</v>
      </c>
      <c r="K23" s="83">
        <f t="shared" ref="K23:K24" si="9">+G23*$H$2+H23*$I$2+I23*$K$2</f>
        <v>0</v>
      </c>
      <c r="L23" s="82">
        <f t="shared" ref="L23:L24" si="10">C23*D23*F23</f>
        <v>0</v>
      </c>
      <c r="M23" s="78">
        <f t="shared" ref="M23:M24" si="11">D23*F23</f>
        <v>0</v>
      </c>
    </row>
    <row r="24" spans="1:13" ht="15.5" x14ac:dyDescent="0.35">
      <c r="A24" s="95" t="s">
        <v>141</v>
      </c>
      <c r="B24" s="63">
        <v>16</v>
      </c>
      <c r="C24" s="80">
        <v>0</v>
      </c>
      <c r="D24" s="148">
        <v>3</v>
      </c>
      <c r="E24" s="79">
        <f>B24*D24</f>
        <v>48</v>
      </c>
      <c r="F24" s="79">
        <v>0</v>
      </c>
      <c r="G24" s="79">
        <f t="shared" si="5"/>
        <v>0</v>
      </c>
      <c r="H24" s="79">
        <f t="shared" si="6"/>
        <v>0</v>
      </c>
      <c r="I24" s="79">
        <f t="shared" si="7"/>
        <v>0</v>
      </c>
      <c r="J24" s="79">
        <f t="shared" si="8"/>
        <v>0</v>
      </c>
      <c r="K24" s="83">
        <f t="shared" si="9"/>
        <v>0</v>
      </c>
      <c r="L24" s="82">
        <f t="shared" si="10"/>
        <v>0</v>
      </c>
      <c r="M24" s="78">
        <f t="shared" si="11"/>
        <v>0</v>
      </c>
    </row>
    <row r="25" spans="1:13" ht="16" x14ac:dyDescent="0.35">
      <c r="A25" s="92" t="s">
        <v>142</v>
      </c>
      <c r="B25" s="79">
        <v>0.25</v>
      </c>
      <c r="C25" s="80">
        <f>38100+35600</f>
        <v>73700</v>
      </c>
      <c r="D25" s="79">
        <v>250</v>
      </c>
      <c r="E25" s="79">
        <f>B25*D25</f>
        <v>62.5</v>
      </c>
      <c r="F25" s="79">
        <v>0</v>
      </c>
      <c r="G25" s="79">
        <f>+F25*E25</f>
        <v>0</v>
      </c>
      <c r="H25" s="79">
        <f>+G25*0.05</f>
        <v>0</v>
      </c>
      <c r="I25" s="79">
        <f>+G25*0.1</f>
        <v>0</v>
      </c>
      <c r="J25" s="79">
        <f t="shared" si="4"/>
        <v>0</v>
      </c>
      <c r="K25" s="83">
        <f>+G25*$H$2+H25*$I$2+I25*$K$2</f>
        <v>0</v>
      </c>
      <c r="L25" s="82">
        <f>C25*F25</f>
        <v>0</v>
      </c>
      <c r="M25" s="78">
        <f t="shared" si="3"/>
        <v>0</v>
      </c>
    </row>
    <row r="26" spans="1:13" ht="16" x14ac:dyDescent="0.35">
      <c r="A26" s="84" t="s">
        <v>92</v>
      </c>
      <c r="B26" s="79">
        <v>20</v>
      </c>
      <c r="C26" s="80">
        <v>0</v>
      </c>
      <c r="D26" s="79">
        <v>1</v>
      </c>
      <c r="E26" s="79">
        <f>B26*D26</f>
        <v>20</v>
      </c>
      <c r="F26" s="79">
        <v>0</v>
      </c>
      <c r="G26" s="79">
        <f>+F26*E26</f>
        <v>0</v>
      </c>
      <c r="H26" s="79">
        <f>+G26*0.05</f>
        <v>0</v>
      </c>
      <c r="I26" s="79">
        <f>+G26*0.1</f>
        <v>0</v>
      </c>
      <c r="J26" s="79">
        <f t="shared" si="4"/>
        <v>0</v>
      </c>
      <c r="K26" s="83">
        <f>+G26*$H$2+H26*$I$2+I26*$K$2</f>
        <v>0</v>
      </c>
      <c r="L26" s="82">
        <f t="shared" si="2"/>
        <v>0</v>
      </c>
      <c r="M26" s="78">
        <f t="shared" si="3"/>
        <v>0</v>
      </c>
    </row>
    <row r="27" spans="1:13" ht="29" x14ac:dyDescent="0.35">
      <c r="A27" s="84" t="s">
        <v>161</v>
      </c>
      <c r="B27" s="79">
        <v>4</v>
      </c>
      <c r="C27" s="80">
        <v>0</v>
      </c>
      <c r="D27" s="79">
        <v>1</v>
      </c>
      <c r="E27" s="79">
        <v>4</v>
      </c>
      <c r="F27" s="79">
        <v>0</v>
      </c>
      <c r="G27" s="79">
        <f>+F27*E27</f>
        <v>0</v>
      </c>
      <c r="H27" s="79">
        <f>+G27*0.05</f>
        <v>0</v>
      </c>
      <c r="I27" s="79">
        <f>+G27*0.1</f>
        <v>0</v>
      </c>
      <c r="J27" s="79">
        <f t="shared" si="4"/>
        <v>0</v>
      </c>
      <c r="K27" s="81">
        <f>+G27*$H$2+H27*$I$2+I27*$K$2</f>
        <v>0</v>
      </c>
      <c r="L27" s="82">
        <f t="shared" si="2"/>
        <v>0</v>
      </c>
      <c r="M27" s="78">
        <f t="shared" si="3"/>
        <v>0</v>
      </c>
    </row>
    <row r="28" spans="1:13" x14ac:dyDescent="0.35">
      <c r="A28" s="85" t="s">
        <v>14</v>
      </c>
      <c r="B28" s="79" t="s">
        <v>15</v>
      </c>
      <c r="C28" s="79"/>
      <c r="D28" s="79"/>
      <c r="E28" s="79"/>
      <c r="F28" s="79"/>
      <c r="G28" s="79"/>
      <c r="H28" s="79"/>
      <c r="I28" s="79"/>
      <c r="J28" s="79"/>
      <c r="K28" s="90"/>
      <c r="L28" s="82"/>
      <c r="M28" s="78"/>
    </row>
    <row r="29" spans="1:13" x14ac:dyDescent="0.35">
      <c r="A29" s="85" t="s">
        <v>53</v>
      </c>
      <c r="B29" s="79" t="s">
        <v>16</v>
      </c>
      <c r="C29" s="79"/>
      <c r="D29" s="79"/>
      <c r="E29" s="79"/>
      <c r="F29" s="79"/>
      <c r="G29" s="79"/>
      <c r="H29" s="79"/>
      <c r="I29" s="79"/>
      <c r="J29" s="79"/>
      <c r="K29" s="90"/>
      <c r="L29" s="82"/>
      <c r="M29" s="78"/>
    </row>
    <row r="30" spans="1:13" x14ac:dyDescent="0.35">
      <c r="A30" s="85" t="s">
        <v>54</v>
      </c>
      <c r="B30" s="79"/>
      <c r="C30" s="79"/>
      <c r="D30" s="79"/>
      <c r="E30" s="79"/>
      <c r="F30" s="79"/>
      <c r="G30" s="79"/>
      <c r="H30" s="79"/>
      <c r="I30" s="79"/>
      <c r="J30" s="79"/>
      <c r="K30" s="90"/>
      <c r="L30" s="82"/>
      <c r="M30" s="78"/>
    </row>
    <row r="31" spans="1:13" ht="16" x14ac:dyDescent="0.35">
      <c r="A31" s="91" t="s">
        <v>143</v>
      </c>
      <c r="B31" s="79">
        <v>8</v>
      </c>
      <c r="C31" s="80">
        <v>0</v>
      </c>
      <c r="D31" s="79">
        <v>1</v>
      </c>
      <c r="E31" s="79">
        <f>B31*D31</f>
        <v>8</v>
      </c>
      <c r="F31" s="79">
        <v>0</v>
      </c>
      <c r="G31" s="79">
        <f>+F31*E31</f>
        <v>0</v>
      </c>
      <c r="H31" s="79">
        <f>+G31*0.05</f>
        <v>0</v>
      </c>
      <c r="I31" s="79">
        <f>+G31*0.1</f>
        <v>0</v>
      </c>
      <c r="J31" s="79">
        <f t="shared" ref="J31:J41" si="12">G31+H31+I31</f>
        <v>0</v>
      </c>
      <c r="K31" s="83">
        <f>+G31*$H$2+H31*$I$2+I31*$K$2</f>
        <v>0</v>
      </c>
      <c r="L31" s="82">
        <f t="shared" ref="L31:L41" si="13">C31*D31*F31</f>
        <v>0</v>
      </c>
      <c r="M31" s="78">
        <f t="shared" ref="M31:M41" si="14">D31*F31</f>
        <v>0</v>
      </c>
    </row>
    <row r="32" spans="1:13" ht="16" x14ac:dyDescent="0.35">
      <c r="A32" s="91" t="s">
        <v>144</v>
      </c>
      <c r="B32" s="79">
        <v>2</v>
      </c>
      <c r="C32" s="80">
        <v>0</v>
      </c>
      <c r="D32" s="79">
        <v>1</v>
      </c>
      <c r="E32" s="79">
        <f>B32*D32</f>
        <v>2</v>
      </c>
      <c r="F32" s="79">
        <v>0</v>
      </c>
      <c r="G32" s="79">
        <f>+F32*E32</f>
        <v>0</v>
      </c>
      <c r="H32" s="79">
        <f>+G32*0.05</f>
        <v>0</v>
      </c>
      <c r="I32" s="79">
        <f>+G32*0.1</f>
        <v>0</v>
      </c>
      <c r="J32" s="79">
        <f t="shared" si="12"/>
        <v>0</v>
      </c>
      <c r="K32" s="83">
        <f>+G32*$H$2+H32*$I$2+I32*$K$2</f>
        <v>0</v>
      </c>
      <c r="L32" s="82">
        <f t="shared" si="13"/>
        <v>0</v>
      </c>
      <c r="M32" s="78">
        <f t="shared" si="14"/>
        <v>0</v>
      </c>
    </row>
    <row r="33" spans="1:13" ht="16" x14ac:dyDescent="0.35">
      <c r="A33" s="91" t="s">
        <v>145</v>
      </c>
      <c r="B33" s="79"/>
      <c r="C33" s="80"/>
      <c r="D33" s="79"/>
      <c r="E33" s="79"/>
      <c r="F33" s="79"/>
      <c r="G33" s="79"/>
      <c r="H33" s="79"/>
      <c r="I33" s="79"/>
      <c r="J33" s="79"/>
      <c r="K33" s="83"/>
      <c r="L33" s="82"/>
      <c r="M33" s="78"/>
    </row>
    <row r="34" spans="1:13" ht="15.5" x14ac:dyDescent="0.35">
      <c r="A34" s="95" t="s">
        <v>146</v>
      </c>
      <c r="B34" s="79">
        <v>40</v>
      </c>
      <c r="C34" s="80">
        <v>0</v>
      </c>
      <c r="D34" s="79">
        <v>1</v>
      </c>
      <c r="E34" s="79">
        <f>B34*D34</f>
        <v>40</v>
      </c>
      <c r="F34" s="79">
        <v>0</v>
      </c>
      <c r="G34" s="79">
        <f>+F34*E34</f>
        <v>0</v>
      </c>
      <c r="H34" s="79">
        <f>+G34*0.05</f>
        <v>0</v>
      </c>
      <c r="I34" s="79">
        <f>+G34*0.1</f>
        <v>0</v>
      </c>
      <c r="J34" s="79">
        <f t="shared" si="12"/>
        <v>0</v>
      </c>
      <c r="K34" s="83">
        <f>+G34*$H$2+H34*$I$2+I34*$K$2</f>
        <v>0</v>
      </c>
      <c r="L34" s="82">
        <f t="shared" si="13"/>
        <v>0</v>
      </c>
      <c r="M34" s="78">
        <f t="shared" si="14"/>
        <v>0</v>
      </c>
    </row>
    <row r="35" spans="1:13" ht="15.5" x14ac:dyDescent="0.35">
      <c r="A35" s="95" t="s">
        <v>147</v>
      </c>
      <c r="B35" s="79">
        <v>10</v>
      </c>
      <c r="C35" s="80">
        <v>0</v>
      </c>
      <c r="D35" s="79">
        <v>1</v>
      </c>
      <c r="E35" s="79">
        <f>B35*D35</f>
        <v>10</v>
      </c>
      <c r="F35" s="79">
        <f>F15</f>
        <v>0</v>
      </c>
      <c r="G35" s="79">
        <f>+F35*E35</f>
        <v>0</v>
      </c>
      <c r="H35" s="79">
        <f>+G35*0.05</f>
        <v>0</v>
      </c>
      <c r="I35" s="79">
        <f>+G35*0.1</f>
        <v>0</v>
      </c>
      <c r="J35" s="79">
        <f t="shared" si="12"/>
        <v>0</v>
      </c>
      <c r="K35" s="83">
        <f>+G35*$H$2+H35*$I$2+I35*$K$2</f>
        <v>0</v>
      </c>
      <c r="L35" s="82">
        <f t="shared" si="13"/>
        <v>0</v>
      </c>
      <c r="M35" s="78">
        <f t="shared" si="14"/>
        <v>0</v>
      </c>
    </row>
    <row r="36" spans="1:13" x14ac:dyDescent="0.35">
      <c r="A36" s="97" t="s">
        <v>89</v>
      </c>
      <c r="B36" s="79"/>
      <c r="C36" s="80"/>
      <c r="D36" s="79"/>
      <c r="E36" s="79"/>
      <c r="F36" s="79"/>
      <c r="G36" s="79"/>
      <c r="H36" s="79"/>
      <c r="I36" s="79"/>
      <c r="J36" s="79"/>
      <c r="K36" s="96"/>
      <c r="L36" s="82"/>
      <c r="M36" s="78"/>
    </row>
    <row r="37" spans="1:13" ht="28.5" x14ac:dyDescent="0.35">
      <c r="A37" s="95" t="s">
        <v>203</v>
      </c>
      <c r="B37" s="79">
        <v>28</v>
      </c>
      <c r="C37" s="80">
        <v>0</v>
      </c>
      <c r="D37" s="79">
        <v>1</v>
      </c>
      <c r="E37" s="79">
        <f>B37*D37</f>
        <v>28</v>
      </c>
      <c r="F37" s="79">
        <v>0</v>
      </c>
      <c r="G37" s="79">
        <f>+F37*E37</f>
        <v>0</v>
      </c>
      <c r="H37" s="79">
        <f>+G37*0.05</f>
        <v>0</v>
      </c>
      <c r="I37" s="79">
        <f>+G37*0.1</f>
        <v>0</v>
      </c>
      <c r="J37" s="79">
        <f t="shared" si="12"/>
        <v>0</v>
      </c>
      <c r="K37" s="81">
        <f>+G37*$H$2+H37*$I$2+I37*$K$2</f>
        <v>0</v>
      </c>
      <c r="L37" s="82">
        <f t="shared" si="13"/>
        <v>0</v>
      </c>
      <c r="M37" s="78">
        <f t="shared" si="14"/>
        <v>0</v>
      </c>
    </row>
    <row r="38" spans="1:13" ht="28.5" x14ac:dyDescent="0.35">
      <c r="A38" s="95" t="s">
        <v>198</v>
      </c>
      <c r="B38" s="79">
        <v>28</v>
      </c>
      <c r="C38" s="80">
        <v>0</v>
      </c>
      <c r="D38" s="79">
        <v>1</v>
      </c>
      <c r="E38" s="79">
        <f>B38*D38</f>
        <v>28</v>
      </c>
      <c r="F38" s="79">
        <v>25</v>
      </c>
      <c r="G38" s="79">
        <f>+F38*E38</f>
        <v>700</v>
      </c>
      <c r="H38" s="79">
        <f>+G38*0.05</f>
        <v>35</v>
      </c>
      <c r="I38" s="79">
        <f>+G38*0.1</f>
        <v>70</v>
      </c>
      <c r="J38" s="79">
        <f t="shared" si="12"/>
        <v>805</v>
      </c>
      <c r="K38" s="81">
        <f>+G38*$H$2+H38*$I$2+I38*$K$2</f>
        <v>113621.90000000001</v>
      </c>
      <c r="L38" s="82">
        <f t="shared" si="13"/>
        <v>0</v>
      </c>
      <c r="M38" s="78">
        <f t="shared" si="14"/>
        <v>25</v>
      </c>
    </row>
    <row r="39" spans="1:13" ht="15.5" x14ac:dyDescent="0.35">
      <c r="A39" s="95" t="s">
        <v>160</v>
      </c>
      <c r="B39" s="79">
        <v>10</v>
      </c>
      <c r="C39" s="80">
        <v>0</v>
      </c>
      <c r="D39" s="79">
        <v>1</v>
      </c>
      <c r="E39" s="79">
        <f>B39*D39</f>
        <v>10</v>
      </c>
      <c r="F39" s="79">
        <v>29</v>
      </c>
      <c r="G39" s="79">
        <f>+F39*E39</f>
        <v>290</v>
      </c>
      <c r="H39" s="79">
        <f>+G39*0.05</f>
        <v>14.5</v>
      </c>
      <c r="I39" s="79">
        <f>+G39*0.1</f>
        <v>29</v>
      </c>
      <c r="J39" s="79">
        <f t="shared" si="12"/>
        <v>333.5</v>
      </c>
      <c r="K39" s="81">
        <f>+G39*$H$2+H39*$I$2+I39*$K$2</f>
        <v>47071.930000000008</v>
      </c>
      <c r="L39" s="82">
        <f t="shared" si="13"/>
        <v>0</v>
      </c>
      <c r="M39" s="78">
        <f t="shared" si="14"/>
        <v>29</v>
      </c>
    </row>
    <row r="40" spans="1:13" ht="16" x14ac:dyDescent="0.35">
      <c r="A40" s="91" t="s">
        <v>148</v>
      </c>
      <c r="B40" s="79">
        <v>24</v>
      </c>
      <c r="C40" s="80">
        <v>0</v>
      </c>
      <c r="D40" s="79">
        <v>2</v>
      </c>
      <c r="E40" s="79">
        <f>B40*D40</f>
        <v>48</v>
      </c>
      <c r="F40" s="79">
        <f>ROUND(0.1*25,0)</f>
        <v>3</v>
      </c>
      <c r="G40" s="79">
        <f>+F40*E40</f>
        <v>144</v>
      </c>
      <c r="H40" s="79">
        <f>+G40*0.05</f>
        <v>7.2</v>
      </c>
      <c r="I40" s="79">
        <f>+G40*0.1</f>
        <v>14.4</v>
      </c>
      <c r="J40" s="79">
        <f t="shared" si="12"/>
        <v>165.6</v>
      </c>
      <c r="K40" s="81">
        <f>+G40*$H$2+H40*$I$2+I40*$K$2</f>
        <v>23373.648000000001</v>
      </c>
      <c r="L40" s="82">
        <f t="shared" si="13"/>
        <v>0</v>
      </c>
      <c r="M40" s="78">
        <f t="shared" si="14"/>
        <v>6</v>
      </c>
    </row>
    <row r="41" spans="1:13" x14ac:dyDescent="0.35">
      <c r="A41" s="91" t="s">
        <v>94</v>
      </c>
      <c r="B41" s="79">
        <v>1</v>
      </c>
      <c r="C41" s="80">
        <v>0</v>
      </c>
      <c r="D41" s="79">
        <v>1</v>
      </c>
      <c r="E41" s="79">
        <f>B41*D41</f>
        <v>1</v>
      </c>
      <c r="F41" s="79">
        <v>0</v>
      </c>
      <c r="G41" s="79">
        <f>+F41*E41</f>
        <v>0</v>
      </c>
      <c r="H41" s="79">
        <f>+G41*0.05</f>
        <v>0</v>
      </c>
      <c r="I41" s="79">
        <f>+G41*0.1</f>
        <v>0</v>
      </c>
      <c r="J41" s="79">
        <f t="shared" si="12"/>
        <v>0</v>
      </c>
      <c r="K41" s="81">
        <f>+G41*$H$2+H41*$I$2+I41*$K$2</f>
        <v>0</v>
      </c>
      <c r="L41" s="82">
        <f t="shared" si="13"/>
        <v>0</v>
      </c>
      <c r="M41" s="78">
        <f t="shared" si="14"/>
        <v>0</v>
      </c>
    </row>
    <row r="42" spans="1:13" x14ac:dyDescent="0.35">
      <c r="A42" s="166" t="s">
        <v>17</v>
      </c>
      <c r="B42" s="166"/>
      <c r="C42" s="166"/>
      <c r="D42" s="166"/>
      <c r="E42" s="166"/>
      <c r="F42" s="166"/>
      <c r="G42" s="98">
        <f t="shared" ref="G42:M42" si="15">SUM(G8:G41)</f>
        <v>1437</v>
      </c>
      <c r="H42" s="98">
        <f t="shared" si="15"/>
        <v>71.850000000000009</v>
      </c>
      <c r="I42" s="98">
        <f t="shared" si="15"/>
        <v>143.70000000000002</v>
      </c>
      <c r="J42" s="98">
        <f t="shared" si="15"/>
        <v>1652.55</v>
      </c>
      <c r="K42" s="99">
        <f t="shared" si="15"/>
        <v>233249.52899999998</v>
      </c>
      <c r="L42" s="100">
        <f t="shared" si="15"/>
        <v>87000</v>
      </c>
      <c r="M42" s="98">
        <f t="shared" si="15"/>
        <v>60</v>
      </c>
    </row>
    <row r="43" spans="1:13" x14ac:dyDescent="0.35">
      <c r="A43" s="85" t="s">
        <v>18</v>
      </c>
      <c r="B43" s="79"/>
      <c r="C43" s="79"/>
      <c r="D43" s="79"/>
      <c r="E43" s="79"/>
      <c r="F43" s="79"/>
      <c r="G43" s="79"/>
      <c r="H43" s="79"/>
      <c r="I43" s="79"/>
      <c r="J43" s="79"/>
      <c r="K43" s="90"/>
      <c r="L43" s="82"/>
      <c r="M43" s="78"/>
    </row>
    <row r="44" spans="1:13" ht="16" x14ac:dyDescent="0.35">
      <c r="A44" s="85" t="s">
        <v>55</v>
      </c>
      <c r="B44" s="79" t="s">
        <v>19</v>
      </c>
      <c r="C44" s="79"/>
      <c r="D44" s="79"/>
      <c r="E44" s="79"/>
      <c r="F44" s="79"/>
      <c r="G44" s="79"/>
      <c r="H44" s="79"/>
      <c r="I44" s="79"/>
      <c r="J44" s="79"/>
      <c r="K44" s="79"/>
      <c r="L44" s="82"/>
      <c r="M44" s="78"/>
    </row>
    <row r="45" spans="1:13" x14ac:dyDescent="0.35">
      <c r="A45" s="85" t="s">
        <v>20</v>
      </c>
      <c r="B45" s="79" t="s">
        <v>15</v>
      </c>
      <c r="C45" s="79"/>
      <c r="D45" s="79"/>
      <c r="E45" s="79"/>
      <c r="F45" s="79"/>
      <c r="G45" s="79"/>
      <c r="H45" s="79"/>
      <c r="I45" s="79"/>
      <c r="J45" s="79"/>
      <c r="K45" s="90"/>
      <c r="L45" s="82"/>
      <c r="M45" s="78"/>
    </row>
    <row r="46" spans="1:13" x14ac:dyDescent="0.35">
      <c r="A46" s="85" t="s">
        <v>56</v>
      </c>
      <c r="B46" s="79" t="s">
        <v>15</v>
      </c>
      <c r="C46" s="79"/>
      <c r="D46" s="79"/>
      <c r="E46" s="79"/>
      <c r="F46" s="79"/>
      <c r="G46" s="79"/>
      <c r="H46" s="79"/>
      <c r="I46" s="79"/>
      <c r="J46" s="79"/>
      <c r="K46" s="90"/>
      <c r="L46" s="82"/>
      <c r="M46" s="78"/>
    </row>
    <row r="47" spans="1:13" x14ac:dyDescent="0.35">
      <c r="A47" s="85" t="s">
        <v>21</v>
      </c>
      <c r="B47" s="79" t="s">
        <v>10</v>
      </c>
      <c r="C47" s="79"/>
      <c r="D47" s="79"/>
      <c r="E47" s="79"/>
      <c r="F47" s="79"/>
      <c r="G47" s="79"/>
      <c r="H47" s="79"/>
      <c r="I47" s="79"/>
      <c r="J47" s="79"/>
      <c r="K47" s="90"/>
      <c r="L47" s="82"/>
      <c r="M47" s="78"/>
    </row>
    <row r="48" spans="1:13" x14ac:dyDescent="0.35">
      <c r="A48" s="85" t="s">
        <v>22</v>
      </c>
      <c r="B48" s="79"/>
      <c r="C48" s="79"/>
      <c r="D48" s="79"/>
      <c r="E48" s="79"/>
      <c r="F48" s="79"/>
      <c r="G48" s="79"/>
      <c r="H48" s="79"/>
      <c r="I48" s="79"/>
      <c r="J48" s="79"/>
      <c r="K48" s="90"/>
      <c r="L48" s="82"/>
      <c r="M48" s="78"/>
    </row>
    <row r="49" spans="1:13" ht="16" x14ac:dyDescent="0.35">
      <c r="A49" s="91" t="s">
        <v>149</v>
      </c>
      <c r="B49" s="79">
        <v>1.5</v>
      </c>
      <c r="C49" s="80">
        <v>0</v>
      </c>
      <c r="D49" s="79">
        <v>52</v>
      </c>
      <c r="E49" s="79">
        <f t="shared" ref="E49:E57" si="16">B49*D49</f>
        <v>78</v>
      </c>
      <c r="F49" s="63">
        <v>0</v>
      </c>
      <c r="G49" s="79">
        <f>+F49*E49</f>
        <v>0</v>
      </c>
      <c r="H49" s="79">
        <f>+G49*0.05</f>
        <v>0</v>
      </c>
      <c r="I49" s="79">
        <f>+G49*0.1</f>
        <v>0</v>
      </c>
      <c r="J49" s="79">
        <f t="shared" ref="J49:J57" si="17">G49+H49+I49</f>
        <v>0</v>
      </c>
      <c r="K49" s="83">
        <f>+G49*$H$2+H49*$I$2+I49*$K$2</f>
        <v>0</v>
      </c>
      <c r="L49" s="82">
        <f t="shared" ref="L49:L57" si="18">C49*D49*F49</f>
        <v>0</v>
      </c>
      <c r="M49" s="78">
        <f t="shared" ref="M49:M54" si="19">D49*F49</f>
        <v>0</v>
      </c>
    </row>
    <row r="50" spans="1:13" ht="29" x14ac:dyDescent="0.35">
      <c r="A50" s="91" t="s">
        <v>150</v>
      </c>
      <c r="B50" s="79">
        <v>1.5</v>
      </c>
      <c r="C50" s="80">
        <v>0</v>
      </c>
      <c r="D50" s="79">
        <v>52</v>
      </c>
      <c r="E50" s="79">
        <f t="shared" si="16"/>
        <v>78</v>
      </c>
      <c r="F50" s="79">
        <v>0</v>
      </c>
      <c r="G50" s="79">
        <f t="shared" ref="G50:G57" si="20">+F50*E50</f>
        <v>0</v>
      </c>
      <c r="H50" s="79">
        <f t="shared" ref="H50:H57" si="21">+G50*0.05</f>
        <v>0</v>
      </c>
      <c r="I50" s="79">
        <f t="shared" ref="I50:I57" si="22">+G50*0.1</f>
        <v>0</v>
      </c>
      <c r="J50" s="79">
        <f t="shared" si="17"/>
        <v>0</v>
      </c>
      <c r="K50" s="81">
        <f t="shared" ref="K50:K57" si="23">+G50*$H$2+H50*$I$2+I50*$K$2</f>
        <v>0</v>
      </c>
      <c r="L50" s="82">
        <f t="shared" si="18"/>
        <v>0</v>
      </c>
      <c r="M50" s="78">
        <f t="shared" si="19"/>
        <v>0</v>
      </c>
    </row>
    <row r="51" spans="1:13" x14ac:dyDescent="0.35">
      <c r="A51" s="91" t="s">
        <v>57</v>
      </c>
      <c r="B51" s="79">
        <v>4</v>
      </c>
      <c r="C51" s="80">
        <v>0</v>
      </c>
      <c r="D51" s="79">
        <v>1</v>
      </c>
      <c r="E51" s="79">
        <f t="shared" si="16"/>
        <v>4</v>
      </c>
      <c r="F51" s="63">
        <v>25</v>
      </c>
      <c r="G51" s="79">
        <f t="shared" si="20"/>
        <v>100</v>
      </c>
      <c r="H51" s="79">
        <f t="shared" si="21"/>
        <v>5</v>
      </c>
      <c r="I51" s="79">
        <f t="shared" si="22"/>
        <v>10</v>
      </c>
      <c r="J51" s="79">
        <f t="shared" si="17"/>
        <v>115</v>
      </c>
      <c r="K51" s="81">
        <f t="shared" si="23"/>
        <v>16231.699999999999</v>
      </c>
      <c r="L51" s="82">
        <f t="shared" si="18"/>
        <v>0</v>
      </c>
      <c r="M51" s="78">
        <v>0</v>
      </c>
    </row>
    <row r="52" spans="1:13" ht="16" x14ac:dyDescent="0.35">
      <c r="A52" s="91" t="s">
        <v>151</v>
      </c>
      <c r="B52" s="79">
        <v>1.5</v>
      </c>
      <c r="C52" s="80">
        <v>2500</v>
      </c>
      <c r="D52" s="79">
        <v>52</v>
      </c>
      <c r="E52" s="79">
        <f t="shared" si="16"/>
        <v>78</v>
      </c>
      <c r="F52" s="63">
        <v>0</v>
      </c>
      <c r="G52" s="79">
        <f t="shared" si="20"/>
        <v>0</v>
      </c>
      <c r="H52" s="79">
        <f t="shared" si="21"/>
        <v>0</v>
      </c>
      <c r="I52" s="79">
        <f t="shared" si="22"/>
        <v>0</v>
      </c>
      <c r="J52" s="79">
        <f t="shared" si="17"/>
        <v>0</v>
      </c>
      <c r="K52" s="83">
        <f t="shared" si="23"/>
        <v>0</v>
      </c>
      <c r="L52" s="82">
        <f t="shared" si="18"/>
        <v>0</v>
      </c>
      <c r="M52" s="78">
        <f t="shared" si="19"/>
        <v>0</v>
      </c>
    </row>
    <row r="53" spans="1:13" ht="26.5" x14ac:dyDescent="0.35">
      <c r="A53" s="91" t="s">
        <v>157</v>
      </c>
      <c r="B53" s="79">
        <v>0.5</v>
      </c>
      <c r="C53" s="80">
        <v>0</v>
      </c>
      <c r="D53" s="79">
        <v>52</v>
      </c>
      <c r="E53" s="79">
        <f t="shared" si="16"/>
        <v>26</v>
      </c>
      <c r="F53" s="79">
        <v>0</v>
      </c>
      <c r="G53" s="79">
        <f t="shared" si="20"/>
        <v>0</v>
      </c>
      <c r="H53" s="79">
        <f t="shared" si="21"/>
        <v>0</v>
      </c>
      <c r="I53" s="79">
        <f t="shared" si="22"/>
        <v>0</v>
      </c>
      <c r="J53" s="79">
        <f t="shared" si="17"/>
        <v>0</v>
      </c>
      <c r="K53" s="81">
        <f t="shared" si="23"/>
        <v>0</v>
      </c>
      <c r="L53" s="82">
        <f t="shared" si="18"/>
        <v>0</v>
      </c>
      <c r="M53" s="78">
        <f t="shared" si="19"/>
        <v>0</v>
      </c>
    </row>
    <row r="54" spans="1:13" ht="26.5" x14ac:dyDescent="0.35">
      <c r="A54" s="91" t="s">
        <v>158</v>
      </c>
      <c r="B54" s="79">
        <v>4</v>
      </c>
      <c r="C54" s="80">
        <v>0</v>
      </c>
      <c r="D54" s="79">
        <v>1</v>
      </c>
      <c r="E54" s="79">
        <f t="shared" si="16"/>
        <v>4</v>
      </c>
      <c r="F54" s="79">
        <v>0</v>
      </c>
      <c r="G54" s="79">
        <f t="shared" si="20"/>
        <v>0</v>
      </c>
      <c r="H54" s="79">
        <f t="shared" si="21"/>
        <v>0</v>
      </c>
      <c r="I54" s="79">
        <f t="shared" si="22"/>
        <v>0</v>
      </c>
      <c r="J54" s="79">
        <f t="shared" si="17"/>
        <v>0</v>
      </c>
      <c r="K54" s="81">
        <f t="shared" si="23"/>
        <v>0</v>
      </c>
      <c r="L54" s="82">
        <f t="shared" si="18"/>
        <v>0</v>
      </c>
      <c r="M54" s="78">
        <f t="shared" si="19"/>
        <v>0</v>
      </c>
    </row>
    <row r="55" spans="1:13" ht="26.5" x14ac:dyDescent="0.35">
      <c r="A55" s="91" t="s">
        <v>199</v>
      </c>
      <c r="B55" s="79">
        <v>1</v>
      </c>
      <c r="C55" s="80">
        <v>0</v>
      </c>
      <c r="D55" s="79">
        <v>4</v>
      </c>
      <c r="E55" s="79">
        <f t="shared" si="16"/>
        <v>4</v>
      </c>
      <c r="F55" s="79">
        <v>25</v>
      </c>
      <c r="G55" s="79">
        <f t="shared" si="20"/>
        <v>100</v>
      </c>
      <c r="H55" s="79">
        <f t="shared" si="21"/>
        <v>5</v>
      </c>
      <c r="I55" s="79">
        <f t="shared" si="22"/>
        <v>10</v>
      </c>
      <c r="J55" s="79">
        <f t="shared" si="17"/>
        <v>115</v>
      </c>
      <c r="K55" s="81">
        <f t="shared" si="23"/>
        <v>16231.699999999999</v>
      </c>
      <c r="L55" s="82">
        <f t="shared" si="18"/>
        <v>0</v>
      </c>
      <c r="M55" s="78">
        <v>0</v>
      </c>
    </row>
    <row r="56" spans="1:13" ht="26.5" x14ac:dyDescent="0.35">
      <c r="A56" s="91" t="s">
        <v>200</v>
      </c>
      <c r="B56" s="79">
        <v>1</v>
      </c>
      <c r="C56" s="80">
        <v>0</v>
      </c>
      <c r="D56" s="79">
        <v>4</v>
      </c>
      <c r="E56" s="79">
        <f t="shared" si="16"/>
        <v>4</v>
      </c>
      <c r="F56" s="79">
        <v>25</v>
      </c>
      <c r="G56" s="79">
        <f t="shared" si="20"/>
        <v>100</v>
      </c>
      <c r="H56" s="79">
        <f t="shared" si="21"/>
        <v>5</v>
      </c>
      <c r="I56" s="79">
        <f t="shared" si="22"/>
        <v>10</v>
      </c>
      <c r="J56" s="79">
        <f t="shared" si="17"/>
        <v>115</v>
      </c>
      <c r="K56" s="81">
        <f t="shared" si="23"/>
        <v>16231.699999999999</v>
      </c>
      <c r="L56" s="82">
        <f t="shared" si="18"/>
        <v>0</v>
      </c>
      <c r="M56" s="78">
        <v>0</v>
      </c>
    </row>
    <row r="57" spans="1:13" x14ac:dyDescent="0.35">
      <c r="A57" s="91" t="s">
        <v>159</v>
      </c>
      <c r="B57" s="79">
        <v>0.5</v>
      </c>
      <c r="C57" s="80">
        <v>0</v>
      </c>
      <c r="D57" s="79">
        <v>4</v>
      </c>
      <c r="E57" s="79">
        <f t="shared" si="16"/>
        <v>2</v>
      </c>
      <c r="F57" s="79">
        <v>25</v>
      </c>
      <c r="G57" s="79">
        <f t="shared" si="20"/>
        <v>50</v>
      </c>
      <c r="H57" s="79">
        <f t="shared" si="21"/>
        <v>2.5</v>
      </c>
      <c r="I57" s="79">
        <f t="shared" si="22"/>
        <v>5</v>
      </c>
      <c r="J57" s="79">
        <f t="shared" si="17"/>
        <v>57.5</v>
      </c>
      <c r="K57" s="81">
        <f t="shared" si="23"/>
        <v>8115.8499999999995</v>
      </c>
      <c r="L57" s="82">
        <f t="shared" si="18"/>
        <v>0</v>
      </c>
      <c r="M57" s="78">
        <v>0</v>
      </c>
    </row>
    <row r="58" spans="1:13" x14ac:dyDescent="0.35">
      <c r="A58" s="85" t="s">
        <v>58</v>
      </c>
      <c r="B58" s="79" t="s">
        <v>10</v>
      </c>
      <c r="C58" s="79"/>
      <c r="D58" s="79"/>
      <c r="E58" s="79"/>
      <c r="F58" s="63"/>
      <c r="G58" s="139"/>
      <c r="H58" s="139"/>
      <c r="I58" s="139"/>
      <c r="J58" s="139"/>
      <c r="K58" s="90"/>
      <c r="L58" s="82"/>
      <c r="M58" s="78"/>
    </row>
    <row r="59" spans="1:13" x14ac:dyDescent="0.35">
      <c r="A59" s="166" t="s">
        <v>59</v>
      </c>
      <c r="B59" s="166"/>
      <c r="C59" s="166"/>
      <c r="D59" s="166"/>
      <c r="E59" s="166"/>
      <c r="F59" s="167"/>
      <c r="G59" s="101">
        <f t="shared" ref="G59:M59" si="24">SUM(G49:G58)</f>
        <v>350</v>
      </c>
      <c r="H59" s="103">
        <f t="shared" si="24"/>
        <v>17.5</v>
      </c>
      <c r="I59" s="103">
        <f t="shared" si="24"/>
        <v>35</v>
      </c>
      <c r="J59" s="103">
        <f t="shared" si="24"/>
        <v>402.5</v>
      </c>
      <c r="K59" s="140">
        <f t="shared" si="24"/>
        <v>56810.95</v>
      </c>
      <c r="L59" s="104">
        <f t="shared" si="24"/>
        <v>0</v>
      </c>
      <c r="M59" s="103">
        <f t="shared" si="24"/>
        <v>0</v>
      </c>
    </row>
    <row r="60" spans="1:13" ht="15" customHeight="1" x14ac:dyDescent="0.35">
      <c r="A60" s="162" t="s">
        <v>153</v>
      </c>
      <c r="B60" s="162"/>
      <c r="C60" s="162"/>
      <c r="D60" s="162"/>
      <c r="E60" s="162"/>
      <c r="F60" s="162"/>
      <c r="G60" s="105">
        <f>ROUND(G42+G59,-1)</f>
        <v>1790</v>
      </c>
      <c r="H60" s="105">
        <f>H42+H59</f>
        <v>89.350000000000009</v>
      </c>
      <c r="I60" s="105">
        <f>I42+I59</f>
        <v>178.70000000000002</v>
      </c>
      <c r="J60" s="105">
        <f>ROUND(J42+J59,-1)</f>
        <v>2060</v>
      </c>
      <c r="K60" s="99">
        <f>ROUND(K42+K59,-3)</f>
        <v>290000</v>
      </c>
      <c r="L60" s="99">
        <f>ROUND(L42+L59,-1)</f>
        <v>87000</v>
      </c>
      <c r="M60" s="101">
        <f>ROUND(SUM(M26:M59),-1)</f>
        <v>120</v>
      </c>
    </row>
    <row r="61" spans="1:13" ht="15" customHeight="1" x14ac:dyDescent="0.35">
      <c r="A61" s="141"/>
      <c r="B61" s="142"/>
      <c r="C61" s="142"/>
      <c r="D61" s="142"/>
      <c r="E61" s="142"/>
      <c r="F61" s="143"/>
      <c r="G61" s="143"/>
      <c r="H61" s="144"/>
      <c r="I61" s="144"/>
      <c r="J61" s="144"/>
      <c r="K61" s="86"/>
      <c r="L61" s="86"/>
      <c r="M61" s="106"/>
    </row>
    <row r="62" spans="1:13" ht="15.75" customHeight="1" x14ac:dyDescent="0.35">
      <c r="A62" s="93" t="s">
        <v>23</v>
      </c>
    </row>
    <row r="63" spans="1:13" ht="28.5" customHeight="1" x14ac:dyDescent="0.35">
      <c r="A63" s="160" t="s">
        <v>201</v>
      </c>
      <c r="B63" s="160"/>
      <c r="C63" s="160"/>
      <c r="D63" s="160"/>
      <c r="E63" s="160"/>
      <c r="F63" s="160"/>
      <c r="G63" s="160"/>
      <c r="H63" s="160"/>
      <c r="I63" s="160"/>
      <c r="J63" s="160"/>
      <c r="K63" s="160"/>
    </row>
    <row r="64" spans="1:13" ht="39" customHeight="1" x14ac:dyDescent="0.35">
      <c r="A64" s="160" t="s">
        <v>187</v>
      </c>
      <c r="B64" s="160"/>
      <c r="C64" s="160"/>
      <c r="D64" s="160"/>
      <c r="E64" s="160"/>
      <c r="F64" s="160"/>
      <c r="G64" s="160"/>
      <c r="H64" s="160"/>
      <c r="I64" s="160"/>
      <c r="J64" s="160"/>
      <c r="K64" s="160"/>
    </row>
    <row r="65" spans="1:11" ht="16.5" customHeight="1" x14ac:dyDescent="0.35">
      <c r="A65" s="160" t="s">
        <v>195</v>
      </c>
      <c r="B65" s="160"/>
      <c r="C65" s="160"/>
      <c r="D65" s="160"/>
      <c r="E65" s="160"/>
      <c r="F65" s="160"/>
      <c r="G65" s="160"/>
      <c r="H65" s="160"/>
      <c r="I65" s="160"/>
      <c r="J65" s="160"/>
      <c r="K65" s="160"/>
    </row>
    <row r="66" spans="1:11" ht="18.75" customHeight="1" x14ac:dyDescent="0.35">
      <c r="A66" s="145" t="s">
        <v>126</v>
      </c>
    </row>
    <row r="67" spans="1:11" ht="27.75" customHeight="1" x14ac:dyDescent="0.35">
      <c r="A67" s="145" t="s">
        <v>196</v>
      </c>
    </row>
    <row r="68" spans="1:11" ht="37.5" customHeight="1" x14ac:dyDescent="0.35">
      <c r="A68" s="160" t="s">
        <v>202</v>
      </c>
      <c r="B68" s="160"/>
      <c r="C68" s="160"/>
      <c r="D68" s="160"/>
      <c r="E68" s="160"/>
      <c r="F68" s="160"/>
      <c r="G68" s="160"/>
      <c r="H68" s="160"/>
      <c r="I68" s="160"/>
      <c r="J68" s="160"/>
      <c r="K68" s="160"/>
    </row>
    <row r="69" spans="1:11" ht="16.5" customHeight="1" x14ac:dyDescent="0.35">
      <c r="A69" s="161" t="s">
        <v>197</v>
      </c>
      <c r="B69" s="160"/>
      <c r="C69" s="160"/>
      <c r="D69" s="160"/>
      <c r="E69" s="160"/>
      <c r="F69" s="160"/>
      <c r="G69" s="160"/>
      <c r="H69" s="160"/>
      <c r="I69" s="160"/>
      <c r="J69" s="160"/>
      <c r="K69" s="160"/>
    </row>
    <row r="70" spans="1:11" ht="16" x14ac:dyDescent="0.35">
      <c r="A70" s="145" t="s">
        <v>127</v>
      </c>
    </row>
    <row r="71" spans="1:11" ht="16" x14ac:dyDescent="0.35">
      <c r="A71" s="145" t="s">
        <v>128</v>
      </c>
    </row>
    <row r="72" spans="1:11" ht="16" x14ac:dyDescent="0.35">
      <c r="A72" s="145" t="s">
        <v>129</v>
      </c>
    </row>
    <row r="73" spans="1:11" ht="16" x14ac:dyDescent="0.35">
      <c r="A73" s="76" t="s">
        <v>124</v>
      </c>
    </row>
  </sheetData>
  <mergeCells count="9">
    <mergeCell ref="A69:K69"/>
    <mergeCell ref="A63:K63"/>
    <mergeCell ref="A64:K64"/>
    <mergeCell ref="G3:I3"/>
    <mergeCell ref="A42:F42"/>
    <mergeCell ref="A59:F59"/>
    <mergeCell ref="A60:F60"/>
    <mergeCell ref="A65:K65"/>
    <mergeCell ref="A68:K68"/>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3ADA-0E86-499D-8FF6-965948552597}">
  <dimension ref="A1:L30"/>
  <sheetViews>
    <sheetView topLeftCell="A20" workbookViewId="0">
      <selection activeCell="B30" sqref="B30:I30"/>
    </sheetView>
  </sheetViews>
  <sheetFormatPr defaultRowHeight="14.5" x14ac:dyDescent="0.35"/>
  <cols>
    <col min="3" max="3" width="12.26953125" customWidth="1"/>
    <col min="4" max="4" width="10.54296875" customWidth="1"/>
    <col min="5" max="5" width="12.26953125" customWidth="1"/>
    <col min="6" max="6" width="13.7265625" customWidth="1"/>
    <col min="7" max="7" width="10.1796875" bestFit="1" customWidth="1"/>
    <col min="8" max="8" width="15.453125" customWidth="1"/>
    <col min="9" max="9" width="14.81640625" customWidth="1"/>
    <col min="13" max="14" width="10.1796875" bestFit="1" customWidth="1"/>
  </cols>
  <sheetData>
    <row r="1" spans="1:11" ht="15" thickBot="1" x14ac:dyDescent="0.4">
      <c r="A1" t="s">
        <v>185</v>
      </c>
    </row>
    <row r="2" spans="1:11" ht="39" thickBot="1" x14ac:dyDescent="0.4">
      <c r="B2" s="17" t="s">
        <v>70</v>
      </c>
      <c r="C2" s="18" t="s">
        <v>71</v>
      </c>
      <c r="D2" s="18" t="s">
        <v>72</v>
      </c>
      <c r="E2" s="18" t="s">
        <v>73</v>
      </c>
      <c r="F2" s="18" t="s">
        <v>74</v>
      </c>
      <c r="G2" s="18" t="s">
        <v>75</v>
      </c>
      <c r="H2" s="18" t="s">
        <v>84</v>
      </c>
      <c r="I2" s="19" t="s">
        <v>76</v>
      </c>
      <c r="K2" s="42"/>
    </row>
    <row r="3" spans="1:11" ht="15" thickTop="1" x14ac:dyDescent="0.35">
      <c r="B3" s="20">
        <v>1</v>
      </c>
      <c r="C3" s="21">
        <f>'YR1'!G60</f>
        <v>2660</v>
      </c>
      <c r="D3" s="21">
        <f>'YR1'!I60</f>
        <v>266.20000000000005</v>
      </c>
      <c r="E3" s="21">
        <f>'YR1'!H60</f>
        <v>133.10000000000002</v>
      </c>
      <c r="F3" s="21">
        <f>SUM(C3:E3)</f>
        <v>3059.2999999999997</v>
      </c>
      <c r="G3" s="22">
        <f>'YR1'!K60</f>
        <v>432000</v>
      </c>
      <c r="H3" s="22">
        <f>'YR1'!L60</f>
        <v>87000</v>
      </c>
      <c r="I3" s="23">
        <f>+G3+H3</f>
        <v>519000</v>
      </c>
    </row>
    <row r="4" spans="1:11" x14ac:dyDescent="0.35">
      <c r="B4" s="24">
        <v>2</v>
      </c>
      <c r="C4" s="25">
        <f>'YR2'!G60</f>
        <v>1790</v>
      </c>
      <c r="D4" s="25">
        <f>'YR2'!I60</f>
        <v>178.70000000000002</v>
      </c>
      <c r="E4" s="25">
        <f>'YR2'!H60</f>
        <v>89.350000000000009</v>
      </c>
      <c r="F4" s="25">
        <f>SUM(C4:E4)</f>
        <v>2058.0500000000002</v>
      </c>
      <c r="G4" s="26">
        <f>'YR2'!K60</f>
        <v>290000</v>
      </c>
      <c r="H4" s="26">
        <f>'YR2'!L60</f>
        <v>87000</v>
      </c>
      <c r="I4" s="27">
        <f>+G4+H4</f>
        <v>377000</v>
      </c>
    </row>
    <row r="5" spans="1:11" ht="15" thickBot="1" x14ac:dyDescent="0.4">
      <c r="B5" s="28">
        <v>3</v>
      </c>
      <c r="C5" s="29">
        <f>'YR3'!G60</f>
        <v>1790</v>
      </c>
      <c r="D5" s="29">
        <f>'YR3'!I60</f>
        <v>178.70000000000002</v>
      </c>
      <c r="E5" s="29">
        <f>'YR3'!H60</f>
        <v>89.350000000000009</v>
      </c>
      <c r="F5" s="29">
        <f>SUM(C5:E5)</f>
        <v>2058.0500000000002</v>
      </c>
      <c r="G5" s="30">
        <f>'YR3'!K60</f>
        <v>290000</v>
      </c>
      <c r="H5" s="30">
        <f>'YR3'!L60</f>
        <v>87000</v>
      </c>
      <c r="I5" s="31">
        <f>+G5+H5</f>
        <v>377000</v>
      </c>
    </row>
    <row r="6" spans="1:11" ht="15" thickTop="1" x14ac:dyDescent="0.35">
      <c r="B6" s="20" t="s">
        <v>46</v>
      </c>
      <c r="C6" s="21">
        <f t="shared" ref="C6:H6" si="0">SUM(C3:C5)</f>
        <v>6240</v>
      </c>
      <c r="D6" s="21">
        <f t="shared" si="0"/>
        <v>623.60000000000014</v>
      </c>
      <c r="E6" s="21">
        <f t="shared" si="0"/>
        <v>311.80000000000007</v>
      </c>
      <c r="F6" s="21">
        <f>SUM(F3:F5)</f>
        <v>7175.4000000000005</v>
      </c>
      <c r="G6" s="22">
        <f t="shared" si="0"/>
        <v>1012000</v>
      </c>
      <c r="H6" s="22">
        <f t="shared" si="0"/>
        <v>261000</v>
      </c>
      <c r="I6" s="23">
        <f>SUM(I3:I5)</f>
        <v>1273000</v>
      </c>
    </row>
    <row r="7" spans="1:11" ht="15" thickBot="1" x14ac:dyDescent="0.4">
      <c r="B7" s="190" t="s">
        <v>77</v>
      </c>
      <c r="C7" s="191">
        <f t="shared" ref="C7:E7" si="1">AVERAGE(C3:C5)</f>
        <v>2080</v>
      </c>
      <c r="D7" s="191">
        <f t="shared" si="1"/>
        <v>207.8666666666667</v>
      </c>
      <c r="E7" s="191">
        <f t="shared" si="1"/>
        <v>103.93333333333335</v>
      </c>
      <c r="F7" s="191">
        <f>ROUND(AVERAGE(F3:F5),-1)</f>
        <v>2390</v>
      </c>
      <c r="G7" s="192">
        <f>ROUND(AVERAGE(G3:G5),-3)</f>
        <v>337000</v>
      </c>
      <c r="H7" s="192">
        <f>AVERAGE(H3:H5)</f>
        <v>87000</v>
      </c>
      <c r="I7" s="193">
        <f>ROUND(AVERAGE(I3:I5),-3)</f>
        <v>424000</v>
      </c>
    </row>
    <row r="8" spans="1:11" ht="15" thickBot="1" x14ac:dyDescent="0.4">
      <c r="B8" s="32"/>
      <c r="C8" s="33"/>
      <c r="D8" s="33"/>
      <c r="E8" s="33"/>
      <c r="F8" s="33"/>
      <c r="G8" s="33"/>
      <c r="H8" s="33"/>
      <c r="I8" s="34"/>
    </row>
    <row r="9" spans="1:11" ht="26.5" thickBot="1" x14ac:dyDescent="0.4">
      <c r="B9" s="17" t="s">
        <v>70</v>
      </c>
      <c r="C9" s="18" t="s">
        <v>78</v>
      </c>
      <c r="D9" s="18" t="s">
        <v>79</v>
      </c>
      <c r="E9" s="18" t="s">
        <v>80</v>
      </c>
      <c r="F9" s="18" t="s">
        <v>81</v>
      </c>
      <c r="G9" s="18" t="s">
        <v>69</v>
      </c>
      <c r="H9" s="35" t="s">
        <v>82</v>
      </c>
      <c r="I9" s="36" t="s">
        <v>83</v>
      </c>
    </row>
    <row r="10" spans="1:11" ht="15" thickTop="1" x14ac:dyDescent="0.35">
      <c r="B10" s="20">
        <v>1</v>
      </c>
      <c r="C10" s="37">
        <f>Respondents!F5</f>
        <v>54</v>
      </c>
      <c r="D10" s="37">
        <f>Responses!E15</f>
        <v>110</v>
      </c>
      <c r="E10" s="21">
        <f>'YR1'!J42</f>
        <v>2658.7999999999997</v>
      </c>
      <c r="F10" s="21">
        <f>'YR1'!J59</f>
        <v>402.5</v>
      </c>
      <c r="G10" s="21">
        <f>F10+E10</f>
        <v>3061.2999999999997</v>
      </c>
      <c r="H10" s="37">
        <f>IFERROR(G10/D10,0)</f>
        <v>27.83</v>
      </c>
      <c r="I10" s="38">
        <f>IFERROR(G10/C10,0)</f>
        <v>56.690740740740736</v>
      </c>
    </row>
    <row r="11" spans="1:11" x14ac:dyDescent="0.35">
      <c r="B11" s="24">
        <v>2</v>
      </c>
      <c r="C11" s="39">
        <f>Respondents!F6</f>
        <v>54</v>
      </c>
      <c r="D11" s="39">
        <f>Responses!E11+Responses!E12+Responses!E14</f>
        <v>60</v>
      </c>
      <c r="E11" s="39">
        <f>'YR2'!J42</f>
        <v>1652.55</v>
      </c>
      <c r="F11" s="39">
        <f>'YR2'!J59</f>
        <v>402.5</v>
      </c>
      <c r="G11" s="21">
        <f>F11+E11</f>
        <v>2055.0500000000002</v>
      </c>
      <c r="H11" s="37">
        <f>IFERROR(G11/D11,0)</f>
        <v>34.25083333333334</v>
      </c>
      <c r="I11" s="38">
        <f>IFERROR(G11/C11,0)</f>
        <v>38.056481481481484</v>
      </c>
    </row>
    <row r="12" spans="1:11" ht="15" thickBot="1" x14ac:dyDescent="0.4">
      <c r="B12" s="28">
        <v>3</v>
      </c>
      <c r="C12" s="40">
        <f>Respondents!F7</f>
        <v>54</v>
      </c>
      <c r="D12" s="40">
        <f>D11</f>
        <v>60</v>
      </c>
      <c r="E12" s="40">
        <f>'YR3'!J42</f>
        <v>1652.55</v>
      </c>
      <c r="F12" s="40">
        <f>'YR3'!J59</f>
        <v>402.5</v>
      </c>
      <c r="G12" s="29">
        <f>F12+E12</f>
        <v>2055.0500000000002</v>
      </c>
      <c r="H12" s="40">
        <f>IFERROR(G12/D12,0)</f>
        <v>34.25083333333334</v>
      </c>
      <c r="I12" s="41">
        <f>IFERROR(G12/C12,0)</f>
        <v>38.056481481481484</v>
      </c>
    </row>
    <row r="13" spans="1:11" ht="15" thickTop="1" x14ac:dyDescent="0.35">
      <c r="B13" s="20" t="s">
        <v>46</v>
      </c>
      <c r="C13" s="37">
        <v>54</v>
      </c>
      <c r="D13" s="21">
        <f>SUM(D10:D12)</f>
        <v>230</v>
      </c>
      <c r="E13" s="21">
        <f t="shared" ref="E13:G13" si="2">SUM(E10:E12)</f>
        <v>5963.9</v>
      </c>
      <c r="F13" s="21">
        <f t="shared" si="2"/>
        <v>1207.5</v>
      </c>
      <c r="G13" s="21">
        <f t="shared" si="2"/>
        <v>7171.4000000000005</v>
      </c>
      <c r="H13" s="37">
        <f>IFERROR(G13/D13,0)</f>
        <v>31.180000000000003</v>
      </c>
      <c r="I13" s="38">
        <f>G13/C13</f>
        <v>132.80370370370372</v>
      </c>
    </row>
    <row r="14" spans="1:11" ht="15" thickBot="1" x14ac:dyDescent="0.4">
      <c r="B14" s="190" t="s">
        <v>77</v>
      </c>
      <c r="C14" s="191">
        <f>AVERAGE(C10:C12)</f>
        <v>54</v>
      </c>
      <c r="D14" s="191">
        <f>AVERAGE(D10:D12)</f>
        <v>76.666666666666671</v>
      </c>
      <c r="E14" s="191">
        <f t="shared" ref="E14:G14" si="3">AVERAGE(E10:E12)</f>
        <v>1987.9666666666665</v>
      </c>
      <c r="F14" s="191">
        <f t="shared" si="3"/>
        <v>402.5</v>
      </c>
      <c r="G14" s="191">
        <f t="shared" si="3"/>
        <v>2390.4666666666667</v>
      </c>
      <c r="H14" s="191">
        <f>IFERROR(G14/D14,0)</f>
        <v>31.18</v>
      </c>
      <c r="I14" s="194">
        <f>IFERROR(G14/C14,0)</f>
        <v>44.267901234567901</v>
      </c>
    </row>
    <row r="17" spans="1:12" ht="15" thickBot="1" x14ac:dyDescent="0.4">
      <c r="A17" s="64" t="s">
        <v>186</v>
      </c>
    </row>
    <row r="18" spans="1:12" ht="39" thickBot="1" x14ac:dyDescent="0.4">
      <c r="B18" s="17" t="s">
        <v>70</v>
      </c>
      <c r="C18" s="18" t="s">
        <v>71</v>
      </c>
      <c r="D18" s="18" t="s">
        <v>72</v>
      </c>
      <c r="E18" s="18" t="s">
        <v>73</v>
      </c>
      <c r="F18" s="18" t="s">
        <v>74</v>
      </c>
      <c r="G18" s="18" t="s">
        <v>75</v>
      </c>
      <c r="H18" s="18" t="s">
        <v>84</v>
      </c>
      <c r="I18" s="19" t="s">
        <v>76</v>
      </c>
    </row>
    <row r="19" spans="1:12" ht="15" thickTop="1" x14ac:dyDescent="0.35">
      <c r="B19" s="20">
        <v>1</v>
      </c>
      <c r="C19" s="21">
        <f>'YR1'!G9+'YR1'!G26+'YR1'!G37+'YR1'!G40+'YR1'!G41+'YR1'!G51+'YR1'!G55+'YR1'!G56+'YR1'!G57</f>
        <v>2169</v>
      </c>
      <c r="D19" s="21">
        <f>'YR1'!I9+'YR1'!I26+'YR1'!I37+'YR1'!I40+'YR1'!I41+'YR1'!I51+'YR1'!I55+'YR1'!I56+'YR1'!I57</f>
        <v>216.9</v>
      </c>
      <c r="E19" s="21">
        <f>'YR1'!H9+'YR1'!H26+'YR1'!H37+'YR1'!H40+'YR1'!H41+'YR1'!H51+'YR1'!H55+'YR1'!H56+'YR1'!H57</f>
        <v>108.45</v>
      </c>
      <c r="F19" s="21">
        <f>SUM(C19:E19)</f>
        <v>2494.35</v>
      </c>
      <c r="G19" s="22">
        <f>'YR1'!K9+'YR1'!K26+'YR1'!K37+'YR1'!K40+'YR1'!K41+'YR1'!K51+'YR1'!K55+'YR1'!K56+'YR1'!K57</f>
        <v>352065.57300000003</v>
      </c>
      <c r="H19" s="22">
        <v>0</v>
      </c>
      <c r="I19" s="23">
        <f>+G19+H19</f>
        <v>352065.57300000003</v>
      </c>
      <c r="J19" s="66"/>
    </row>
    <row r="20" spans="1:12" x14ac:dyDescent="0.35">
      <c r="B20" s="24">
        <v>2</v>
      </c>
      <c r="C20" s="39">
        <f>('YR2'!G10/'YR2'!F10*25)+'YR2'!G38+'YR2'!G40+'YR2'!G51+'YR2'!G55+'YR2'!G56+'YR2'!G57</f>
        <v>1294</v>
      </c>
      <c r="D20" s="39">
        <f>('YR2'!I10/'YR2'!F10*25)+'YR2'!I38+'YR2'!I40+'YR2'!I51+'YR2'!I55+'YR2'!I56+'YR2'!I57</f>
        <v>129.4</v>
      </c>
      <c r="E20" s="39">
        <f>('YR2'!H10/'YR2'!F10*25)+'YR2'!H38+'YR2'!H40+'YR2'!H51+'YR2'!H55+'YR2'!H56+'YR2'!H57</f>
        <v>64.7</v>
      </c>
      <c r="F20" s="39">
        <f>SUM(C20:E20)</f>
        <v>1488.1000000000001</v>
      </c>
      <c r="G20" s="48">
        <f>('YR2'!K10/'YR2'!F10*25)+'YR2'!K38+'YR2'!K40+'YR2'!K51+'YR2'!K55+'YR2'!K56+'YR2'!K57</f>
        <v>210038.19800000006</v>
      </c>
      <c r="H20" s="26">
        <v>0</v>
      </c>
      <c r="I20" s="27">
        <f>+G20+H20</f>
        <v>210038.19800000006</v>
      </c>
      <c r="J20" s="66"/>
    </row>
    <row r="21" spans="1:12" ht="15" thickBot="1" x14ac:dyDescent="0.4">
      <c r="B21" s="28">
        <v>3</v>
      </c>
      <c r="C21" s="40">
        <f>C20</f>
        <v>1294</v>
      </c>
      <c r="D21" s="40">
        <f t="shared" ref="D21:E21" si="4">D20</f>
        <v>129.4</v>
      </c>
      <c r="E21" s="40">
        <f t="shared" si="4"/>
        <v>64.7</v>
      </c>
      <c r="F21" s="40">
        <f>SUM(C21:E21)</f>
        <v>1488.1000000000001</v>
      </c>
      <c r="G21" s="49">
        <f>('YR3'!K10/'YR3'!F10*25)+'YR3'!K38+'YR3'!K40+'YR3'!K51+'YR3'!K55+'YR3'!K56+'YR3'!K57</f>
        <v>210038.19800000006</v>
      </c>
      <c r="H21" s="30">
        <f>'YR3'!K9</f>
        <v>0</v>
      </c>
      <c r="I21" s="31">
        <f>+G21+H21</f>
        <v>210038.19800000006</v>
      </c>
      <c r="J21" s="66"/>
    </row>
    <row r="22" spans="1:12" ht="15" thickTop="1" x14ac:dyDescent="0.35">
      <c r="B22" s="20" t="s">
        <v>46</v>
      </c>
      <c r="C22" s="21">
        <f t="shared" ref="C22:E22" si="5">SUM(C19:C21)</f>
        <v>4757</v>
      </c>
      <c r="D22" s="21">
        <f>SUM(D19:D21)</f>
        <v>475.70000000000005</v>
      </c>
      <c r="E22" s="21">
        <f t="shared" si="5"/>
        <v>237.85000000000002</v>
      </c>
      <c r="F22" s="21">
        <f>SUM(F19:F21)</f>
        <v>5470.55</v>
      </c>
      <c r="G22" s="22">
        <f t="shared" ref="G22:H22" si="6">SUM(G19:G21)</f>
        <v>772141.96900000016</v>
      </c>
      <c r="H22" s="22">
        <f t="shared" si="6"/>
        <v>0</v>
      </c>
      <c r="I22" s="23">
        <f>SUM(I19:I21)</f>
        <v>772141.96900000016</v>
      </c>
    </row>
    <row r="23" spans="1:12" ht="15" thickBot="1" x14ac:dyDescent="0.4">
      <c r="B23" s="190" t="s">
        <v>77</v>
      </c>
      <c r="C23" s="191">
        <f t="shared" ref="C23:E23" si="7">AVERAGE(C19:C21)</f>
        <v>1585.6666666666667</v>
      </c>
      <c r="D23" s="191">
        <f t="shared" si="7"/>
        <v>158.56666666666669</v>
      </c>
      <c r="E23" s="191">
        <f t="shared" si="7"/>
        <v>79.283333333333346</v>
      </c>
      <c r="F23" s="191">
        <f>AVERAGE(F19:F21)</f>
        <v>1823.5166666666667</v>
      </c>
      <c r="G23" s="192">
        <f>ROUND(AVERAGE(G19:G21),-3)</f>
        <v>257000</v>
      </c>
      <c r="H23" s="192">
        <f t="shared" ref="H23" si="8">AVERAGE(H19:H21)</f>
        <v>0</v>
      </c>
      <c r="I23" s="193">
        <f>ROUND(AVERAGE(I19:I21),-3)</f>
        <v>257000</v>
      </c>
    </row>
    <row r="24" spans="1:12" ht="15" thickBot="1" x14ac:dyDescent="0.4">
      <c r="A24" s="124"/>
      <c r="B24" s="125"/>
      <c r="C24" s="126"/>
      <c r="D24" s="126"/>
      <c r="E24" s="126"/>
      <c r="F24" s="126"/>
      <c r="G24" s="126"/>
      <c r="H24" s="126"/>
      <c r="I24" s="127"/>
      <c r="J24" s="124"/>
    </row>
    <row r="25" spans="1:12" ht="26.5" thickBot="1" x14ac:dyDescent="0.4">
      <c r="A25" s="124"/>
      <c r="B25" s="128" t="s">
        <v>70</v>
      </c>
      <c r="C25" s="35" t="s">
        <v>78</v>
      </c>
      <c r="D25" s="35" t="s">
        <v>79</v>
      </c>
      <c r="E25" s="35" t="s">
        <v>80</v>
      </c>
      <c r="F25" s="35" t="s">
        <v>81</v>
      </c>
      <c r="G25" s="35" t="s">
        <v>69</v>
      </c>
      <c r="H25" s="35" t="s">
        <v>82</v>
      </c>
      <c r="I25" s="36" t="s">
        <v>83</v>
      </c>
      <c r="J25" s="66"/>
      <c r="K25" s="137"/>
      <c r="L25" s="137"/>
    </row>
    <row r="26" spans="1:12" ht="15" thickTop="1" x14ac:dyDescent="0.35">
      <c r="A26" s="124"/>
      <c r="B26" s="129">
        <v>1</v>
      </c>
      <c r="C26" s="37">
        <v>25</v>
      </c>
      <c r="D26" s="37">
        <f>'YR1'!M26+'YR1'!M37+'YR1'!M40+'YR1'!M41</f>
        <v>81</v>
      </c>
      <c r="E26" s="37">
        <f>'YR1'!J9+'YR1'!J26+'YR1'!J37+'YR1'!J40+'YR1'!J41</f>
        <v>2091.85</v>
      </c>
      <c r="F26" s="37">
        <f>'YR1'!J51+'YR1'!J55+'YR1'!J56+'YR1'!J57</f>
        <v>402.5</v>
      </c>
      <c r="G26" s="37">
        <f>F26+E26</f>
        <v>2494.35</v>
      </c>
      <c r="H26" s="37">
        <f>IFERROR(G26/D26,0)</f>
        <v>30.794444444444444</v>
      </c>
      <c r="I26" s="38">
        <f>G26/C26</f>
        <v>99.774000000000001</v>
      </c>
      <c r="J26" s="124"/>
    </row>
    <row r="27" spans="1:12" x14ac:dyDescent="0.35">
      <c r="A27" s="124"/>
      <c r="B27" s="130">
        <v>2</v>
      </c>
      <c r="C27" s="39">
        <v>25</v>
      </c>
      <c r="D27" s="39">
        <f>'YR2'!M38+'YR2'!M40</f>
        <v>31</v>
      </c>
      <c r="E27" s="39">
        <f>('YR2'!J10/'YR2'!F10*25)+'YR2'!J38+'YR2'!J40</f>
        <v>1085.5999999999999</v>
      </c>
      <c r="F27" s="39">
        <f>'YR2'!J51+'YR2'!J55+'YR2'!J56+'YR2'!J57</f>
        <v>402.5</v>
      </c>
      <c r="G27" s="37">
        <f>F27+E27</f>
        <v>1488.1</v>
      </c>
      <c r="H27" s="37">
        <f>IFERROR(G27/D27,0)</f>
        <v>48.00322580645161</v>
      </c>
      <c r="I27" s="38">
        <f t="shared" ref="I27:I28" si="9">G27/C27</f>
        <v>59.523999999999994</v>
      </c>
      <c r="J27" s="124"/>
    </row>
    <row r="28" spans="1:12" ht="15" thickBot="1" x14ac:dyDescent="0.4">
      <c r="A28" s="124"/>
      <c r="B28" s="131">
        <v>3</v>
      </c>
      <c r="C28" s="40">
        <v>25</v>
      </c>
      <c r="D28" s="40">
        <f>'YR3'!M38+'YR3'!M40</f>
        <v>31</v>
      </c>
      <c r="E28" s="40">
        <f>('YR3'!J10/'YR3'!F10*25)+'YR3'!J38+'YR3'!J40</f>
        <v>1085.5999999999999</v>
      </c>
      <c r="F28" s="40">
        <f>'YR3'!J51+'YR3'!J55+'YR3'!J56+'YR3'!J57</f>
        <v>402.5</v>
      </c>
      <c r="G28" s="40">
        <f>F28+E28</f>
        <v>1488.1</v>
      </c>
      <c r="H28" s="136">
        <f>IFERROR(G28/D28,0)</f>
        <v>48.00322580645161</v>
      </c>
      <c r="I28" s="41">
        <f t="shared" si="9"/>
        <v>59.523999999999994</v>
      </c>
      <c r="J28" s="124"/>
    </row>
    <row r="29" spans="1:12" ht="15" thickTop="1" x14ac:dyDescent="0.35">
      <c r="A29" s="124"/>
      <c r="B29" s="129" t="s">
        <v>46</v>
      </c>
      <c r="C29" s="37">
        <v>25</v>
      </c>
      <c r="D29" s="37">
        <f t="shared" ref="D29:G29" si="10">SUM(D26:D28)</f>
        <v>143</v>
      </c>
      <c r="E29" s="37">
        <f t="shared" si="10"/>
        <v>4263.0499999999993</v>
      </c>
      <c r="F29" s="37">
        <f t="shared" si="10"/>
        <v>1207.5</v>
      </c>
      <c r="G29" s="37">
        <f t="shared" si="10"/>
        <v>5470.5499999999993</v>
      </c>
      <c r="H29" s="133">
        <f>IFERROR(G29/D29,0)</f>
        <v>38.255594405594401</v>
      </c>
      <c r="I29" s="132">
        <f>G29/C29</f>
        <v>218.82199999999997</v>
      </c>
      <c r="J29" s="124"/>
    </row>
    <row r="30" spans="1:12" ht="15" thickBot="1" x14ac:dyDescent="0.4">
      <c r="A30" s="124"/>
      <c r="B30" s="190" t="s">
        <v>77</v>
      </c>
      <c r="C30" s="191">
        <f>AVERAGE(C26:C28)</f>
        <v>25</v>
      </c>
      <c r="D30" s="191">
        <f t="shared" ref="D30:F30" si="11">AVERAGE(D26:D28)</f>
        <v>47.666666666666664</v>
      </c>
      <c r="E30" s="191">
        <f t="shared" si="11"/>
        <v>1421.0166666666664</v>
      </c>
      <c r="F30" s="191">
        <f t="shared" si="11"/>
        <v>402.5</v>
      </c>
      <c r="G30" s="191">
        <f>AVERAGE(G26:G28)</f>
        <v>1823.5166666666664</v>
      </c>
      <c r="H30" s="191">
        <f>IFERROR(G30/D30,0)</f>
        <v>38.255594405594401</v>
      </c>
      <c r="I30" s="194">
        <f>G30/C30</f>
        <v>72.940666666666658</v>
      </c>
      <c r="J30" s="1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92FB-8F68-4A97-9A48-8AC0865B413F}">
  <dimension ref="A1:K31"/>
  <sheetViews>
    <sheetView topLeftCell="A18" workbookViewId="0">
      <selection activeCell="E20" sqref="E20"/>
    </sheetView>
  </sheetViews>
  <sheetFormatPr defaultColWidth="9.1796875" defaultRowHeight="14" x14ac:dyDescent="0.3"/>
  <cols>
    <col min="1" max="1" width="41.453125" style="3" customWidth="1"/>
    <col min="2" max="8" width="12.1796875" style="3" customWidth="1"/>
    <col min="9" max="9" width="15.26953125" style="3" customWidth="1"/>
    <col min="10" max="16384" width="9.1796875" style="3"/>
  </cols>
  <sheetData>
    <row r="1" spans="1:10" ht="15" x14ac:dyDescent="0.3">
      <c r="A1" s="2" t="s">
        <v>181</v>
      </c>
    </row>
    <row r="2" spans="1:10" x14ac:dyDescent="0.3">
      <c r="F2" s="3">
        <v>57.07</v>
      </c>
      <c r="G2" s="3">
        <v>76.91</v>
      </c>
      <c r="H2" s="3">
        <v>30.88</v>
      </c>
      <c r="J2" s="3" t="s">
        <v>96</v>
      </c>
    </row>
    <row r="3" spans="1:10" x14ac:dyDescent="0.3">
      <c r="A3" s="168" t="s">
        <v>25</v>
      </c>
      <c r="B3" s="13" t="s">
        <v>1</v>
      </c>
      <c r="C3" s="13" t="s">
        <v>2</v>
      </c>
      <c r="D3" s="13" t="s">
        <v>3</v>
      </c>
      <c r="E3" s="13" t="s">
        <v>4</v>
      </c>
      <c r="F3" s="13" t="s">
        <v>5</v>
      </c>
      <c r="G3" s="13" t="s">
        <v>6</v>
      </c>
      <c r="H3" s="13" t="s">
        <v>7</v>
      </c>
      <c r="I3" s="13" t="s">
        <v>8</v>
      </c>
    </row>
    <row r="4" spans="1:10" ht="52" x14ac:dyDescent="0.3">
      <c r="A4" s="168"/>
      <c r="B4" s="13" t="s">
        <v>26</v>
      </c>
      <c r="C4" s="13" t="s">
        <v>27</v>
      </c>
      <c r="D4" s="13" t="s">
        <v>37</v>
      </c>
      <c r="E4" s="13" t="s">
        <v>28</v>
      </c>
      <c r="F4" s="13" t="s">
        <v>24</v>
      </c>
      <c r="G4" s="13" t="s">
        <v>38</v>
      </c>
      <c r="H4" s="13" t="s">
        <v>39</v>
      </c>
      <c r="I4" s="13" t="s">
        <v>29</v>
      </c>
    </row>
    <row r="5" spans="1:10" x14ac:dyDescent="0.3">
      <c r="A5" s="4" t="s">
        <v>9</v>
      </c>
      <c r="B5" s="7" t="s">
        <v>10</v>
      </c>
      <c r="C5" s="7"/>
      <c r="D5" s="7"/>
      <c r="E5" s="7"/>
      <c r="F5" s="7"/>
      <c r="G5" s="7"/>
      <c r="H5" s="7"/>
      <c r="I5" s="5"/>
    </row>
    <row r="6" spans="1:10" x14ac:dyDescent="0.3">
      <c r="A6" s="4" t="s">
        <v>40</v>
      </c>
      <c r="B6" s="7" t="s">
        <v>10</v>
      </c>
      <c r="C6" s="7"/>
      <c r="D6" s="7"/>
      <c r="E6" s="7"/>
      <c r="F6" s="7"/>
      <c r="G6" s="7"/>
      <c r="H6" s="7"/>
      <c r="I6" s="6"/>
    </row>
    <row r="7" spans="1:10" x14ac:dyDescent="0.3">
      <c r="A7" s="4" t="s">
        <v>30</v>
      </c>
      <c r="B7" s="7"/>
      <c r="C7" s="7"/>
      <c r="D7" s="7"/>
      <c r="E7" s="7"/>
      <c r="F7" s="7"/>
      <c r="G7" s="7"/>
      <c r="H7" s="7"/>
      <c r="I7" s="5"/>
    </row>
    <row r="8" spans="1:10" x14ac:dyDescent="0.3">
      <c r="A8" s="4" t="s">
        <v>31</v>
      </c>
      <c r="B8" s="7" t="s">
        <v>10</v>
      </c>
      <c r="C8" s="7"/>
      <c r="D8" s="7"/>
      <c r="E8" s="7"/>
      <c r="F8" s="7"/>
      <c r="G8" s="7"/>
      <c r="H8" s="7"/>
      <c r="I8" s="5"/>
    </row>
    <row r="9" spans="1:10" x14ac:dyDescent="0.3">
      <c r="A9" s="4" t="s">
        <v>32</v>
      </c>
      <c r="B9" s="7" t="s">
        <v>19</v>
      </c>
      <c r="C9" s="7"/>
      <c r="D9" s="7"/>
      <c r="E9" s="7"/>
      <c r="F9" s="7"/>
      <c r="G9" s="7"/>
      <c r="H9" s="7"/>
      <c r="I9" s="5"/>
    </row>
    <row r="10" spans="1:10" x14ac:dyDescent="0.3">
      <c r="A10" s="4" t="s">
        <v>33</v>
      </c>
      <c r="B10" s="7"/>
      <c r="C10" s="7"/>
      <c r="D10" s="7"/>
      <c r="E10" s="7"/>
      <c r="F10" s="7"/>
      <c r="G10" s="7"/>
      <c r="H10" s="7"/>
      <c r="I10" s="5"/>
    </row>
    <row r="11" spans="1:10" x14ac:dyDescent="0.3">
      <c r="A11" s="109" t="s">
        <v>163</v>
      </c>
      <c r="B11" s="110"/>
      <c r="C11" s="110"/>
      <c r="D11" s="110"/>
      <c r="E11" s="63"/>
      <c r="F11" s="7"/>
      <c r="G11" s="7"/>
      <c r="H11" s="7"/>
      <c r="I11" s="6"/>
    </row>
    <row r="12" spans="1:10" x14ac:dyDescent="0.3">
      <c r="A12" s="111" t="s">
        <v>164</v>
      </c>
      <c r="B12" s="63">
        <v>1</v>
      </c>
      <c r="C12" s="63">
        <v>1</v>
      </c>
      <c r="D12" s="63">
        <f t="shared" ref="D12:D14" si="0">B12*C12</f>
        <v>1</v>
      </c>
      <c r="E12" s="63">
        <f>'YR1'!F31</f>
        <v>0</v>
      </c>
      <c r="F12" s="7">
        <f t="shared" ref="F12" si="1">D12*E12</f>
        <v>0</v>
      </c>
      <c r="G12" s="7">
        <f t="shared" ref="G12" si="2">F12*0.05</f>
        <v>0</v>
      </c>
      <c r="H12" s="7">
        <f t="shared" ref="H12" si="3">F12*0.1</f>
        <v>0</v>
      </c>
      <c r="I12" s="6">
        <f t="shared" ref="I12" si="4">F12*$F$2+G12*$G$2+H12*$H$2</f>
        <v>0</v>
      </c>
    </row>
    <row r="13" spans="1:10" x14ac:dyDescent="0.3">
      <c r="A13" s="111" t="s">
        <v>165</v>
      </c>
      <c r="B13" s="63">
        <v>0.5</v>
      </c>
      <c r="C13" s="63">
        <v>1</v>
      </c>
      <c r="D13" s="63">
        <f t="shared" si="0"/>
        <v>0.5</v>
      </c>
      <c r="E13" s="63">
        <f>'YR1'!F32</f>
        <v>0</v>
      </c>
      <c r="F13" s="7">
        <f t="shared" ref="F13:F15" si="5">D13*E13</f>
        <v>0</v>
      </c>
      <c r="G13" s="7">
        <f t="shared" ref="G13:G15" si="6">F13*0.05</f>
        <v>0</v>
      </c>
      <c r="H13" s="7">
        <f t="shared" ref="H13:H15" si="7">F13*0.1</f>
        <v>0</v>
      </c>
      <c r="I13" s="6">
        <f t="shared" ref="I13:I15" si="8">F13*$F$2+G13*$G$2+H13*$H$2</f>
        <v>0</v>
      </c>
    </row>
    <row r="14" spans="1:10" ht="26" x14ac:dyDescent="0.3">
      <c r="A14" s="111" t="s">
        <v>166</v>
      </c>
      <c r="B14" s="63">
        <v>0.5</v>
      </c>
      <c r="C14" s="63">
        <v>1</v>
      </c>
      <c r="D14" s="63">
        <f t="shared" si="0"/>
        <v>0.5</v>
      </c>
      <c r="E14" s="63">
        <f>'YR1'!F27</f>
        <v>0</v>
      </c>
      <c r="F14" s="7">
        <f t="shared" si="5"/>
        <v>0</v>
      </c>
      <c r="G14" s="7">
        <f t="shared" si="6"/>
        <v>0</v>
      </c>
      <c r="H14" s="7">
        <f t="shared" si="7"/>
        <v>0</v>
      </c>
      <c r="I14" s="6">
        <f t="shared" si="8"/>
        <v>0</v>
      </c>
    </row>
    <row r="15" spans="1:10" ht="15.5" x14ac:dyDescent="0.3">
      <c r="A15" s="111" t="s">
        <v>167</v>
      </c>
      <c r="B15" s="63">
        <v>1.5</v>
      </c>
      <c r="C15" s="63">
        <v>1</v>
      </c>
      <c r="D15" s="63">
        <f>B15*C15</f>
        <v>1.5</v>
      </c>
      <c r="E15" s="63">
        <f>'YR1'!F41</f>
        <v>25</v>
      </c>
      <c r="F15" s="7">
        <f t="shared" si="5"/>
        <v>37.5</v>
      </c>
      <c r="G15" s="7">
        <f t="shared" si="6"/>
        <v>1.875</v>
      </c>
      <c r="H15" s="7">
        <f t="shared" si="7"/>
        <v>3.75</v>
      </c>
      <c r="I15" s="6">
        <f t="shared" si="8"/>
        <v>2400.1312500000004</v>
      </c>
    </row>
    <row r="16" spans="1:10" x14ac:dyDescent="0.3">
      <c r="A16" s="4" t="s">
        <v>90</v>
      </c>
      <c r="B16" s="46"/>
      <c r="C16" s="46"/>
      <c r="D16" s="46"/>
      <c r="E16" s="46"/>
      <c r="F16" s="46"/>
      <c r="G16" s="46"/>
      <c r="H16" s="46"/>
      <c r="I16" s="46"/>
    </row>
    <row r="17" spans="1:11" ht="15.5" x14ac:dyDescent="0.3">
      <c r="A17" s="45" t="s">
        <v>87</v>
      </c>
      <c r="B17" s="7">
        <v>40</v>
      </c>
      <c r="C17" s="7">
        <v>1</v>
      </c>
      <c r="D17" s="7">
        <f>B17*C17</f>
        <v>40</v>
      </c>
      <c r="E17" s="7">
        <f>'YR1'!F34</f>
        <v>0</v>
      </c>
      <c r="F17" s="7">
        <f>D17*E17</f>
        <v>0</v>
      </c>
      <c r="G17" s="7">
        <f>F17*0.05</f>
        <v>0</v>
      </c>
      <c r="H17" s="7">
        <f>F17*0.1</f>
        <v>0</v>
      </c>
      <c r="I17" s="6">
        <f>F17*$F$2+G17*$G$2+H17*$H$2</f>
        <v>0</v>
      </c>
      <c r="J17" s="44"/>
    </row>
    <row r="18" spans="1:11" ht="15.5" x14ac:dyDescent="0.3">
      <c r="A18" s="45" t="s">
        <v>88</v>
      </c>
      <c r="B18" s="7">
        <v>10</v>
      </c>
      <c r="C18" s="7">
        <v>1</v>
      </c>
      <c r="D18" s="7">
        <f>B18*C18</f>
        <v>10</v>
      </c>
      <c r="E18" s="7">
        <f>'YR1'!F35</f>
        <v>0</v>
      </c>
      <c r="F18" s="7">
        <f>D18*E18</f>
        <v>0</v>
      </c>
      <c r="G18" s="7">
        <f>F18*0.05</f>
        <v>0</v>
      </c>
      <c r="H18" s="7">
        <f>F18*0.1</f>
        <v>0</v>
      </c>
      <c r="I18" s="6">
        <f>F18*$F$2+G18*$G$2+H18*$H$2</f>
        <v>0</v>
      </c>
      <c r="J18" s="44"/>
    </row>
    <row r="19" spans="1:11" x14ac:dyDescent="0.3">
      <c r="A19" s="4" t="s">
        <v>34</v>
      </c>
      <c r="B19" s="46"/>
      <c r="C19" s="46"/>
      <c r="D19" s="46"/>
      <c r="E19" s="46"/>
      <c r="F19" s="46"/>
      <c r="G19" s="46"/>
      <c r="H19" s="46"/>
      <c r="I19" s="46"/>
    </row>
    <row r="20" spans="1:11" ht="26" x14ac:dyDescent="0.3">
      <c r="A20" s="111" t="s">
        <v>168</v>
      </c>
      <c r="B20" s="7">
        <v>40</v>
      </c>
      <c r="C20" s="7">
        <v>1</v>
      </c>
      <c r="D20" s="7">
        <f>B20*C20</f>
        <v>40</v>
      </c>
      <c r="E20" s="7">
        <f>'YR1'!F37</f>
        <v>25</v>
      </c>
      <c r="F20" s="7">
        <f>D20*E20</f>
        <v>1000</v>
      </c>
      <c r="G20" s="7">
        <f>F20*0.05</f>
        <v>50</v>
      </c>
      <c r="H20" s="7">
        <f>F20*0.1</f>
        <v>100</v>
      </c>
      <c r="I20" s="6">
        <f>F20*$F$2+G20*$G$2+H20*$H$2</f>
        <v>64003.5</v>
      </c>
    </row>
    <row r="21" spans="1:11" ht="26" x14ac:dyDescent="0.3">
      <c r="A21" s="111" t="s">
        <v>169</v>
      </c>
      <c r="B21" s="7">
        <v>10</v>
      </c>
      <c r="C21" s="7">
        <v>1</v>
      </c>
      <c r="D21" s="7">
        <f>B21*C21</f>
        <v>10</v>
      </c>
      <c r="E21" s="7">
        <f>'YR1'!F38</f>
        <v>0</v>
      </c>
      <c r="F21" s="7">
        <f>D21*E21</f>
        <v>0</v>
      </c>
      <c r="G21" s="7">
        <f>F21*0.05</f>
        <v>0</v>
      </c>
      <c r="H21" s="7">
        <f>F21*0.1</f>
        <v>0</v>
      </c>
      <c r="I21" s="6">
        <f>F21*$F$2+G21*$G$2+H21*$H$2</f>
        <v>0</v>
      </c>
    </row>
    <row r="22" spans="1:11" x14ac:dyDescent="0.3">
      <c r="A22" s="111" t="s">
        <v>170</v>
      </c>
      <c r="B22" s="7">
        <v>10</v>
      </c>
      <c r="C22" s="7">
        <v>1</v>
      </c>
      <c r="D22" s="7">
        <f>B22*C22</f>
        <v>10</v>
      </c>
      <c r="E22" s="7">
        <f>'YR1'!F39</f>
        <v>29</v>
      </c>
      <c r="F22" s="7">
        <f>D22*E22</f>
        <v>290</v>
      </c>
      <c r="G22" s="7">
        <f>F22*0.05</f>
        <v>14.5</v>
      </c>
      <c r="H22" s="7">
        <f>F22*0.1</f>
        <v>29</v>
      </c>
      <c r="I22" s="6">
        <f>F22*$F$2+G22*$G$2+H22*$H$2</f>
        <v>18561.014999999999</v>
      </c>
      <c r="J22" s="47"/>
    </row>
    <row r="23" spans="1:11" x14ac:dyDescent="0.3">
      <c r="A23" s="4" t="s">
        <v>35</v>
      </c>
      <c r="B23" s="7">
        <v>16</v>
      </c>
      <c r="C23" s="7">
        <v>2</v>
      </c>
      <c r="D23" s="7">
        <f t="shared" ref="D23:D24" si="9">B23*C23</f>
        <v>32</v>
      </c>
      <c r="E23" s="7">
        <f>'YR1'!F40</f>
        <v>3</v>
      </c>
      <c r="F23" s="7">
        <f t="shared" ref="F23:F24" si="10">D23*E23</f>
        <v>96</v>
      </c>
      <c r="G23" s="7">
        <f t="shared" ref="G23:G24" si="11">F23*0.05</f>
        <v>4.8000000000000007</v>
      </c>
      <c r="H23" s="7">
        <f t="shared" ref="H23:H24" si="12">F23*0.1</f>
        <v>9.6000000000000014</v>
      </c>
      <c r="I23" s="6">
        <f t="shared" ref="I23:I24" si="13">F23*$F$2+G23*$G$2+H23*$H$2</f>
        <v>6144.3360000000002</v>
      </c>
    </row>
    <row r="24" spans="1:11" ht="15.5" x14ac:dyDescent="0.3">
      <c r="A24" s="4" t="s">
        <v>36</v>
      </c>
      <c r="B24" s="7">
        <v>16</v>
      </c>
      <c r="C24" s="7">
        <v>1</v>
      </c>
      <c r="D24" s="7">
        <f t="shared" si="9"/>
        <v>16</v>
      </c>
      <c r="E24" s="7">
        <f>'YR1'!F26</f>
        <v>25</v>
      </c>
      <c r="F24" s="7">
        <f t="shared" si="10"/>
        <v>400</v>
      </c>
      <c r="G24" s="7">
        <f t="shared" si="11"/>
        <v>20</v>
      </c>
      <c r="H24" s="7">
        <f t="shared" si="12"/>
        <v>40</v>
      </c>
      <c r="I24" s="6">
        <f t="shared" si="13"/>
        <v>25601.4</v>
      </c>
    </row>
    <row r="25" spans="1:11" ht="28" x14ac:dyDescent="0.3">
      <c r="A25" s="14" t="s">
        <v>204</v>
      </c>
      <c r="B25" s="7"/>
      <c r="C25" s="7"/>
      <c r="D25" s="7"/>
      <c r="E25" s="7"/>
      <c r="F25" s="15">
        <f>SUM(F5:F24)</f>
        <v>1823.5</v>
      </c>
      <c r="G25" s="15">
        <f>SUM(G5:G24)</f>
        <v>91.174999999999997</v>
      </c>
      <c r="H25" s="15">
        <f>SUM(H5:H24)</f>
        <v>182.35</v>
      </c>
      <c r="I25" s="8">
        <f>ROUND(SUM(I6:I24),-3)</f>
        <v>117000</v>
      </c>
    </row>
    <row r="27" spans="1:11" x14ac:dyDescent="0.3">
      <c r="A27" s="1" t="s">
        <v>23</v>
      </c>
    </row>
    <row r="28" spans="1:11" ht="22.5" customHeight="1" x14ac:dyDescent="0.3">
      <c r="A28" s="160" t="s">
        <v>125</v>
      </c>
      <c r="B28" s="160"/>
      <c r="C28" s="160"/>
      <c r="D28" s="160"/>
      <c r="E28" s="160"/>
      <c r="F28" s="160"/>
      <c r="G28" s="160"/>
      <c r="H28" s="160"/>
      <c r="I28" s="160"/>
      <c r="J28" s="160"/>
      <c r="K28" s="160"/>
    </row>
    <row r="29" spans="1:11" ht="38.25" customHeight="1" x14ac:dyDescent="0.3">
      <c r="A29" s="169" t="s">
        <v>155</v>
      </c>
      <c r="B29" s="169"/>
      <c r="C29" s="169"/>
      <c r="D29" s="169"/>
      <c r="E29" s="169"/>
      <c r="F29" s="169"/>
      <c r="G29" s="169"/>
      <c r="H29" s="169"/>
      <c r="I29" s="169"/>
      <c r="J29" s="65"/>
      <c r="K29" s="65"/>
    </row>
    <row r="30" spans="1:11" ht="18.75" customHeight="1" x14ac:dyDescent="0.3">
      <c r="A30" s="169" t="s">
        <v>154</v>
      </c>
      <c r="B30" s="169"/>
      <c r="C30" s="169"/>
      <c r="D30" s="169"/>
      <c r="E30" s="169"/>
      <c r="F30" s="169"/>
      <c r="G30" s="169"/>
      <c r="H30" s="169"/>
      <c r="I30" s="169"/>
      <c r="J30" s="65"/>
      <c r="K30" s="65"/>
    </row>
    <row r="31" spans="1:11" ht="18.5" x14ac:dyDescent="0.3">
      <c r="A31" s="107" t="s">
        <v>205</v>
      </c>
      <c r="B31" s="65"/>
      <c r="C31" s="65"/>
      <c r="D31" s="65"/>
      <c r="E31" s="65"/>
      <c r="F31" s="65"/>
      <c r="G31" s="65"/>
      <c r="H31" s="65"/>
      <c r="I31" s="65"/>
      <c r="J31" s="65"/>
      <c r="K31" s="65"/>
    </row>
  </sheetData>
  <mergeCells count="4">
    <mergeCell ref="A3:A4"/>
    <mergeCell ref="A29:I29"/>
    <mergeCell ref="A30:I30"/>
    <mergeCell ref="A28:K2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07C-CACF-4FBA-B07B-7443EC283F0F}">
  <dimension ref="A1:K31"/>
  <sheetViews>
    <sheetView topLeftCell="A9" workbookViewId="0">
      <selection activeCell="E22" sqref="E22"/>
    </sheetView>
  </sheetViews>
  <sheetFormatPr defaultColWidth="9.1796875" defaultRowHeight="14" x14ac:dyDescent="0.3"/>
  <cols>
    <col min="1" max="1" width="41.453125" style="3" customWidth="1"/>
    <col min="2" max="8" width="12.1796875" style="3" customWidth="1"/>
    <col min="9" max="9" width="15.26953125" style="3" customWidth="1"/>
    <col min="10" max="16384" width="9.1796875" style="3"/>
  </cols>
  <sheetData>
    <row r="1" spans="1:10" ht="15" x14ac:dyDescent="0.3">
      <c r="A1" s="2" t="s">
        <v>182</v>
      </c>
    </row>
    <row r="2" spans="1:10" x14ac:dyDescent="0.3">
      <c r="F2" s="3">
        <v>57.07</v>
      </c>
      <c r="G2" s="3">
        <v>76.91</v>
      </c>
      <c r="H2" s="3">
        <v>30.88</v>
      </c>
      <c r="J2" s="3" t="s">
        <v>96</v>
      </c>
    </row>
    <row r="3" spans="1:10" x14ac:dyDescent="0.3">
      <c r="A3" s="168" t="s">
        <v>25</v>
      </c>
      <c r="B3" s="13" t="s">
        <v>1</v>
      </c>
      <c r="C3" s="13" t="s">
        <v>2</v>
      </c>
      <c r="D3" s="13" t="s">
        <v>3</v>
      </c>
      <c r="E3" s="13" t="s">
        <v>4</v>
      </c>
      <c r="F3" s="13" t="s">
        <v>5</v>
      </c>
      <c r="G3" s="13" t="s">
        <v>6</v>
      </c>
      <c r="H3" s="13" t="s">
        <v>7</v>
      </c>
      <c r="I3" s="13" t="s">
        <v>8</v>
      </c>
    </row>
    <row r="4" spans="1:10" ht="52" x14ac:dyDescent="0.3">
      <c r="A4" s="168"/>
      <c r="B4" s="13" t="s">
        <v>26</v>
      </c>
      <c r="C4" s="13" t="s">
        <v>27</v>
      </c>
      <c r="D4" s="13" t="s">
        <v>37</v>
      </c>
      <c r="E4" s="13" t="s">
        <v>28</v>
      </c>
      <c r="F4" s="13" t="s">
        <v>24</v>
      </c>
      <c r="G4" s="13" t="s">
        <v>38</v>
      </c>
      <c r="H4" s="13" t="s">
        <v>39</v>
      </c>
      <c r="I4" s="13" t="s">
        <v>29</v>
      </c>
    </row>
    <row r="5" spans="1:10" x14ac:dyDescent="0.3">
      <c r="A5" s="4" t="s">
        <v>9</v>
      </c>
      <c r="B5" s="7" t="s">
        <v>10</v>
      </c>
      <c r="C5" s="7"/>
      <c r="D5" s="7"/>
      <c r="E5" s="7"/>
      <c r="F5" s="7"/>
      <c r="G5" s="7"/>
      <c r="H5" s="7"/>
      <c r="I5" s="5"/>
    </row>
    <row r="6" spans="1:10" x14ac:dyDescent="0.3">
      <c r="A6" s="4" t="s">
        <v>40</v>
      </c>
      <c r="B6" s="7" t="s">
        <v>10</v>
      </c>
      <c r="C6" s="7"/>
      <c r="D6" s="7"/>
      <c r="E6" s="7"/>
      <c r="F6" s="7"/>
      <c r="G6" s="7"/>
      <c r="H6" s="7"/>
      <c r="I6" s="6"/>
    </row>
    <row r="7" spans="1:10" x14ac:dyDescent="0.3">
      <c r="A7" s="4" t="s">
        <v>30</v>
      </c>
      <c r="B7" s="7"/>
      <c r="C7" s="7"/>
      <c r="D7" s="7"/>
      <c r="E7" s="7"/>
      <c r="F7" s="7"/>
      <c r="G7" s="7"/>
      <c r="H7" s="7"/>
      <c r="I7" s="5"/>
    </row>
    <row r="8" spans="1:10" x14ac:dyDescent="0.3">
      <c r="A8" s="4" t="s">
        <v>31</v>
      </c>
      <c r="B8" s="7" t="s">
        <v>10</v>
      </c>
      <c r="C8" s="7"/>
      <c r="D8" s="7"/>
      <c r="E8" s="7"/>
      <c r="F8" s="7"/>
      <c r="G8" s="7"/>
      <c r="H8" s="7"/>
      <c r="I8" s="5"/>
    </row>
    <row r="9" spans="1:10" x14ac:dyDescent="0.3">
      <c r="A9" s="4" t="s">
        <v>32</v>
      </c>
      <c r="B9" s="7" t="s">
        <v>19</v>
      </c>
      <c r="C9" s="7"/>
      <c r="D9" s="7"/>
      <c r="E9" s="7"/>
      <c r="F9" s="7"/>
      <c r="G9" s="7"/>
      <c r="H9" s="7"/>
      <c r="I9" s="5"/>
    </row>
    <row r="10" spans="1:10" x14ac:dyDescent="0.3">
      <c r="A10" s="4" t="s">
        <v>33</v>
      </c>
      <c r="B10" s="7"/>
      <c r="C10" s="7"/>
      <c r="D10" s="7"/>
      <c r="E10" s="7"/>
      <c r="F10" s="7"/>
      <c r="G10" s="7"/>
      <c r="H10" s="7"/>
      <c r="I10" s="5"/>
    </row>
    <row r="11" spans="1:10" x14ac:dyDescent="0.3">
      <c r="A11" s="109" t="s">
        <v>163</v>
      </c>
    </row>
    <row r="12" spans="1:10" x14ac:dyDescent="0.3">
      <c r="A12" s="111" t="s">
        <v>164</v>
      </c>
      <c r="B12" s="63">
        <v>1</v>
      </c>
      <c r="C12" s="63">
        <v>1</v>
      </c>
      <c r="D12" s="63">
        <f t="shared" ref="D12:D14" si="0">B12*C12</f>
        <v>1</v>
      </c>
      <c r="E12" s="63">
        <f>'YR1'!F31</f>
        <v>0</v>
      </c>
      <c r="F12" s="7">
        <f t="shared" ref="F12:F14" si="1">D12*E12</f>
        <v>0</v>
      </c>
      <c r="G12" s="7">
        <f t="shared" ref="G12:G14" si="2">F12*0.05</f>
        <v>0</v>
      </c>
      <c r="H12" s="7">
        <f t="shared" ref="H12:H14" si="3">F12*0.1</f>
        <v>0</v>
      </c>
      <c r="I12" s="6">
        <f t="shared" ref="I12:I14" si="4">F12*$F$2+G12*$G$2+H12*$H$2</f>
        <v>0</v>
      </c>
    </row>
    <row r="13" spans="1:10" x14ac:dyDescent="0.3">
      <c r="A13" s="111" t="s">
        <v>165</v>
      </c>
      <c r="B13" s="63">
        <v>0.5</v>
      </c>
      <c r="C13" s="63">
        <v>1</v>
      </c>
      <c r="D13" s="63">
        <f t="shared" si="0"/>
        <v>0.5</v>
      </c>
      <c r="E13" s="63">
        <f>'YR1'!F32</f>
        <v>0</v>
      </c>
      <c r="F13" s="7">
        <f t="shared" si="1"/>
        <v>0</v>
      </c>
      <c r="G13" s="7">
        <f t="shared" si="2"/>
        <v>0</v>
      </c>
      <c r="H13" s="7">
        <f t="shared" si="3"/>
        <v>0</v>
      </c>
      <c r="I13" s="6">
        <f t="shared" si="4"/>
        <v>0</v>
      </c>
    </row>
    <row r="14" spans="1:10" ht="26" x14ac:dyDescent="0.3">
      <c r="A14" s="111" t="s">
        <v>166</v>
      </c>
      <c r="B14" s="63">
        <v>0.5</v>
      </c>
      <c r="C14" s="63">
        <v>1</v>
      </c>
      <c r="D14" s="63">
        <f t="shared" si="0"/>
        <v>0.5</v>
      </c>
      <c r="E14" s="63">
        <f>'YR1'!F27</f>
        <v>0</v>
      </c>
      <c r="F14" s="7">
        <f t="shared" si="1"/>
        <v>0</v>
      </c>
      <c r="G14" s="7">
        <f t="shared" si="2"/>
        <v>0</v>
      </c>
      <c r="H14" s="7">
        <f t="shared" si="3"/>
        <v>0</v>
      </c>
      <c r="I14" s="6">
        <f t="shared" si="4"/>
        <v>0</v>
      </c>
    </row>
    <row r="15" spans="1:10" ht="15.5" x14ac:dyDescent="0.3">
      <c r="A15" s="111" t="s">
        <v>167</v>
      </c>
      <c r="B15" s="7">
        <v>1.5</v>
      </c>
      <c r="C15" s="7">
        <v>1</v>
      </c>
      <c r="D15" s="7">
        <f>B15*C15</f>
        <v>1.5</v>
      </c>
      <c r="E15" s="7">
        <v>0</v>
      </c>
      <c r="F15" s="7">
        <f>D15*E15</f>
        <v>0</v>
      </c>
      <c r="G15" s="7">
        <f>F15*0.05</f>
        <v>0</v>
      </c>
      <c r="H15" s="7">
        <f>F15*0.1</f>
        <v>0</v>
      </c>
      <c r="I15" s="6">
        <f>F15*$F$2+G15*$G$2+H15*$H$2</f>
        <v>0</v>
      </c>
    </row>
    <row r="16" spans="1:10" x14ac:dyDescent="0.3">
      <c r="A16" s="4" t="s">
        <v>90</v>
      </c>
      <c r="B16" s="7"/>
      <c r="C16" s="7"/>
      <c r="D16" s="7"/>
      <c r="E16" s="7"/>
      <c r="F16" s="7"/>
      <c r="G16" s="7"/>
      <c r="H16" s="7"/>
      <c r="I16" s="6"/>
    </row>
    <row r="17" spans="1:11" ht="15.5" x14ac:dyDescent="0.3">
      <c r="A17" s="45" t="s">
        <v>87</v>
      </c>
      <c r="B17" s="7">
        <v>40</v>
      </c>
      <c r="C17" s="7">
        <v>1</v>
      </c>
      <c r="D17" s="7">
        <f t="shared" ref="D17:D24" si="5">B17*C17</f>
        <v>40</v>
      </c>
      <c r="E17" s="7">
        <v>0</v>
      </c>
      <c r="F17" s="7">
        <f t="shared" ref="F17:F24" si="6">D17*E17</f>
        <v>0</v>
      </c>
      <c r="G17" s="7">
        <f t="shared" ref="G17:G24" si="7">F17*0.05</f>
        <v>0</v>
      </c>
      <c r="H17" s="7">
        <f t="shared" ref="H17:H24" si="8">F17*0.1</f>
        <v>0</v>
      </c>
      <c r="I17" s="6">
        <f t="shared" ref="I17:I24" si="9">F17*$F$2+G17*$G$2+H17*$H$2</f>
        <v>0</v>
      </c>
    </row>
    <row r="18" spans="1:11" ht="15.5" x14ac:dyDescent="0.3">
      <c r="A18" s="45" t="s">
        <v>88</v>
      </c>
      <c r="B18" s="7">
        <v>10</v>
      </c>
      <c r="C18" s="7">
        <v>1</v>
      </c>
      <c r="D18" s="7">
        <f t="shared" si="5"/>
        <v>10</v>
      </c>
      <c r="E18" s="7">
        <v>0</v>
      </c>
      <c r="F18" s="7">
        <f t="shared" ref="F18" si="10">D18*E18</f>
        <v>0</v>
      </c>
      <c r="G18" s="7">
        <f t="shared" ref="G18" si="11">F18*0.05</f>
        <v>0</v>
      </c>
      <c r="H18" s="7">
        <f t="shared" ref="H18" si="12">F18*0.1</f>
        <v>0</v>
      </c>
      <c r="I18" s="6">
        <f t="shared" ref="I18" si="13">F18*$F$2+G18*$G$2+H18*$H$2</f>
        <v>0</v>
      </c>
    </row>
    <row r="19" spans="1:11" x14ac:dyDescent="0.3">
      <c r="A19" s="4" t="s">
        <v>34</v>
      </c>
      <c r="B19" s="7"/>
      <c r="C19" s="7"/>
      <c r="D19" s="7"/>
      <c r="E19" s="7"/>
      <c r="F19" s="7"/>
      <c r="G19" s="7"/>
      <c r="H19" s="7"/>
      <c r="I19" s="6"/>
    </row>
    <row r="20" spans="1:11" ht="26" x14ac:dyDescent="0.3">
      <c r="A20" s="111" t="s">
        <v>168</v>
      </c>
      <c r="B20" s="7">
        <v>40</v>
      </c>
      <c r="C20" s="7">
        <v>1</v>
      </c>
      <c r="D20" s="7">
        <f t="shared" si="5"/>
        <v>40</v>
      </c>
      <c r="E20" s="7">
        <f>'YR2'!F37</f>
        <v>0</v>
      </c>
      <c r="F20" s="7">
        <f t="shared" si="6"/>
        <v>0</v>
      </c>
      <c r="G20" s="7">
        <f t="shared" si="7"/>
        <v>0</v>
      </c>
      <c r="H20" s="7">
        <f t="shared" si="8"/>
        <v>0</v>
      </c>
      <c r="I20" s="6">
        <f t="shared" si="9"/>
        <v>0</v>
      </c>
    </row>
    <row r="21" spans="1:11" ht="26" x14ac:dyDescent="0.3">
      <c r="A21" s="111" t="s">
        <v>169</v>
      </c>
      <c r="B21" s="7">
        <v>10</v>
      </c>
      <c r="C21" s="7">
        <v>1</v>
      </c>
      <c r="D21" s="7">
        <f t="shared" ref="D21" si="14">B21*C21</f>
        <v>10</v>
      </c>
      <c r="E21" s="7">
        <f>'YR2'!F38</f>
        <v>25</v>
      </c>
      <c r="F21" s="7">
        <f t="shared" ref="F21" si="15">D21*E21</f>
        <v>250</v>
      </c>
      <c r="G21" s="7">
        <f t="shared" ref="G21" si="16">F21*0.05</f>
        <v>12.5</v>
      </c>
      <c r="H21" s="7">
        <f t="shared" ref="H21" si="17">F21*0.1</f>
        <v>25</v>
      </c>
      <c r="I21" s="6">
        <f t="shared" ref="I21" si="18">F21*$F$2+G21*$G$2+H21*$H$2</f>
        <v>16000.875</v>
      </c>
    </row>
    <row r="22" spans="1:11" x14ac:dyDescent="0.3">
      <c r="A22" s="111" t="s">
        <v>170</v>
      </c>
      <c r="B22" s="7">
        <v>10</v>
      </c>
      <c r="C22" s="7">
        <v>1</v>
      </c>
      <c r="D22" s="7">
        <f t="shared" si="5"/>
        <v>10</v>
      </c>
      <c r="E22" s="7">
        <f>'YR2'!F39</f>
        <v>29</v>
      </c>
      <c r="F22" s="7">
        <f t="shared" ref="F22" si="19">D22*E22</f>
        <v>290</v>
      </c>
      <c r="G22" s="7">
        <f t="shared" ref="G22" si="20">F22*0.05</f>
        <v>14.5</v>
      </c>
      <c r="H22" s="7">
        <f t="shared" ref="H22" si="21">F22*0.1</f>
        <v>29</v>
      </c>
      <c r="I22" s="6">
        <f t="shared" ref="I22" si="22">F22*$F$2+G22*$G$2+H22*$H$2</f>
        <v>18561.014999999999</v>
      </c>
    </row>
    <row r="23" spans="1:11" x14ac:dyDescent="0.3">
      <c r="A23" s="4" t="s">
        <v>35</v>
      </c>
      <c r="B23" s="7">
        <v>16</v>
      </c>
      <c r="C23" s="7">
        <v>2</v>
      </c>
      <c r="D23" s="7">
        <f t="shared" si="5"/>
        <v>32</v>
      </c>
      <c r="E23" s="7">
        <f>'YR2'!F40</f>
        <v>3</v>
      </c>
      <c r="F23" s="7">
        <f t="shared" si="6"/>
        <v>96</v>
      </c>
      <c r="G23" s="7">
        <f t="shared" si="7"/>
        <v>4.8000000000000007</v>
      </c>
      <c r="H23" s="7">
        <f t="shared" si="8"/>
        <v>9.6000000000000014</v>
      </c>
      <c r="I23" s="6">
        <f t="shared" si="9"/>
        <v>6144.3360000000002</v>
      </c>
    </row>
    <row r="24" spans="1:11" ht="15.5" x14ac:dyDescent="0.3">
      <c r="A24" s="4" t="s">
        <v>36</v>
      </c>
      <c r="B24" s="7">
        <v>16</v>
      </c>
      <c r="C24" s="7">
        <v>1</v>
      </c>
      <c r="D24" s="7">
        <f t="shared" si="5"/>
        <v>16</v>
      </c>
      <c r="E24" s="7">
        <v>0</v>
      </c>
      <c r="F24" s="7">
        <f t="shared" si="6"/>
        <v>0</v>
      </c>
      <c r="G24" s="7">
        <f t="shared" si="7"/>
        <v>0</v>
      </c>
      <c r="H24" s="7">
        <f t="shared" si="8"/>
        <v>0</v>
      </c>
      <c r="I24" s="6">
        <f t="shared" si="9"/>
        <v>0</v>
      </c>
    </row>
    <row r="25" spans="1:11" ht="28" x14ac:dyDescent="0.3">
      <c r="A25" s="14" t="s">
        <v>204</v>
      </c>
      <c r="B25" s="7"/>
      <c r="C25" s="7"/>
      <c r="D25" s="7"/>
      <c r="E25" s="7"/>
      <c r="F25" s="15">
        <f>SUM(F5:F24)</f>
        <v>636</v>
      </c>
      <c r="G25" s="15">
        <f>SUM(G5:G24)</f>
        <v>31.8</v>
      </c>
      <c r="H25" s="15">
        <f>SUM(H5:H24)</f>
        <v>63.6</v>
      </c>
      <c r="I25" s="8">
        <f>ROUND(SUM(I6:I24),-3)</f>
        <v>41000</v>
      </c>
    </row>
    <row r="27" spans="1:11" x14ac:dyDescent="0.3">
      <c r="A27" s="1" t="s">
        <v>23</v>
      </c>
    </row>
    <row r="28" spans="1:11" ht="24" customHeight="1" x14ac:dyDescent="0.3">
      <c r="A28" s="160" t="s">
        <v>125</v>
      </c>
      <c r="B28" s="160"/>
      <c r="C28" s="160"/>
      <c r="D28" s="160"/>
      <c r="E28" s="160"/>
      <c r="F28" s="160"/>
      <c r="G28" s="160"/>
      <c r="H28" s="160"/>
      <c r="I28" s="160"/>
      <c r="J28" s="160"/>
      <c r="K28" s="160"/>
    </row>
    <row r="29" spans="1:11" ht="38.25" customHeight="1" x14ac:dyDescent="0.3">
      <c r="A29" s="169" t="s">
        <v>155</v>
      </c>
      <c r="B29" s="169"/>
      <c r="C29" s="169"/>
      <c r="D29" s="169"/>
      <c r="E29" s="169"/>
      <c r="F29" s="169"/>
      <c r="G29" s="169"/>
      <c r="H29" s="169"/>
      <c r="I29" s="169"/>
      <c r="J29" s="65"/>
      <c r="K29" s="65"/>
    </row>
    <row r="30" spans="1:11" ht="18.649999999999999" customHeight="1" x14ac:dyDescent="0.3">
      <c r="A30" s="169" t="s">
        <v>154</v>
      </c>
      <c r="B30" s="169"/>
      <c r="C30" s="169"/>
      <c r="D30" s="169"/>
      <c r="E30" s="169"/>
      <c r="F30" s="169"/>
      <c r="G30" s="169"/>
      <c r="H30" s="169"/>
      <c r="I30" s="169"/>
      <c r="J30" s="65"/>
      <c r="K30" s="65"/>
    </row>
    <row r="31" spans="1:11" ht="18.5" x14ac:dyDescent="0.3">
      <c r="A31" s="107" t="s">
        <v>205</v>
      </c>
      <c r="B31" s="65"/>
      <c r="C31" s="65"/>
      <c r="D31" s="65"/>
      <c r="E31" s="65"/>
      <c r="F31" s="65"/>
      <c r="G31" s="65"/>
      <c r="H31" s="65"/>
      <c r="I31" s="65"/>
      <c r="J31" s="65"/>
      <c r="K31" s="65"/>
    </row>
  </sheetData>
  <mergeCells count="4">
    <mergeCell ref="A3:A4"/>
    <mergeCell ref="A29:I29"/>
    <mergeCell ref="A30:I30"/>
    <mergeCell ref="A28:K28"/>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64A4-A7A7-4692-B01C-45E243107911}">
  <dimension ref="A1:K31"/>
  <sheetViews>
    <sheetView topLeftCell="A13" workbookViewId="0">
      <selection activeCell="E22" sqref="E22"/>
    </sheetView>
  </sheetViews>
  <sheetFormatPr defaultColWidth="9.1796875" defaultRowHeight="14" x14ac:dyDescent="0.3"/>
  <cols>
    <col min="1" max="1" width="41.453125" style="3" customWidth="1"/>
    <col min="2" max="8" width="12.1796875" style="3" customWidth="1"/>
    <col min="9" max="9" width="15.26953125" style="3" customWidth="1"/>
    <col min="10" max="16384" width="9.1796875" style="3"/>
  </cols>
  <sheetData>
    <row r="1" spans="1:10" ht="15" x14ac:dyDescent="0.3">
      <c r="A1" s="2" t="s">
        <v>183</v>
      </c>
    </row>
    <row r="2" spans="1:10" x14ac:dyDescent="0.3">
      <c r="F2" s="3">
        <v>57.07</v>
      </c>
      <c r="G2" s="3">
        <v>76.91</v>
      </c>
      <c r="H2" s="3">
        <v>30.88</v>
      </c>
      <c r="J2" s="3" t="s">
        <v>96</v>
      </c>
    </row>
    <row r="3" spans="1:10" x14ac:dyDescent="0.3">
      <c r="A3" s="168" t="s">
        <v>25</v>
      </c>
      <c r="B3" s="13" t="s">
        <v>1</v>
      </c>
      <c r="C3" s="13" t="s">
        <v>2</v>
      </c>
      <c r="D3" s="13" t="s">
        <v>3</v>
      </c>
      <c r="E3" s="13" t="s">
        <v>4</v>
      </c>
      <c r="F3" s="13" t="s">
        <v>5</v>
      </c>
      <c r="G3" s="13" t="s">
        <v>6</v>
      </c>
      <c r="H3" s="13" t="s">
        <v>7</v>
      </c>
      <c r="I3" s="13" t="s">
        <v>8</v>
      </c>
    </row>
    <row r="4" spans="1:10" ht="52" x14ac:dyDescent="0.3">
      <c r="A4" s="168"/>
      <c r="B4" s="13" t="s">
        <v>26</v>
      </c>
      <c r="C4" s="13" t="s">
        <v>27</v>
      </c>
      <c r="D4" s="13" t="s">
        <v>37</v>
      </c>
      <c r="E4" s="13" t="s">
        <v>28</v>
      </c>
      <c r="F4" s="13" t="s">
        <v>24</v>
      </c>
      <c r="G4" s="13" t="s">
        <v>38</v>
      </c>
      <c r="H4" s="13" t="s">
        <v>39</v>
      </c>
      <c r="I4" s="13" t="s">
        <v>29</v>
      </c>
    </row>
    <row r="5" spans="1:10" x14ac:dyDescent="0.3">
      <c r="A5" s="4" t="s">
        <v>9</v>
      </c>
      <c r="B5" s="7" t="s">
        <v>10</v>
      </c>
      <c r="C5" s="7"/>
      <c r="D5" s="7"/>
      <c r="E5" s="7"/>
      <c r="F5" s="7"/>
      <c r="G5" s="7"/>
      <c r="H5" s="7"/>
      <c r="I5" s="5"/>
    </row>
    <row r="6" spans="1:10" x14ac:dyDescent="0.3">
      <c r="A6" s="4" t="s">
        <v>40</v>
      </c>
      <c r="B6" s="7" t="s">
        <v>10</v>
      </c>
      <c r="C6" s="7"/>
      <c r="D6" s="7"/>
      <c r="E6" s="7"/>
      <c r="F6" s="7"/>
      <c r="G6" s="7"/>
      <c r="H6" s="7"/>
      <c r="I6" s="6"/>
    </row>
    <row r="7" spans="1:10" x14ac:dyDescent="0.3">
      <c r="A7" s="4" t="s">
        <v>30</v>
      </c>
      <c r="B7" s="7"/>
      <c r="C7" s="7"/>
      <c r="D7" s="7"/>
      <c r="E7" s="7"/>
      <c r="F7" s="7"/>
      <c r="G7" s="7"/>
      <c r="H7" s="7"/>
      <c r="I7" s="5"/>
    </row>
    <row r="8" spans="1:10" x14ac:dyDescent="0.3">
      <c r="A8" s="4" t="s">
        <v>31</v>
      </c>
      <c r="B8" s="7" t="s">
        <v>10</v>
      </c>
      <c r="C8" s="7"/>
      <c r="D8" s="7"/>
      <c r="E8" s="7"/>
      <c r="F8" s="7"/>
      <c r="G8" s="7"/>
      <c r="H8" s="7"/>
      <c r="I8" s="5"/>
    </row>
    <row r="9" spans="1:10" x14ac:dyDescent="0.3">
      <c r="A9" s="4" t="s">
        <v>32</v>
      </c>
      <c r="B9" s="7" t="s">
        <v>19</v>
      </c>
      <c r="C9" s="7"/>
      <c r="D9" s="7"/>
      <c r="E9" s="7"/>
      <c r="F9" s="7"/>
      <c r="G9" s="7"/>
      <c r="H9" s="7"/>
      <c r="I9" s="5"/>
    </row>
    <row r="10" spans="1:10" x14ac:dyDescent="0.3">
      <c r="A10" s="4" t="s">
        <v>33</v>
      </c>
      <c r="B10" s="7"/>
      <c r="C10" s="7"/>
      <c r="D10" s="7"/>
      <c r="E10" s="7"/>
      <c r="F10" s="7"/>
      <c r="G10" s="7"/>
      <c r="H10" s="7"/>
      <c r="I10" s="5"/>
    </row>
    <row r="11" spans="1:10" x14ac:dyDescent="0.3">
      <c r="A11" s="109" t="s">
        <v>163</v>
      </c>
    </row>
    <row r="12" spans="1:10" x14ac:dyDescent="0.3">
      <c r="A12" s="111" t="s">
        <v>164</v>
      </c>
      <c r="B12" s="63">
        <v>1</v>
      </c>
      <c r="C12" s="63">
        <v>1</v>
      </c>
      <c r="D12" s="63">
        <f t="shared" ref="D12:D14" si="0">B12*C12</f>
        <v>1</v>
      </c>
      <c r="E12" s="63">
        <v>0</v>
      </c>
      <c r="F12" s="7">
        <f t="shared" ref="F12:F14" si="1">D12*E12</f>
        <v>0</v>
      </c>
      <c r="G12" s="7">
        <f t="shared" ref="G12:G14" si="2">F12*0.05</f>
        <v>0</v>
      </c>
      <c r="H12" s="7">
        <f t="shared" ref="H12:H14" si="3">F12*0.1</f>
        <v>0</v>
      </c>
      <c r="I12" s="6">
        <f t="shared" ref="I12:I14" si="4">F12*$F$2+G12*$G$2+H12*$H$2</f>
        <v>0</v>
      </c>
    </row>
    <row r="13" spans="1:10" x14ac:dyDescent="0.3">
      <c r="A13" s="111" t="s">
        <v>165</v>
      </c>
      <c r="B13" s="63">
        <v>0.5</v>
      </c>
      <c r="C13" s="63">
        <v>1</v>
      </c>
      <c r="D13" s="63">
        <f t="shared" si="0"/>
        <v>0.5</v>
      </c>
      <c r="E13" s="63">
        <v>0</v>
      </c>
      <c r="F13" s="7">
        <f t="shared" si="1"/>
        <v>0</v>
      </c>
      <c r="G13" s="7">
        <f t="shared" si="2"/>
        <v>0</v>
      </c>
      <c r="H13" s="7">
        <f t="shared" si="3"/>
        <v>0</v>
      </c>
      <c r="I13" s="6">
        <f t="shared" si="4"/>
        <v>0</v>
      </c>
    </row>
    <row r="14" spans="1:10" ht="26" x14ac:dyDescent="0.3">
      <c r="A14" s="111" t="s">
        <v>166</v>
      </c>
      <c r="B14" s="63">
        <v>0.5</v>
      </c>
      <c r="C14" s="63">
        <v>1</v>
      </c>
      <c r="D14" s="63">
        <f t="shared" si="0"/>
        <v>0.5</v>
      </c>
      <c r="E14" s="63">
        <v>0</v>
      </c>
      <c r="F14" s="7">
        <f t="shared" si="1"/>
        <v>0</v>
      </c>
      <c r="G14" s="7">
        <f t="shared" si="2"/>
        <v>0</v>
      </c>
      <c r="H14" s="7">
        <f t="shared" si="3"/>
        <v>0</v>
      </c>
      <c r="I14" s="6">
        <f t="shared" si="4"/>
        <v>0</v>
      </c>
    </row>
    <row r="15" spans="1:10" ht="15.5" x14ac:dyDescent="0.3">
      <c r="A15" s="111" t="s">
        <v>167</v>
      </c>
      <c r="B15" s="7">
        <v>1.5</v>
      </c>
      <c r="C15" s="7">
        <v>1</v>
      </c>
      <c r="D15" s="7">
        <f>B15*C15</f>
        <v>1.5</v>
      </c>
      <c r="E15" s="7">
        <v>0</v>
      </c>
      <c r="F15" s="7">
        <f>D15*E15</f>
        <v>0</v>
      </c>
      <c r="G15" s="7">
        <f>F15*0.05</f>
        <v>0</v>
      </c>
      <c r="H15" s="7">
        <f>F15*0.1</f>
        <v>0</v>
      </c>
      <c r="I15" s="6">
        <f>F15*$F$2+G15*$G$2+H15*$H$2</f>
        <v>0</v>
      </c>
    </row>
    <row r="16" spans="1:10" x14ac:dyDescent="0.3">
      <c r="A16" s="4" t="s">
        <v>90</v>
      </c>
      <c r="B16" s="7"/>
      <c r="C16" s="7"/>
      <c r="D16" s="7"/>
      <c r="E16" s="7"/>
      <c r="F16" s="7"/>
      <c r="G16" s="7"/>
      <c r="H16" s="7"/>
      <c r="I16" s="6"/>
    </row>
    <row r="17" spans="1:11" ht="15.5" x14ac:dyDescent="0.3">
      <c r="A17" s="45" t="s">
        <v>87</v>
      </c>
      <c r="B17" s="7">
        <v>40</v>
      </c>
      <c r="C17" s="7">
        <v>1</v>
      </c>
      <c r="D17" s="7">
        <f t="shared" ref="D17:D24" si="5">B17*C17</f>
        <v>40</v>
      </c>
      <c r="E17" s="7">
        <v>0</v>
      </c>
      <c r="F17" s="7">
        <f t="shared" ref="F17:F24" si="6">D17*E17</f>
        <v>0</v>
      </c>
      <c r="G17" s="7">
        <f t="shared" ref="G17:G24" si="7">F17*0.05</f>
        <v>0</v>
      </c>
      <c r="H17" s="7">
        <f t="shared" ref="H17:H24" si="8">F17*0.1</f>
        <v>0</v>
      </c>
      <c r="I17" s="6">
        <f t="shared" ref="I17:I24" si="9">F17*$F$2+G17*$G$2+H17*$H$2</f>
        <v>0</v>
      </c>
    </row>
    <row r="18" spans="1:11" ht="15.5" x14ac:dyDescent="0.3">
      <c r="A18" s="45" t="s">
        <v>88</v>
      </c>
      <c r="B18" s="7">
        <v>10</v>
      </c>
      <c r="C18" s="7">
        <v>1</v>
      </c>
      <c r="D18" s="7">
        <f t="shared" si="5"/>
        <v>10</v>
      </c>
      <c r="E18" s="7">
        <v>0</v>
      </c>
      <c r="F18" s="7">
        <f t="shared" ref="F18" si="10">D18*E18</f>
        <v>0</v>
      </c>
      <c r="G18" s="7">
        <f t="shared" ref="G18" si="11">F18*0.05</f>
        <v>0</v>
      </c>
      <c r="H18" s="7">
        <f t="shared" ref="H18" si="12">F18*0.1</f>
        <v>0</v>
      </c>
      <c r="I18" s="6">
        <f t="shared" ref="I18" si="13">F18*$F$2+G18*$G$2+H18*$H$2</f>
        <v>0</v>
      </c>
    </row>
    <row r="19" spans="1:11" x14ac:dyDescent="0.3">
      <c r="A19" s="4" t="s">
        <v>34</v>
      </c>
      <c r="B19" s="7"/>
      <c r="C19" s="7"/>
      <c r="D19" s="7"/>
      <c r="E19" s="7"/>
      <c r="F19" s="7"/>
      <c r="G19" s="7"/>
      <c r="H19" s="7"/>
      <c r="I19" s="6"/>
    </row>
    <row r="20" spans="1:11" ht="26" x14ac:dyDescent="0.3">
      <c r="A20" s="111" t="s">
        <v>168</v>
      </c>
      <c r="B20" s="7">
        <v>40</v>
      </c>
      <c r="C20" s="7">
        <v>1</v>
      </c>
      <c r="D20" s="7">
        <f t="shared" si="5"/>
        <v>40</v>
      </c>
      <c r="E20" s="7">
        <f>'YR3'!F37</f>
        <v>0</v>
      </c>
      <c r="F20" s="7">
        <f t="shared" si="6"/>
        <v>0</v>
      </c>
      <c r="G20" s="7">
        <f t="shared" si="7"/>
        <v>0</v>
      </c>
      <c r="H20" s="7">
        <f t="shared" si="8"/>
        <v>0</v>
      </c>
      <c r="I20" s="6">
        <f t="shared" si="9"/>
        <v>0</v>
      </c>
    </row>
    <row r="21" spans="1:11" ht="26" x14ac:dyDescent="0.3">
      <c r="A21" s="111" t="s">
        <v>169</v>
      </c>
      <c r="B21" s="7">
        <v>10</v>
      </c>
      <c r="C21" s="7">
        <v>1</v>
      </c>
      <c r="D21" s="7">
        <f t="shared" ref="D21" si="14">B21*C21</f>
        <v>10</v>
      </c>
      <c r="E21" s="7">
        <f>'YR3'!F38</f>
        <v>25</v>
      </c>
      <c r="F21" s="7">
        <f t="shared" ref="F21" si="15">D21*E21</f>
        <v>250</v>
      </c>
      <c r="G21" s="7">
        <f t="shared" ref="G21" si="16">F21*0.05</f>
        <v>12.5</v>
      </c>
      <c r="H21" s="7">
        <f t="shared" ref="H21" si="17">F21*0.1</f>
        <v>25</v>
      </c>
      <c r="I21" s="6">
        <f t="shared" ref="I21" si="18">F21*$F$2+G21*$G$2+H21*$H$2</f>
        <v>16000.875</v>
      </c>
    </row>
    <row r="22" spans="1:11" x14ac:dyDescent="0.3">
      <c r="A22" s="111" t="s">
        <v>170</v>
      </c>
      <c r="B22" s="7">
        <v>10</v>
      </c>
      <c r="C22" s="7">
        <v>1</v>
      </c>
      <c r="D22" s="7">
        <f t="shared" si="5"/>
        <v>10</v>
      </c>
      <c r="E22" s="7">
        <f>'YR3'!F39</f>
        <v>29</v>
      </c>
      <c r="F22" s="7">
        <f t="shared" ref="F22" si="19">D22*E22</f>
        <v>290</v>
      </c>
      <c r="G22" s="7">
        <f t="shared" ref="G22" si="20">F22*0.05</f>
        <v>14.5</v>
      </c>
      <c r="H22" s="7">
        <f t="shared" ref="H22" si="21">F22*0.1</f>
        <v>29</v>
      </c>
      <c r="I22" s="6">
        <f t="shared" ref="I22" si="22">F22*$F$2+G22*$G$2+H22*$H$2</f>
        <v>18561.014999999999</v>
      </c>
    </row>
    <row r="23" spans="1:11" x14ac:dyDescent="0.3">
      <c r="A23" s="4" t="s">
        <v>35</v>
      </c>
      <c r="B23" s="7">
        <v>16</v>
      </c>
      <c r="C23" s="7">
        <v>2</v>
      </c>
      <c r="D23" s="7">
        <f t="shared" si="5"/>
        <v>32</v>
      </c>
      <c r="E23" s="7">
        <f>'YR3'!F40</f>
        <v>3</v>
      </c>
      <c r="F23" s="7">
        <f t="shared" si="6"/>
        <v>96</v>
      </c>
      <c r="G23" s="7">
        <f t="shared" si="7"/>
        <v>4.8000000000000007</v>
      </c>
      <c r="H23" s="7">
        <f t="shared" si="8"/>
        <v>9.6000000000000014</v>
      </c>
      <c r="I23" s="6">
        <f t="shared" si="9"/>
        <v>6144.3360000000002</v>
      </c>
    </row>
    <row r="24" spans="1:11" ht="15.5" x14ac:dyDescent="0.3">
      <c r="A24" s="4" t="s">
        <v>36</v>
      </c>
      <c r="B24" s="7">
        <v>16</v>
      </c>
      <c r="C24" s="7">
        <v>1</v>
      </c>
      <c r="D24" s="7">
        <f t="shared" si="5"/>
        <v>16</v>
      </c>
      <c r="E24" s="7">
        <v>0</v>
      </c>
      <c r="F24" s="7">
        <f t="shared" si="6"/>
        <v>0</v>
      </c>
      <c r="G24" s="7">
        <f t="shared" si="7"/>
        <v>0</v>
      </c>
      <c r="H24" s="7">
        <f t="shared" si="8"/>
        <v>0</v>
      </c>
      <c r="I24" s="6">
        <f t="shared" si="9"/>
        <v>0</v>
      </c>
    </row>
    <row r="25" spans="1:11" ht="28" x14ac:dyDescent="0.3">
      <c r="A25" s="14" t="s">
        <v>204</v>
      </c>
      <c r="B25" s="7"/>
      <c r="C25" s="7"/>
      <c r="D25" s="7"/>
      <c r="E25" s="7"/>
      <c r="F25" s="15">
        <f>SUM(F5:F24)</f>
        <v>636</v>
      </c>
      <c r="G25" s="15">
        <f>SUM(G5:G24)</f>
        <v>31.8</v>
      </c>
      <c r="H25" s="15">
        <f>SUM(H5:H24)</f>
        <v>63.6</v>
      </c>
      <c r="I25" s="8">
        <f>ROUND(SUM(I6:I24),-3)</f>
        <v>41000</v>
      </c>
    </row>
    <row r="27" spans="1:11" x14ac:dyDescent="0.3">
      <c r="A27" s="1" t="s">
        <v>23</v>
      </c>
    </row>
    <row r="28" spans="1:11" ht="67.5" customHeight="1" x14ac:dyDescent="0.3">
      <c r="A28" s="160" t="s">
        <v>125</v>
      </c>
      <c r="B28" s="160"/>
      <c r="C28" s="160"/>
      <c r="D28" s="160"/>
      <c r="E28" s="160"/>
      <c r="F28" s="160"/>
      <c r="G28" s="160"/>
      <c r="H28" s="160"/>
      <c r="I28" s="160"/>
      <c r="J28" s="160"/>
      <c r="K28" s="160"/>
    </row>
    <row r="29" spans="1:11" ht="38.25" customHeight="1" x14ac:dyDescent="0.3">
      <c r="A29" s="169" t="s">
        <v>155</v>
      </c>
      <c r="B29" s="169"/>
      <c r="C29" s="169"/>
      <c r="D29" s="169"/>
      <c r="E29" s="169"/>
      <c r="F29" s="169"/>
      <c r="G29" s="169"/>
      <c r="H29" s="169"/>
      <c r="I29" s="169"/>
      <c r="J29" s="65"/>
      <c r="K29" s="65"/>
    </row>
    <row r="30" spans="1:11" ht="18.75" customHeight="1" x14ac:dyDescent="0.3">
      <c r="A30" s="169" t="s">
        <v>154</v>
      </c>
      <c r="B30" s="169"/>
      <c r="C30" s="169"/>
      <c r="D30" s="169"/>
      <c r="E30" s="169"/>
      <c r="F30" s="169"/>
      <c r="G30" s="169"/>
      <c r="H30" s="169"/>
      <c r="I30" s="169"/>
      <c r="J30" s="65"/>
      <c r="K30" s="65"/>
    </row>
    <row r="31" spans="1:11" ht="18.5" x14ac:dyDescent="0.3">
      <c r="A31" s="107" t="s">
        <v>206</v>
      </c>
      <c r="B31" s="65"/>
      <c r="C31" s="65"/>
      <c r="D31" s="65"/>
      <c r="E31" s="65"/>
      <c r="F31" s="65"/>
      <c r="G31" s="65"/>
      <c r="H31" s="65"/>
      <c r="I31" s="65"/>
      <c r="J31" s="65"/>
      <c r="K31" s="65"/>
    </row>
  </sheetData>
  <mergeCells count="4">
    <mergeCell ref="A3:A4"/>
    <mergeCell ref="A29:I29"/>
    <mergeCell ref="A30:I30"/>
    <mergeCell ref="A28:K28"/>
  </mergeCell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A991E-9813-481C-93B8-85006423910C}">
  <dimension ref="A1:I9"/>
  <sheetViews>
    <sheetView workbookViewId="0">
      <selection activeCell="B7" sqref="B7:I7"/>
    </sheetView>
  </sheetViews>
  <sheetFormatPr defaultRowHeight="14.5" x14ac:dyDescent="0.35"/>
  <cols>
    <col min="4" max="4" width="12.26953125" customWidth="1"/>
    <col min="7" max="7" width="10.81640625" customWidth="1"/>
    <col min="9" max="9" width="10.54296875" customWidth="1"/>
  </cols>
  <sheetData>
    <row r="1" spans="1:9" ht="15" thickBot="1" x14ac:dyDescent="0.4">
      <c r="A1" t="s">
        <v>184</v>
      </c>
    </row>
    <row r="2" spans="1:9" ht="39" thickBot="1" x14ac:dyDescent="0.4">
      <c r="B2" s="17" t="s">
        <v>70</v>
      </c>
      <c r="C2" s="18" t="s">
        <v>71</v>
      </c>
      <c r="D2" s="18" t="s">
        <v>73</v>
      </c>
      <c r="E2" s="18" t="s">
        <v>72</v>
      </c>
      <c r="F2" s="18" t="s">
        <v>69</v>
      </c>
      <c r="G2" s="18" t="s">
        <v>75</v>
      </c>
      <c r="H2" s="35" t="s">
        <v>85</v>
      </c>
      <c r="I2" s="19" t="s">
        <v>76</v>
      </c>
    </row>
    <row r="3" spans="1:9" ht="15" thickTop="1" x14ac:dyDescent="0.35">
      <c r="B3" s="20">
        <v>1</v>
      </c>
      <c r="C3" s="21">
        <f>EPA_Yr1!F25</f>
        <v>1823.5</v>
      </c>
      <c r="D3" s="21">
        <f>EPA_Yr1!G25</f>
        <v>91.174999999999997</v>
      </c>
      <c r="E3" s="21">
        <f>EPA_Yr1!H25</f>
        <v>182.35</v>
      </c>
      <c r="F3" s="21">
        <f>SUM(C3:E3)</f>
        <v>2097.0250000000001</v>
      </c>
      <c r="G3" s="22">
        <f>EPA_Yr1!I25</f>
        <v>117000</v>
      </c>
      <c r="H3" s="43">
        <v>0</v>
      </c>
      <c r="I3" s="23">
        <f>+G3+H3</f>
        <v>117000</v>
      </c>
    </row>
    <row r="4" spans="1:9" x14ac:dyDescent="0.35">
      <c r="B4" s="24">
        <v>2</v>
      </c>
      <c r="C4" s="25">
        <f>EPA_Yr2!F25</f>
        <v>636</v>
      </c>
      <c r="D4" s="25">
        <f>EPA_Yr2!G25</f>
        <v>31.8</v>
      </c>
      <c r="E4" s="25">
        <f>EPA_Yr2!H25</f>
        <v>63.6</v>
      </c>
      <c r="F4" s="21">
        <f>SUM(C4:E4)</f>
        <v>731.4</v>
      </c>
      <c r="G4" s="26">
        <f>EPA_Yr2!I25</f>
        <v>41000</v>
      </c>
      <c r="H4" s="48">
        <v>0</v>
      </c>
      <c r="I4" s="27">
        <f>+G4+H4</f>
        <v>41000</v>
      </c>
    </row>
    <row r="5" spans="1:9" ht="15" thickBot="1" x14ac:dyDescent="0.4">
      <c r="B5" s="28">
        <v>3</v>
      </c>
      <c r="C5" s="29">
        <f>EPA_Yr3!F25</f>
        <v>636</v>
      </c>
      <c r="D5" s="29">
        <f>EPA_Yr3!G25</f>
        <v>31.8</v>
      </c>
      <c r="E5" s="29">
        <f>EPA_Yr3!H25</f>
        <v>63.6</v>
      </c>
      <c r="F5" s="29">
        <f>SUM(C5:E5)</f>
        <v>731.4</v>
      </c>
      <c r="G5" s="30">
        <f>EPA_Yr3!I25</f>
        <v>41000</v>
      </c>
      <c r="H5" s="49">
        <v>0</v>
      </c>
      <c r="I5" s="31">
        <f>+G5+H5</f>
        <v>41000</v>
      </c>
    </row>
    <row r="6" spans="1:9" ht="15" thickTop="1" x14ac:dyDescent="0.35">
      <c r="B6" s="20" t="s">
        <v>46</v>
      </c>
      <c r="C6" s="21">
        <f t="shared" ref="C6:I6" si="0">SUM(C3:C5)</f>
        <v>3095.5</v>
      </c>
      <c r="D6" s="21">
        <f t="shared" si="0"/>
        <v>154.77500000000001</v>
      </c>
      <c r="E6" s="21">
        <f t="shared" si="0"/>
        <v>309.55</v>
      </c>
      <c r="F6" s="21">
        <f t="shared" si="0"/>
        <v>3559.8250000000003</v>
      </c>
      <c r="G6" s="22">
        <f t="shared" si="0"/>
        <v>199000</v>
      </c>
      <c r="H6" s="43">
        <f t="shared" si="0"/>
        <v>0</v>
      </c>
      <c r="I6" s="23">
        <f t="shared" si="0"/>
        <v>199000</v>
      </c>
    </row>
    <row r="7" spans="1:9" ht="15" thickBot="1" x14ac:dyDescent="0.4">
      <c r="B7" s="190" t="s">
        <v>77</v>
      </c>
      <c r="C7" s="191">
        <f t="shared" ref="C7:I7" si="1">AVERAGE(C3:C5)</f>
        <v>1031.8333333333333</v>
      </c>
      <c r="D7" s="191">
        <f t="shared" si="1"/>
        <v>51.591666666666669</v>
      </c>
      <c r="E7" s="191">
        <f t="shared" si="1"/>
        <v>103.18333333333334</v>
      </c>
      <c r="F7" s="191">
        <f>AVERAGE(F3:F5)</f>
        <v>1186.6083333333333</v>
      </c>
      <c r="G7" s="192">
        <f>AVERAGE(G3:G5)</f>
        <v>66333.333333333328</v>
      </c>
      <c r="H7" s="192">
        <f t="shared" si="1"/>
        <v>0</v>
      </c>
      <c r="I7" s="193">
        <f t="shared" si="1"/>
        <v>66333.333333333328</v>
      </c>
    </row>
    <row r="9" spans="1:9" x14ac:dyDescent="0.35">
      <c r="B9" s="108" t="s">
        <v>123</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2025-04-02T18:12:33+00:00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axKeywordTaxHTField>
    <Rights xmlns="4ffa91fb-a0ff-4ac5-b2db-65c790d184a4" xsi:nil="true"/>
    <External_x0020_Contributor xmlns="4ffa91fb-a0ff-4ac5-b2db-65c790d184a4" xsi:nil="true"/>
    <Identifier xmlns="4ffa91fb-a0ff-4ac5-b2db-65c790d184a4" xsi:nil="true"/>
    <Creator xmlns="4ffa91fb-a0ff-4ac5-b2db-65c790d184a4">
      <UserInfo>
        <DisplayName/>
        <AccountId xsi:nil="true"/>
        <AccountType/>
      </UserInfo>
    </Creator>
    <Language xmlns="http://schemas.microsoft.com/sharepoint/v3">English</Language>
    <j747ac98061d40f0aa7bd47e1db5675d xmlns="4ffa91fb-a0ff-4ac5-b2db-65c790d184a4">
      <Terms xmlns="http://schemas.microsoft.com/office/infopath/2007/PartnerControls"/>
    </j747ac98061d40f0aa7bd47e1db5675d>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3D61C1C-DC05-4DBF-B40D-E487D6303BEC}">
  <ds:schemaRefs>
    <ds:schemaRef ds:uri="http://schemas.microsoft.com/sharepoint/v3/contenttype/forms"/>
  </ds:schemaRefs>
</ds:datastoreItem>
</file>

<file path=customXml/itemProps2.xml><?xml version="1.0" encoding="utf-8"?>
<ds:datastoreItem xmlns:ds="http://schemas.openxmlformats.org/officeDocument/2006/customXml" ds:itemID="{0EBBA710-C012-4140-9D70-5A6BEF8711B5}">
  <ds:schemaRefs>
    <ds:schemaRef ds:uri="Microsoft.SharePoint.Taxonomy.ContentTypeSync"/>
  </ds:schemaRefs>
</ds:datastoreItem>
</file>

<file path=customXml/itemProps3.xml><?xml version="1.0" encoding="utf-8"?>
<ds:datastoreItem xmlns:ds="http://schemas.openxmlformats.org/officeDocument/2006/customXml" ds:itemID="{5346D374-00E5-4EA9-AD0B-B4388A3B7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42B86F-F496-4E8F-B43A-E968FBD4FF5F}">
  <ds:schemaRefs>
    <ds:schemaRef ds:uri="http://schemas.microsoft.com/office/2006/metadata/properties"/>
    <ds:schemaRef ds:uri="http://schemas.microsoft.com/office/infopath/2007/PartnerControls"/>
    <ds:schemaRef ds:uri="http://schemas.microsoft.com/sharepoint/v3/fields"/>
    <ds:schemaRef ds:uri="4ffa91fb-a0ff-4ac5-b2db-65c790d184a4"/>
    <ds:schemaRef ds:uri="http://schemas.microsoft.com/sharepoint.v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ROCIS Summary</vt:lpstr>
      <vt:lpstr>YR1</vt:lpstr>
      <vt:lpstr>YR2</vt:lpstr>
      <vt:lpstr>YR3</vt:lpstr>
      <vt:lpstr>Respondent Summary</vt:lpstr>
      <vt:lpstr>EPA_Yr1</vt:lpstr>
      <vt:lpstr>EPA_Yr2</vt:lpstr>
      <vt:lpstr>EPA_Yr3</vt:lpstr>
      <vt:lpstr>EPA_Summary</vt:lpstr>
      <vt:lpstr>O&amp;M</vt:lpstr>
      <vt:lpstr>Respondents</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2025-05-14T18:35:43Z</dcterms:created>
  <dcterms:modified xsi:type="dcterms:W3CDTF">2025-06-05T17:53:55Z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Order">
    <vt:r8>6612300</vt:r8>
  </property>
  <property fmtid="{D5CDD505-2E9C-101B-9397-08002B2CF9AE}" pid="4" name="Document_x0020_Type">
    <vt:lpwstr/>
  </property>
  <property fmtid="{D5CDD505-2E9C-101B-9397-08002B2CF9AE}" pid="5" name="MediaServiceImageTags">
    <vt:lpwstr/>
  </property>
  <property fmtid="{D5CDD505-2E9C-101B-9397-08002B2CF9AE}" pid="6" name="ContentTypeId">
    <vt:lpwstr>0x01010052C2644CEF3BE14BA984F9E32D274554</vt:lpwstr>
  </property>
  <property fmtid="{D5CDD505-2E9C-101B-9397-08002B2CF9AE}" pid="7" name="ComplianceAssetId">
    <vt:lpwstr/>
  </property>
  <property fmtid="{D5CDD505-2E9C-101B-9397-08002B2CF9AE}" pid="8" name="EPA Subject">
    <vt:lpwstr/>
  </property>
  <property fmtid="{D5CDD505-2E9C-101B-9397-08002B2CF9AE}" pid="9" name="_ExtendedDescription">
    <vt:lpwstr/>
  </property>
  <property fmtid="{D5CDD505-2E9C-101B-9397-08002B2CF9AE}" pid="10" name="EPA_x0020_Subject">
    <vt:lpwstr/>
  </property>
  <property fmtid="{D5CDD505-2E9C-101B-9397-08002B2CF9AE}" pid="11" name="TriggerFlowInfo">
    <vt:lpwstr/>
  </property>
  <property fmtid="{D5CDD505-2E9C-101B-9397-08002B2CF9AE}" pid="12" name="Document Type">
    <vt:lpwstr/>
  </property>
  <property fmtid="{D5CDD505-2E9C-101B-9397-08002B2CF9AE}" pid="13" name="e3f09c3df709400db2417a7161762d62">
    <vt:lpwstr/>
  </property>
</Properties>
</file>