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ttps://usdagcc-my.sharepoint.com/personal/lynn_gilbert_usda_gov/Documents/Paperwork Reduction Act/0584-0064-Forms Applications Notices/"/>
    </mc:Choice>
  </mc:AlternateContent>
  <xr:revisionPtr revIDLastSave="0" documentId="8_{B6AE2DBA-FA89-40F9-A2BD-DEDE0E14D503}" xr6:coauthVersionLast="47" xr6:coauthVersionMax="47" xr10:uidLastSave="{00000000-0000-0000-0000-000000000000}"/>
  <bookViews>
    <workbookView xWindow="19080" yWindow="-30" windowWidth="25440" windowHeight="15270" xr2:uid="{5CB46A90-7B70-4105-8AB7-5C9E5A21AAE0}"/>
  </bookViews>
  <sheets>
    <sheet name="Burden Calculations" sheetId="1" r:id="rId1"/>
    <sheet name="Assumptions" sheetId="4" r:id="rId2"/>
    <sheet name="Labor Rates" sheetId="5" r:id="rId3"/>
    <sheet name="Total Burden by Burden Type" sheetId="3" r:id="rId4"/>
    <sheet name="Total Burden by Type and Respon" sheetId="7" r:id="rId5"/>
    <sheet name="ESRI_MAPINFO_SHEET" sheetId="6" state="veryHidden" r:id="rId6"/>
    <sheet name="Respon. Cost" sheetId="9" r:id="rId7"/>
    <sheet name="Federal Burde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K68" i="1"/>
  <c r="G69" i="1"/>
  <c r="I69" i="1" s="1"/>
  <c r="K69" i="1" s="1"/>
  <c r="F150" i="1"/>
  <c r="G149" i="1"/>
  <c r="I149" i="1" s="1"/>
  <c r="K149" i="1" s="1"/>
  <c r="G148" i="1"/>
  <c r="I148" i="1" s="1"/>
  <c r="I150" i="1" l="1"/>
  <c r="H150" i="1" s="1"/>
  <c r="K148" i="1"/>
  <c r="K150" i="1" s="1"/>
  <c r="D10" i="8" l="1"/>
  <c r="D9" i="8"/>
  <c r="E144" i="1"/>
  <c r="J76" i="1"/>
  <c r="J75" i="1"/>
  <c r="J61" i="1"/>
  <c r="J59" i="1"/>
  <c r="J64" i="1"/>
  <c r="J66" i="1"/>
  <c r="J65" i="1"/>
  <c r="F78" i="4"/>
  <c r="G75" i="1"/>
  <c r="I75" i="1" s="1"/>
  <c r="E9" i="8"/>
  <c r="E10" i="8" l="1"/>
  <c r="E10" i="5"/>
  <c r="E9" i="5"/>
  <c r="E6" i="5"/>
  <c r="H11" i="7" s="1"/>
  <c r="E7" i="5"/>
  <c r="H6" i="7"/>
  <c r="H9" i="7"/>
  <c r="F38" i="4" l="1"/>
  <c r="F37" i="4"/>
  <c r="F40" i="4"/>
  <c r="F36" i="4"/>
  <c r="F41" i="4"/>
  <c r="G24" i="1"/>
  <c r="F23" i="4"/>
  <c r="F32" i="4"/>
  <c r="G19" i="1"/>
  <c r="E78" i="1"/>
  <c r="G72" i="1" l="1"/>
  <c r="E72" i="1"/>
  <c r="E64" i="1"/>
  <c r="E62" i="1"/>
  <c r="E61" i="1"/>
  <c r="E60" i="1"/>
  <c r="E59" i="1"/>
  <c r="E58" i="1"/>
  <c r="E57" i="1"/>
  <c r="E52" i="1"/>
  <c r="F45" i="4" l="1"/>
  <c r="F84" i="4"/>
  <c r="F56" i="4"/>
  <c r="F55" i="4"/>
  <c r="F25" i="4"/>
  <c r="F20" i="4"/>
  <c r="F19" i="4"/>
  <c r="F18" i="4"/>
  <c r="F17" i="4"/>
  <c r="F16" i="4"/>
  <c r="F46" i="4" l="1"/>
  <c r="F27" i="4"/>
  <c r="F15" i="4"/>
  <c r="F26" i="4" s="1"/>
  <c r="F39" i="4" l="1"/>
  <c r="F44" i="4"/>
  <c r="F8" i="4"/>
  <c r="F81" i="4" l="1"/>
  <c r="G61" i="1"/>
  <c r="F61" i="1" s="1"/>
  <c r="E124" i="1"/>
  <c r="G124" i="1" s="1"/>
  <c r="G52" i="1"/>
  <c r="I52" i="1" s="1"/>
  <c r="G59" i="1"/>
  <c r="F59" i="1" s="1"/>
  <c r="G64" i="1"/>
  <c r="G13" i="1"/>
  <c r="G8" i="1"/>
  <c r="J7" i="3"/>
  <c r="H72" i="1"/>
  <c r="I72" i="1" s="1"/>
  <c r="F72" i="1"/>
  <c r="G10" i="1"/>
  <c r="I10" i="1" s="1"/>
  <c r="F79" i="4"/>
  <c r="F62" i="4"/>
  <c r="F51" i="4"/>
  <c r="F49" i="4"/>
  <c r="F48" i="4"/>
  <c r="G51" i="1" s="1"/>
  <c r="I51" i="1" s="1"/>
  <c r="F47" i="4"/>
  <c r="F43" i="4"/>
  <c r="F42" i="4"/>
  <c r="F34" i="4"/>
  <c r="G38" i="1" s="1"/>
  <c r="F31" i="4"/>
  <c r="G27" i="1"/>
  <c r="I24" i="1"/>
  <c r="F61" i="4"/>
  <c r="F9" i="4"/>
  <c r="E8" i="9"/>
  <c r="J125" i="1"/>
  <c r="J124" i="1"/>
  <c r="J142" i="1"/>
  <c r="J141" i="1"/>
  <c r="J139" i="1"/>
  <c r="J138" i="1"/>
  <c r="J137" i="1"/>
  <c r="J136" i="1"/>
  <c r="J135" i="1"/>
  <c r="J134" i="1"/>
  <c r="J133" i="1"/>
  <c r="J132" i="1"/>
  <c r="J131" i="1"/>
  <c r="J130" i="1"/>
  <c r="J129" i="1"/>
  <c r="J127" i="1"/>
  <c r="J126" i="1"/>
  <c r="J122" i="1"/>
  <c r="J121" i="1"/>
  <c r="J120" i="1"/>
  <c r="J119" i="1"/>
  <c r="J118" i="1"/>
  <c r="J128" i="1"/>
  <c r="J116" i="1"/>
  <c r="J115" i="1"/>
  <c r="J114" i="1"/>
  <c r="J113" i="1"/>
  <c r="J112" i="1"/>
  <c r="J111" i="1"/>
  <c r="J110" i="1"/>
  <c r="J108" i="1"/>
  <c r="J107" i="1"/>
  <c r="J105" i="1"/>
  <c r="J103" i="1"/>
  <c r="J102" i="1"/>
  <c r="J101" i="1"/>
  <c r="J100" i="1"/>
  <c r="J99" i="1"/>
  <c r="J98" i="1"/>
  <c r="J97" i="1"/>
  <c r="J96" i="1"/>
  <c r="J95" i="1"/>
  <c r="J94" i="1"/>
  <c r="J93" i="1"/>
  <c r="J92" i="1"/>
  <c r="J91" i="1"/>
  <c r="J90" i="1"/>
  <c r="J89" i="1"/>
  <c r="J87" i="1"/>
  <c r="J86" i="1"/>
  <c r="J84" i="1"/>
  <c r="F8" i="5"/>
  <c r="F120" i="1"/>
  <c r="F119" i="1"/>
  <c r="E42" i="1"/>
  <c r="F7" i="5"/>
  <c r="H76" i="4"/>
  <c r="E41" i="1"/>
  <c r="E44" i="1"/>
  <c r="E43" i="1"/>
  <c r="E45" i="1"/>
  <c r="E33" i="1"/>
  <c r="E28" i="4"/>
  <c r="H56" i="4"/>
  <c r="H55" i="4"/>
  <c r="E70" i="1"/>
  <c r="C5" i="3" s="1"/>
  <c r="G17" i="1"/>
  <c r="E7" i="9" l="1"/>
  <c r="J20" i="1"/>
  <c r="F6" i="5"/>
  <c r="J8" i="1"/>
  <c r="J18" i="1"/>
  <c r="J27" i="1"/>
  <c r="J38" i="1"/>
  <c r="J47" i="1"/>
  <c r="J60" i="1"/>
  <c r="J52" i="1"/>
  <c r="J58" i="1"/>
  <c r="J17" i="1"/>
  <c r="J37" i="1"/>
  <c r="J45" i="1"/>
  <c r="J10" i="1"/>
  <c r="J19" i="1"/>
  <c r="J29" i="1"/>
  <c r="J39" i="1"/>
  <c r="J48" i="1"/>
  <c r="J62" i="1"/>
  <c r="J11" i="1"/>
  <c r="J21" i="1"/>
  <c r="J31" i="1"/>
  <c r="J49" i="1"/>
  <c r="J50" i="1"/>
  <c r="J13" i="1"/>
  <c r="J22" i="1"/>
  <c r="J33" i="1"/>
  <c r="J41" i="1"/>
  <c r="J51" i="1"/>
  <c r="K51" i="1" s="1"/>
  <c r="J14" i="1"/>
  <c r="J23" i="1"/>
  <c r="J34" i="1"/>
  <c r="J42" i="1"/>
  <c r="J53" i="1"/>
  <c r="J67" i="1"/>
  <c r="E6" i="9"/>
  <c r="J26" i="1"/>
  <c r="J15" i="1"/>
  <c r="J24" i="1"/>
  <c r="J35" i="1"/>
  <c r="J43" i="1"/>
  <c r="J54" i="1"/>
  <c r="J72" i="1"/>
  <c r="J16" i="1"/>
  <c r="J25" i="1"/>
  <c r="J36" i="1"/>
  <c r="J44" i="1"/>
  <c r="J56" i="1"/>
  <c r="J57" i="1"/>
  <c r="I8" i="1"/>
  <c r="G29" i="1"/>
  <c r="N27" i="1" s="1"/>
  <c r="F28" i="4"/>
  <c r="F82" i="4"/>
  <c r="F29" i="4"/>
  <c r="F83" i="4"/>
  <c r="G67" i="1" s="1"/>
  <c r="F30" i="4"/>
  <c r="G53" i="1"/>
  <c r="F52" i="4"/>
  <c r="F53" i="4" s="1"/>
  <c r="F33" i="4"/>
  <c r="G25" i="1"/>
  <c r="I25" i="1" s="1"/>
  <c r="G36" i="1"/>
  <c r="F35" i="4"/>
  <c r="G39" i="1" s="1"/>
  <c r="F80" i="4"/>
  <c r="F52" i="1"/>
  <c r="K52" i="1"/>
  <c r="I64" i="1"/>
  <c r="F64" i="1"/>
  <c r="J55" i="1"/>
  <c r="G73" i="1"/>
  <c r="L7" i="3"/>
  <c r="E73" i="1"/>
  <c r="E120" i="1" l="1"/>
  <c r="G120" i="1" s="1"/>
  <c r="F73" i="1"/>
  <c r="D11" i="7" s="1"/>
  <c r="D12" i="7" s="1"/>
  <c r="C11" i="7"/>
  <c r="C12" i="7" s="1"/>
  <c r="C7" i="3"/>
  <c r="E11" i="7"/>
  <c r="E12" i="7" s="1"/>
  <c r="E7" i="3"/>
  <c r="F71" i="4"/>
  <c r="H71" i="4" s="1"/>
  <c r="F70" i="4"/>
  <c r="H70" i="4" s="1"/>
  <c r="H82" i="4"/>
  <c r="H80" i="4"/>
  <c r="H78" i="4"/>
  <c r="D7" i="3" l="1"/>
  <c r="H84" i="4"/>
  <c r="E122" i="1"/>
  <c r="G122" i="1" s="1"/>
  <c r="E100" i="1" l="1"/>
  <c r="G100" i="1" s="1"/>
  <c r="E110" i="1"/>
  <c r="G110" i="1" s="1"/>
  <c r="G33" i="1"/>
  <c r="F33" i="1" s="1"/>
  <c r="F67" i="4"/>
  <c r="F63" i="4"/>
  <c r="H63" i="4" s="1"/>
  <c r="H62" i="4"/>
  <c r="E118" i="1"/>
  <c r="G118" i="1" s="1"/>
  <c r="G11" i="1"/>
  <c r="F65" i="4"/>
  <c r="H65" i="4" s="1"/>
  <c r="L6" i="3"/>
  <c r="E84" i="1"/>
  <c r="G84" i="1" s="1"/>
  <c r="I124" i="1"/>
  <c r="E125" i="1"/>
  <c r="G125" i="1" s="1"/>
  <c r="I125" i="1" s="1"/>
  <c r="E131" i="1"/>
  <c r="E86" i="1"/>
  <c r="G86" i="1" s="1"/>
  <c r="G58" i="1"/>
  <c r="E10" i="1"/>
  <c r="I61" i="1"/>
  <c r="G60" i="1"/>
  <c r="G76" i="1"/>
  <c r="I76" i="1" l="1"/>
  <c r="G78" i="1"/>
  <c r="F78" i="1" s="1"/>
  <c r="E80" i="1"/>
  <c r="E152" i="1" s="1"/>
  <c r="K61" i="1"/>
  <c r="I58" i="1"/>
  <c r="F58" i="1"/>
  <c r="I59" i="1"/>
  <c r="K59" i="1" s="1"/>
  <c r="E119" i="1"/>
  <c r="G119" i="1" s="1"/>
  <c r="E121" i="1"/>
  <c r="G131" i="1"/>
  <c r="C6" i="3"/>
  <c r="C8" i="3" s="1"/>
  <c r="G41" i="1"/>
  <c r="I41" i="1" s="1"/>
  <c r="F66" i="4"/>
  <c r="H61" i="4"/>
  <c r="F72" i="4"/>
  <c r="H72" i="4" s="1"/>
  <c r="I53" i="1"/>
  <c r="K53" i="1" s="1"/>
  <c r="K24" i="1"/>
  <c r="F10" i="1"/>
  <c r="K8" i="1"/>
  <c r="H49" i="4"/>
  <c r="I60" i="1"/>
  <c r="F60" i="1"/>
  <c r="K60" i="1" l="1"/>
  <c r="I131" i="1"/>
  <c r="K58" i="1"/>
  <c r="E128" i="1"/>
  <c r="G128" i="1" s="1"/>
  <c r="G49" i="1"/>
  <c r="K72" i="1"/>
  <c r="K73" i="1" s="1"/>
  <c r="I7" i="3" s="1"/>
  <c r="I73" i="1"/>
  <c r="H73" i="1" s="1"/>
  <c r="K64" i="1"/>
  <c r="H81" i="4"/>
  <c r="G121" i="1"/>
  <c r="G42" i="1"/>
  <c r="F42" i="1" s="1"/>
  <c r="H53" i="4"/>
  <c r="F69" i="4"/>
  <c r="G57" i="1"/>
  <c r="I57" i="1" s="1"/>
  <c r="E132" i="1"/>
  <c r="K131" i="1" l="1"/>
  <c r="F11" i="7"/>
  <c r="F12" i="7" s="1"/>
  <c r="G11" i="7"/>
  <c r="G7" i="3"/>
  <c r="J73" i="1"/>
  <c r="H12" i="7" s="1"/>
  <c r="H83" i="4"/>
  <c r="H69" i="4"/>
  <c r="J5" i="3"/>
  <c r="C9" i="7"/>
  <c r="E75" i="1"/>
  <c r="F75" i="1" s="1"/>
  <c r="E76" i="1"/>
  <c r="F76" i="1" s="1"/>
  <c r="J6" i="3"/>
  <c r="H7" i="3" l="1"/>
  <c r="K7" i="3"/>
  <c r="M7" i="3" s="1"/>
  <c r="I67" i="1"/>
  <c r="J8" i="3"/>
  <c r="G12" i="7"/>
  <c r="I12" i="7" s="1"/>
  <c r="I11" i="7"/>
  <c r="F7" i="3"/>
  <c r="E138" i="1"/>
  <c r="G138" i="1" s="1"/>
  <c r="I138" i="1" s="1"/>
  <c r="L5" i="3" l="1"/>
  <c r="L8" i="3" s="1"/>
  <c r="K67" i="1"/>
  <c r="E22" i="1"/>
  <c r="C6" i="7" l="1"/>
  <c r="I42" i="1"/>
  <c r="G43" i="1"/>
  <c r="I43" i="1" s="1"/>
  <c r="K42" i="1" l="1"/>
  <c r="H122" i="1"/>
  <c r="E137" i="1" l="1"/>
  <c r="G137" i="1" s="1"/>
  <c r="I137" i="1" s="1"/>
  <c r="E139" i="1"/>
  <c r="G139" i="1" s="1"/>
  <c r="I139" i="1" s="1"/>
  <c r="K137" i="1" l="1"/>
  <c r="K139" i="1"/>
  <c r="E103" i="1" l="1"/>
  <c r="F64" i="4"/>
  <c r="E126" i="1"/>
  <c r="G126" i="1" s="1"/>
  <c r="G26" i="1"/>
  <c r="I26" i="1" s="1"/>
  <c r="I126" i="1" l="1"/>
  <c r="K126" i="1" s="1"/>
  <c r="E130" i="1"/>
  <c r="G130" i="1" s="1"/>
  <c r="K76" i="1"/>
  <c r="E127" i="1"/>
  <c r="G127" i="1" s="1"/>
  <c r="G45" i="1"/>
  <c r="I45" i="1" s="1"/>
  <c r="I122" i="1"/>
  <c r="G56" i="1"/>
  <c r="G65" i="1"/>
  <c r="I130" i="1" l="1"/>
  <c r="K130" i="1" s="1"/>
  <c r="I49" i="1"/>
  <c r="I127" i="1"/>
  <c r="K122" i="1"/>
  <c r="G62" i="1"/>
  <c r="H25" i="4"/>
  <c r="H22" i="4"/>
  <c r="K49" i="1" l="1"/>
  <c r="K127" i="1"/>
  <c r="G55" i="1"/>
  <c r="K6" i="3"/>
  <c r="F62" i="1"/>
  <c r="I62" i="1"/>
  <c r="F68" i="4"/>
  <c r="E89" i="1"/>
  <c r="K62" i="1" l="1"/>
  <c r="I78" i="1"/>
  <c r="K75" i="1"/>
  <c r="K78" i="1" s="1"/>
  <c r="I6" i="3" s="1"/>
  <c r="E9" i="7"/>
  <c r="E6" i="3"/>
  <c r="D6" i="3" s="1"/>
  <c r="F45" i="1"/>
  <c r="H78" i="1" l="1"/>
  <c r="F9" i="7" s="1"/>
  <c r="F10" i="7" s="1"/>
  <c r="F7" i="9"/>
  <c r="G7" i="9" s="1"/>
  <c r="J78" i="1"/>
  <c r="H10" i="7" s="1"/>
  <c r="G9" i="7"/>
  <c r="I9" i="7" s="1"/>
  <c r="M6" i="3"/>
  <c r="E136" i="1"/>
  <c r="G136" i="1" s="1"/>
  <c r="I136" i="1" s="1"/>
  <c r="D9" i="7"/>
  <c r="C5" i="7"/>
  <c r="C7" i="7" s="1"/>
  <c r="G6" i="3"/>
  <c r="F57" i="1"/>
  <c r="E142" i="1"/>
  <c r="E101" i="1"/>
  <c r="E27" i="1"/>
  <c r="H27" i="4"/>
  <c r="G34" i="1"/>
  <c r="E66" i="1"/>
  <c r="G66" i="1" s="1"/>
  <c r="I66" i="1" s="1"/>
  <c r="E65" i="1"/>
  <c r="E49" i="1"/>
  <c r="F49" i="1" s="1"/>
  <c r="E56" i="1"/>
  <c r="F56" i="1" s="1"/>
  <c r="E55" i="1"/>
  <c r="E54" i="1"/>
  <c r="E53" i="1"/>
  <c r="F53" i="1" s="1"/>
  <c r="E51" i="1"/>
  <c r="F51" i="1" s="1"/>
  <c r="E50" i="1"/>
  <c r="E48" i="1"/>
  <c r="E47" i="1"/>
  <c r="E39" i="1"/>
  <c r="F39" i="1" s="1"/>
  <c r="E38" i="1"/>
  <c r="E37" i="1"/>
  <c r="E36" i="1"/>
  <c r="E35" i="1"/>
  <c r="E34" i="1"/>
  <c r="E31" i="1"/>
  <c r="E29" i="1"/>
  <c r="E26" i="1"/>
  <c r="E25" i="1"/>
  <c r="E24" i="1"/>
  <c r="F24" i="1" s="1"/>
  <c r="E23" i="1"/>
  <c r="E21" i="1"/>
  <c r="E20" i="1"/>
  <c r="E19" i="1"/>
  <c r="F19" i="1" s="1"/>
  <c r="E18" i="1"/>
  <c r="E17" i="1"/>
  <c r="E16" i="1"/>
  <c r="E15" i="1"/>
  <c r="E14" i="1"/>
  <c r="E13" i="1"/>
  <c r="E67" i="1"/>
  <c r="F67" i="1" s="1"/>
  <c r="H6" i="3" l="1"/>
  <c r="F6" i="3"/>
  <c r="K136" i="1"/>
  <c r="G142" i="1"/>
  <c r="I142" i="1" s="1"/>
  <c r="F27" i="1"/>
  <c r="I27" i="1"/>
  <c r="K27" i="1" l="1"/>
  <c r="K142" i="1"/>
  <c r="K45" i="1"/>
  <c r="K57" i="1"/>
  <c r="E141" i="1" l="1"/>
  <c r="G141" i="1" s="1"/>
  <c r="I141" i="1" s="1"/>
  <c r="E135" i="1"/>
  <c r="G135" i="1" s="1"/>
  <c r="I135" i="1" s="1"/>
  <c r="K135" i="1" s="1"/>
  <c r="I128" i="1"/>
  <c r="I56" i="1"/>
  <c r="H79" i="4"/>
  <c r="H77" i="4"/>
  <c r="G132" i="1"/>
  <c r="I132" i="1" s="1"/>
  <c r="E133" i="1"/>
  <c r="G133" i="1" s="1"/>
  <c r="I133" i="1" s="1"/>
  <c r="K133" i="1" s="1"/>
  <c r="E134" i="1"/>
  <c r="G134" i="1" s="1"/>
  <c r="I134" i="1" s="1"/>
  <c r="K134" i="1" s="1"/>
  <c r="E129" i="1"/>
  <c r="G129" i="1" s="1"/>
  <c r="I129" i="1" s="1"/>
  <c r="K129" i="1" s="1"/>
  <c r="H41" i="4"/>
  <c r="H42" i="4"/>
  <c r="H43" i="4"/>
  <c r="H44" i="4"/>
  <c r="H45" i="4"/>
  <c r="H46" i="4"/>
  <c r="H47" i="4"/>
  <c r="H48" i="4"/>
  <c r="H51" i="4"/>
  <c r="H52" i="4"/>
  <c r="H64" i="4"/>
  <c r="H66" i="4"/>
  <c r="H67" i="4"/>
  <c r="H68" i="4"/>
  <c r="H8" i="4"/>
  <c r="H9" i="4"/>
  <c r="E93" i="1"/>
  <c r="G93" i="1" s="1"/>
  <c r="I93" i="1" s="1"/>
  <c r="I11" i="1"/>
  <c r="E87" i="1"/>
  <c r="G87" i="1" s="1"/>
  <c r="K25" i="1"/>
  <c r="K26" i="1"/>
  <c r="G48" i="1"/>
  <c r="I48" i="1" s="1"/>
  <c r="G50" i="1"/>
  <c r="I50" i="1" s="1"/>
  <c r="G54" i="1"/>
  <c r="I54" i="1" s="1"/>
  <c r="I55" i="1"/>
  <c r="G47" i="1"/>
  <c r="I47" i="1" s="1"/>
  <c r="K43" i="1"/>
  <c r="G44" i="1"/>
  <c r="I44" i="1" s="1"/>
  <c r="F41" i="1"/>
  <c r="I39" i="1"/>
  <c r="I38" i="1"/>
  <c r="G37" i="1"/>
  <c r="I36" i="1"/>
  <c r="G35" i="1"/>
  <c r="I35" i="1" s="1"/>
  <c r="I34" i="1"/>
  <c r="I33" i="1"/>
  <c r="G31" i="1"/>
  <c r="I31" i="1" s="1"/>
  <c r="I29" i="1"/>
  <c r="G23" i="1"/>
  <c r="I23" i="1" s="1"/>
  <c r="G22" i="1"/>
  <c r="I22" i="1" s="1"/>
  <c r="G21" i="1"/>
  <c r="I21" i="1" s="1"/>
  <c r="G20" i="1"/>
  <c r="I20" i="1" s="1"/>
  <c r="I19" i="1"/>
  <c r="G18" i="1"/>
  <c r="I18" i="1" s="1"/>
  <c r="I17" i="1"/>
  <c r="G16" i="1"/>
  <c r="I16" i="1" s="1"/>
  <c r="G15" i="1"/>
  <c r="I15" i="1" s="1"/>
  <c r="G14" i="1"/>
  <c r="I121" i="1"/>
  <c r="I120" i="1"/>
  <c r="I119" i="1"/>
  <c r="I118" i="1"/>
  <c r="E111" i="1"/>
  <c r="G111" i="1" s="1"/>
  <c r="I111" i="1" s="1"/>
  <c r="E112" i="1"/>
  <c r="G112" i="1" s="1"/>
  <c r="I112" i="1" s="1"/>
  <c r="E113" i="1"/>
  <c r="G113" i="1" s="1"/>
  <c r="E114" i="1"/>
  <c r="G114" i="1" s="1"/>
  <c r="I114" i="1" s="1"/>
  <c r="E115" i="1"/>
  <c r="G115" i="1" s="1"/>
  <c r="I115" i="1" s="1"/>
  <c r="E116" i="1"/>
  <c r="I110" i="1"/>
  <c r="E108" i="1"/>
  <c r="E107" i="1"/>
  <c r="G107" i="1" s="1"/>
  <c r="I107" i="1" s="1"/>
  <c r="G103" i="1"/>
  <c r="I103" i="1" s="1"/>
  <c r="E102" i="1"/>
  <c r="G102" i="1" s="1"/>
  <c r="I102" i="1" s="1"/>
  <c r="G101" i="1"/>
  <c r="I101" i="1" s="1"/>
  <c r="I100" i="1"/>
  <c r="E98" i="1"/>
  <c r="G98" i="1" s="1"/>
  <c r="I98" i="1" s="1"/>
  <c r="E97" i="1"/>
  <c r="G97" i="1" s="1"/>
  <c r="I97" i="1" s="1"/>
  <c r="E96" i="1"/>
  <c r="G96" i="1" s="1"/>
  <c r="I96" i="1" s="1"/>
  <c r="H15" i="4"/>
  <c r="H16" i="4"/>
  <c r="H17" i="4"/>
  <c r="H18" i="4"/>
  <c r="H19" i="4"/>
  <c r="H20" i="4"/>
  <c r="H23" i="4"/>
  <c r="H26" i="4"/>
  <c r="H29" i="4"/>
  <c r="H30" i="4"/>
  <c r="H31" i="4"/>
  <c r="H32" i="4"/>
  <c r="H33" i="4"/>
  <c r="H34" i="4"/>
  <c r="H35" i="4"/>
  <c r="E95" i="1"/>
  <c r="G95" i="1" s="1"/>
  <c r="I95" i="1" s="1"/>
  <c r="E105" i="1"/>
  <c r="G105" i="1" s="1"/>
  <c r="I105" i="1" s="1"/>
  <c r="E99" i="1"/>
  <c r="E94" i="1"/>
  <c r="G94" i="1" s="1"/>
  <c r="I94" i="1" s="1"/>
  <c r="E92" i="1"/>
  <c r="E91" i="1"/>
  <c r="G91" i="1" s="1"/>
  <c r="I91" i="1" s="1"/>
  <c r="E90" i="1"/>
  <c r="G90" i="1" s="1"/>
  <c r="I90" i="1" s="1"/>
  <c r="G89" i="1"/>
  <c r="I89" i="1" s="1"/>
  <c r="I86" i="1"/>
  <c r="E11" i="1"/>
  <c r="E8" i="1"/>
  <c r="F8" i="1" s="1"/>
  <c r="H10" i="4"/>
  <c r="H11" i="4"/>
  <c r="H12" i="4"/>
  <c r="H13" i="4"/>
  <c r="H14" i="4"/>
  <c r="G70" i="1" l="1"/>
  <c r="I113" i="1"/>
  <c r="K113" i="1" s="1"/>
  <c r="I37" i="1"/>
  <c r="K86" i="1"/>
  <c r="K89" i="1"/>
  <c r="K90" i="1"/>
  <c r="K91" i="1"/>
  <c r="K95" i="1"/>
  <c r="K96" i="1"/>
  <c r="K101" i="1"/>
  <c r="K102" i="1"/>
  <c r="K103" i="1"/>
  <c r="K110" i="1"/>
  <c r="K115" i="1"/>
  <c r="K114" i="1"/>
  <c r="K112" i="1"/>
  <c r="K111" i="1"/>
  <c r="K119" i="1"/>
  <c r="K120" i="1"/>
  <c r="K121" i="1"/>
  <c r="K10" i="1"/>
  <c r="I14" i="1"/>
  <c r="K15" i="1"/>
  <c r="K16" i="1"/>
  <c r="K17" i="1"/>
  <c r="K18" i="1"/>
  <c r="K19" i="1"/>
  <c r="K20" i="1"/>
  <c r="K21" i="1"/>
  <c r="K22" i="1"/>
  <c r="K23" i="1"/>
  <c r="K29" i="1"/>
  <c r="K31" i="1"/>
  <c r="K33" i="1"/>
  <c r="K34" i="1"/>
  <c r="K35" i="1"/>
  <c r="K36" i="1"/>
  <c r="K37" i="1"/>
  <c r="K38" i="1"/>
  <c r="K39" i="1"/>
  <c r="K47" i="1"/>
  <c r="K55" i="1"/>
  <c r="K54" i="1"/>
  <c r="K50" i="1"/>
  <c r="K48" i="1"/>
  <c r="K11" i="1"/>
  <c r="K93" i="1"/>
  <c r="K56" i="1"/>
  <c r="K98" i="1"/>
  <c r="K100" i="1"/>
  <c r="K141" i="1"/>
  <c r="G108" i="1"/>
  <c r="I108" i="1" s="1"/>
  <c r="G116" i="1"/>
  <c r="I116" i="1" s="1"/>
  <c r="G99" i="1"/>
  <c r="I99" i="1" s="1"/>
  <c r="I87" i="1"/>
  <c r="G92" i="1"/>
  <c r="K44" i="1"/>
  <c r="K41" i="1"/>
  <c r="I13" i="1"/>
  <c r="I70" i="1" s="1"/>
  <c r="F13" i="1"/>
  <c r="K97" i="1"/>
  <c r="K108" i="1"/>
  <c r="K118" i="1"/>
  <c r="K107" i="1"/>
  <c r="K94" i="1"/>
  <c r="K132" i="1"/>
  <c r="K66" i="1"/>
  <c r="K105" i="1"/>
  <c r="C10" i="7"/>
  <c r="C13" i="7" s="1"/>
  <c r="F65" i="1"/>
  <c r="I65" i="1"/>
  <c r="F50" i="1"/>
  <c r="F55" i="1"/>
  <c r="F54" i="1"/>
  <c r="F48" i="1"/>
  <c r="F29" i="1"/>
  <c r="F47" i="1"/>
  <c r="F34" i="1"/>
  <c r="F38" i="1"/>
  <c r="F35" i="1"/>
  <c r="F44" i="1"/>
  <c r="F22" i="1"/>
  <c r="F31" i="1"/>
  <c r="F36" i="1"/>
  <c r="F43" i="1"/>
  <c r="F37" i="1"/>
  <c r="F26" i="1"/>
  <c r="F25" i="1"/>
  <c r="F20" i="1"/>
  <c r="F23" i="1"/>
  <c r="F17" i="1"/>
  <c r="F14" i="1"/>
  <c r="F11" i="1"/>
  <c r="F21" i="1"/>
  <c r="F18" i="1"/>
  <c r="F16" i="1"/>
  <c r="F15" i="1"/>
  <c r="H28" i="4"/>
  <c r="I80" i="1" l="1"/>
  <c r="G144" i="1"/>
  <c r="F144" i="1" s="1"/>
  <c r="G80" i="1"/>
  <c r="F70" i="1"/>
  <c r="D5" i="7" s="1"/>
  <c r="K65" i="1"/>
  <c r="K87" i="1"/>
  <c r="K116" i="1"/>
  <c r="K14" i="1"/>
  <c r="K13" i="1"/>
  <c r="K70" i="1" s="1"/>
  <c r="K99" i="1"/>
  <c r="I92" i="1"/>
  <c r="E5" i="7"/>
  <c r="I84" i="1"/>
  <c r="K128" i="1"/>
  <c r="G152" i="1" l="1"/>
  <c r="F152" i="1" s="1"/>
  <c r="F80" i="1"/>
  <c r="K80" i="1"/>
  <c r="I144" i="1"/>
  <c r="H144" i="1" s="1"/>
  <c r="H70" i="1"/>
  <c r="F5" i="7" s="1"/>
  <c r="K84" i="1"/>
  <c r="F6" i="9"/>
  <c r="G6" i="9" s="1"/>
  <c r="G10" i="9" s="1"/>
  <c r="K92" i="1"/>
  <c r="H7" i="4"/>
  <c r="H6" i="4"/>
  <c r="H5" i="4"/>
  <c r="I152" i="1" l="1"/>
  <c r="K5" i="3"/>
  <c r="K8" i="3" s="1"/>
  <c r="E8" i="8"/>
  <c r="E11" i="8" s="1"/>
  <c r="J70" i="1"/>
  <c r="H5" i="7" s="1"/>
  <c r="H80" i="1"/>
  <c r="J80" i="1"/>
  <c r="G5" i="7" l="1"/>
  <c r="I5" i="7" s="1"/>
  <c r="E10" i="7" l="1"/>
  <c r="D10" i="7" l="1"/>
  <c r="G10" i="7"/>
  <c r="I10" i="7" s="1"/>
  <c r="K138" i="1" l="1"/>
  <c r="E6" i="7"/>
  <c r="E7" i="7" s="1"/>
  <c r="E5" i="3"/>
  <c r="E8" i="3" l="1"/>
  <c r="D8" i="3" s="1"/>
  <c r="D5" i="3"/>
  <c r="D7" i="7"/>
  <c r="E13" i="7"/>
  <c r="D13" i="7" s="1"/>
  <c r="M5" i="3"/>
  <c r="M8" i="3" s="1"/>
  <c r="D6" i="7"/>
  <c r="K124" i="1" l="1"/>
  <c r="K125" i="1"/>
  <c r="K144" i="1" l="1"/>
  <c r="J144" i="1" l="1"/>
  <c r="K152" i="1"/>
  <c r="J152" i="1" s="1"/>
  <c r="F8" i="9"/>
  <c r="G8" i="9" s="1"/>
  <c r="G9" i="9" s="1"/>
  <c r="G11" i="9" s="1"/>
  <c r="I5" i="3"/>
  <c r="F6" i="7"/>
  <c r="G6" i="7"/>
  <c r="I6" i="7" s="1"/>
  <c r="I7" i="7" s="1"/>
  <c r="G5" i="3"/>
  <c r="G8" i="3" s="1"/>
  <c r="I13" i="7" l="1"/>
  <c r="F8" i="3"/>
  <c r="H5" i="3"/>
  <c r="I8" i="3"/>
  <c r="F5" i="3"/>
  <c r="H152" i="1"/>
  <c r="G7" i="7"/>
  <c r="H7" i="7" s="1"/>
  <c r="H8" i="3" l="1"/>
  <c r="G13" i="7"/>
  <c r="H13" i="7" s="1"/>
  <c r="F7" i="7"/>
  <c r="F1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tc={BD0E4617-5783-48A8-906A-A4AFF01764DA}</author>
    <author>tc={5424E737-D042-464D-9D4D-91E3AAFD72E4}</author>
  </authors>
  <commentList>
    <comment ref="F4" authorId="0" shapeId="0" xr:uid="{BD0E4617-5783-48A8-906A-A4AFF01764DA}">
      <text>
        <t>[Threaded comment]
Your version of Excel allows you to read this threaded comment; however, any edits to it will get removed if the file is opened in a newer version of Excel. Learn more: https://go.microsoft.com/fwlink/?linkid=870924
Comment:
    F=G/E for State Agency Reporting</t>
      </text>
    </comment>
    <comment ref="G4" authorId="1" shapeId="0" xr:uid="{5424E737-D042-464D-9D4D-91E3AAFD72E4}">
      <text>
        <t>[Threaded comment]
Your version of Excel allows you to read this threaded comment; however, any edits to it will get removed if the file is opened in a newer version of Excel. Learn more: https://go.microsoft.com/fwlink/?linkid=870924
Comment:
    G= E x F for Individuals/Household Reporting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ICF</author>
  </authors>
  <commentList>
    <comment ref="C8" authorId="0" shapeId="0" xr:uid="{00000000-0006-0000-0300-000001000000}">
      <text>
        <r>
          <rPr>
            <sz val="9"/>
            <color indexed="81"/>
            <rFont val="Tahoma"/>
            <family val="2"/>
          </rPr>
          <t xml:space="preserve">This estimate is the total number of respondents. If there are respondents that conduct both reporting and recordkeeping activities, the respondent should be counted once.
</t>
        </r>
      </text>
    </comment>
  </commentList>
</comments>
</file>

<file path=xl/sharedStrings.xml><?xml version="1.0" encoding="utf-8"?>
<sst xmlns="http://schemas.openxmlformats.org/spreadsheetml/2006/main" count="845" uniqueCount="410">
  <si>
    <t>Requirement in Currently Approved ICR</t>
  </si>
  <si>
    <t>FNS SNAP Forms ICR Reporting Burden Estimate (OMB Control No. 0584-0064)</t>
  </si>
  <si>
    <t>Regulatory Section</t>
  </si>
  <si>
    <t>Burden Activity</t>
  </si>
  <si>
    <t>Number of Respondents</t>
  </si>
  <si>
    <t>Responses per Respondent</t>
  </si>
  <si>
    <t>Total Annual Responses</t>
  </si>
  <si>
    <t>Estimated Average Hours per Response</t>
  </si>
  <si>
    <t>Estimated Total Hours</t>
  </si>
  <si>
    <t>Hourly Cost to Respondent</t>
  </si>
  <si>
    <t>Cost to Respondents</t>
  </si>
  <si>
    <t>Previously Approved Burden Hours</t>
  </si>
  <si>
    <t>Change in Burden Hours due to an Adjustment</t>
  </si>
  <si>
    <t>Change in Burden Hours due to Program Change</t>
  </si>
  <si>
    <t>Total Burden Hour Difference</t>
  </si>
  <si>
    <t>Legend</t>
  </si>
  <si>
    <t>Newly added rows (program changes)</t>
  </si>
  <si>
    <t>C</t>
  </si>
  <si>
    <t>D</t>
  </si>
  <si>
    <t>E</t>
  </si>
  <si>
    <t>F</t>
  </si>
  <si>
    <t>G</t>
  </si>
  <si>
    <t>H</t>
  </si>
  <si>
    <t>I = G x H</t>
  </si>
  <si>
    <t>J</t>
  </si>
  <si>
    <t>K = I x J</t>
  </si>
  <si>
    <t>Affected Public:  State, Local, or Tribal Governments</t>
  </si>
  <si>
    <t>Application</t>
  </si>
  <si>
    <t>Yes</t>
  </si>
  <si>
    <t>New application</t>
  </si>
  <si>
    <t>Interview</t>
  </si>
  <si>
    <t>273.2(e)(1)</t>
  </si>
  <si>
    <t>Interview: Initial Interview (Telephone)</t>
  </si>
  <si>
    <t>Interview: Initial Interview (In Person)</t>
  </si>
  <si>
    <t>Verification</t>
  </si>
  <si>
    <t>273.2(f)(1) &amp; (2)</t>
  </si>
  <si>
    <t>Verification: Income</t>
  </si>
  <si>
    <t>Verification: Identity</t>
  </si>
  <si>
    <t>Verification: Alien Eligibility</t>
  </si>
  <si>
    <t>Verification: Social Security Number</t>
  </si>
  <si>
    <t>Verification: Medical expenses (if claimed and to receive income deduction)</t>
  </si>
  <si>
    <t>Verification: Residency</t>
  </si>
  <si>
    <t>Verification: Utility expenses (if the State agency does not utilize a standard utility allowance and the applicant wishes to claim expenses or the State chooses to optionally verify)</t>
  </si>
  <si>
    <t>Verification: Hours worked (Able-bodied Adults w/out Dependents)</t>
  </si>
  <si>
    <t>Verification: Legal obligation to pay child support and actual child support payments</t>
  </si>
  <si>
    <t>Verification: Disability</t>
  </si>
  <si>
    <t>Verification: Household composition</t>
  </si>
  <si>
    <t>Verification: Questionable Information</t>
  </si>
  <si>
    <t>Verification: Newly certified households w/ dependent care</t>
  </si>
  <si>
    <t>Verification: Existing households w/ dependent care</t>
  </si>
  <si>
    <t>273.5(b)(5)</t>
  </si>
  <si>
    <t>Verification: Student Work Hours</t>
  </si>
  <si>
    <t>Recertification Application</t>
  </si>
  <si>
    <t>273.14(b)</t>
  </si>
  <si>
    <t>Recertification application</t>
  </si>
  <si>
    <t>Recertification Interview</t>
  </si>
  <si>
    <t>273.14(b)(3)</t>
  </si>
  <si>
    <t>Interview: Recertification</t>
  </si>
  <si>
    <t>Recertification Verification</t>
  </si>
  <si>
    <t>273.2(f)(8)(i)</t>
  </si>
  <si>
    <t>Recertification Verification: Income (if source changed or amount changed by more than $50)</t>
  </si>
  <si>
    <t>Recertification Verification: Social Security Number (if Social Security number is new)</t>
  </si>
  <si>
    <t>Recertification Verification: Medical expenses (unreported and reoccurring expenses that have  changed by more than $25)</t>
  </si>
  <si>
    <t>Recertification Verification: Legal obligation to pay child support (if there were changes in obligation to pay)</t>
  </si>
  <si>
    <t>Recertification Verification: Utility expenses (if has changed by more than $25)</t>
  </si>
  <si>
    <t>Recertification Verification: Hours worked (Able-bodied Adults w/out Dependents)</t>
  </si>
  <si>
    <t>Recertification Verification: Other information which has changed may be verified</t>
  </si>
  <si>
    <t>Reports</t>
  </si>
  <si>
    <t>Monthly Reports</t>
  </si>
  <si>
    <t>273.12(a)(4)</t>
  </si>
  <si>
    <t>Quarterly Reports</t>
  </si>
  <si>
    <t xml:space="preserve">273.12(a)(5) </t>
  </si>
  <si>
    <t>Simplified or Periodic Reports</t>
  </si>
  <si>
    <t>273.12(a)(1)</t>
  </si>
  <si>
    <t>Change Reports</t>
  </si>
  <si>
    <t>273.24(b)(7)</t>
  </si>
  <si>
    <t>Report of ABAWDs Change in Work Hours Below 20 Hours per Week</t>
  </si>
  <si>
    <t>Notices</t>
  </si>
  <si>
    <t>273.10(g)(1)(i) &amp; (ii) &amp; (iii)</t>
  </si>
  <si>
    <t>Notice of Eligibility, Denial, or Pending Status</t>
  </si>
  <si>
    <t>273.12(a)(4)(iii) &amp; 273.12(a)(5)(iii)(D)</t>
  </si>
  <si>
    <t>Notice of Missing or Incomplete Report</t>
  </si>
  <si>
    <t>273.12(c)(4)(i)</t>
  </si>
  <si>
    <t>Failure to Report Shelter Cost Change due to move notices</t>
  </si>
  <si>
    <t>273.2(h)(1)(i)(D) &amp; 273.14(b)(3)(iii)</t>
  </si>
  <si>
    <t>Notice of Missed Interviews</t>
  </si>
  <si>
    <t>273.14(b)(1)</t>
  </si>
  <si>
    <t>Notice of Expiration</t>
  </si>
  <si>
    <t>No</t>
  </si>
  <si>
    <t>273.14(b)(5)</t>
  </si>
  <si>
    <t xml:space="preserve">Provide list of available Employment and Training (E&amp;T) servies </t>
  </si>
  <si>
    <t>273.13(a)</t>
  </si>
  <si>
    <t xml:space="preserve">Notice of Adverse Action </t>
  </si>
  <si>
    <t xml:space="preserve">273.12(a)(4)(v) &amp; 273.13(b) </t>
  </si>
  <si>
    <t>Adequate Notice</t>
  </si>
  <si>
    <t xml:space="preserve">273.12(c)(3)(i) </t>
  </si>
  <si>
    <t>Request for Contact</t>
  </si>
  <si>
    <t>273.11(o)(2)</t>
  </si>
  <si>
    <t>Notice of option to disqualify custodial parent for failure to cooperate</t>
  </si>
  <si>
    <t xml:space="preserve">273.12(c)(3)(iii) </t>
  </si>
  <si>
    <t>Notice of Match Results</t>
  </si>
  <si>
    <t>273.7(c)(1)</t>
  </si>
  <si>
    <t>Notice of Subject to Work Requirements</t>
  </si>
  <si>
    <t>273.7(c)(1)(ii) &amp; (iii) and 273.24(b)(8)</t>
  </si>
  <si>
    <t xml:space="preserve">Inform ABAWDs of the ABAWD work requirement </t>
  </si>
  <si>
    <t>273.7(c)(2)</t>
  </si>
  <si>
    <t>Referral to E&amp;T and Notice of Requirements</t>
  </si>
  <si>
    <t>273.7(c)(18)(i)</t>
  </si>
  <si>
    <t>Inform E&amp;T Participants of Provider Determination</t>
  </si>
  <si>
    <t>273.2(c)(5)</t>
  </si>
  <si>
    <t>Notice of Required Verification</t>
  </si>
  <si>
    <t>Other</t>
  </si>
  <si>
    <t xml:space="preserve">273.14(b)(5) </t>
  </si>
  <si>
    <t>Review and modify list of available Employment and Training (E&amp;T) Services</t>
  </si>
  <si>
    <t>273.11(n)(3) &amp; (4)</t>
  </si>
  <si>
    <t>Fleeing felon and probation or parole violators determination</t>
  </si>
  <si>
    <t>273.12(e)(3)</t>
  </si>
  <si>
    <t>Mass change in Federal benefits procedures</t>
  </si>
  <si>
    <t>273.12(b)(4)</t>
  </si>
  <si>
    <t>Providing households with a Change Report Form</t>
  </si>
  <si>
    <t>State Agency Reporting Subtotal</t>
  </si>
  <si>
    <t>State Agency Public Disclosure/Third Party Notification</t>
  </si>
  <si>
    <t>272.1(c)(1)</t>
  </si>
  <si>
    <t>State Agency disclosures to third-parties</t>
  </si>
  <si>
    <t>State Agency Disclosures to Third-Parties Subtotal</t>
  </si>
  <si>
    <t>Local Agency Recordkeeping</t>
  </si>
  <si>
    <t>272.1(f)</t>
  </si>
  <si>
    <t>Case Files</t>
  </si>
  <si>
    <t>272.4(e)</t>
  </si>
  <si>
    <t>Monitoring Duplicate Participation</t>
  </si>
  <si>
    <t>Local Agency Recordkeeping Subtotal</t>
  </si>
  <si>
    <t>State, Local, and Tribal Government Reporting, Third-Party Disclosure, and  Recordkeeping Subotal</t>
  </si>
  <si>
    <t>Affected Public:  Individuals/Household</t>
  </si>
  <si>
    <t>Individuals/Household Reporting</t>
  </si>
  <si>
    <t>Initial interview</t>
  </si>
  <si>
    <t>Initial interview travel</t>
  </si>
  <si>
    <t>Verification: Utility expenses (if the State agency does not utilize a standard utility allowance and the applicant wishes to claim expenses)</t>
  </si>
  <si>
    <r>
      <rPr>
        <sz val="11"/>
        <rFont val="Calibri"/>
        <family val="2"/>
        <scheme val="minor"/>
      </rPr>
      <t>Verification:</t>
    </r>
    <r>
      <rPr>
        <sz val="11"/>
        <color theme="1"/>
        <rFont val="Calibri"/>
        <family val="2"/>
        <scheme val="minor"/>
      </rPr>
      <t xml:space="preserve"> Hours worked (Able-bodied Adults w/out Dependents)</t>
    </r>
  </si>
  <si>
    <t xml:space="preserve">Verification: Student Work Hours </t>
  </si>
  <si>
    <t>273.9(d)(4) and 273.10(e)(1)(i)(E)</t>
  </si>
  <si>
    <r>
      <rPr>
        <sz val="11"/>
        <rFont val="Calibri"/>
        <family val="2"/>
        <scheme val="minor"/>
      </rPr>
      <t xml:space="preserve">Verification: </t>
    </r>
    <r>
      <rPr>
        <sz val="11"/>
        <color theme="1"/>
        <rFont val="Calibri"/>
        <family val="2"/>
        <scheme val="minor"/>
      </rPr>
      <t>Newly certified households w/ dependent care</t>
    </r>
  </si>
  <si>
    <r>
      <rPr>
        <sz val="11"/>
        <rFont val="Calibri"/>
        <family val="2"/>
        <scheme val="minor"/>
      </rPr>
      <t>Verification:</t>
    </r>
    <r>
      <rPr>
        <sz val="11"/>
        <color theme="1"/>
        <rFont val="Calibri"/>
        <family val="2"/>
        <scheme val="minor"/>
      </rPr>
      <t xml:space="preserve"> Existing households w/ dependent care</t>
    </r>
  </si>
  <si>
    <t>Recertification interview</t>
  </si>
  <si>
    <t>Recertification travel time</t>
  </si>
  <si>
    <t>Recertification Verification: Legal obligation to pay child support (if there were  changes in obligation to pay)</t>
  </si>
  <si>
    <t>Monthly Report</t>
  </si>
  <si>
    <t>Quarterly Report</t>
  </si>
  <si>
    <t>Simplified or Periodic Report</t>
  </si>
  <si>
    <t>Change Report</t>
  </si>
  <si>
    <t>Review Information on Provider Determination</t>
  </si>
  <si>
    <t>273.7(c)(1)(iii) &amp; 273.24(b)(8)</t>
  </si>
  <si>
    <t>Read ABAWD written statement of work requirements</t>
  </si>
  <si>
    <t>Read list of available Employment and Training (E&amp;T) Services</t>
  </si>
  <si>
    <t>Notice of Adverse Action</t>
  </si>
  <si>
    <t>b)(5)</t>
  </si>
  <si>
    <t>Review Change Report Form</t>
  </si>
  <si>
    <t>Individuals/Household Reporting Subotal</t>
  </si>
  <si>
    <t>TOTAL REPORTING, RECORDKEEPING, AND THIRD-PARTY DISCLOSURE  BURDEN</t>
  </si>
  <si>
    <t>Included in Currently Approved ICR</t>
  </si>
  <si>
    <t>FNS SNAP Forms ICR Assumptions (OMB Control No. 0584-0064)</t>
  </si>
  <si>
    <t>Not in Currently Approved ICR</t>
  </si>
  <si>
    <t>Item</t>
  </si>
  <si>
    <t>Regulatory Citation</t>
  </si>
  <si>
    <t>Estimate in Currently Approved ICR</t>
  </si>
  <si>
    <t>Updated Estimate</t>
  </si>
  <si>
    <t>Difference in Estimate</t>
  </si>
  <si>
    <t>Notes</t>
  </si>
  <si>
    <t>Data Entry</t>
  </si>
  <si>
    <t>Number</t>
  </si>
  <si>
    <t>Data Source</t>
  </si>
  <si>
    <t>Calculation; Do Not Enter Data</t>
  </si>
  <si>
    <t>Number of State agencies</t>
  </si>
  <si>
    <t>Multiple</t>
  </si>
  <si>
    <t>Number of States and territories authorized to implement SNAP per the Food and Nutrition Act of 2008</t>
  </si>
  <si>
    <t>Number of States using telephone interviews</t>
  </si>
  <si>
    <t>State Plans of Operation</t>
  </si>
  <si>
    <t xml:space="preserve">This increase is representative of the fact that all State agencies have adopted BOTH telephone and in-person interviews, rather than some State agencies using in-person and others using telephone. </t>
  </si>
  <si>
    <t>Number of States using in-person interviews</t>
  </si>
  <si>
    <t>Number of telephone initial interviews</t>
  </si>
  <si>
    <t>Calculation. Estimated from previous ICR using updated caseload data from the Food Program and Reporting System. Calculation uses ratio.</t>
  </si>
  <si>
    <t>Represents 75% of total initial applications</t>
  </si>
  <si>
    <t>Number of in-person initial interviews</t>
  </si>
  <si>
    <t xml:space="preserve">Represents 25% of total initial applications </t>
  </si>
  <si>
    <t>Number of States using monthly reports</t>
  </si>
  <si>
    <t>FNS SNAP State Options Report, 15th Edition (2023), page 10</t>
  </si>
  <si>
    <t>Updated to reflect the correct number in the Options Report</t>
  </si>
  <si>
    <t>Number of States using quarterly reports</t>
  </si>
  <si>
    <t xml:space="preserve">Using one to reflect FY 2019 SNAP QC data and the potential that States may use quarterly reporting for ABAWD households in particular; however, no States currently use quarterly reporting. </t>
  </si>
  <si>
    <t>Number of States using simplified or periodic reports</t>
  </si>
  <si>
    <t>Included TX in this estimate although they are listed as "under review"</t>
  </si>
  <si>
    <t>Number of States using change reports</t>
  </si>
  <si>
    <t>Number of initial applications</t>
  </si>
  <si>
    <t>NDB-FY 22, 366B</t>
  </si>
  <si>
    <t>Number of recertification applications</t>
  </si>
  <si>
    <t xml:space="preserve">Calculation. Ratio of FY19 recerts to FY19 initial applications, applied to the NDB-FY 22 number of applications. </t>
  </si>
  <si>
    <t xml:space="preserve">The NDB-FY 22, 366B number of recerts showed a decrease in recertifications between FY19 and FY22 even though applications went up. Normally, we would expect applications and recertifications to align in whether they increase or decrease. The reason recerts decreased in particular is because of COVID-19 adjustments that allowed States to extend certification periods and therefore reduced the number of recertifications. To better estimate the number of recertifications in the future, without those adjustments in place, we updated using a ratio. Suggest using unadjusted NDB data in future iterations of this burden when available and returning this cell to blue. </t>
  </si>
  <si>
    <t>Number of medical expense verifications</t>
  </si>
  <si>
    <t>Characteristics of Supplemental Nutrition Assistance Program Households: Fiscal Year 2020, Prepandemic Period; Table A.9.a., Total number of medical expense; percentage applied to NDB-FY22 number of households</t>
  </si>
  <si>
    <t>Number of utility expense verifications</t>
  </si>
  <si>
    <t>Characteristics of Supplemental Nutrition Assistance Program Households: Fiscal Year 2020, Prepandemic Period; Table A.9.a., Total number of excess shelter expense; percentage applied to NDB-FY22 number of households</t>
  </si>
  <si>
    <t>Number of ABAWD verifications</t>
  </si>
  <si>
    <t>Characteristics of Supplemental Nutrition Assistance Program Households: Fiscal Year 2020, pre-pandemic period; Table A.23.a.; Total number of participants, adults age 18–49 without disabilities in childless households; percentage applied to NDB-FY22 number of participants</t>
  </si>
  <si>
    <t>Number of child support verifications</t>
  </si>
  <si>
    <t>Characteristics of Supplemental Nutrition Assistance Program Households: Fiscal Year 2020 pre-pandemic period; Table A.9.a., Total number of child support payment; percentage applied to NDB-FY22 number of households</t>
  </si>
  <si>
    <t>Number of disabled verifications</t>
  </si>
  <si>
    <t>Characteristics of Supplemental Nutrition Assistance Program Households: Fiscal Year 2020 pre-pandemic period; Table B.5.a.; Number of non-elderly individuals with disabilities; percentage applied to NDB-FY 22 number of households</t>
  </si>
  <si>
    <t>Number of SNAP participants</t>
  </si>
  <si>
    <t>Not Applicable</t>
  </si>
  <si>
    <t>N/A</t>
  </si>
  <si>
    <t>NDB-FY 22, Montly Participation Households, Benefits table posted on the public website: https://www.fns.usda.gov/pd/supplemental-nutrition-assistance-program-snap</t>
  </si>
  <si>
    <t xml:space="preserve">This number is only used for adjusting Characteristics Report numbers to the most recent FY. </t>
  </si>
  <si>
    <t>Number of households</t>
  </si>
  <si>
    <t xml:space="preserve">Number included for calculations and for number of household respondents. In previous iterations of this burden table, we used the total number of households in the characteristics report. However, given the lag in the characteristics report at the time of this renewal and in response to public comments, we used more recent NDB data posted publicly on the website. </t>
  </si>
  <si>
    <t>Number of households with questionable information verifications</t>
  </si>
  <si>
    <t xml:space="preserve">Verification of questionable/unclear information following a positive NAC match </t>
  </si>
  <si>
    <t>272.18(c)(3), 273.2(f)(1)(2), 272.18(c)(5),273.12(c)(3)(iv)</t>
  </si>
  <si>
    <t>Updates from Interim Final Rule: SNAP: Requirement for Interstate Data Matching to Prevent Duplicate Issuances (87 FR 59633), estimates provided by the State Administration Branch</t>
  </si>
  <si>
    <t xml:space="preserve">In the next iteration of this burden table, this row's estimates should be combined with Row 22, "Number of households with questionable information verifications" and reestimated. </t>
  </si>
  <si>
    <t>Number of existing households w/ dependent care verifications</t>
  </si>
  <si>
    <t>Characteristics of Supplemental Nutrition Assistance Program Households: Fiscal Year 2020 pre-pandemic period; Table A.9.a, Total number of dependent care; percentage applied to NDB-FY 22 number of households</t>
  </si>
  <si>
    <t>Number of newly certified households w/ dependent care verifications</t>
  </si>
  <si>
    <t>Number of student work hour verifications</t>
  </si>
  <si>
    <t xml:space="preserve">A GAO Audit indicates 2,257,121 students received SNAP in 2016. The audit also indicates that, according to 2015-2016 National Postsecondary Student Aid Study (NPSAS) data, 60 percent of low-income students had a job while enrolled in college. GAO Audit: Food Insecurity--Better Information Could Help Eligible College Students Access Federal Food Assistance Benefits; Table 1 and Footnote 51. Available at https://www.gao.gov/assets/700/696254.pdf. Divided the number of students in 2016 according to the GAO report by the total number of households in 2016 using the FY16 Characteristics report (Table A.12), then multiplied this by the total number of households in 2022 (latest data) and multiplied this by 60% to represent the number of low-income students with a job per the GAO report. </t>
  </si>
  <si>
    <t>As of 3/2/2023, GAO is working on a new report on student hunger, so by the next iteration of this burden table, we expect updated estimates of both the number of students and the percentage of students working while enrolled so that we can go back to a simplier calculation like in the 2020 renewal. In the meantime, for this iteration, we applied a ratio of the number of students in 2016 to FY19 household data and used the same percentage of working students (60%) to estimate the number of student work hour verifications.</t>
  </si>
  <si>
    <t>Number of in-person recertification interviews</t>
  </si>
  <si>
    <t>Assumes 20% of recertification interviews will be in person and include travel time.</t>
  </si>
  <si>
    <t>Number of income verifications for recertifications</t>
  </si>
  <si>
    <t>Number of Social Security Number verifications for recertifications</t>
  </si>
  <si>
    <t>Number of medical expense verifications for recertifications</t>
  </si>
  <si>
    <t>Number of child support verifications for recertifications</t>
  </si>
  <si>
    <t>Calculation. Applies ratio of initial and recertification applications to child support expense universe.</t>
  </si>
  <si>
    <t>Number of utility expense verifications for recertifications</t>
  </si>
  <si>
    <t>Calculation. Applies ratio of initial and recertification applications to utility expense universe.</t>
  </si>
  <si>
    <t>Number of ABAWD verifications for recertifications</t>
  </si>
  <si>
    <t>Equal to the number of ABAWDs. ABAWDs avg 10 mos cert period, so this assumes 1 recert.</t>
  </si>
  <si>
    <t>Number of other information verifications for  recertifications</t>
  </si>
  <si>
    <t>Calculation. Subtracts ABAWD recertification from total number of recertifications.</t>
  </si>
  <si>
    <t>Number of monthly reporting households</t>
  </si>
  <si>
    <t>FY2019 SNAP Quality Control Data, 0.05% of total households doing monthly reporting</t>
  </si>
  <si>
    <t xml:space="preserve">N/A </t>
  </si>
  <si>
    <t>Number of quarterly reporting households</t>
  </si>
  <si>
    <t>FY2019 SNAP Quality Control Data, 0.03% of total households doing quarterly reporting</t>
  </si>
  <si>
    <t>Number of simplified or periodic reporting households</t>
  </si>
  <si>
    <t>FY2019 SNAP Quality Control Data, 79% of total households doing simplified reporting</t>
  </si>
  <si>
    <t>Number of simplified or periodic reporting households that submit a report</t>
  </si>
  <si>
    <t>Number of simplified reporting households multiplied by .75, assumes 75% of SR households will submit a periodic report</t>
  </si>
  <si>
    <t>Assumed 75% of SR households submit a report because many States use 6-month cert periods for SR households. In these cases, the households does not have to submit a PR.</t>
  </si>
  <si>
    <t>Number of change reporting households</t>
  </si>
  <si>
    <t>FY2019 SNAP Quality Control Data, 14.10% of total households doing change reporting</t>
  </si>
  <si>
    <t>Number of monthly reporting submissions</t>
  </si>
  <si>
    <t>Number of monthly reporting households multiplied by 11 months</t>
  </si>
  <si>
    <t>Note: New data source/calculation method.</t>
  </si>
  <si>
    <t>Number of quarterly reporting submissions</t>
  </si>
  <si>
    <t>Number of quarterly reporting households multiplied by 3 quarters</t>
  </si>
  <si>
    <t>Note: new data source/calculation method.</t>
  </si>
  <si>
    <t>Number of simplified or periodic reporting submissions</t>
  </si>
  <si>
    <t>Assumes 75% of simplified reporting households will submit one periodic report</t>
  </si>
  <si>
    <t xml:space="preserve">Note: new data source/calculation method. </t>
  </si>
  <si>
    <t>Number of change reporting submissions</t>
  </si>
  <si>
    <t>Number of change reporting households, assumes each change reporting household will submit three change reports</t>
  </si>
  <si>
    <t>Number of Eligibility, Denial, or Pending Status notices</t>
  </si>
  <si>
    <t>Calculation. Applies ratio based on total households of FY18 vs FY 22.</t>
  </si>
  <si>
    <t>The previous formula included a multiplier of 1.1. We removed this multiplier because we think using a ratio to FY18 is sufficient.</t>
  </si>
  <si>
    <t>Number of Missing or Incomplete Report notices</t>
  </si>
  <si>
    <t>Number of Missed Interview notices</t>
  </si>
  <si>
    <t>Calculation. Applies ratio based on total households of FY18 vs FY22.</t>
  </si>
  <si>
    <t xml:space="preserve">Number of Expiration notices </t>
  </si>
  <si>
    <t>Number of Adverse Action Notices (NOAAs)</t>
  </si>
  <si>
    <t xml:space="preserve">NAC - Combined Notice of Match Results and Notice of Adverse Action
</t>
  </si>
  <si>
    <t xml:space="preserve">272.18(c)(5), 273.12(c)(3)(iv)(A), 273.13(a)(2)
</t>
  </si>
  <si>
    <t xml:space="preserve">In the next iteration of this burden table, this row's estimates should be combined with Row 47, "Number of NOAAs" and reestimated. </t>
  </si>
  <si>
    <t>Number of Adequate notices</t>
  </si>
  <si>
    <t>Number of Request for Contact notices</t>
  </si>
  <si>
    <t>Calculation. 1/3 of NOAAs due to regulatory limitation.</t>
  </si>
  <si>
    <t>Number of Match Results Notices</t>
  </si>
  <si>
    <t>Calculation. Using Request for Contact as a proxy for this number.</t>
  </si>
  <si>
    <t xml:space="preserve">NAC - Notice of Match Results </t>
  </si>
  <si>
    <t>272.18(c)(3)(iii)</t>
  </si>
  <si>
    <t xml:space="preserve">In the next iteration of this burden table, this row's estimates should be combined with Row 51, "Number of Notice of Match Results" and reestimated. </t>
  </si>
  <si>
    <t>Number of Subject to Work Requirements Notices</t>
  </si>
  <si>
    <t>Characteristics of Supplemental Nutrition Assistance Program Households: Fiscal Year 2020 pre-pandemic period; Table A.25.a., Number of participants with work registrant status; percentage applied to NDB-FY 22 number of participants</t>
  </si>
  <si>
    <t>In the next iteration of this burden table, suggest combining "Number of ABAWD Work Requirements Notice" with the line items for number of "Referral to E&amp;T and Notice Requirements" and "Number of subject to work requirements notices" since the ETO final rule made this one consolidated work notice.</t>
  </si>
  <si>
    <t>Number of Referral to E&amp;T and Notice of Requirements</t>
  </si>
  <si>
    <t>Characteristics of Supplemental Nutrition Assistance Program Households: Fiscal Year 2020 pre-pandemic period; Table A.25.a., Mandatory employment and training program participant; percentage applied to NDB-FY 22 number of participants</t>
  </si>
  <si>
    <t>The increase in the number of referral to E&amp;T and Notice of Requirments derives from a more accurate data source shared by the OET office. In the next iteration of this burden table, suggest combining "Number of ABAWD Work Requirements Notice" with the line items for number of "Referral to E&amp;T and Notice Requirements" and "Number of subject to work requirements notices" since the ETO final rule made this one consolidated work notice.</t>
  </si>
  <si>
    <t>Number of State agencies developing lists of E&amp;T Services</t>
  </si>
  <si>
    <t>Employment and Training Opportunities (ETO) final rule collection (OMB Control #0584-0604) burden table shared by the Office of Employment and Training on 1/20/23.</t>
  </si>
  <si>
    <t>Number of E&amp;T Provider determination notices</t>
  </si>
  <si>
    <t>Number of State agencies developing ABAWD written statement of work requirements</t>
  </si>
  <si>
    <t>273.7(c)(1)(iii)</t>
  </si>
  <si>
    <t>Number of ABAWD Work Requirement notices</t>
  </si>
  <si>
    <t>Number of Required Verification Notices</t>
  </si>
  <si>
    <t>Calculation. Application + recertification.</t>
  </si>
  <si>
    <t>Number of Eligibility, Denial, or Pending Status notices read by households</t>
  </si>
  <si>
    <t>Calculation. Assumes 80% of missed interview notices are read.</t>
  </si>
  <si>
    <t>Number of Missing or Incomplete Report notices read by households</t>
  </si>
  <si>
    <t>Calculation. Assumes 80% of adverse action notices are read.</t>
  </si>
  <si>
    <t>Number of Missed Interview notices read by households</t>
  </si>
  <si>
    <t>Number of Expiration notices read by households</t>
  </si>
  <si>
    <t>Number of Adverse Action notices read by households</t>
  </si>
  <si>
    <t>Number of Adequate Notices read by households</t>
  </si>
  <si>
    <t>Calculation. Assumes 80% of adequate notices are read.</t>
  </si>
  <si>
    <t>Number of Request for Contact notices read by households</t>
  </si>
  <si>
    <t>Calculation. Assumes 80% of request for contact notices are read.</t>
  </si>
  <si>
    <t>Number of Match Results Notices read by households</t>
  </si>
  <si>
    <t>Calculation. Assumes 80% of notice of match results are read.</t>
  </si>
  <si>
    <t>Number of Subject to Work Requirements Notices read by households</t>
  </si>
  <si>
    <t>Calculation. Assumes 80% of subject to work requirements notices are read.</t>
  </si>
  <si>
    <t xml:space="preserve">In the next iteration of this burden table, suggest combining "Number of ABAWD Work Requirements Notice read by households" with the line items for number of "Number of Work Requirements Notices read by households" and "number of referral to E&amp;T notice of requirements read by households" since the ETO final rule made this one consolidated work notice. </t>
  </si>
  <si>
    <t>Number of Referral to E&amp;T and Notice of Requirements read by households</t>
  </si>
  <si>
    <t xml:space="preserve">Calculation. Assumes 80% of referrals to E&amp;T and notice of requirements are read. </t>
  </si>
  <si>
    <t>Number of Required Verification Notices read by households</t>
  </si>
  <si>
    <t>Calculation. Assumes 80% of required verification notices are read.</t>
  </si>
  <si>
    <t>Number of E&amp;T Provider determination Notices read by households</t>
  </si>
  <si>
    <t>Employment and Training Opportunities (ETO) final rule collection (OMB Control #0584-0604) burden table shared by the Office of Employment and Training on 1/20/23. Assumes 100% of notices are read.</t>
  </si>
  <si>
    <t>In the next iteration of this burden table, recommend applying the assumption that 80% of these notices are read by households to this notice.</t>
  </si>
  <si>
    <t>Number of ABAWD written statement of work requirements read by households</t>
  </si>
  <si>
    <t>Number of E&amp;T Services lists read by households</t>
  </si>
  <si>
    <t>Employment and Training Opportunities (ETO) final rule collection (OMB Control #0584-0604) burden table shared by the Office of Employment and Training on 1/20/23. Assumes 100% of notices are read. According to the OET rule, this is the number of households with no earned income and with no elderly or disabled members.</t>
  </si>
  <si>
    <t>In the next iteration of this burden table, recommend applying the assumption that 80% of these notices are read by households to this notice. Also suggest combining "Number of ABAWD Work Requirements Notice read by households" with the line items for number of "Number of Work Requirements Notices read by households" and "number of referral to E&amp;T notice of requirements read by households" since the ETO final rule made this one consolidated work notice.</t>
  </si>
  <si>
    <t>Previous ICR</t>
  </si>
  <si>
    <t>Number of local agencies</t>
  </si>
  <si>
    <t>272.1(f), 272.4(e)</t>
  </si>
  <si>
    <t>Number of case file records</t>
  </si>
  <si>
    <t>Caseload from FY 18, FY 19, and FY 20 characteristics reports. Characteristics of Supplemental Nutrition Assistance Program Households: Fiscal Year 2020 pre-pandemic period; Table A.29.a.</t>
  </si>
  <si>
    <t xml:space="preserve">Note: We use the three previous years of caseload data because States have to keep records for three years. </t>
  </si>
  <si>
    <t>Number of duplicate participation records</t>
  </si>
  <si>
    <t>Number of Option to Disqualify Custodial Parent for Failure to Cooperate notices</t>
  </si>
  <si>
    <t>Calculation. Assumes this notice would impact 1% of all initial applications and recertifications.</t>
  </si>
  <si>
    <t>Number of Failure to Report Shelter Cost Change due to move notices</t>
  </si>
  <si>
    <t xml:space="preserve">Calculation. Assumes this notice would impact 3.5% of all simplifed reporting households and 10% of total change reports.  </t>
  </si>
  <si>
    <t xml:space="preserve">In this iteration, we are calculating using a new methodology that separates this line item from recertifications since this policy affects households during their certification period, for all reporting types. The change in methodology resulted in an increase to the burden hours for this item. We are using 10% of change reports because there are ten different items change reporters have to report, and for the purposes of these estimates, we are assuming the breakdown of those items is evenly split amongst all change reports. </t>
  </si>
  <si>
    <t>Number of fleeing felon and probation or parole violators determinations</t>
  </si>
  <si>
    <t>Calculation. Assumes this notice would impact 2% of all initial applications and recertifications.</t>
  </si>
  <si>
    <t>Number of Change Report Forms a State must provide households</t>
  </si>
  <si>
    <t>Calculation. Estimated from number of initial applications and recertifications and number of change report forms.</t>
  </si>
  <si>
    <t>Number reporting changes in work hours below 20 a week (ABAWDs)</t>
  </si>
  <si>
    <t>Characteristics of Supplemental Nutrition Assistance Program Households: Fiscal Year 2020 pre-pandemic period; Table A.23.a.; Total number of participants, adults age 18–49 without disabilities in childless households; percentage applied to NDB-FY 22 number of participants, then multiplied by the percentage of ABAWDs who work, which can be found in Table A.26.a. of the same Characteristics Report (for FY20 pre-pandemic period, 25.4% of ABAWDs worked)</t>
  </si>
  <si>
    <t>FNS SNAP Forms ICR Labor Rates (OMB Control No. 0584-0064)</t>
  </si>
  <si>
    <t xml:space="preserve">Updated Estimate </t>
  </si>
  <si>
    <t>Type of Respondent</t>
  </si>
  <si>
    <t xml:space="preserve">Estimate in Currently Approved ICR </t>
  </si>
  <si>
    <t>Hourly Mean Wage</t>
  </si>
  <si>
    <t xml:space="preserve">Fully-Loaded Wage </t>
  </si>
  <si>
    <t xml:space="preserve">Reimbursement Value </t>
  </si>
  <si>
    <t xml:space="preserve">Data Source </t>
  </si>
  <si>
    <t>State Agency</t>
  </si>
  <si>
    <t>Bureau of Labor Statistics (BLS) Occupational Employment and Wages Statistics data from May 2022; Occupation Code 43-4061 Eligibility Interviewers, Government Programs; Hourly Mean Wage Rate for State Government = $22.10. Available at https://www.bls.gov/oes/current/oes434061.htm#nat.
Final labor rate is a fully loaded rate including fringe benefits and overhead at 33% of the BLS reported labor rate ($22.10 X 1.33 = $29.39).</t>
  </si>
  <si>
    <t>Local Agency</t>
  </si>
  <si>
    <t>Bureau of Labor Statistics (BLS) Occupational Employment and Wages Statistics data from May 2022; Occupation Code 43-4061 Eligibility Interviewers, Government Programs; Median Hourly Wage Rate for Local Government  = $26.05. Available at https://www.bls.gov/oes/current/oes434061.htm#nat.
Final labor rate is a fully loaded rate including fringe benefits and overhead at 33% of the BLS reported labor rate ($26.05 X 1.33 = $34.65).</t>
  </si>
  <si>
    <t>Households</t>
  </si>
  <si>
    <t>Data from Bureau of Labor Statistics (BLS) 2023 median weekly earnings for full-time wage and salary workers, averaged, divided by 40 hours, with a 20% reduction to remove taxes and other work-related costs. Available at https://www.bls.gov/cps/data.htm.</t>
  </si>
  <si>
    <t>National Office Program Analyst (GS 12/2)</t>
  </si>
  <si>
    <t>U.S. Office of Personnel Management (OPM) 2023 General Schedule (GS) salary table incorporating the 4.1% GS increase and a locality payment of 32.49% for the locality pay area of Washington-Baltimore-Arlington, DC-MD-VA-WV-PA. Available at https://www.opm.gov/policy-data-oversight/pay-leave/salaries-wages/salary-tables/pdf/2023/DCB_h.pdf.</t>
  </si>
  <si>
    <t>National Office Branch Chief (GS 14/1)</t>
  </si>
  <si>
    <t>FNS SNAP Forms ICR Total Burden Estimate (OMB Control No. 0584-0064)</t>
  </si>
  <si>
    <t>Responses Per Respondent</t>
  </si>
  <si>
    <t>Estimated Average Hours Per Response</t>
  </si>
  <si>
    <t>A</t>
  </si>
  <si>
    <t>B</t>
  </si>
  <si>
    <t>C = A x B</t>
  </si>
  <si>
    <t>E = C x D</t>
  </si>
  <si>
    <t>G = E x F</t>
  </si>
  <si>
    <t>I</t>
  </si>
  <si>
    <t>K</t>
  </si>
  <si>
    <t>Total Reporting Burden</t>
  </si>
  <si>
    <t>Total Recordkeeping Burden</t>
  </si>
  <si>
    <t>Total State Agency disclosures to third-parties</t>
  </si>
  <si>
    <t>Total Burden for #0584-0064</t>
  </si>
  <si>
    <t>Respondent</t>
  </si>
  <si>
    <t>Estimated Number of Respondent</t>
  </si>
  <si>
    <t>Responses Annually per Respondent</t>
  </si>
  <si>
    <t xml:space="preserve">Total Annual Responses </t>
  </si>
  <si>
    <t>Estimated Average Number of Hours Per Response</t>
  </si>
  <si>
    <t xml:space="preserve">Estimated Total Hours </t>
  </si>
  <si>
    <t>Hourly Wage Rates</t>
  </si>
  <si>
    <t>Total Annual Cost to Respondents</t>
  </si>
  <si>
    <t>Reporting Burden</t>
  </si>
  <si>
    <t>State/Local/Tribal Governments</t>
  </si>
  <si>
    <t> Total Estimated Reporting Burden</t>
  </si>
  <si>
    <t>Recordkeeping Burden</t>
  </si>
  <si>
    <t> Total Estimated Recordkeeping Burden</t>
  </si>
  <si>
    <t>TOTAL REPORTING AND RECORDKEEPING BURDEN FOR #0584-0064</t>
  </si>
  <si>
    <t xml:space="preserve">FNS SNAP ICR Federal Cost Estimate (OMB Control No. 0584-0064) </t>
  </si>
  <si>
    <t xml:space="preserve">Respondent </t>
  </si>
  <si>
    <t xml:space="preserve">Hourly Wage Rate </t>
  </si>
  <si>
    <t xml:space="preserve">Total Burden Hours </t>
  </si>
  <si>
    <t>Costs (US$ approx.)</t>
  </si>
  <si>
    <t xml:space="preserve">State Agencies </t>
  </si>
  <si>
    <t xml:space="preserve">Local Agencies </t>
  </si>
  <si>
    <t xml:space="preserve">Households </t>
  </si>
  <si>
    <t xml:space="preserve">Total State, Local, Household Cost (Before 50% Federal reimbursement offset) </t>
  </si>
  <si>
    <t xml:space="preserve">50% Federal Reimbursement Offset </t>
  </si>
  <si>
    <t xml:space="preserve">Total Cost to Respondents (State, Local, Household minus 50% Federal reimbursement for State and Local Governments) </t>
  </si>
  <si>
    <t>Burden - Federal Government (OMB Control No. 0584-0064)</t>
  </si>
  <si>
    <t xml:space="preserve">Estimated Total Annual Burden Hours </t>
  </si>
  <si>
    <t>Estimated Hourly Wage Rate, Fully-Loaded</t>
  </si>
  <si>
    <t xml:space="preserve">Cost (US$) (Approx.) </t>
  </si>
  <si>
    <t>50% Federal Reimbursement Cost to States and Local Agencies</t>
  </si>
  <si>
    <t> </t>
  </si>
  <si>
    <t>Review of Information Collection – National Office Branch Chief (GS 14/1)</t>
  </si>
  <si>
    <t xml:space="preserve">Total Federal Cost </t>
  </si>
  <si>
    <t>Draft of Information Collection – National Office Program Analyst (GS 12/1)</t>
  </si>
  <si>
    <t>Individuals/Households</t>
  </si>
  <si>
    <t>Affected Public:  Businesses</t>
  </si>
  <si>
    <t>Update Data File</t>
  </si>
  <si>
    <t>Transmit Data File to USDA</t>
  </si>
  <si>
    <t>Businesses Reporting Subtotal</t>
  </si>
  <si>
    <t xml:space="preserve">Transmit data file of SSN and DOB to USDA </t>
  </si>
  <si>
    <t>Update data file of SSN and DOB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</si>
</sst>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quot;$&quot;#,##0"/>
    <numFmt numFmtId="167" formatCode="#,##0.0000"/>
    <numFmt numFmtId="168" formatCode="#,##0.0000000000"/>
    <numFmt numFmtId="169" formatCode="_(* #,##0_);_(* \(#,##0\);_(* &quot;-&quot;??_);_(@_)"/>
  </numFmts>
  <fonts count="29" x14ac:knownFonts="1">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b/>
      <sz val="11"/>
      <name val="Calibri"/>
      <family val="2"/>
      <scheme val="minor"/>
    </font>
    <font>
      <sz val="10"/>
      <name val="Arial"/>
      <family val="2"/>
    </font>
    <font>
      <sz val="11"/>
      <color rgb="FF9C6500"/>
      <name val="Calibri"/>
      <family val="2"/>
      <scheme val="minor"/>
    </font>
    <font>
      <sz val="8"/>
      <name val="Calibri"/>
      <family val="2"/>
      <scheme val="minor"/>
    </font>
    <font>
      <sz val="9"/>
      <color indexed="81"/>
      <name val="Tahoma"/>
      <family val="2"/>
    </font>
    <font>
      <sz val="11"/>
      <color rgb="FF000000"/>
      <name val="Calibri"/>
      <family val="2"/>
    </font>
    <font>
      <i/>
      <sz val="11"/>
      <color theme="4" tint="-0.249977111117893"/>
      <name val="Calibri"/>
      <family val="2"/>
      <scheme val="minor"/>
    </font>
    <font>
      <b/>
      <sz val="12"/>
      <color theme="4" tint="-0.249977111117893"/>
      <name val="Calibri"/>
      <family val="2"/>
      <scheme val="minor"/>
    </font>
    <font>
      <sz val="12"/>
      <color theme="1"/>
      <name val="Times New Roman"/>
      <family val="1"/>
    </font>
    <font>
      <sz val="11"/>
      <color theme="1"/>
      <name val="Calibri"/>
      <family val="2"/>
      <scheme val="minor"/>
    </font>
    <font>
      <sz val="11"/>
      <color rgb="FFFF00FF"/>
      <name val="Calibri"/>
      <family val="2"/>
      <scheme val="minor"/>
    </font>
    <font>
      <sz val="11"/>
      <name val="Calibri"/>
      <family val="2"/>
      <scheme val="minor"/>
    </font>
    <font>
      <i/>
      <sz val="11"/>
      <name val="Calibri"/>
      <family val="2"/>
      <scheme val="minor"/>
    </font>
    <font>
      <b/>
      <sz val="11"/>
      <color rgb="FF000000"/>
      <name val="Calibri"/>
      <family val="2"/>
    </font>
    <font>
      <b/>
      <sz val="16"/>
      <color theme="4" tint="-0.249977111117893"/>
      <name val="Calibri"/>
      <family val="2"/>
      <scheme val="minor"/>
    </font>
    <font>
      <b/>
      <sz val="18"/>
      <color theme="1"/>
      <name val="Calibri"/>
      <family val="2"/>
      <scheme val="minor"/>
    </font>
    <font>
      <sz val="11"/>
      <color rgb="FF000000"/>
      <name val="Calibri"/>
      <family val="2"/>
    </font>
    <font>
      <b/>
      <sz val="11"/>
      <color theme="1"/>
      <name val="Times New Roman"/>
      <family val="1"/>
    </font>
    <font>
      <sz val="11"/>
      <color theme="1"/>
      <name val="Times New Roman"/>
      <family val="1"/>
    </font>
    <font>
      <sz val="11"/>
      <color rgb="FF000000"/>
      <name val="Calibri"/>
      <family val="2"/>
    </font>
    <font>
      <b/>
      <sz val="11"/>
      <color rgb="FF000000"/>
      <name val="Calibri"/>
      <family val="2"/>
    </font>
    <font>
      <sz val="11"/>
      <color theme="1"/>
      <name val="Calibri"/>
      <family val="2"/>
    </font>
    <font>
      <b/>
      <sz val="11"/>
      <color theme="1"/>
      <name val="Calibri"/>
      <family val="2"/>
    </font>
    <font>
      <sz val="11"/>
      <color rgb="FFFF0000"/>
      <name val="Calibri"/>
      <family val="2"/>
      <scheme val="minor"/>
    </font>
    <font>
      <sz val="11"/>
      <color rgb="FF000000"/>
      <name val="Calibri"/>
      <family val="2"/>
      <scheme val="minor"/>
    </font>
  </fonts>
  <fills count="19">
    <fill>
      <patternFill patternType="none"/>
    </fill>
    <fill>
      <patternFill patternType="gray125"/>
    </fill>
    <fill>
      <patternFill patternType="solid">
        <fgColor theme="2"/>
        <bgColor indexed="64"/>
      </patternFill>
    </fill>
    <fill>
      <patternFill patternType="solid">
        <fgColor rgb="FFFFEB9C"/>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FF2CC"/>
        <bgColor indexed="64"/>
      </patternFill>
    </fill>
    <fill>
      <patternFill patternType="solid">
        <fgColor rgb="FFF8CBAD"/>
        <bgColor indexed="64"/>
      </patternFill>
    </fill>
    <fill>
      <patternFill patternType="solid">
        <fgColor rgb="FFFFFFFF"/>
        <bgColor indexed="64"/>
      </patternFill>
    </fill>
    <fill>
      <patternFill patternType="solid">
        <fgColor rgb="FFFFF2CC"/>
        <bgColor rgb="FF000000"/>
      </patternFill>
    </fill>
    <fill>
      <patternFill patternType="solid">
        <fgColor rgb="FFD9E1F2"/>
        <bgColor rgb="FF000000"/>
      </patternFill>
    </fill>
    <fill>
      <patternFill patternType="solid">
        <fgColor rgb="FFF8CBAD"/>
        <bgColor rgb="FF000000"/>
      </patternFill>
    </fill>
    <fill>
      <patternFill patternType="solid">
        <fgColor rgb="FFD9E1F2"/>
        <bgColor indexed="64"/>
      </patternFill>
    </fill>
    <fill>
      <patternFill patternType="solid">
        <fgColor theme="4" tint="0.79998168889431442"/>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indexed="64"/>
      </left>
      <right style="thin">
        <color rgb="FF000000"/>
      </right>
      <top style="thin">
        <color rgb="FF000000"/>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s>
  <cellStyleXfs count="8">
    <xf numFmtId="0" fontId="0" fillId="0" borderId="0"/>
    <xf numFmtId="0" fontId="3" fillId="0" borderId="0"/>
    <xf numFmtId="0" fontId="3" fillId="0" borderId="0"/>
    <xf numFmtId="0" fontId="3" fillId="0" borderId="0"/>
    <xf numFmtId="0" fontId="5" fillId="0" borderId="0"/>
    <xf numFmtId="0" fontId="3" fillId="0" borderId="0"/>
    <xf numFmtId="0" fontId="6" fillId="3" borderId="0" applyNumberFormat="0" applyBorder="0" applyAlignment="0" applyProtection="0"/>
    <xf numFmtId="44" fontId="13" fillId="0" borderId="0" applyFont="0" applyFill="0" applyBorder="0" applyAlignment="0" applyProtection="0"/>
  </cellStyleXfs>
  <cellXfs count="358">
    <xf numFmtId="0" fontId="0" fillId="0" borderId="0" xfId="0"/>
    <xf numFmtId="0" fontId="0" fillId="0" borderId="0" xfId="0" applyAlignment="1">
      <alignment wrapText="1"/>
    </xf>
    <xf numFmtId="0" fontId="0" fillId="0" borderId="1" xfId="0" applyBorder="1" applyAlignment="1">
      <alignment vertical="center" wrapText="1"/>
    </xf>
    <xf numFmtId="0" fontId="0" fillId="0" borderId="0" xfId="0" applyAlignment="1">
      <alignment horizontal="left"/>
    </xf>
    <xf numFmtId="3" fontId="0" fillId="0" borderId="1" xfId="0" applyNumberFormat="1" applyBorder="1" applyAlignment="1">
      <alignment horizontal="center" vertical="center" wrapText="1"/>
    </xf>
    <xf numFmtId="4" fontId="0" fillId="0" borderId="0" xfId="0" applyNumberFormat="1" applyAlignment="1">
      <alignment wrapText="1"/>
    </xf>
    <xf numFmtId="4" fontId="0" fillId="0" borderId="0" xfId="0" applyNumberFormat="1"/>
    <xf numFmtId="3" fontId="0" fillId="0" borderId="8" xfId="0" applyNumberFormat="1" applyBorder="1" applyAlignment="1">
      <alignment horizontal="center" vertical="center" wrapText="1"/>
    </xf>
    <xf numFmtId="4" fontId="0" fillId="0" borderId="8" xfId="0" applyNumberFormat="1" applyBorder="1" applyAlignment="1">
      <alignment horizontal="center" vertical="center" wrapText="1"/>
    </xf>
    <xf numFmtId="0" fontId="1" fillId="0" borderId="7" xfId="0" applyFont="1" applyBorder="1" applyAlignment="1">
      <alignment horizontal="center" vertical="center"/>
    </xf>
    <xf numFmtId="4" fontId="1" fillId="0" borderId="8" xfId="0" applyNumberFormat="1" applyFont="1" applyBorder="1" applyAlignment="1">
      <alignment horizontal="center" vertical="center"/>
    </xf>
    <xf numFmtId="4" fontId="1" fillId="0" borderId="9"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3" fontId="0" fillId="0" borderId="0" xfId="0" applyNumberFormat="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165" fontId="0" fillId="0" borderId="1" xfId="0" applyNumberFormat="1" applyBorder="1" applyAlignment="1">
      <alignment horizontal="center" vertical="center" wrapText="1"/>
    </xf>
    <xf numFmtId="0" fontId="1" fillId="0" borderId="1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4" fontId="1" fillId="0" borderId="20"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1" fillId="0" borderId="8" xfId="0" applyNumberFormat="1" applyFont="1" applyBorder="1" applyAlignment="1">
      <alignment horizontal="center" vertical="center"/>
    </xf>
    <xf numFmtId="0" fontId="0" fillId="0" borderId="0" xfId="0" applyAlignment="1">
      <alignment vertical="center" wrapText="1"/>
    </xf>
    <xf numFmtId="0" fontId="1" fillId="0" borderId="0" xfId="0" applyFont="1" applyAlignment="1">
      <alignment vertical="center" wrapText="1"/>
    </xf>
    <xf numFmtId="0" fontId="0" fillId="0" borderId="1" xfId="0" applyBorder="1" applyAlignment="1">
      <alignment horizontal="left" vertical="center" wrapText="1"/>
    </xf>
    <xf numFmtId="0" fontId="0" fillId="0" borderId="5" xfId="0" applyBorder="1" applyAlignment="1">
      <alignment horizontal="left" vertical="center"/>
    </xf>
    <xf numFmtId="3"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5" xfId="0" applyBorder="1" applyAlignment="1">
      <alignment horizontal="left"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6" borderId="1" xfId="0" applyFill="1" applyBorder="1"/>
    <xf numFmtId="0" fontId="1" fillId="6" borderId="1" xfId="0" applyFont="1" applyFill="1" applyBorder="1" applyAlignment="1">
      <alignment horizontal="center" vertical="center" wrapText="1"/>
    </xf>
    <xf numFmtId="0" fontId="0" fillId="0" borderId="22" xfId="0" applyBorder="1" applyAlignment="1">
      <alignment horizontal="left" vertical="center" wrapText="1"/>
    </xf>
    <xf numFmtId="3" fontId="0" fillId="0" borderId="16" xfId="0" applyNumberFormat="1" applyBorder="1" applyAlignment="1">
      <alignment horizontal="center" vertical="center"/>
    </xf>
    <xf numFmtId="4" fontId="1" fillId="0" borderId="27" xfId="0" applyNumberFormat="1" applyFont="1" applyBorder="1" applyAlignment="1">
      <alignment horizontal="center" vertical="center" wrapText="1"/>
    </xf>
    <xf numFmtId="4" fontId="1" fillId="0" borderId="24" xfId="0" applyNumberFormat="1" applyFont="1" applyBorder="1" applyAlignment="1">
      <alignment horizontal="center" vertical="center" wrapText="1"/>
    </xf>
    <xf numFmtId="0" fontId="1" fillId="0" borderId="29" xfId="0" applyFont="1" applyBorder="1" applyAlignment="1">
      <alignment horizontal="center" vertical="center" wrapText="1"/>
    </xf>
    <xf numFmtId="4" fontId="1" fillId="0" borderId="29" xfId="0" applyNumberFormat="1" applyFont="1" applyBorder="1" applyAlignment="1">
      <alignment horizontal="center" vertical="center" wrapText="1"/>
    </xf>
    <xf numFmtId="4" fontId="1" fillId="0" borderId="23"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0" fillId="0" borderId="32" xfId="0" applyBorder="1"/>
    <xf numFmtId="3" fontId="0" fillId="0" borderId="33" xfId="0" applyNumberFormat="1" applyBorder="1" applyAlignment="1">
      <alignment horizontal="center"/>
    </xf>
    <xf numFmtId="0" fontId="1" fillId="7" borderId="32" xfId="0" applyFont="1" applyFill="1" applyBorder="1"/>
    <xf numFmtId="3" fontId="1" fillId="7" borderId="33" xfId="0" applyNumberFormat="1" applyFont="1" applyFill="1" applyBorder="1" applyAlignment="1">
      <alignment horizontal="center"/>
    </xf>
    <xf numFmtId="0" fontId="1" fillId="0" borderId="34" xfId="0" applyFont="1" applyBorder="1"/>
    <xf numFmtId="3" fontId="1" fillId="0" borderId="35" xfId="0" applyNumberFormat="1" applyFont="1" applyBorder="1" applyAlignment="1">
      <alignment horizontal="center"/>
    </xf>
    <xf numFmtId="4" fontId="0" fillId="0" borderId="33" xfId="0" applyNumberFormat="1" applyBorder="1" applyAlignment="1">
      <alignment horizontal="center"/>
    </xf>
    <xf numFmtId="4" fontId="1" fillId="7" borderId="33" xfId="0" applyNumberFormat="1" applyFont="1" applyFill="1" applyBorder="1" applyAlignment="1">
      <alignment horizontal="center"/>
    </xf>
    <xf numFmtId="4" fontId="1" fillId="0" borderId="35" xfId="0" applyNumberFormat="1" applyFont="1" applyBorder="1" applyAlignment="1">
      <alignment horizontal="center"/>
    </xf>
    <xf numFmtId="3" fontId="0" fillId="0" borderId="0" xfId="0" applyNumberFormat="1" applyAlignment="1">
      <alignment wrapText="1"/>
    </xf>
    <xf numFmtId="3" fontId="1" fillId="0" borderId="20"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164" fontId="0" fillId="0" borderId="0" xfId="0" applyNumberFormat="1"/>
    <xf numFmtId="167" fontId="0" fillId="0" borderId="0" xfId="0" applyNumberFormat="1" applyAlignment="1">
      <alignment wrapText="1"/>
    </xf>
    <xf numFmtId="167" fontId="1" fillId="0" borderId="20"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0" fillId="8" borderId="1" xfId="0" applyFill="1" applyBorder="1"/>
    <xf numFmtId="3" fontId="12" fillId="0" borderId="0" xfId="0" applyNumberFormat="1" applyFont="1"/>
    <xf numFmtId="0" fontId="1" fillId="0" borderId="36" xfId="0" applyFont="1" applyBorder="1" applyAlignment="1">
      <alignment horizontal="center" vertical="center"/>
    </xf>
    <xf numFmtId="0" fontId="1" fillId="0" borderId="37" xfId="0" applyFont="1" applyBorder="1" applyAlignment="1">
      <alignment horizontal="center" vertical="center" wrapText="1"/>
    </xf>
    <xf numFmtId="4" fontId="1" fillId="0" borderId="37" xfId="0" applyNumberFormat="1" applyFont="1" applyBorder="1" applyAlignment="1">
      <alignment horizontal="center" vertical="center" wrapText="1"/>
    </xf>
    <xf numFmtId="0" fontId="14" fillId="0" borderId="0" xfId="0" applyFont="1"/>
    <xf numFmtId="4" fontId="1" fillId="0" borderId="38" xfId="0" applyNumberFormat="1" applyFont="1" applyBorder="1" applyAlignment="1">
      <alignment horizontal="center" vertical="center" wrapText="1"/>
    </xf>
    <xf numFmtId="4" fontId="0" fillId="0" borderId="39" xfId="0" applyNumberFormat="1" applyBorder="1" applyAlignment="1">
      <alignment horizontal="center"/>
    </xf>
    <xf numFmtId="4" fontId="1" fillId="7" borderId="39" xfId="0" applyNumberFormat="1" applyFont="1" applyFill="1" applyBorder="1" applyAlignment="1">
      <alignment horizontal="center"/>
    </xf>
    <xf numFmtId="4" fontId="1" fillId="0" borderId="40" xfId="0" applyNumberFormat="1" applyFont="1" applyBorder="1" applyAlignment="1">
      <alignment horizontal="center"/>
    </xf>
    <xf numFmtId="0" fontId="14" fillId="0" borderId="14" xfId="0" applyFont="1" applyBorder="1"/>
    <xf numFmtId="0" fontId="14" fillId="0" borderId="44" xfId="0" applyFont="1" applyBorder="1"/>
    <xf numFmtId="168" fontId="16" fillId="0" borderId="1" xfId="0" applyNumberFormat="1" applyFont="1" applyBorder="1" applyAlignment="1">
      <alignment horizontal="center" vertical="center" wrapText="1"/>
    </xf>
    <xf numFmtId="44" fontId="15" fillId="0" borderId="14" xfId="7" applyFont="1" applyBorder="1"/>
    <xf numFmtId="44" fontId="15" fillId="0" borderId="44" xfId="0" applyNumberFormat="1" applyFont="1" applyBorder="1" applyAlignment="1">
      <alignment wrapText="1"/>
    </xf>
    <xf numFmtId="44" fontId="15" fillId="0" borderId="44" xfId="0" applyNumberFormat="1" applyFont="1" applyBorder="1"/>
    <xf numFmtId="44" fontId="15" fillId="0" borderId="45" xfId="0" applyNumberFormat="1" applyFont="1" applyBorder="1"/>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44" fontId="0" fillId="0" borderId="0" xfId="0" applyNumberFormat="1"/>
    <xf numFmtId="0" fontId="1" fillId="0" borderId="0" xfId="0" applyFont="1"/>
    <xf numFmtId="0" fontId="1" fillId="0" borderId="0" xfId="0" applyFont="1" applyAlignment="1">
      <alignment wrapText="1"/>
    </xf>
    <xf numFmtId="0" fontId="0" fillId="0" borderId="14" xfId="0" applyBorder="1" applyAlignment="1">
      <alignment horizontal="left" vertical="center" wrapText="1"/>
    </xf>
    <xf numFmtId="0" fontId="0" fillId="0" borderId="5" xfId="0" applyBorder="1" applyAlignment="1">
      <alignment vertical="center" wrapText="1"/>
    </xf>
    <xf numFmtId="0" fontId="0" fillId="10" borderId="1" xfId="0" applyFill="1" applyBorder="1" applyAlignment="1">
      <alignment horizontal="center" vertical="center"/>
    </xf>
    <xf numFmtId="0" fontId="0" fillId="10" borderId="16" xfId="0" applyFill="1" applyBorder="1" applyAlignment="1">
      <alignment horizontal="left" vertical="center" wrapText="1"/>
    </xf>
    <xf numFmtId="0" fontId="0" fillId="10" borderId="0" xfId="0" applyFill="1" applyAlignment="1">
      <alignment vertical="center"/>
    </xf>
    <xf numFmtId="3" fontId="0" fillId="10" borderId="1" xfId="0" applyNumberFormat="1" applyFill="1" applyBorder="1" applyAlignment="1">
      <alignment horizontal="center" vertical="center"/>
    </xf>
    <xf numFmtId="0" fontId="0" fillId="10" borderId="1" xfId="0" applyFill="1" applyBorder="1" applyAlignment="1">
      <alignment horizontal="left" vertical="center" wrapText="1"/>
    </xf>
    <xf numFmtId="0" fontId="0" fillId="10" borderId="48" xfId="0" applyFill="1" applyBorder="1" applyAlignment="1">
      <alignment horizontal="left" vertical="center" wrapText="1"/>
    </xf>
    <xf numFmtId="0" fontId="0" fillId="10" borderId="49" xfId="0" applyFill="1" applyBorder="1" applyAlignment="1">
      <alignment horizontal="left" vertical="center" wrapText="1"/>
    </xf>
    <xf numFmtId="0" fontId="0" fillId="10" borderId="5" xfId="0" applyFill="1" applyBorder="1" applyAlignment="1">
      <alignment horizontal="left" vertical="center" wrapText="1"/>
    </xf>
    <xf numFmtId="0" fontId="0" fillId="10" borderId="14" xfId="0" applyFill="1" applyBorder="1" applyAlignment="1">
      <alignment horizontal="left" vertical="center" wrapText="1"/>
    </xf>
    <xf numFmtId="3" fontId="0" fillId="12" borderId="1" xfId="0" applyNumberFormat="1" applyFill="1" applyBorder="1" applyAlignment="1">
      <alignment horizontal="center" vertical="center"/>
    </xf>
    <xf numFmtId="3" fontId="0" fillId="10" borderId="1" xfId="0" applyNumberFormat="1" applyFill="1" applyBorder="1" applyAlignment="1">
      <alignment horizontal="center" vertical="center" wrapText="1"/>
    </xf>
    <xf numFmtId="0" fontId="0" fillId="0" borderId="1" xfId="0" applyBorder="1" applyAlignment="1">
      <alignment horizontal="left" vertical="top" wrapText="1"/>
    </xf>
    <xf numFmtId="0" fontId="0" fillId="5" borderId="1" xfId="0" applyFill="1" applyBorder="1" applyAlignment="1">
      <alignment horizontal="left" vertical="center" wrapText="1"/>
    </xf>
    <xf numFmtId="0" fontId="0" fillId="0" borderId="28" xfId="0" applyBorder="1"/>
    <xf numFmtId="0" fontId="0" fillId="0" borderId="22" xfId="0" applyBorder="1"/>
    <xf numFmtId="4" fontId="0" fillId="0" borderId="1" xfId="0" applyNumberFormat="1" applyBorder="1" applyAlignment="1">
      <alignment horizontal="center" vertical="center"/>
    </xf>
    <xf numFmtId="164" fontId="0" fillId="0" borderId="1" xfId="0" applyNumberFormat="1" applyBorder="1" applyAlignment="1">
      <alignment horizontal="center" vertical="center"/>
    </xf>
    <xf numFmtId="4" fontId="0" fillId="0" borderId="6" xfId="0" applyNumberFormat="1" applyBorder="1" applyAlignment="1">
      <alignment horizontal="center" vertical="center"/>
    </xf>
    <xf numFmtId="0" fontId="0" fillId="10" borderId="5" xfId="0" applyFill="1" applyBorder="1" applyAlignment="1">
      <alignment horizontal="left" wrapText="1"/>
    </xf>
    <xf numFmtId="3" fontId="0" fillId="5" borderId="1" xfId="0" applyNumberFormat="1" applyFill="1" applyBorder="1" applyAlignment="1">
      <alignment horizontal="center" vertical="center"/>
    </xf>
    <xf numFmtId="167" fontId="16" fillId="0" borderId="1" xfId="0" applyNumberFormat="1" applyFont="1" applyBorder="1" applyAlignment="1">
      <alignment horizontal="center" vertical="center" wrapText="1"/>
    </xf>
    <xf numFmtId="0" fontId="0" fillId="0" borderId="50" xfId="0" applyBorder="1"/>
    <xf numFmtId="0" fontId="1" fillId="0" borderId="0" xfId="0" applyFont="1" applyAlignment="1">
      <alignment horizontal="center" wrapText="1"/>
    </xf>
    <xf numFmtId="0" fontId="1" fillId="5" borderId="51" xfId="0" applyFont="1" applyFill="1" applyBorder="1" applyAlignment="1">
      <alignment horizontal="center" vertical="center" wrapText="1"/>
    </xf>
    <xf numFmtId="0" fontId="1" fillId="0" borderId="46" xfId="0" applyFont="1" applyBorder="1" applyAlignment="1">
      <alignment vertical="center"/>
    </xf>
    <xf numFmtId="0" fontId="1" fillId="0" borderId="54" xfId="0" applyFont="1" applyBorder="1" applyAlignment="1">
      <alignment horizontal="center" vertical="center" wrapText="1"/>
    </xf>
    <xf numFmtId="0" fontId="1" fillId="0" borderId="27" xfId="0" applyFont="1" applyBorder="1" applyAlignment="1">
      <alignment horizontal="center" vertical="center" wrapText="1"/>
    </xf>
    <xf numFmtId="3" fontId="1" fillId="0" borderId="27" xfId="0" applyNumberFormat="1" applyFont="1" applyBorder="1" applyAlignment="1">
      <alignment horizontal="center" vertical="center" wrapText="1"/>
    </xf>
    <xf numFmtId="167" fontId="4" fillId="0" borderId="27" xfId="0" applyNumberFormat="1" applyFont="1" applyBorder="1" applyAlignment="1">
      <alignment horizontal="center" vertical="center" wrapText="1"/>
    </xf>
    <xf numFmtId="165" fontId="4" fillId="0" borderId="27" xfId="0" applyNumberFormat="1" applyFont="1" applyBorder="1" applyAlignment="1">
      <alignment horizontal="center" vertical="center" wrapText="1"/>
    </xf>
    <xf numFmtId="167" fontId="0" fillId="0" borderId="0" xfId="0" applyNumberFormat="1"/>
    <xf numFmtId="0" fontId="0" fillId="12" borderId="1" xfId="0" applyFill="1" applyBorder="1" applyAlignment="1">
      <alignment horizontal="left" vertical="center" wrapText="1"/>
    </xf>
    <xf numFmtId="4" fontId="0" fillId="12" borderId="1" xfId="0" applyNumberFormat="1" applyFill="1" applyBorder="1" applyAlignment="1">
      <alignment horizontal="center" vertical="center" wrapText="1"/>
    </xf>
    <xf numFmtId="4" fontId="1" fillId="0" borderId="0" xfId="0" applyNumberFormat="1" applyFont="1"/>
    <xf numFmtId="0" fontId="20" fillId="0" borderId="22" xfId="0" applyFont="1" applyBorder="1"/>
    <xf numFmtId="0" fontId="20" fillId="0" borderId="57" xfId="0" applyFont="1" applyBorder="1"/>
    <xf numFmtId="8" fontId="20" fillId="0" borderId="57" xfId="0" applyNumberFormat="1" applyFont="1" applyBorder="1"/>
    <xf numFmtId="8" fontId="20" fillId="0" borderId="58" xfId="0" applyNumberFormat="1" applyFont="1" applyBorder="1"/>
    <xf numFmtId="8" fontId="20" fillId="0" borderId="59" xfId="0" applyNumberFormat="1" applyFont="1" applyBorder="1"/>
    <xf numFmtId="8" fontId="20" fillId="0" borderId="61" xfId="0" applyNumberFormat="1" applyFont="1" applyBorder="1"/>
    <xf numFmtId="0" fontId="20" fillId="0" borderId="0" xfId="0" applyFont="1"/>
    <xf numFmtId="0" fontId="0" fillId="12" borderId="1" xfId="0" applyFill="1" applyBorder="1" applyAlignment="1">
      <alignment horizontal="center" vertical="center"/>
    </xf>
    <xf numFmtId="0" fontId="0" fillId="12" borderId="0" xfId="0" applyFill="1" applyAlignment="1">
      <alignment vertical="center"/>
    </xf>
    <xf numFmtId="0" fontId="0" fillId="12" borderId="33" xfId="0" applyFill="1" applyBorder="1" applyAlignment="1">
      <alignment horizontal="center" vertical="center"/>
    </xf>
    <xf numFmtId="0" fontId="0" fillId="12" borderId="33" xfId="0" applyFill="1" applyBorder="1" applyAlignment="1">
      <alignment horizontal="left" vertical="center" wrapText="1"/>
    </xf>
    <xf numFmtId="3" fontId="0" fillId="12" borderId="33" xfId="0" applyNumberFormat="1" applyFill="1" applyBorder="1" applyAlignment="1">
      <alignment horizontal="center" vertical="center"/>
    </xf>
    <xf numFmtId="0" fontId="0" fillId="10" borderId="20" xfId="0" applyFill="1" applyBorder="1" applyAlignment="1">
      <alignment horizontal="center" vertical="center"/>
    </xf>
    <xf numFmtId="0" fontId="0" fillId="10" borderId="62" xfId="0" applyFill="1" applyBorder="1" applyAlignment="1">
      <alignment horizontal="left" vertical="center" wrapText="1"/>
    </xf>
    <xf numFmtId="3" fontId="0" fillId="10" borderId="20" xfId="0" applyNumberFormat="1" applyFill="1" applyBorder="1" applyAlignment="1">
      <alignment horizontal="center" vertical="center"/>
    </xf>
    <xf numFmtId="3" fontId="0" fillId="10" borderId="20" xfId="0" applyNumberFormat="1" applyFill="1" applyBorder="1" applyAlignment="1">
      <alignment horizontal="center" vertical="center" wrapText="1"/>
    </xf>
    <xf numFmtId="0" fontId="0" fillId="10" borderId="20"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3" fontId="0" fillId="0" borderId="13" xfId="0" applyNumberFormat="1" applyBorder="1" applyAlignment="1">
      <alignment horizontal="center" vertical="center"/>
    </xf>
    <xf numFmtId="0" fontId="21" fillId="0" borderId="64" xfId="0" applyFont="1" applyBorder="1" applyAlignment="1">
      <alignment horizontal="center" vertical="center"/>
    </xf>
    <xf numFmtId="0" fontId="21" fillId="0" borderId="47" xfId="0" applyFont="1" applyBorder="1" applyAlignment="1">
      <alignment vertical="center"/>
    </xf>
    <xf numFmtId="0" fontId="21" fillId="0" borderId="47" xfId="0" applyFont="1" applyBorder="1" applyAlignment="1">
      <alignment horizontal="center" vertical="center" wrapText="1"/>
    </xf>
    <xf numFmtId="0" fontId="21" fillId="0" borderId="47" xfId="0" applyFont="1" applyBorder="1" applyAlignment="1">
      <alignment horizontal="center" vertical="center"/>
    </xf>
    <xf numFmtId="0" fontId="22" fillId="0" borderId="33" xfId="0" applyFont="1" applyBorder="1" applyAlignment="1">
      <alignment vertical="center"/>
    </xf>
    <xf numFmtId="0" fontId="22" fillId="0" borderId="33" xfId="0" applyFont="1" applyBorder="1" applyAlignment="1">
      <alignment horizontal="left" vertical="center" wrapText="1"/>
    </xf>
    <xf numFmtId="164" fontId="22" fillId="0" borderId="33" xfId="0" applyNumberFormat="1" applyFont="1" applyBorder="1" applyAlignment="1">
      <alignment horizontal="center" vertical="center"/>
    </xf>
    <xf numFmtId="3" fontId="0" fillId="0" borderId="20" xfId="0" applyNumberFormat="1" applyBorder="1" applyAlignment="1">
      <alignment horizontal="center" vertical="center"/>
    </xf>
    <xf numFmtId="4" fontId="0" fillId="0" borderId="20" xfId="0" applyNumberFormat="1" applyBorder="1" applyAlignment="1">
      <alignment horizontal="center" vertical="center"/>
    </xf>
    <xf numFmtId="164" fontId="0" fillId="0" borderId="20" xfId="0" applyNumberFormat="1" applyBorder="1" applyAlignment="1">
      <alignment horizontal="center" vertical="center"/>
    </xf>
    <xf numFmtId="4" fontId="0" fillId="0" borderId="21" xfId="0" applyNumberFormat="1" applyBorder="1" applyAlignment="1">
      <alignment horizontal="center" vertical="center"/>
    </xf>
    <xf numFmtId="0" fontId="1" fillId="7" borderId="65" xfId="0" applyFont="1" applyFill="1" applyBorder="1"/>
    <xf numFmtId="3" fontId="1" fillId="7" borderId="47" xfId="0" applyNumberFormat="1" applyFont="1" applyFill="1" applyBorder="1" applyAlignment="1">
      <alignment horizontal="center"/>
    </xf>
    <xf numFmtId="4" fontId="1" fillId="7" borderId="47" xfId="0" applyNumberFormat="1" applyFont="1" applyFill="1" applyBorder="1" applyAlignment="1">
      <alignment horizontal="center"/>
    </xf>
    <xf numFmtId="4" fontId="1" fillId="7" borderId="63" xfId="0" applyNumberFormat="1" applyFont="1" applyFill="1" applyBorder="1" applyAlignment="1">
      <alignment horizontal="center"/>
    </xf>
    <xf numFmtId="44" fontId="15" fillId="12" borderId="17" xfId="7" applyFont="1" applyFill="1" applyBorder="1"/>
    <xf numFmtId="44" fontId="15" fillId="12" borderId="66" xfId="0" applyNumberFormat="1" applyFont="1" applyFill="1" applyBorder="1"/>
    <xf numFmtId="0" fontId="0" fillId="12" borderId="65" xfId="0" applyFill="1" applyBorder="1"/>
    <xf numFmtId="3" fontId="0" fillId="12" borderId="47" xfId="0" applyNumberFormat="1" applyFill="1" applyBorder="1" applyAlignment="1">
      <alignment horizontal="center"/>
    </xf>
    <xf numFmtId="4" fontId="0" fillId="12" borderId="47" xfId="0" applyNumberFormat="1" applyFill="1" applyBorder="1" applyAlignment="1">
      <alignment horizontal="center"/>
    </xf>
    <xf numFmtId="4" fontId="0" fillId="12" borderId="63" xfId="0" applyNumberFormat="1" applyFill="1" applyBorder="1" applyAlignment="1">
      <alignment horizontal="center"/>
    </xf>
    <xf numFmtId="0" fontId="0" fillId="12" borderId="5" xfId="0" applyFill="1" applyBorder="1" applyAlignment="1">
      <alignment horizontal="left" vertical="center" wrapText="1"/>
    </xf>
    <xf numFmtId="0" fontId="0" fillId="7" borderId="1" xfId="0" applyFill="1" applyBorder="1"/>
    <xf numFmtId="44" fontId="4" fillId="9" borderId="14" xfId="7" applyFont="1" applyFill="1" applyBorder="1"/>
    <xf numFmtId="44" fontId="4" fillId="9" borderId="44" xfId="0" applyNumberFormat="1" applyFont="1" applyFill="1" applyBorder="1"/>
    <xf numFmtId="44" fontId="4" fillId="9" borderId="17" xfId="7" applyFont="1" applyFill="1" applyBorder="1"/>
    <xf numFmtId="44" fontId="4" fillId="9" borderId="66" xfId="0" applyNumberFormat="1" applyFont="1" applyFill="1" applyBorder="1"/>
    <xf numFmtId="0" fontId="0" fillId="12" borderId="1" xfId="0" applyFill="1" applyBorder="1" applyAlignment="1">
      <alignment vertical="center" wrapText="1"/>
    </xf>
    <xf numFmtId="3" fontId="0" fillId="12" borderId="1" xfId="0" applyNumberFormat="1" applyFill="1" applyBorder="1" applyAlignment="1">
      <alignment horizontal="center" vertical="center" wrapText="1"/>
    </xf>
    <xf numFmtId="3" fontId="1" fillId="12" borderId="8" xfId="0" applyNumberFormat="1" applyFont="1" applyFill="1" applyBorder="1" applyAlignment="1">
      <alignment horizontal="center" vertical="center"/>
    </xf>
    <xf numFmtId="169" fontId="0" fillId="0" borderId="0" xfId="0" applyNumberFormat="1"/>
    <xf numFmtId="0" fontId="0" fillId="12" borderId="5" xfId="0" applyFill="1" applyBorder="1" applyAlignment="1">
      <alignment vertical="center" wrapText="1"/>
    </xf>
    <xf numFmtId="0" fontId="0" fillId="12" borderId="0" xfId="0" applyFill="1"/>
    <xf numFmtId="167" fontId="0" fillId="12" borderId="1" xfId="0" applyNumberFormat="1" applyFill="1" applyBorder="1" applyAlignment="1">
      <alignment horizontal="center" vertical="center" wrapText="1"/>
    </xf>
    <xf numFmtId="164"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43" fontId="0" fillId="0" borderId="0" xfId="0" applyNumberFormat="1" applyAlignment="1">
      <alignment vertical="center"/>
    </xf>
    <xf numFmtId="43" fontId="23" fillId="0" borderId="0" xfId="0" applyNumberFormat="1" applyFont="1" applyAlignment="1">
      <alignment horizontal="left" vertical="center"/>
    </xf>
    <xf numFmtId="3" fontId="0" fillId="0" borderId="0" xfId="0" applyNumberFormat="1" applyAlignment="1">
      <alignment vertical="center"/>
    </xf>
    <xf numFmtId="43" fontId="0" fillId="0" borderId="0" xfId="0" applyNumberFormat="1" applyAlignment="1">
      <alignment horizontal="left" vertical="center" wrapText="1"/>
    </xf>
    <xf numFmtId="164" fontId="1" fillId="0" borderId="0" xfId="0" applyNumberFormat="1" applyFont="1"/>
    <xf numFmtId="0" fontId="0" fillId="12" borderId="39" xfId="0" applyFill="1" applyBorder="1" applyAlignment="1">
      <alignment vertical="center"/>
    </xf>
    <xf numFmtId="0" fontId="0" fillId="12" borderId="69" xfId="0" applyFill="1" applyBorder="1" applyAlignment="1">
      <alignment horizontal="left" vertical="center" wrapText="1"/>
    </xf>
    <xf numFmtId="0" fontId="1" fillId="11" borderId="52" xfId="0" applyFont="1" applyFill="1" applyBorder="1" applyAlignment="1">
      <alignment horizontal="center" vertical="center" wrapText="1"/>
    </xf>
    <xf numFmtId="0" fontId="24" fillId="0" borderId="0" xfId="0" applyFont="1"/>
    <xf numFmtId="0" fontId="9" fillId="0" borderId="0" xfId="0" applyFont="1"/>
    <xf numFmtId="0" fontId="24" fillId="13" borderId="1" xfId="0" applyFont="1" applyFill="1" applyBorder="1" applyAlignment="1">
      <alignment horizontal="center" wrapText="1"/>
    </xf>
    <xf numFmtId="0" fontId="24" fillId="14" borderId="13" xfId="0" applyFont="1" applyFill="1" applyBorder="1" applyAlignment="1">
      <alignment horizontal="center" wrapText="1"/>
    </xf>
    <xf numFmtId="0" fontId="24" fillId="15" borderId="13" xfId="0" applyFont="1" applyFill="1" applyBorder="1" applyAlignment="1">
      <alignment horizontal="center" wrapText="1"/>
    </xf>
    <xf numFmtId="3" fontId="0" fillId="16" borderId="1" xfId="0" applyNumberFormat="1" applyFill="1" applyBorder="1" applyAlignment="1">
      <alignment horizontal="center" vertical="center"/>
    </xf>
    <xf numFmtId="3" fontId="0" fillId="16" borderId="33" xfId="0" applyNumberFormat="1" applyFill="1" applyBorder="1" applyAlignment="1">
      <alignment horizontal="center" vertical="center" wrapText="1"/>
    </xf>
    <xf numFmtId="3" fontId="0" fillId="16" borderId="13" xfId="0" applyNumberFormat="1" applyFill="1" applyBorder="1" applyAlignment="1">
      <alignment horizontal="center" vertical="center"/>
    </xf>
    <xf numFmtId="3" fontId="0" fillId="11" borderId="1" xfId="0" applyNumberFormat="1" applyFill="1" applyBorder="1" applyAlignment="1">
      <alignment horizontal="center" vertical="center"/>
    </xf>
    <xf numFmtId="3" fontId="0" fillId="11" borderId="71" xfId="0" applyNumberFormat="1" applyFill="1" applyBorder="1" applyAlignment="1">
      <alignment horizontal="center" vertical="center"/>
    </xf>
    <xf numFmtId="3" fontId="0" fillId="11" borderId="13" xfId="0" applyNumberFormat="1" applyFill="1" applyBorder="1" applyAlignment="1">
      <alignment horizontal="center" vertical="center"/>
    </xf>
    <xf numFmtId="0" fontId="26" fillId="0" borderId="68" xfId="0" applyFont="1" applyBorder="1" applyAlignment="1">
      <alignment horizontal="left" vertical="center"/>
    </xf>
    <xf numFmtId="0" fontId="26" fillId="0" borderId="70" xfId="0" applyFont="1" applyBorder="1" applyAlignment="1">
      <alignment horizontal="center" vertical="center"/>
    </xf>
    <xf numFmtId="0" fontId="26" fillId="0" borderId="33" xfId="0" applyFont="1" applyBorder="1"/>
    <xf numFmtId="0" fontId="25" fillId="0" borderId="33" xfId="0" applyFont="1" applyBorder="1"/>
    <xf numFmtId="4" fontId="25" fillId="0" borderId="33" xfId="0" applyNumberFormat="1" applyFont="1" applyBorder="1"/>
    <xf numFmtId="164" fontId="25" fillId="0" borderId="68" xfId="0" applyNumberFormat="1" applyFont="1" applyBorder="1"/>
    <xf numFmtId="164" fontId="25" fillId="0" borderId="33" xfId="0" applyNumberFormat="1" applyFont="1" applyBorder="1"/>
    <xf numFmtId="164" fontId="25" fillId="0" borderId="47" xfId="0" applyNumberFormat="1" applyFont="1" applyBorder="1"/>
    <xf numFmtId="0" fontId="20" fillId="0" borderId="56" xfId="0" applyFont="1" applyBorder="1" applyAlignment="1">
      <alignment horizontal="center" vertical="center" wrapText="1"/>
    </xf>
    <xf numFmtId="0" fontId="20" fillId="0" borderId="55" xfId="0" applyFont="1" applyBorder="1" applyAlignment="1">
      <alignment horizontal="center" wrapText="1"/>
    </xf>
    <xf numFmtId="0" fontId="17" fillId="0" borderId="2" xfId="0" applyFont="1" applyBorder="1"/>
    <xf numFmtId="164" fontId="26" fillId="0" borderId="33" xfId="0" applyNumberFormat="1" applyFont="1" applyBorder="1"/>
    <xf numFmtId="43" fontId="1" fillId="0" borderId="0" xfId="0" applyNumberFormat="1" applyFont="1"/>
    <xf numFmtId="3" fontId="1" fillId="0" borderId="8" xfId="0" applyNumberFormat="1" applyFont="1" applyBorder="1" applyAlignment="1">
      <alignment horizontal="center" vertical="center"/>
    </xf>
    <xf numFmtId="44" fontId="4" fillId="0" borderId="45" xfId="7" applyFont="1" applyBorder="1"/>
    <xf numFmtId="164" fontId="20" fillId="0" borderId="58" xfId="0" applyNumberFormat="1" applyFont="1" applyBorder="1"/>
    <xf numFmtId="43" fontId="0" fillId="0" borderId="0" xfId="0" applyNumberFormat="1"/>
    <xf numFmtId="8" fontId="0" fillId="0" borderId="0" xfId="0" applyNumberFormat="1"/>
    <xf numFmtId="3" fontId="0" fillId="0" borderId="0" xfId="0" applyNumberFormat="1"/>
    <xf numFmtId="3" fontId="0" fillId="11" borderId="20" xfId="0" applyNumberFormat="1" applyFill="1" applyBorder="1" applyAlignment="1">
      <alignment horizontal="center" vertical="center"/>
    </xf>
    <xf numFmtId="0" fontId="0" fillId="0" borderId="19" xfId="0" applyBorder="1" applyAlignment="1">
      <alignment horizontal="left" vertical="center" wrapText="1"/>
    </xf>
    <xf numFmtId="0" fontId="0" fillId="12" borderId="20" xfId="0" applyFill="1" applyBorder="1" applyAlignment="1">
      <alignment horizontal="left" vertical="center" wrapText="1"/>
    </xf>
    <xf numFmtId="0" fontId="0" fillId="0" borderId="20" xfId="0" applyBorder="1" applyAlignment="1">
      <alignment horizontal="left" vertical="center" wrapText="1"/>
    </xf>
    <xf numFmtId="4" fontId="1" fillId="17" borderId="8" xfId="0" applyNumberFormat="1" applyFont="1" applyFill="1" applyBorder="1" applyAlignment="1">
      <alignment horizontal="center" vertical="center"/>
    </xf>
    <xf numFmtId="0" fontId="15" fillId="0" borderId="1" xfId="0" applyFont="1" applyBorder="1" applyAlignment="1">
      <alignment horizontal="left" vertical="center" wrapText="1"/>
    </xf>
    <xf numFmtId="3" fontId="28" fillId="16" borderId="1" xfId="0" applyNumberFormat="1" applyFont="1" applyFill="1" applyBorder="1" applyAlignment="1">
      <alignment horizontal="center" vertical="center"/>
    </xf>
    <xf numFmtId="3" fontId="15" fillId="17" borderId="1" xfId="0" applyNumberFormat="1" applyFont="1" applyFill="1" applyBorder="1" applyAlignment="1">
      <alignment horizontal="center" vertical="center"/>
    </xf>
    <xf numFmtId="3" fontId="15" fillId="16" borderId="1" xfId="0" applyNumberFormat="1" applyFont="1" applyFill="1" applyBorder="1" applyAlignment="1">
      <alignment horizontal="center" vertical="center"/>
    </xf>
    <xf numFmtId="3" fontId="15" fillId="0" borderId="1" xfId="0" applyNumberFormat="1" applyFont="1" applyBorder="1" applyAlignment="1">
      <alignment horizontal="center" vertical="center"/>
    </xf>
    <xf numFmtId="0" fontId="15" fillId="0" borderId="1" xfId="0" applyFont="1" applyBorder="1" applyAlignment="1">
      <alignment horizontal="left" vertical="top" wrapText="1"/>
    </xf>
    <xf numFmtId="0" fontId="0" fillId="0" borderId="6" xfId="0" applyBorder="1" applyAlignment="1">
      <alignment vertical="center"/>
    </xf>
    <xf numFmtId="0" fontId="0" fillId="0" borderId="6" xfId="0" applyBorder="1" applyAlignment="1">
      <alignment horizontal="left" vertical="center" wrapText="1"/>
    </xf>
    <xf numFmtId="0" fontId="0" fillId="0" borderId="6" xfId="0" applyBorder="1" applyAlignment="1">
      <alignment vertical="center" wrapText="1"/>
    </xf>
    <xf numFmtId="0" fontId="0" fillId="0" borderId="6" xfId="0" applyBorder="1" applyAlignment="1">
      <alignment wrapText="1"/>
    </xf>
    <xf numFmtId="2" fontId="0" fillId="12" borderId="6" xfId="0" applyNumberFormat="1" applyFill="1" applyBorder="1" applyAlignment="1">
      <alignment horizontal="left" vertical="center" wrapText="1"/>
    </xf>
    <xf numFmtId="3" fontId="0" fillId="0" borderId="6" xfId="0" applyNumberFormat="1" applyBorder="1" applyAlignment="1">
      <alignment horizontal="left" vertical="center" wrapText="1"/>
    </xf>
    <xf numFmtId="0" fontId="27" fillId="0" borderId="6" xfId="0" applyFont="1" applyBorder="1" applyAlignment="1">
      <alignment vertical="center" wrapText="1"/>
    </xf>
    <xf numFmtId="0" fontId="15" fillId="0" borderId="6" xfId="0" applyFont="1" applyBorder="1" applyAlignment="1">
      <alignment vertical="center" wrapText="1"/>
    </xf>
    <xf numFmtId="0" fontId="0" fillId="10" borderId="6" xfId="0" applyFill="1" applyBorder="1" applyAlignment="1">
      <alignment vertical="center" wrapText="1"/>
    </xf>
    <xf numFmtId="0" fontId="27" fillId="0" borderId="6" xfId="0" applyFont="1" applyBorder="1" applyAlignment="1">
      <alignment horizontal="left" vertical="center" wrapText="1"/>
    </xf>
    <xf numFmtId="0" fontId="27" fillId="0" borderId="21" xfId="0" applyFont="1" applyBorder="1" applyAlignment="1">
      <alignment horizontal="left" vertical="center" wrapText="1"/>
    </xf>
    <xf numFmtId="10" fontId="0" fillId="0" borderId="6" xfId="0" applyNumberFormat="1" applyBorder="1" applyAlignment="1">
      <alignment horizontal="left" vertical="center" wrapText="1"/>
    </xf>
    <xf numFmtId="0" fontId="20" fillId="12" borderId="6" xfId="0" applyFont="1" applyFill="1" applyBorder="1" applyAlignment="1">
      <alignment horizontal="left" vertical="center" wrapText="1"/>
    </xf>
    <xf numFmtId="0" fontId="0" fillId="10" borderId="6" xfId="0" applyFill="1" applyBorder="1" applyAlignment="1">
      <alignment horizontal="left" vertical="center" wrapText="1"/>
    </xf>
    <xf numFmtId="0" fontId="0" fillId="10" borderId="32" xfId="0" applyFill="1" applyBorder="1" applyAlignment="1">
      <alignment horizontal="left" vertical="center" wrapText="1"/>
    </xf>
    <xf numFmtId="0" fontId="0" fillId="10" borderId="73" xfId="0" applyFill="1" applyBorder="1" applyAlignment="1">
      <alignment vertical="center" wrapText="1"/>
    </xf>
    <xf numFmtId="0" fontId="0" fillId="10" borderId="65" xfId="0" applyFill="1" applyBorder="1" applyAlignment="1">
      <alignment horizontal="left" vertical="center" wrapText="1"/>
    </xf>
    <xf numFmtId="0" fontId="0" fillId="10" borderId="21" xfId="0" applyFill="1" applyBorder="1" applyAlignment="1">
      <alignment horizontal="left" vertical="center" wrapText="1"/>
    </xf>
    <xf numFmtId="0" fontId="0" fillId="12" borderId="32" xfId="0" applyFill="1" applyBorder="1" applyAlignment="1">
      <alignment horizontal="left" vertical="center" wrapText="1"/>
    </xf>
    <xf numFmtId="0" fontId="0" fillId="12" borderId="74" xfId="0" applyFill="1"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vertical="center"/>
    </xf>
    <xf numFmtId="3" fontId="0" fillId="0" borderId="8" xfId="0" applyNumberFormat="1" applyBorder="1" applyAlignment="1">
      <alignment horizontal="center" vertical="center"/>
    </xf>
    <xf numFmtId="3" fontId="15" fillId="17" borderId="8" xfId="0" applyNumberFormat="1" applyFont="1" applyFill="1" applyBorder="1" applyAlignment="1">
      <alignment horizontal="center" vertical="center"/>
    </xf>
    <xf numFmtId="0" fontId="15" fillId="0" borderId="8" xfId="0" applyFont="1" applyBorder="1" applyAlignment="1">
      <alignment horizontal="left" vertical="center" wrapText="1"/>
    </xf>
    <xf numFmtId="0" fontId="0" fillId="0" borderId="9" xfId="0" applyBorder="1" applyAlignment="1">
      <alignment vertical="center" wrapText="1"/>
    </xf>
    <xf numFmtId="0" fontId="0" fillId="0" borderId="72" xfId="0" applyBorder="1" applyAlignment="1">
      <alignment horizontal="center" vertical="center"/>
    </xf>
    <xf numFmtId="0" fontId="9" fillId="0" borderId="26" xfId="0" applyFont="1" applyBorder="1" applyAlignment="1">
      <alignment vertical="center" wrapText="1"/>
    </xf>
    <xf numFmtId="3" fontId="0" fillId="4" borderId="1" xfId="0" applyNumberFormat="1" applyFill="1" applyBorder="1" applyAlignment="1">
      <alignment horizontal="center" vertical="center"/>
    </xf>
    <xf numFmtId="0" fontId="28" fillId="0" borderId="1" xfId="0" applyFont="1" applyBorder="1" applyAlignment="1">
      <alignment horizontal="center" vertical="center"/>
    </xf>
    <xf numFmtId="0" fontId="28" fillId="0" borderId="0" xfId="0" applyFont="1" applyAlignment="1">
      <alignment vertical="center"/>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3" fontId="28" fillId="0" borderId="1" xfId="0" applyNumberFormat="1" applyFont="1" applyBorder="1" applyAlignment="1">
      <alignment horizontal="center" vertical="center"/>
    </xf>
    <xf numFmtId="0" fontId="28" fillId="0" borderId="6" xfId="0" applyFont="1" applyBorder="1" applyAlignment="1">
      <alignment vertical="center" wrapText="1"/>
    </xf>
    <xf numFmtId="0" fontId="28" fillId="0" borderId="0" xfId="0" applyFont="1" applyAlignment="1">
      <alignment vertical="center" wrapText="1"/>
    </xf>
    <xf numFmtId="0" fontId="22" fillId="0" borderId="33" xfId="0" applyFont="1" applyBorder="1" applyAlignment="1">
      <alignment horizontal="left"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4" fontId="16" fillId="0" borderId="1" xfId="0" applyNumberFormat="1" applyFont="1" applyBorder="1" applyAlignment="1">
      <alignment horizontal="center" vertical="center" wrapText="1"/>
    </xf>
    <xf numFmtId="167" fontId="0" fillId="0" borderId="8" xfId="0" applyNumberFormat="1" applyBorder="1" applyAlignment="1">
      <alignment horizontal="center" vertical="center" wrapText="1"/>
    </xf>
    <xf numFmtId="167" fontId="0" fillId="0" borderId="1" xfId="0" applyNumberFormat="1" applyBorder="1" applyAlignment="1">
      <alignment horizontal="center" vertical="center"/>
    </xf>
    <xf numFmtId="167" fontId="0" fillId="0" borderId="20" xfId="0" applyNumberFormat="1" applyBorder="1" applyAlignment="1">
      <alignment horizontal="center" vertical="center"/>
    </xf>
    <xf numFmtId="167" fontId="1" fillId="0" borderId="8" xfId="0" applyNumberFormat="1" applyFont="1" applyBorder="1" applyAlignment="1">
      <alignment horizontal="center" vertical="center"/>
    </xf>
    <xf numFmtId="0" fontId="1" fillId="18" borderId="0" xfId="0" applyFont="1" applyFill="1"/>
    <xf numFmtId="0" fontId="1" fillId="18" borderId="0" xfId="0" applyFont="1" applyFill="1" applyAlignment="1">
      <alignment wrapText="1"/>
    </xf>
    <xf numFmtId="0" fontId="0" fillId="18" borderId="1" xfId="0" applyFill="1" applyBorder="1" applyAlignment="1">
      <alignment horizontal="center" vertical="center"/>
    </xf>
    <xf numFmtId="0" fontId="0" fillId="18" borderId="0" xfId="0" applyFill="1"/>
    <xf numFmtId="0" fontId="0" fillId="18" borderId="5" xfId="0" applyFill="1" applyBorder="1" applyAlignment="1">
      <alignment horizontal="left" vertical="center" wrapText="1"/>
    </xf>
    <xf numFmtId="0" fontId="0" fillId="18" borderId="1" xfId="0" applyFill="1" applyBorder="1" applyAlignment="1">
      <alignment vertical="center" wrapText="1"/>
    </xf>
    <xf numFmtId="3" fontId="0" fillId="18" borderId="1" xfId="0" applyNumberFormat="1" applyFill="1" applyBorder="1" applyAlignment="1">
      <alignment horizontal="center" vertical="center" wrapText="1"/>
    </xf>
    <xf numFmtId="4" fontId="0" fillId="18" borderId="1" xfId="0" applyNumberFormat="1" applyFill="1" applyBorder="1" applyAlignment="1">
      <alignment horizontal="center" vertical="center" wrapText="1"/>
    </xf>
    <xf numFmtId="167" fontId="0" fillId="18" borderId="1" xfId="0" applyNumberFormat="1" applyFill="1" applyBorder="1" applyAlignment="1">
      <alignment horizontal="center" vertical="center" wrapText="1"/>
    </xf>
    <xf numFmtId="164" fontId="0" fillId="18" borderId="1" xfId="0" applyNumberFormat="1" applyFill="1" applyBorder="1" applyAlignment="1">
      <alignment horizontal="center" vertical="center" wrapText="1"/>
    </xf>
    <xf numFmtId="0" fontId="0" fillId="18" borderId="0" xfId="0" applyFill="1" applyAlignment="1">
      <alignment wrapText="1"/>
    </xf>
    <xf numFmtId="0" fontId="0" fillId="18" borderId="1" xfId="0" applyFill="1" applyBorder="1" applyAlignment="1">
      <alignment horizontal="center" vertical="center" wrapText="1"/>
    </xf>
    <xf numFmtId="43" fontId="1" fillId="18" borderId="0" xfId="0" applyNumberFormat="1" applyFont="1" applyFill="1"/>
    <xf numFmtId="0" fontId="9" fillId="18" borderId="1" xfId="0" applyFont="1" applyFill="1" applyBorder="1" applyAlignment="1">
      <alignment horizontal="center" vertical="center"/>
    </xf>
    <xf numFmtId="4" fontId="0" fillId="18" borderId="0" xfId="0" applyNumberFormat="1" applyFill="1"/>
    <xf numFmtId="0" fontId="0" fillId="18" borderId="1" xfId="0" applyFill="1" applyBorder="1"/>
    <xf numFmtId="0" fontId="1" fillId="5" borderId="0" xfId="0" applyFont="1" applyFill="1"/>
    <xf numFmtId="0" fontId="1" fillId="5" borderId="5" xfId="0" applyFont="1" applyFill="1" applyBorder="1" applyAlignment="1">
      <alignment horizontal="left" vertical="center" wrapText="1"/>
    </xf>
    <xf numFmtId="0" fontId="1" fillId="5" borderId="1" xfId="0" applyFont="1" applyFill="1" applyBorder="1" applyAlignment="1">
      <alignment vertical="center" wrapText="1"/>
    </xf>
    <xf numFmtId="3" fontId="1" fillId="5" borderId="1" xfId="0" applyNumberFormat="1"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167"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1" fillId="5" borderId="0" xfId="0" applyFont="1" applyFill="1" applyAlignment="1">
      <alignment wrapText="1"/>
    </xf>
    <xf numFmtId="0" fontId="0" fillId="18" borderId="16" xfId="0" applyFill="1" applyBorder="1" applyAlignment="1">
      <alignment horizontal="left" vertical="center" wrapText="1"/>
    </xf>
    <xf numFmtId="0" fontId="0" fillId="0" borderId="16" xfId="0" applyBorder="1" applyAlignment="1">
      <alignment horizontal="left" vertical="center" wrapText="1"/>
    </xf>
    <xf numFmtId="0" fontId="1" fillId="5" borderId="1" xfId="0" applyFont="1" applyFill="1" applyBorder="1" applyAlignment="1">
      <alignment horizontal="center" vertical="center"/>
    </xf>
    <xf numFmtId="164" fontId="0" fillId="0" borderId="0" xfId="0" applyNumberFormat="1" applyAlignment="1">
      <alignment wrapText="1"/>
    </xf>
    <xf numFmtId="0" fontId="1" fillId="5" borderId="1" xfId="0" applyFont="1" applyFill="1" applyBorder="1" applyAlignment="1">
      <alignment horizontal="center" vertical="center" wrapText="1"/>
    </xf>
    <xf numFmtId="164" fontId="1" fillId="5" borderId="0" xfId="0" applyNumberFormat="1" applyFont="1" applyFill="1"/>
    <xf numFmtId="43" fontId="1" fillId="5" borderId="0" xfId="0" applyNumberFormat="1" applyFont="1" applyFill="1"/>
    <xf numFmtId="0" fontId="11" fillId="0" borderId="25" xfId="0" applyFont="1" applyBorder="1" applyAlignment="1">
      <alignment horizontal="right" vertical="center" wrapText="1"/>
    </xf>
    <xf numFmtId="0" fontId="11" fillId="0" borderId="26" xfId="0" applyFont="1" applyBorder="1" applyAlignment="1">
      <alignment horizontal="right"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7" xfId="0" applyFont="1" applyBorder="1" applyAlignment="1">
      <alignment horizontal="center" vertical="center" wrapText="1"/>
    </xf>
    <xf numFmtId="0" fontId="19" fillId="8" borderId="5"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1"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1" xfId="0" applyFont="1" applyBorder="1" applyAlignment="1">
      <alignment horizontal="righ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8" fillId="2" borderId="51"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19" fillId="8" borderId="51" xfId="0" applyFont="1" applyFill="1" applyBorder="1" applyAlignment="1">
      <alignment horizontal="left" vertical="center" wrapText="1"/>
    </xf>
    <xf numFmtId="0" fontId="19" fillId="8" borderId="53" xfId="0" applyFont="1" applyFill="1" applyBorder="1" applyAlignment="1">
      <alignment horizontal="left" vertical="center" wrapText="1"/>
    </xf>
    <xf numFmtId="0" fontId="2" fillId="18" borderId="5"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10" fillId="0" borderId="14" xfId="0" applyFont="1" applyBorder="1" applyAlignment="1">
      <alignment horizontal="right" vertical="center" wrapText="1"/>
    </xf>
    <xf numFmtId="0" fontId="10" fillId="0" borderId="16" xfId="0" applyFont="1" applyBorder="1" applyAlignment="1">
      <alignment horizontal="righ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4" xfId="0" applyBorder="1" applyAlignment="1">
      <alignment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21" fillId="0" borderId="39" xfId="0"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left"/>
    </xf>
    <xf numFmtId="0" fontId="1" fillId="0" borderId="41" xfId="0" applyFont="1" applyBorder="1" applyAlignment="1">
      <alignment horizontal="center" vertical="center"/>
    </xf>
    <xf numFmtId="0" fontId="17" fillId="0" borderId="33" xfId="0" applyFont="1" applyBorder="1" applyAlignment="1">
      <alignment horizontal="center"/>
    </xf>
    <xf numFmtId="0" fontId="25" fillId="0" borderId="33" xfId="0" applyFont="1" applyBorder="1" applyAlignment="1">
      <alignment horizontal="center"/>
    </xf>
    <xf numFmtId="0" fontId="25" fillId="0" borderId="47" xfId="0" applyFont="1" applyBorder="1" applyAlignment="1">
      <alignment horizontal="center"/>
    </xf>
    <xf numFmtId="0" fontId="26" fillId="0" borderId="39" xfId="0" applyFont="1" applyBorder="1" applyAlignment="1">
      <alignment horizontal="left"/>
    </xf>
    <xf numFmtId="0" fontId="26" fillId="0" borderId="31" xfId="0" applyFont="1" applyBorder="1" applyAlignment="1">
      <alignment horizontal="left"/>
    </xf>
    <xf numFmtId="0" fontId="26" fillId="0" borderId="69" xfId="0" applyFont="1" applyBorder="1" applyAlignment="1">
      <alignment horizontal="left"/>
    </xf>
    <xf numFmtId="0" fontId="17" fillId="0" borderId="25" xfId="0" applyFont="1" applyBorder="1"/>
    <xf numFmtId="0" fontId="17" fillId="0" borderId="60" xfId="0" applyFont="1" applyBorder="1"/>
    <xf numFmtId="0" fontId="17" fillId="0" borderId="26" xfId="0" applyFont="1" applyBorder="1"/>
    <xf numFmtId="0" fontId="20" fillId="0" borderId="72" xfId="0" applyFont="1" applyBorder="1" applyAlignment="1">
      <alignment horizontal="center"/>
    </xf>
    <xf numFmtId="0" fontId="20" fillId="0" borderId="16" xfId="0" applyFont="1" applyBorder="1" applyAlignment="1">
      <alignment horizontal="center"/>
    </xf>
  </cellXfs>
  <cellStyles count="8">
    <cellStyle name="Currency" xfId="7" builtinId="4"/>
    <cellStyle name="Neutral 2" xfId="6" xr:uid="{00000000-0005-0000-0000-000001000000}"/>
    <cellStyle name="Normal" xfId="0" builtinId="0"/>
    <cellStyle name="Normal 2" xfId="1" xr:uid="{00000000-0005-0000-0000-000003000000}"/>
    <cellStyle name="Normal 2 2" xfId="2" xr:uid="{00000000-0005-0000-0000-000004000000}"/>
    <cellStyle name="Normal 2 2 2" xfId="3" xr:uid="{00000000-0005-0000-0000-000005000000}"/>
    <cellStyle name="Normal 3" xfId="4" xr:uid="{00000000-0005-0000-0000-000006000000}"/>
    <cellStyle name="Normal 3 2" xfId="5" xr:uid="{00000000-0005-0000-0000-000007000000}"/>
  </cellStyles>
  <dxfs count="1">
    <dxf>
      <fill>
        <patternFill>
          <bgColor rgb="FFFFFF00"/>
        </patternFill>
      </fill>
    </dxf>
  </dxfs>
  <tableStyles count="0" defaultTableStyle="TableStyleMedium2" defaultPivotStyle="PivotStyleLight16"/>
  <colors>
    <mruColors>
      <color rgb="FF5D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177765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Clark, Lisa Marie - FNS" id="{8960F7C1-E08D-45B7-A66F-0A3C5FBC7884}" userId="S::lisamarie.clark@usda.gov::26cbb1ae-d815-4797-9e51-846e4bb1736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4" dT="2023-02-10T19:19:59.20" personId="{8960F7C1-E08D-45B7-A66F-0A3C5FBC7884}" id="{BD0E4617-5783-48A8-906A-A4AFF01764DA}">
    <text>F=G/E for State Agency Reporting</text>
  </threadedComment>
  <threadedComment ref="G4" dT="2023-02-10T19:21:07.75" personId="{8960F7C1-E08D-45B7-A66F-0A3C5FBC7884}" id="{5424E737-D042-464D-9D4D-91E3AAFD72E4}">
    <text>G= E x F for Individuals/Household Reporting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2"/>
  <sheetViews>
    <sheetView tabSelected="1" zoomScale="70" zoomScaleNormal="70" workbookViewId="0">
      <pane ySplit="4" topLeftCell="A5" activePane="bottomLeft" state="frozen"/>
      <selection pane="bottomLeft" activeCell="L70" sqref="L70"/>
    </sheetView>
  </sheetViews>
  <sheetFormatPr defaultRowHeight="15" x14ac:dyDescent="0.25"/>
  <cols>
    <col min="1" max="1" width="13.85546875" customWidth="1"/>
    <col min="2" max="2" width="3.5703125" customWidth="1"/>
    <col min="3" max="3" width="17.140625" style="3" customWidth="1"/>
    <col min="4" max="4" width="30.5703125" customWidth="1"/>
    <col min="5" max="5" width="18.85546875" style="1" customWidth="1"/>
    <col min="6" max="6" width="21.7109375" style="5" customWidth="1"/>
    <col min="7" max="7" width="22.28515625" style="59" customWidth="1"/>
    <col min="8" max="8" width="18.85546875" style="63" customWidth="1"/>
    <col min="9" max="9" width="21.5703125" style="5" customWidth="1"/>
    <col min="10" max="10" width="18.85546875" style="5" customWidth="1"/>
    <col min="11" max="11" width="23.85546875" style="5" customWidth="1"/>
    <col min="12" max="12" width="4.140625" style="1" customWidth="1"/>
    <col min="13" max="13" width="11.28515625" bestFit="1" customWidth="1"/>
    <col min="14" max="14" width="19.85546875" customWidth="1"/>
    <col min="15" max="15" width="25" customWidth="1"/>
    <col min="16" max="16" width="14" customWidth="1"/>
    <col min="17" max="17" width="17.85546875" customWidth="1"/>
    <col min="18" max="18" width="14.28515625" customWidth="1"/>
  </cols>
  <sheetData>
    <row r="1" spans="1:17" ht="15.75" thickBot="1" x14ac:dyDescent="0.3"/>
    <row r="2" spans="1:17" ht="30" customHeight="1" thickBot="1" x14ac:dyDescent="0.3">
      <c r="A2" s="318" t="s">
        <v>0</v>
      </c>
      <c r="C2" s="321" t="s">
        <v>1</v>
      </c>
      <c r="D2" s="322"/>
      <c r="E2" s="322"/>
      <c r="F2" s="322"/>
      <c r="G2" s="322"/>
      <c r="H2" s="322"/>
      <c r="I2" s="322"/>
      <c r="J2" s="322"/>
      <c r="K2" s="322"/>
    </row>
    <row r="3" spans="1:17" ht="70.900000000000006" customHeight="1" thickBot="1" x14ac:dyDescent="0.3">
      <c r="A3" s="318"/>
      <c r="C3" s="20" t="s">
        <v>2</v>
      </c>
      <c r="D3" s="21" t="s">
        <v>3</v>
      </c>
      <c r="E3" s="21" t="s">
        <v>4</v>
      </c>
      <c r="F3" s="22" t="s">
        <v>5</v>
      </c>
      <c r="G3" s="60" t="s">
        <v>6</v>
      </c>
      <c r="H3" s="64" t="s">
        <v>7</v>
      </c>
      <c r="I3" s="22" t="s">
        <v>8</v>
      </c>
      <c r="J3" s="22" t="s">
        <v>9</v>
      </c>
      <c r="K3" s="22" t="s">
        <v>10</v>
      </c>
      <c r="M3" s="114" t="s">
        <v>15</v>
      </c>
      <c r="N3" s="113" t="s">
        <v>16</v>
      </c>
      <c r="O3" s="187"/>
    </row>
    <row r="4" spans="1:17" ht="15.75" thickBot="1" x14ac:dyDescent="0.3">
      <c r="A4" s="318"/>
      <c r="C4" s="115" t="s">
        <v>17</v>
      </c>
      <c r="D4" s="116" t="s">
        <v>18</v>
      </c>
      <c r="E4" s="116" t="s">
        <v>19</v>
      </c>
      <c r="F4" s="41" t="s">
        <v>20</v>
      </c>
      <c r="G4" s="117" t="s">
        <v>21</v>
      </c>
      <c r="H4" s="118" t="s">
        <v>22</v>
      </c>
      <c r="I4" s="119" t="s">
        <v>23</v>
      </c>
      <c r="J4" s="119" t="s">
        <v>24</v>
      </c>
      <c r="K4" s="119" t="s">
        <v>25</v>
      </c>
      <c r="M4" s="111"/>
      <c r="N4" s="112"/>
      <c r="P4" s="111"/>
      <c r="Q4" s="111"/>
    </row>
    <row r="5" spans="1:17" ht="29.65" customHeight="1" thickBot="1" x14ac:dyDescent="0.3">
      <c r="A5" s="66"/>
      <c r="C5" s="327" t="s">
        <v>26</v>
      </c>
      <c r="D5" s="328"/>
      <c r="E5" s="328"/>
      <c r="F5" s="328"/>
      <c r="G5" s="328"/>
      <c r="H5" s="328"/>
      <c r="I5" s="328"/>
      <c r="J5" s="328"/>
      <c r="K5" s="328"/>
    </row>
    <row r="6" spans="1:17" ht="24" customHeight="1" thickBot="1" x14ac:dyDescent="0.3">
      <c r="A6" s="37"/>
      <c r="C6" s="323"/>
      <c r="D6" s="324"/>
      <c r="E6" s="324"/>
      <c r="F6" s="324"/>
      <c r="G6" s="324"/>
      <c r="H6" s="324"/>
      <c r="I6" s="324"/>
      <c r="J6" s="324"/>
      <c r="K6" s="324"/>
    </row>
    <row r="7" spans="1:17" x14ac:dyDescent="0.25">
      <c r="A7" s="35"/>
      <c r="C7" s="325" t="s">
        <v>27</v>
      </c>
      <c r="D7" s="326"/>
      <c r="E7" s="326"/>
      <c r="F7" s="326"/>
      <c r="G7" s="326"/>
      <c r="H7" s="326"/>
      <c r="I7" s="326"/>
      <c r="J7" s="326"/>
      <c r="K7" s="326"/>
    </row>
    <row r="8" spans="1:17" ht="45" customHeight="1" x14ac:dyDescent="0.25">
      <c r="A8" s="34" t="s">
        <v>28</v>
      </c>
      <c r="C8" s="32">
        <v>273.2</v>
      </c>
      <c r="D8" s="2" t="s">
        <v>29</v>
      </c>
      <c r="E8" s="4">
        <f>Assumptions!F5</f>
        <v>53</v>
      </c>
      <c r="F8" s="33">
        <f>G8/E8</f>
        <v>398917.26415094337</v>
      </c>
      <c r="G8" s="4">
        <f>Assumptions!F14</f>
        <v>21142615</v>
      </c>
      <c r="H8" s="61">
        <v>0.31730000000000003</v>
      </c>
      <c r="I8" s="33">
        <f>G8*H8</f>
        <v>6708551.7395000001</v>
      </c>
      <c r="J8" s="23">
        <f>'Labor Rates'!E6</f>
        <v>29.39</v>
      </c>
      <c r="K8" s="23">
        <f>I8*J8</f>
        <v>197164335.623905</v>
      </c>
      <c r="N8" s="6"/>
    </row>
    <row r="9" spans="1:17" x14ac:dyDescent="0.25">
      <c r="A9" s="35"/>
      <c r="C9" s="308" t="s">
        <v>30</v>
      </c>
      <c r="D9" s="309"/>
      <c r="E9" s="309"/>
      <c r="F9" s="309"/>
      <c r="G9" s="309"/>
      <c r="H9" s="309"/>
      <c r="I9" s="309"/>
      <c r="J9" s="309"/>
      <c r="K9" s="309"/>
    </row>
    <row r="10" spans="1:17" ht="45" customHeight="1" x14ac:dyDescent="0.25">
      <c r="A10" s="34" t="s">
        <v>28</v>
      </c>
      <c r="C10" s="32" t="s">
        <v>31</v>
      </c>
      <c r="D10" s="2" t="s">
        <v>32</v>
      </c>
      <c r="E10" s="4">
        <f>Assumptions!F6</f>
        <v>53</v>
      </c>
      <c r="F10" s="33">
        <f>G10/E10</f>
        <v>301069.64150943398</v>
      </c>
      <c r="G10" s="4">
        <f>Assumptions!F8</f>
        <v>15956691</v>
      </c>
      <c r="H10" s="61">
        <v>0.63460000000000005</v>
      </c>
      <c r="I10" s="33">
        <f>G10*H10</f>
        <v>10126116.1086</v>
      </c>
      <c r="J10" s="23">
        <f>'Labor Rates'!E6</f>
        <v>29.39</v>
      </c>
      <c r="K10" s="23">
        <f>I10*J10</f>
        <v>297606552.43175399</v>
      </c>
      <c r="N10" s="6"/>
    </row>
    <row r="11" spans="1:17" ht="45" customHeight="1" x14ac:dyDescent="0.25">
      <c r="A11" s="34" t="s">
        <v>28</v>
      </c>
      <c r="C11" s="32" t="s">
        <v>31</v>
      </c>
      <c r="D11" s="2" t="s">
        <v>33</v>
      </c>
      <c r="E11" s="4">
        <f>Assumptions!F7</f>
        <v>53</v>
      </c>
      <c r="F11" s="33">
        <f>G11/E11</f>
        <v>97847.622641509428</v>
      </c>
      <c r="G11" s="4">
        <f>Assumptions!F9</f>
        <v>5185924</v>
      </c>
      <c r="H11" s="61">
        <v>0.63460000000000005</v>
      </c>
      <c r="I11" s="33">
        <f>G11*H11</f>
        <v>3290987.3704000004</v>
      </c>
      <c r="J11" s="23">
        <f>'Labor Rates'!E6</f>
        <v>29.39</v>
      </c>
      <c r="K11" s="23">
        <f>I11*J11</f>
        <v>96722118.816056013</v>
      </c>
      <c r="N11" s="6"/>
    </row>
    <row r="12" spans="1:17" x14ac:dyDescent="0.25">
      <c r="A12" s="35"/>
      <c r="C12" s="308" t="s">
        <v>34</v>
      </c>
      <c r="D12" s="309"/>
      <c r="E12" s="309"/>
      <c r="F12" s="309"/>
      <c r="G12" s="309"/>
      <c r="H12" s="309"/>
      <c r="I12" s="309"/>
      <c r="J12" s="309"/>
      <c r="K12" s="309"/>
    </row>
    <row r="13" spans="1:17" ht="45" customHeight="1" x14ac:dyDescent="0.25">
      <c r="A13" s="34" t="s">
        <v>28</v>
      </c>
      <c r="C13" s="32" t="s">
        <v>35</v>
      </c>
      <c r="D13" s="2" t="s">
        <v>36</v>
      </c>
      <c r="E13" s="4">
        <f>Assumptions!F5</f>
        <v>53</v>
      </c>
      <c r="F13" s="33">
        <f>G13/E13</f>
        <v>398917.26415094337</v>
      </c>
      <c r="G13" s="4">
        <f>Assumptions!F14</f>
        <v>21142615</v>
      </c>
      <c r="H13" s="61">
        <v>8.3500000000000005E-2</v>
      </c>
      <c r="I13" s="33">
        <f>G13*H13</f>
        <v>1765408.3525</v>
      </c>
      <c r="J13" s="23">
        <f>'Labor Rates'!E6</f>
        <v>29.39</v>
      </c>
      <c r="K13" s="23">
        <f t="shared" ref="K13:K27" si="0">I13*J13</f>
        <v>51885351.479975</v>
      </c>
      <c r="N13" s="6"/>
    </row>
    <row r="14" spans="1:17" ht="45" customHeight="1" x14ac:dyDescent="0.25">
      <c r="A14" s="34" t="s">
        <v>28</v>
      </c>
      <c r="C14" s="32" t="s">
        <v>35</v>
      </c>
      <c r="D14" s="2" t="s">
        <v>37</v>
      </c>
      <c r="E14" s="4">
        <f>Assumptions!F5</f>
        <v>53</v>
      </c>
      <c r="F14" s="33">
        <f t="shared" ref="F14:F27" si="1">G14/E14</f>
        <v>398917.26415094337</v>
      </c>
      <c r="G14" s="4">
        <f>Assumptions!F14</f>
        <v>21142615</v>
      </c>
      <c r="H14" s="61">
        <v>8.3500000000000005E-2</v>
      </c>
      <c r="I14" s="33">
        <f t="shared" ref="I14:I62" si="2">G14*H14</f>
        <v>1765408.3525</v>
      </c>
      <c r="J14" s="23">
        <f>'Labor Rates'!E6</f>
        <v>29.39</v>
      </c>
      <c r="K14" s="23">
        <f t="shared" si="0"/>
        <v>51885351.479975</v>
      </c>
    </row>
    <row r="15" spans="1:17" ht="45" customHeight="1" x14ac:dyDescent="0.25">
      <c r="A15" s="34" t="s">
        <v>28</v>
      </c>
      <c r="C15" s="32" t="s">
        <v>35</v>
      </c>
      <c r="D15" s="2" t="s">
        <v>38</v>
      </c>
      <c r="E15" s="4">
        <f>Assumptions!F5</f>
        <v>53</v>
      </c>
      <c r="F15" s="33">
        <f t="shared" si="1"/>
        <v>398917.26415094337</v>
      </c>
      <c r="G15" s="4">
        <f>Assumptions!F14</f>
        <v>21142615</v>
      </c>
      <c r="H15" s="61">
        <v>8.3500000000000005E-2</v>
      </c>
      <c r="I15" s="33">
        <f t="shared" si="2"/>
        <v>1765408.3525</v>
      </c>
      <c r="J15" s="23">
        <f>'Labor Rates'!E6</f>
        <v>29.39</v>
      </c>
      <c r="K15" s="23">
        <f t="shared" si="0"/>
        <v>51885351.479975</v>
      </c>
    </row>
    <row r="16" spans="1:17" ht="45" customHeight="1" x14ac:dyDescent="0.25">
      <c r="A16" s="34" t="s">
        <v>28</v>
      </c>
      <c r="C16" s="32" t="s">
        <v>35</v>
      </c>
      <c r="D16" s="2" t="s">
        <v>39</v>
      </c>
      <c r="E16" s="4">
        <f>Assumptions!F5</f>
        <v>53</v>
      </c>
      <c r="F16" s="33">
        <f t="shared" si="1"/>
        <v>398917.26415094337</v>
      </c>
      <c r="G16" s="4">
        <f>Assumptions!F14</f>
        <v>21142615</v>
      </c>
      <c r="H16" s="61">
        <v>8.3500000000000005E-2</v>
      </c>
      <c r="I16" s="33">
        <f t="shared" si="2"/>
        <v>1765408.3525</v>
      </c>
      <c r="J16" s="23">
        <f>'Labor Rates'!E6</f>
        <v>29.39</v>
      </c>
      <c r="K16" s="23">
        <f t="shared" si="0"/>
        <v>51885351.479975</v>
      </c>
    </row>
    <row r="17" spans="1:14" ht="45" customHeight="1" x14ac:dyDescent="0.25">
      <c r="A17" s="34" t="s">
        <v>28</v>
      </c>
      <c r="C17" s="32" t="s">
        <v>35</v>
      </c>
      <c r="D17" s="2" t="s">
        <v>40</v>
      </c>
      <c r="E17" s="4">
        <f>Assumptions!F5</f>
        <v>53</v>
      </c>
      <c r="F17" s="33">
        <f t="shared" si="1"/>
        <v>22436.594150943398</v>
      </c>
      <c r="G17" s="4">
        <f>Assumptions!F16</f>
        <v>1189139.49</v>
      </c>
      <c r="H17" s="61">
        <v>8.3500000000000005E-2</v>
      </c>
      <c r="I17" s="33">
        <f t="shared" si="2"/>
        <v>99293.147414999999</v>
      </c>
      <c r="J17" s="23">
        <f>'Labor Rates'!E6</f>
        <v>29.39</v>
      </c>
      <c r="K17" s="23">
        <f t="shared" si="0"/>
        <v>2918225.6025268501</v>
      </c>
    </row>
    <row r="18" spans="1:14" ht="45" customHeight="1" x14ac:dyDescent="0.25">
      <c r="A18" s="34" t="s">
        <v>28</v>
      </c>
      <c r="C18" s="32" t="s">
        <v>35</v>
      </c>
      <c r="D18" s="2" t="s">
        <v>41</v>
      </c>
      <c r="E18" s="4">
        <f>Assumptions!F5</f>
        <v>53</v>
      </c>
      <c r="F18" s="33">
        <f t="shared" si="1"/>
        <v>398917.26415094337</v>
      </c>
      <c r="G18" s="4">
        <f>Assumptions!F14</f>
        <v>21142615</v>
      </c>
      <c r="H18" s="61">
        <v>8.3500000000000005E-2</v>
      </c>
      <c r="I18" s="33">
        <f t="shared" si="2"/>
        <v>1765408.3525</v>
      </c>
      <c r="J18" s="23">
        <f>'Labor Rates'!E6</f>
        <v>29.39</v>
      </c>
      <c r="K18" s="23">
        <f t="shared" si="0"/>
        <v>51885351.479975</v>
      </c>
    </row>
    <row r="19" spans="1:14" ht="90" x14ac:dyDescent="0.25">
      <c r="A19" s="34" t="s">
        <v>28</v>
      </c>
      <c r="C19" s="32" t="s">
        <v>35</v>
      </c>
      <c r="D19" s="2" t="s">
        <v>42</v>
      </c>
      <c r="E19" s="4">
        <f>Assumptions!F5</f>
        <v>53</v>
      </c>
      <c r="F19" s="33">
        <f>G19/E19</f>
        <v>283924.90052830183</v>
      </c>
      <c r="G19" s="4">
        <f>Assumptions!F17</f>
        <v>15048019.727999998</v>
      </c>
      <c r="H19" s="61">
        <v>8.3500000000000005E-2</v>
      </c>
      <c r="I19" s="33">
        <f t="shared" si="2"/>
        <v>1256509.647288</v>
      </c>
      <c r="J19" s="23">
        <f>'Labor Rates'!E6</f>
        <v>29.39</v>
      </c>
      <c r="K19" s="23">
        <f t="shared" si="0"/>
        <v>36928818.533794321</v>
      </c>
    </row>
    <row r="20" spans="1:14" ht="45" customHeight="1" x14ac:dyDescent="0.25">
      <c r="A20" s="34" t="s">
        <v>28</v>
      </c>
      <c r="C20" s="32" t="s">
        <v>35</v>
      </c>
      <c r="D20" s="2" t="s">
        <v>43</v>
      </c>
      <c r="E20" s="4">
        <f>Assumptions!F5</f>
        <v>53</v>
      </c>
      <c r="F20" s="33">
        <f t="shared" si="1"/>
        <v>56758.534396226416</v>
      </c>
      <c r="G20" s="4">
        <f>Assumptions!F18</f>
        <v>3008202.3229999999</v>
      </c>
      <c r="H20" s="61">
        <v>8.3500000000000005E-2</v>
      </c>
      <c r="I20" s="33">
        <f>G20*H20</f>
        <v>251184.89397050001</v>
      </c>
      <c r="J20" s="23">
        <f>'Labor Rates'!E6</f>
        <v>29.39</v>
      </c>
      <c r="K20" s="23">
        <f t="shared" si="0"/>
        <v>7382324.0337929958</v>
      </c>
    </row>
    <row r="21" spans="1:14" ht="45" customHeight="1" x14ac:dyDescent="0.25">
      <c r="A21" s="34" t="s">
        <v>28</v>
      </c>
      <c r="C21" s="32" t="s">
        <v>35</v>
      </c>
      <c r="D21" s="2" t="s">
        <v>44</v>
      </c>
      <c r="E21" s="4">
        <f>Assumptions!F5</f>
        <v>53</v>
      </c>
      <c r="F21" s="33">
        <f t="shared" si="1"/>
        <v>6527.0092075471703</v>
      </c>
      <c r="G21" s="4">
        <f>Assumptions!F19</f>
        <v>345931.48800000001</v>
      </c>
      <c r="H21" s="61">
        <v>8.3500000000000005E-2</v>
      </c>
      <c r="I21" s="33">
        <f>G21*H21</f>
        <v>28885.279248000003</v>
      </c>
      <c r="J21" s="23">
        <f>'Labor Rates'!E6</f>
        <v>29.39</v>
      </c>
      <c r="K21" s="23">
        <f t="shared" si="0"/>
        <v>848938.35709872004</v>
      </c>
    </row>
    <row r="22" spans="1:14" ht="45" customHeight="1" x14ac:dyDescent="0.25">
      <c r="A22" s="34" t="s">
        <v>28</v>
      </c>
      <c r="C22" s="32" t="s">
        <v>35</v>
      </c>
      <c r="D22" s="2" t="s">
        <v>45</v>
      </c>
      <c r="E22" s="4">
        <f>Assumptions!F5</f>
        <v>53</v>
      </c>
      <c r="F22" s="33">
        <f t="shared" si="1"/>
        <v>88930.500452830194</v>
      </c>
      <c r="G22" s="4">
        <f>Assumptions!F20</f>
        <v>4713316.5240000002</v>
      </c>
      <c r="H22" s="61">
        <v>8.3500000000000005E-2</v>
      </c>
      <c r="I22" s="33">
        <f t="shared" si="2"/>
        <v>393561.92975400004</v>
      </c>
      <c r="J22" s="23">
        <f>'Labor Rates'!E6</f>
        <v>29.39</v>
      </c>
      <c r="K22" s="23">
        <f t="shared" si="0"/>
        <v>11566785.115470061</v>
      </c>
    </row>
    <row r="23" spans="1:14" ht="45" customHeight="1" x14ac:dyDescent="0.25">
      <c r="A23" s="34" t="s">
        <v>28</v>
      </c>
      <c r="C23" s="32" t="s">
        <v>35</v>
      </c>
      <c r="D23" s="2" t="s">
        <v>46</v>
      </c>
      <c r="E23" s="4">
        <f>Assumptions!F5</f>
        <v>53</v>
      </c>
      <c r="F23" s="33">
        <f t="shared" si="1"/>
        <v>398917.26415094337</v>
      </c>
      <c r="G23" s="4">
        <f>Assumptions!F14</f>
        <v>21142615</v>
      </c>
      <c r="H23" s="61">
        <v>8.3500000000000005E-2</v>
      </c>
      <c r="I23" s="33">
        <f t="shared" si="2"/>
        <v>1765408.3525</v>
      </c>
      <c r="J23" s="23">
        <f>'Labor Rates'!E6</f>
        <v>29.39</v>
      </c>
      <c r="K23" s="23">
        <f t="shared" si="0"/>
        <v>51885351.479975</v>
      </c>
    </row>
    <row r="24" spans="1:14" s="276" customFormat="1" ht="45" customHeight="1" x14ac:dyDescent="0.25">
      <c r="A24" s="275" t="s">
        <v>28</v>
      </c>
      <c r="C24" s="277" t="s">
        <v>35</v>
      </c>
      <c r="D24" s="278" t="s">
        <v>47</v>
      </c>
      <c r="E24" s="279">
        <f>Assumptions!F5</f>
        <v>53</v>
      </c>
      <c r="F24" s="280">
        <f>G24/E24</f>
        <v>15241.626603773584</v>
      </c>
      <c r="G24" s="279">
        <f>Assumptions!F23+Assumptions!F24</f>
        <v>807806.21</v>
      </c>
      <c r="H24" s="281">
        <v>0.1002</v>
      </c>
      <c r="I24" s="280">
        <f>G24*H24</f>
        <v>80942.182241999995</v>
      </c>
      <c r="J24" s="282">
        <f>'Labor Rates'!E6</f>
        <v>29.39</v>
      </c>
      <c r="K24" s="282">
        <f t="shared" si="0"/>
        <v>2378890.7360923798</v>
      </c>
      <c r="L24" s="283"/>
      <c r="N24" s="287"/>
    </row>
    <row r="25" spans="1:14" ht="45" customHeight="1" x14ac:dyDescent="0.25">
      <c r="A25" s="34" t="s">
        <v>28</v>
      </c>
      <c r="C25" s="32" t="s">
        <v>35</v>
      </c>
      <c r="D25" s="2" t="s">
        <v>48</v>
      </c>
      <c r="E25" s="4">
        <f>Assumptions!F5</f>
        <v>53</v>
      </c>
      <c r="F25" s="33">
        <f t="shared" si="1"/>
        <v>6981.1509433962265</v>
      </c>
      <c r="G25" s="4">
        <f>Assumptions!F26</f>
        <v>370001</v>
      </c>
      <c r="H25" s="61">
        <v>8.3500000000000005E-2</v>
      </c>
      <c r="I25" s="33">
        <f>G25*H25</f>
        <v>30895.083500000001</v>
      </c>
      <c r="J25" s="23">
        <f>'Labor Rates'!E6</f>
        <v>29.39</v>
      </c>
      <c r="K25" s="23">
        <f t="shared" si="0"/>
        <v>908006.50406499999</v>
      </c>
    </row>
    <row r="26" spans="1:14" ht="45" customHeight="1" x14ac:dyDescent="0.25">
      <c r="A26" s="34" t="s">
        <v>28</v>
      </c>
      <c r="C26" s="32" t="s">
        <v>35</v>
      </c>
      <c r="D26" s="2" t="s">
        <v>49</v>
      </c>
      <c r="E26" s="4">
        <f>Assumptions!F5</f>
        <v>53</v>
      </c>
      <c r="F26" s="33">
        <f t="shared" si="1"/>
        <v>12646.080339622642</v>
      </c>
      <c r="G26" s="4">
        <f>Assumptions!F25</f>
        <v>670242.25800000003</v>
      </c>
      <c r="H26" s="61">
        <v>5.0099999999999999E-2</v>
      </c>
      <c r="I26" s="33">
        <f>G26*H26</f>
        <v>33579.1371258</v>
      </c>
      <c r="J26" s="23">
        <f>'Labor Rates'!E6</f>
        <v>29.39</v>
      </c>
      <c r="K26" s="23">
        <f t="shared" si="0"/>
        <v>986890.84012726205</v>
      </c>
    </row>
    <row r="27" spans="1:14" ht="45" customHeight="1" x14ac:dyDescent="0.25">
      <c r="A27" s="34" t="s">
        <v>28</v>
      </c>
      <c r="C27" s="32" t="s">
        <v>50</v>
      </c>
      <c r="D27" s="2" t="s">
        <v>51</v>
      </c>
      <c r="E27" s="4">
        <f>Assumptions!F5</f>
        <v>53</v>
      </c>
      <c r="F27" s="33">
        <f t="shared" si="1"/>
        <v>25682.641509433961</v>
      </c>
      <c r="G27" s="4">
        <f>Assumptions!F27</f>
        <v>1361180</v>
      </c>
      <c r="H27" s="61">
        <v>0.1002</v>
      </c>
      <c r="I27" s="33">
        <f t="shared" si="2"/>
        <v>136390.236</v>
      </c>
      <c r="J27" s="23">
        <f>'Labor Rates'!E6</f>
        <v>29.39</v>
      </c>
      <c r="K27" s="23">
        <f t="shared" si="0"/>
        <v>4008509.0360400002</v>
      </c>
      <c r="N27" s="217">
        <f>SUM(G29,G8)</f>
        <v>38298998.297022603</v>
      </c>
    </row>
    <row r="28" spans="1:14" ht="14.65" customHeight="1" x14ac:dyDescent="0.25">
      <c r="A28" s="35"/>
      <c r="C28" s="308" t="s">
        <v>52</v>
      </c>
      <c r="D28" s="309"/>
      <c r="E28" s="309"/>
      <c r="F28" s="309"/>
      <c r="G28" s="309"/>
      <c r="H28" s="309"/>
      <c r="I28" s="309"/>
      <c r="J28" s="309"/>
      <c r="K28" s="309"/>
    </row>
    <row r="29" spans="1:14" ht="45" customHeight="1" x14ac:dyDescent="0.25">
      <c r="A29" s="34" t="s">
        <v>28</v>
      </c>
      <c r="C29" s="32" t="s">
        <v>53</v>
      </c>
      <c r="D29" s="2" t="s">
        <v>54</v>
      </c>
      <c r="E29" s="4">
        <f>Assumptions!F5</f>
        <v>53</v>
      </c>
      <c r="F29" s="33">
        <f>G29/E29</f>
        <v>323705.34522684157</v>
      </c>
      <c r="G29" s="4">
        <f>Assumptions!F15</f>
        <v>17156383.297022603</v>
      </c>
      <c r="H29" s="33">
        <v>0.25</v>
      </c>
      <c r="I29" s="33">
        <f t="shared" si="2"/>
        <v>4289095.8242556509</v>
      </c>
      <c r="J29" s="23">
        <f>'Labor Rates'!E6</f>
        <v>29.39</v>
      </c>
      <c r="K29" s="23">
        <f>I29*J29</f>
        <v>126056526.27487358</v>
      </c>
    </row>
    <row r="30" spans="1:14" ht="14.65" customHeight="1" x14ac:dyDescent="0.25">
      <c r="A30" s="35"/>
      <c r="C30" s="308" t="s">
        <v>55</v>
      </c>
      <c r="D30" s="309"/>
      <c r="E30" s="309"/>
      <c r="F30" s="309"/>
      <c r="G30" s="309"/>
      <c r="H30" s="309"/>
      <c r="I30" s="309"/>
      <c r="J30" s="309"/>
      <c r="K30" s="309"/>
    </row>
    <row r="31" spans="1:14" ht="45" customHeight="1" x14ac:dyDescent="0.25">
      <c r="A31" s="34" t="s">
        <v>28</v>
      </c>
      <c r="C31" s="32" t="s">
        <v>56</v>
      </c>
      <c r="D31" s="2" t="s">
        <v>57</v>
      </c>
      <c r="E31" s="4">
        <f>Assumptions!F5</f>
        <v>53</v>
      </c>
      <c r="F31" s="33">
        <f>G31/E31</f>
        <v>323705.34522684157</v>
      </c>
      <c r="G31" s="4">
        <f>Assumptions!F15</f>
        <v>17156383.297022603</v>
      </c>
      <c r="H31" s="33">
        <v>0.5</v>
      </c>
      <c r="I31" s="33">
        <f t="shared" si="2"/>
        <v>8578191.6485113017</v>
      </c>
      <c r="J31" s="23">
        <f>'Labor Rates'!E6</f>
        <v>29.39</v>
      </c>
      <c r="K31" s="23">
        <f>I31*J31</f>
        <v>252113052.54974717</v>
      </c>
    </row>
    <row r="32" spans="1:14" x14ac:dyDescent="0.25">
      <c r="A32" s="35"/>
      <c r="C32" s="308" t="s">
        <v>58</v>
      </c>
      <c r="D32" s="309"/>
      <c r="E32" s="309"/>
      <c r="F32" s="309"/>
      <c r="G32" s="309"/>
      <c r="H32" s="309"/>
      <c r="I32" s="309"/>
      <c r="J32" s="309"/>
      <c r="K32" s="309"/>
    </row>
    <row r="33" spans="1:15" ht="45" customHeight="1" x14ac:dyDescent="0.25">
      <c r="A33" s="34" t="s">
        <v>28</v>
      </c>
      <c r="C33" s="32" t="s">
        <v>59</v>
      </c>
      <c r="D33" s="2" t="s">
        <v>60</v>
      </c>
      <c r="E33" s="4">
        <f>Assumptions!F5</f>
        <v>53</v>
      </c>
      <c r="F33" s="33">
        <f>G33/E33</f>
        <v>161852.67924528301</v>
      </c>
      <c r="G33" s="4">
        <f>Assumptions!F29</f>
        <v>8578192</v>
      </c>
      <c r="H33" s="61">
        <v>0.1002</v>
      </c>
      <c r="I33" s="33">
        <f t="shared" si="2"/>
        <v>859534.83840000001</v>
      </c>
      <c r="J33" s="23">
        <f>'Labor Rates'!E6</f>
        <v>29.39</v>
      </c>
      <c r="K33" s="23">
        <f t="shared" ref="K33:K39" si="3">I33*J33</f>
        <v>25261728.900575999</v>
      </c>
    </row>
    <row r="34" spans="1:15" ht="45" customHeight="1" x14ac:dyDescent="0.25">
      <c r="A34" s="34" t="s">
        <v>28</v>
      </c>
      <c r="C34" s="32" t="s">
        <v>59</v>
      </c>
      <c r="D34" s="2" t="s">
        <v>61</v>
      </c>
      <c r="E34" s="4">
        <f>Assumptions!F5</f>
        <v>53</v>
      </c>
      <c r="F34" s="33">
        <f t="shared" ref="F34:F38" si="4">G34/E34</f>
        <v>3237.0566037735848</v>
      </c>
      <c r="G34" s="4">
        <f>Assumptions!F30</f>
        <v>171564</v>
      </c>
      <c r="H34" s="61">
        <v>0.1002</v>
      </c>
      <c r="I34" s="33">
        <f t="shared" si="2"/>
        <v>17190.712800000001</v>
      </c>
      <c r="J34" s="23">
        <f>'Labor Rates'!E6</f>
        <v>29.39</v>
      </c>
      <c r="K34" s="23">
        <f t="shared" si="3"/>
        <v>505235.04919200006</v>
      </c>
    </row>
    <row r="35" spans="1:15" ht="62.65" customHeight="1" x14ac:dyDescent="0.25">
      <c r="A35" s="34" t="s">
        <v>28</v>
      </c>
      <c r="C35" s="32" t="s">
        <v>59</v>
      </c>
      <c r="D35" s="2" t="s">
        <v>62</v>
      </c>
      <c r="E35" s="4">
        <f>Assumptions!F5</f>
        <v>53</v>
      </c>
      <c r="F35" s="33">
        <f t="shared" si="4"/>
        <v>6474.1132075471696</v>
      </c>
      <c r="G35" s="4">
        <f>Assumptions!F31</f>
        <v>343128</v>
      </c>
      <c r="H35" s="61">
        <v>0.1002</v>
      </c>
      <c r="I35" s="33">
        <f>G35*H35</f>
        <v>34381.425600000002</v>
      </c>
      <c r="J35" s="23">
        <f>'Labor Rates'!E6</f>
        <v>29.39</v>
      </c>
      <c r="K35" s="23">
        <f t="shared" si="3"/>
        <v>1010470.0983840001</v>
      </c>
    </row>
    <row r="36" spans="1:15" ht="59.25" customHeight="1" x14ac:dyDescent="0.25">
      <c r="A36" s="34" t="s">
        <v>28</v>
      </c>
      <c r="C36" s="32" t="s">
        <v>59</v>
      </c>
      <c r="D36" s="2" t="s">
        <v>63</v>
      </c>
      <c r="E36" s="4">
        <f>Assumptions!F5</f>
        <v>53</v>
      </c>
      <c r="F36" s="33">
        <f t="shared" si="4"/>
        <v>2923.8301886792451</v>
      </c>
      <c r="G36" s="4">
        <f>Assumptions!F32</f>
        <v>154963</v>
      </c>
      <c r="H36" s="61">
        <v>0.1002</v>
      </c>
      <c r="I36" s="33">
        <f t="shared" si="2"/>
        <v>15527.292599999999</v>
      </c>
      <c r="J36" s="23">
        <f>'Labor Rates'!E6</f>
        <v>29.39</v>
      </c>
      <c r="K36" s="23">
        <f t="shared" si="3"/>
        <v>456347.12951399997</v>
      </c>
    </row>
    <row r="37" spans="1:15" ht="45" customHeight="1" x14ac:dyDescent="0.25">
      <c r="A37" s="34" t="s">
        <v>28</v>
      </c>
      <c r="C37" s="32" t="s">
        <v>59</v>
      </c>
      <c r="D37" s="2" t="s">
        <v>64</v>
      </c>
      <c r="E37" s="4">
        <f>Assumptions!F5</f>
        <v>53</v>
      </c>
      <c r="F37" s="33">
        <f t="shared" si="4"/>
        <v>127186.7358490566</v>
      </c>
      <c r="G37" s="4">
        <f>Assumptions!F33</f>
        <v>6740897</v>
      </c>
      <c r="H37" s="61">
        <v>0.1002</v>
      </c>
      <c r="I37" s="33">
        <f t="shared" si="2"/>
        <v>675437.87939999998</v>
      </c>
      <c r="J37" s="23">
        <f>'Labor Rates'!E6</f>
        <v>29.39</v>
      </c>
      <c r="K37" s="23">
        <f t="shared" si="3"/>
        <v>19851119.275566</v>
      </c>
    </row>
    <row r="38" spans="1:15" ht="45" customHeight="1" x14ac:dyDescent="0.25">
      <c r="A38" s="34" t="s">
        <v>28</v>
      </c>
      <c r="C38" s="32" t="s">
        <v>59</v>
      </c>
      <c r="D38" s="2" t="s">
        <v>65</v>
      </c>
      <c r="E38" s="4">
        <f>Assumptions!F5</f>
        <v>53</v>
      </c>
      <c r="F38" s="33">
        <f t="shared" si="4"/>
        <v>56758.534396226416</v>
      </c>
      <c r="G38" s="4">
        <f>Assumptions!F34</f>
        <v>3008202.3229999999</v>
      </c>
      <c r="H38" s="61">
        <v>0.1002</v>
      </c>
      <c r="I38" s="33">
        <f t="shared" si="2"/>
        <v>301421.87276459998</v>
      </c>
      <c r="J38" s="23">
        <f>'Labor Rates'!E6</f>
        <v>29.39</v>
      </c>
      <c r="K38" s="23">
        <f t="shared" si="3"/>
        <v>8858788.8405515943</v>
      </c>
    </row>
    <row r="39" spans="1:15" ht="45" customHeight="1" x14ac:dyDescent="0.25">
      <c r="A39" s="131" t="s">
        <v>28</v>
      </c>
      <c r="B39" s="176"/>
      <c r="C39" s="165" t="s">
        <v>59</v>
      </c>
      <c r="D39" s="171" t="s">
        <v>66</v>
      </c>
      <c r="E39" s="172">
        <f>Assumptions!F5</f>
        <v>53</v>
      </c>
      <c r="F39" s="122">
        <f>G39/E39</f>
        <v>266946.81083061517</v>
      </c>
      <c r="G39" s="172">
        <f>Assumptions!F35</f>
        <v>14148180.974022605</v>
      </c>
      <c r="H39" s="177">
        <v>0.1002</v>
      </c>
      <c r="I39" s="122">
        <f t="shared" si="2"/>
        <v>1417647.7335970649</v>
      </c>
      <c r="J39" s="178">
        <f>'Labor Rates'!E6</f>
        <v>29.39</v>
      </c>
      <c r="K39" s="178">
        <f t="shared" si="3"/>
        <v>41664666.89041774</v>
      </c>
    </row>
    <row r="40" spans="1:15" x14ac:dyDescent="0.25">
      <c r="A40" s="35"/>
      <c r="C40" s="308" t="s">
        <v>67</v>
      </c>
      <c r="D40" s="309"/>
      <c r="E40" s="309"/>
      <c r="F40" s="309"/>
      <c r="G40" s="309"/>
      <c r="H40" s="309"/>
      <c r="I40" s="309"/>
      <c r="J40" s="309"/>
      <c r="K40" s="309"/>
    </row>
    <row r="41" spans="1:15" ht="45" customHeight="1" x14ac:dyDescent="0.25">
      <c r="A41" s="34" t="s">
        <v>28</v>
      </c>
      <c r="C41" s="32">
        <v>273.20999999999998</v>
      </c>
      <c r="D41" s="2" t="s">
        <v>68</v>
      </c>
      <c r="E41" s="4">
        <f>Assumptions!F10</f>
        <v>1</v>
      </c>
      <c r="F41" s="33">
        <f>G41/E41</f>
        <v>118910</v>
      </c>
      <c r="G41" s="4">
        <f>Assumptions!F41</f>
        <v>118910</v>
      </c>
      <c r="H41" s="61">
        <v>0.1169</v>
      </c>
      <c r="I41" s="33">
        <f>G41*H41</f>
        <v>13900.579</v>
      </c>
      <c r="J41" s="23">
        <f>'Labor Rates'!E6</f>
        <v>29.39</v>
      </c>
      <c r="K41" s="23">
        <f>I41*J41</f>
        <v>408538.01681</v>
      </c>
      <c r="O41" s="6"/>
    </row>
    <row r="42" spans="1:15" ht="45" customHeight="1" x14ac:dyDescent="0.25">
      <c r="A42" s="34" t="s">
        <v>28</v>
      </c>
      <c r="C42" s="32" t="s">
        <v>69</v>
      </c>
      <c r="D42" s="2" t="s">
        <v>70</v>
      </c>
      <c r="E42" s="4">
        <f>Assumptions!F11</f>
        <v>1</v>
      </c>
      <c r="F42" s="33">
        <f>G42/E42</f>
        <v>19458</v>
      </c>
      <c r="G42" s="4">
        <f>Assumptions!F42</f>
        <v>19458</v>
      </c>
      <c r="H42" s="61">
        <v>0.1336</v>
      </c>
      <c r="I42" s="33">
        <f>G42*H42</f>
        <v>2599.5888</v>
      </c>
      <c r="J42" s="23">
        <f>'Labor Rates'!E6</f>
        <v>29.39</v>
      </c>
      <c r="K42" s="23">
        <f>I42*J42</f>
        <v>76401.914831999995</v>
      </c>
    </row>
    <row r="43" spans="1:15" ht="45" customHeight="1" x14ac:dyDescent="0.25">
      <c r="A43" s="34" t="s">
        <v>28</v>
      </c>
      <c r="C43" s="32" t="s">
        <v>71</v>
      </c>
      <c r="D43" s="2" t="s">
        <v>72</v>
      </c>
      <c r="E43" s="4">
        <f>Assumptions!F12</f>
        <v>52</v>
      </c>
      <c r="F43" s="33">
        <f t="shared" ref="F43:F45" si="5">G43/E43</f>
        <v>246351.44711538462</v>
      </c>
      <c r="G43" s="4">
        <f>Assumptions!F43</f>
        <v>12810275.25</v>
      </c>
      <c r="H43" s="61">
        <v>0.1837</v>
      </c>
      <c r="I43" s="33">
        <f>G43*H43</f>
        <v>2353247.5634249998</v>
      </c>
      <c r="J43" s="23">
        <f>'Labor Rates'!E6</f>
        <v>29.39</v>
      </c>
      <c r="K43" s="23">
        <f>I43*J43</f>
        <v>69161945.889060751</v>
      </c>
    </row>
    <row r="44" spans="1:15" ht="45" customHeight="1" x14ac:dyDescent="0.25">
      <c r="A44" s="34" t="s">
        <v>28</v>
      </c>
      <c r="C44" s="32" t="s">
        <v>73</v>
      </c>
      <c r="D44" s="2" t="s">
        <v>74</v>
      </c>
      <c r="E44" s="4">
        <f>Assumptions!F13</f>
        <v>22</v>
      </c>
      <c r="F44" s="33">
        <f t="shared" si="5"/>
        <v>415707.40909090912</v>
      </c>
      <c r="G44" s="4">
        <f>Assumptions!F44</f>
        <v>9145563</v>
      </c>
      <c r="H44" s="61">
        <v>0.1837</v>
      </c>
      <c r="I44" s="33">
        <f>G44*H44</f>
        <v>1680039.9231</v>
      </c>
      <c r="J44" s="23">
        <f>'Labor Rates'!E6</f>
        <v>29.39</v>
      </c>
      <c r="K44" s="23">
        <f>I44*J44</f>
        <v>49376373.339909002</v>
      </c>
    </row>
    <row r="45" spans="1:15" s="86" customFormat="1" ht="45" customHeight="1" x14ac:dyDescent="0.25">
      <c r="A45" s="36" t="s">
        <v>28</v>
      </c>
      <c r="B45"/>
      <c r="C45" s="32" t="s">
        <v>75</v>
      </c>
      <c r="D45" s="2" t="s">
        <v>76</v>
      </c>
      <c r="E45" s="4">
        <f>Assumptions!F5</f>
        <v>53</v>
      </c>
      <c r="F45" s="33">
        <f t="shared" si="5"/>
        <v>14416.66773664151</v>
      </c>
      <c r="G45" s="4">
        <f>Assumptions!F84</f>
        <v>764083.39004199998</v>
      </c>
      <c r="H45" s="61">
        <v>0.1837</v>
      </c>
      <c r="I45" s="33">
        <f>G45*H45</f>
        <v>140362.1187507154</v>
      </c>
      <c r="J45" s="23">
        <f>'Labor Rates'!E6</f>
        <v>29.39</v>
      </c>
      <c r="K45" s="23">
        <f>I45*J45</f>
        <v>4125242.6700835256</v>
      </c>
      <c r="L45" s="87"/>
    </row>
    <row r="46" spans="1:15" x14ac:dyDescent="0.25">
      <c r="A46" s="35"/>
      <c r="C46" s="308" t="s">
        <v>77</v>
      </c>
      <c r="D46" s="309"/>
      <c r="E46" s="309"/>
      <c r="F46" s="309"/>
      <c r="G46" s="309"/>
      <c r="H46" s="309"/>
      <c r="I46" s="309"/>
      <c r="J46" s="309"/>
      <c r="K46" s="309"/>
    </row>
    <row r="47" spans="1:15" ht="45" customHeight="1" x14ac:dyDescent="0.25">
      <c r="A47" s="34" t="s">
        <v>28</v>
      </c>
      <c r="C47" s="32" t="s">
        <v>78</v>
      </c>
      <c r="D47" s="2" t="s">
        <v>79</v>
      </c>
      <c r="E47" s="4">
        <f>Assumptions!F5</f>
        <v>53</v>
      </c>
      <c r="F47" s="33">
        <f>G47/E47</f>
        <v>754706.01886792458</v>
      </c>
      <c r="G47" s="4">
        <f>Assumptions!F45</f>
        <v>39999419</v>
      </c>
      <c r="H47" s="61">
        <v>5.0099999999999999E-2</v>
      </c>
      <c r="I47" s="33">
        <f t="shared" si="2"/>
        <v>2003970.8918999999</v>
      </c>
      <c r="J47" s="23">
        <f>'Labor Rates'!E6</f>
        <v>29.39</v>
      </c>
      <c r="K47" s="23">
        <f t="shared" ref="K47:K62" si="6">I47*J47</f>
        <v>58896704.512940995</v>
      </c>
    </row>
    <row r="48" spans="1:15" ht="45" customHeight="1" x14ac:dyDescent="0.25">
      <c r="A48" s="34" t="s">
        <v>28</v>
      </c>
      <c r="C48" s="32" t="s">
        <v>80</v>
      </c>
      <c r="D48" s="2" t="s">
        <v>81</v>
      </c>
      <c r="E48" s="4">
        <f>Assumptions!F5</f>
        <v>53</v>
      </c>
      <c r="F48" s="33">
        <f t="shared" ref="F48:F55" si="7">G48/E48</f>
        <v>1107.6226415094341</v>
      </c>
      <c r="G48" s="4">
        <f>Assumptions!F46</f>
        <v>58704</v>
      </c>
      <c r="H48" s="61">
        <v>5.0099999999999999E-2</v>
      </c>
      <c r="I48" s="33">
        <f t="shared" si="2"/>
        <v>2941.0704000000001</v>
      </c>
      <c r="J48" s="23">
        <f>'Labor Rates'!E6</f>
        <v>29.39</v>
      </c>
      <c r="K48" s="23">
        <f t="shared" si="6"/>
        <v>86438.059055999998</v>
      </c>
    </row>
    <row r="49" spans="1:15" s="86" customFormat="1" ht="45" customHeight="1" x14ac:dyDescent="0.25">
      <c r="A49" s="179" t="s">
        <v>28</v>
      </c>
      <c r="B49" s="176"/>
      <c r="C49" s="165" t="s">
        <v>82</v>
      </c>
      <c r="D49" s="171" t="s">
        <v>83</v>
      </c>
      <c r="E49" s="172">
        <f>Assumptions!F5</f>
        <v>53</v>
      </c>
      <c r="F49" s="122">
        <f>G49/E49</f>
        <v>28535.266886792455</v>
      </c>
      <c r="G49" s="172">
        <f>Assumptions!F81</f>
        <v>1512369.145</v>
      </c>
      <c r="H49" s="177">
        <v>3.3399999999999999E-2</v>
      </c>
      <c r="I49" s="122">
        <f>G49*H49</f>
        <v>50513.129442999998</v>
      </c>
      <c r="J49" s="178">
        <f>'Labor Rates'!E6</f>
        <v>29.39</v>
      </c>
      <c r="K49" s="178">
        <f t="shared" si="6"/>
        <v>1484580.87432977</v>
      </c>
      <c r="L49" s="87"/>
      <c r="N49" s="123"/>
    </row>
    <row r="50" spans="1:15" ht="45" customHeight="1" x14ac:dyDescent="0.25">
      <c r="A50" s="34" t="s">
        <v>28</v>
      </c>
      <c r="C50" s="32" t="s">
        <v>84</v>
      </c>
      <c r="D50" s="2" t="s">
        <v>85</v>
      </c>
      <c r="E50" s="4">
        <f>Assumptions!F5</f>
        <v>53</v>
      </c>
      <c r="F50" s="33">
        <f t="shared" si="7"/>
        <v>42879.415094339623</v>
      </c>
      <c r="G50" s="4">
        <f>Assumptions!F47</f>
        <v>2272609</v>
      </c>
      <c r="H50" s="61">
        <v>5.0099999999999999E-2</v>
      </c>
      <c r="I50" s="33">
        <f t="shared" si="2"/>
        <v>113857.71089999999</v>
      </c>
      <c r="J50" s="23">
        <f>'Labor Rates'!E6</f>
        <v>29.39</v>
      </c>
      <c r="K50" s="23">
        <f t="shared" si="6"/>
        <v>3346278.1233509998</v>
      </c>
      <c r="O50" s="6"/>
    </row>
    <row r="51" spans="1:15" ht="45" customHeight="1" x14ac:dyDescent="0.25">
      <c r="A51" s="34" t="s">
        <v>28</v>
      </c>
      <c r="C51" s="32" t="s">
        <v>86</v>
      </c>
      <c r="D51" s="2" t="s">
        <v>87</v>
      </c>
      <c r="E51" s="4">
        <f>Assumptions!F5</f>
        <v>53</v>
      </c>
      <c r="F51" s="33">
        <f>G51/E51</f>
        <v>401431.62264150946</v>
      </c>
      <c r="G51" s="4">
        <f>Assumptions!F48</f>
        <v>21275876</v>
      </c>
      <c r="H51" s="61">
        <v>5.0099999999999999E-2</v>
      </c>
      <c r="I51" s="33">
        <f>G51*H51</f>
        <v>1065921.3876</v>
      </c>
      <c r="J51" s="23">
        <f>'Labor Rates'!E6</f>
        <v>29.39</v>
      </c>
      <c r="K51" s="23">
        <f>I51*J51</f>
        <v>31327429.581564002</v>
      </c>
      <c r="N51" s="6"/>
    </row>
    <row r="52" spans="1:15" s="276" customFormat="1" ht="45" customHeight="1" x14ac:dyDescent="0.25">
      <c r="A52" s="286" t="s">
        <v>28</v>
      </c>
      <c r="C52" s="277" t="s">
        <v>89</v>
      </c>
      <c r="D52" s="278" t="s">
        <v>90</v>
      </c>
      <c r="E52" s="279">
        <f>Assumptions!F5</f>
        <v>53</v>
      </c>
      <c r="F52" s="280">
        <f>G52/E52</f>
        <v>103698.11320754717</v>
      </c>
      <c r="G52" s="279">
        <f>Assumptions!F75</f>
        <v>5496000</v>
      </c>
      <c r="H52" s="281">
        <v>0.02</v>
      </c>
      <c r="I52" s="280">
        <f>G52*H52</f>
        <v>109920</v>
      </c>
      <c r="J52" s="282">
        <f>'Labor Rates'!E6</f>
        <v>29.39</v>
      </c>
      <c r="K52" s="282">
        <f>I52*J52</f>
        <v>3230548.8000000003</v>
      </c>
      <c r="L52" s="283"/>
      <c r="N52" s="287"/>
    </row>
    <row r="53" spans="1:15" s="276" customFormat="1" ht="45" customHeight="1" x14ac:dyDescent="0.25">
      <c r="A53" s="275" t="s">
        <v>28</v>
      </c>
      <c r="C53" s="277" t="s">
        <v>91</v>
      </c>
      <c r="D53" s="278" t="s">
        <v>92</v>
      </c>
      <c r="E53" s="279">
        <f>Assumptions!F5</f>
        <v>53</v>
      </c>
      <c r="F53" s="280">
        <f>G53/E53</f>
        <v>37810.785094339619</v>
      </c>
      <c r="G53" s="279">
        <f>Assumptions!F49+Assumptions!F50</f>
        <v>2003971.6099999999</v>
      </c>
      <c r="H53" s="281">
        <v>5.0099999999999999E-2</v>
      </c>
      <c r="I53" s="280">
        <f>G53*H53</f>
        <v>100398.977661</v>
      </c>
      <c r="J53" s="282">
        <f>'Labor Rates'!E6</f>
        <v>29.39</v>
      </c>
      <c r="K53" s="282">
        <f>I53*J53</f>
        <v>2950725.9534567902</v>
      </c>
      <c r="L53" s="283"/>
      <c r="N53" s="287"/>
    </row>
    <row r="54" spans="1:15" s="276" customFormat="1" ht="45" customHeight="1" x14ac:dyDescent="0.25">
      <c r="A54" s="275" t="s">
        <v>28</v>
      </c>
      <c r="C54" s="277" t="s">
        <v>93</v>
      </c>
      <c r="D54" s="278" t="s">
        <v>94</v>
      </c>
      <c r="E54" s="279">
        <f>Assumptions!F5</f>
        <v>53</v>
      </c>
      <c r="F54" s="280">
        <f t="shared" si="7"/>
        <v>6645.7735849056608</v>
      </c>
      <c r="G54" s="279">
        <f>Assumptions!F51</f>
        <v>352226</v>
      </c>
      <c r="H54" s="281">
        <v>5.0099999999999999E-2</v>
      </c>
      <c r="I54" s="280">
        <f t="shared" si="2"/>
        <v>17646.5226</v>
      </c>
      <c r="J54" s="282">
        <f>'Labor Rates'!E6</f>
        <v>29.39</v>
      </c>
      <c r="K54" s="282">
        <f t="shared" si="6"/>
        <v>518631.299214</v>
      </c>
      <c r="L54" s="283"/>
      <c r="N54" s="287"/>
    </row>
    <row r="55" spans="1:15" s="276" customFormat="1" ht="45" customHeight="1" x14ac:dyDescent="0.25">
      <c r="A55" s="275" t="s">
        <v>28</v>
      </c>
      <c r="C55" s="277" t="s">
        <v>95</v>
      </c>
      <c r="D55" s="278" t="s">
        <v>96</v>
      </c>
      <c r="E55" s="279">
        <f>Assumptions!F5</f>
        <v>53</v>
      </c>
      <c r="F55" s="280">
        <f t="shared" si="7"/>
        <v>9926.5283018867922</v>
      </c>
      <c r="G55" s="279">
        <f>Assumptions!F52</f>
        <v>526106</v>
      </c>
      <c r="H55" s="281">
        <v>5.0099999999999999E-2</v>
      </c>
      <c r="I55" s="280">
        <f t="shared" si="2"/>
        <v>26357.910599999999</v>
      </c>
      <c r="J55" s="282">
        <f>'Labor Rates'!$E$6</f>
        <v>29.39</v>
      </c>
      <c r="K55" s="282">
        <f t="shared" si="6"/>
        <v>774658.99253399996</v>
      </c>
      <c r="L55" s="283"/>
      <c r="O55" s="287"/>
    </row>
    <row r="56" spans="1:15" s="276" customFormat="1" ht="45" customHeight="1" x14ac:dyDescent="0.25">
      <c r="A56" s="284" t="s">
        <v>28</v>
      </c>
      <c r="C56" s="277" t="s">
        <v>97</v>
      </c>
      <c r="D56" s="278" t="s">
        <v>98</v>
      </c>
      <c r="E56" s="279">
        <f>Assumptions!F5</f>
        <v>53</v>
      </c>
      <c r="F56" s="280">
        <f>G56/E56</f>
        <v>7226.2264150943392</v>
      </c>
      <c r="G56" s="279">
        <f>Assumptions!F80</f>
        <v>382990</v>
      </c>
      <c r="H56" s="281">
        <v>5.0099999999999999E-2</v>
      </c>
      <c r="I56" s="280">
        <f t="shared" si="2"/>
        <v>19187.798999999999</v>
      </c>
      <c r="J56" s="282">
        <f>'Labor Rates'!E6</f>
        <v>29.39</v>
      </c>
      <c r="K56" s="282">
        <f t="shared" si="6"/>
        <v>563929.41261</v>
      </c>
      <c r="L56" s="283"/>
    </row>
    <row r="57" spans="1:15" s="276" customFormat="1" ht="45" customHeight="1" x14ac:dyDescent="0.25">
      <c r="A57" s="284" t="s">
        <v>28</v>
      </c>
      <c r="C57" s="277" t="s">
        <v>99</v>
      </c>
      <c r="D57" s="278" t="s">
        <v>100</v>
      </c>
      <c r="E57" s="279">
        <f>Assumptions!F5</f>
        <v>53</v>
      </c>
      <c r="F57" s="280">
        <f t="shared" ref="F57:F62" si="8">G57/E57</f>
        <v>17656.898301886791</v>
      </c>
      <c r="G57" s="279">
        <f>Assumptions!F53+Assumptions!F54</f>
        <v>935815.61</v>
      </c>
      <c r="H57" s="281">
        <v>5.0099999999999999E-2</v>
      </c>
      <c r="I57" s="280">
        <f>G57*H57</f>
        <v>46884.362061</v>
      </c>
      <c r="J57" s="282">
        <f>'Labor Rates'!E6</f>
        <v>29.39</v>
      </c>
      <c r="K57" s="282">
        <f t="shared" si="6"/>
        <v>1377931.4009727901</v>
      </c>
      <c r="L57" s="283"/>
      <c r="N57" s="287"/>
    </row>
    <row r="58" spans="1:15" s="276" customFormat="1" ht="45" customHeight="1" x14ac:dyDescent="0.25">
      <c r="A58" s="284" t="s">
        <v>28</v>
      </c>
      <c r="C58" s="277" t="s">
        <v>101</v>
      </c>
      <c r="D58" s="278" t="s">
        <v>102</v>
      </c>
      <c r="E58" s="279">
        <f>Assumptions!F5</f>
        <v>53</v>
      </c>
      <c r="F58" s="280">
        <f>G58/E58</f>
        <v>90191.643698113214</v>
      </c>
      <c r="G58" s="279">
        <f>Assumptions!F55</f>
        <v>4780157.1160000004</v>
      </c>
      <c r="H58" s="281">
        <v>5.0099999999999999E-2</v>
      </c>
      <c r="I58" s="280">
        <f>G58*H58</f>
        <v>239485.87151160001</v>
      </c>
      <c r="J58" s="282">
        <f>'Labor Rates'!E6</f>
        <v>29.39</v>
      </c>
      <c r="K58" s="282">
        <f t="shared" si="6"/>
        <v>7038489.7637259243</v>
      </c>
      <c r="L58" s="283"/>
    </row>
    <row r="59" spans="1:15" s="276" customFormat="1" ht="45" customHeight="1" x14ac:dyDescent="0.25">
      <c r="A59" s="284" t="s">
        <v>28</v>
      </c>
      <c r="C59" s="277" t="s">
        <v>103</v>
      </c>
      <c r="D59" s="278" t="s">
        <v>104</v>
      </c>
      <c r="E59" s="279">
        <f>Assumptions!F5</f>
        <v>53</v>
      </c>
      <c r="F59" s="280">
        <f>G59/E59</f>
        <v>50943.396226415098</v>
      </c>
      <c r="G59" s="279">
        <f>Assumptions!F60</f>
        <v>2700000</v>
      </c>
      <c r="H59" s="281">
        <v>8.3000000000000004E-2</v>
      </c>
      <c r="I59" s="280">
        <f>G59*H59</f>
        <v>224100</v>
      </c>
      <c r="J59" s="282">
        <f>'Labor Rates'!E6</f>
        <v>29.39</v>
      </c>
      <c r="K59" s="282">
        <f t="shared" si="6"/>
        <v>6586299</v>
      </c>
      <c r="L59" s="283"/>
    </row>
    <row r="60" spans="1:15" s="276" customFormat="1" ht="45" customHeight="1" x14ac:dyDescent="0.25">
      <c r="A60" s="284" t="s">
        <v>28</v>
      </c>
      <c r="C60" s="277" t="s">
        <v>105</v>
      </c>
      <c r="D60" s="278" t="s">
        <v>106</v>
      </c>
      <c r="E60" s="279">
        <f>Assumptions!F5</f>
        <v>53</v>
      </c>
      <c r="F60" s="280">
        <f>G60/E60</f>
        <v>20992.882584905659</v>
      </c>
      <c r="G60" s="279">
        <f>Assumptions!F56</f>
        <v>1112622.777</v>
      </c>
      <c r="H60" s="281">
        <v>5.0099999999999999E-2</v>
      </c>
      <c r="I60" s="280">
        <f>G60*H60</f>
        <v>55742.401127699995</v>
      </c>
      <c r="J60" s="282">
        <f>'Labor Rates'!E6</f>
        <v>29.39</v>
      </c>
      <c r="K60" s="282">
        <f t="shared" si="6"/>
        <v>1638269.1691431028</v>
      </c>
      <c r="L60" s="283"/>
    </row>
    <row r="61" spans="1:15" s="276" customFormat="1" ht="45" customHeight="1" x14ac:dyDescent="0.25">
      <c r="A61" s="284" t="s">
        <v>28</v>
      </c>
      <c r="C61" s="277" t="s">
        <v>107</v>
      </c>
      <c r="D61" s="278" t="s">
        <v>108</v>
      </c>
      <c r="E61" s="279">
        <f>Assumptions!F5</f>
        <v>53</v>
      </c>
      <c r="F61" s="280">
        <f>G61/E61</f>
        <v>867.92452830188677</v>
      </c>
      <c r="G61" s="279">
        <f>Assumptions!F58</f>
        <v>46000</v>
      </c>
      <c r="H61" s="281">
        <v>8.3000000000000004E-2</v>
      </c>
      <c r="I61" s="280">
        <f>G61*H61</f>
        <v>3818</v>
      </c>
      <c r="J61" s="282">
        <f>'Labor Rates'!E6</f>
        <v>29.39</v>
      </c>
      <c r="K61" s="282">
        <f t="shared" si="6"/>
        <v>112211.02</v>
      </c>
      <c r="L61" s="283"/>
    </row>
    <row r="62" spans="1:15" s="276" customFormat="1" ht="45" customHeight="1" x14ac:dyDescent="0.25">
      <c r="A62" s="284" t="s">
        <v>28</v>
      </c>
      <c r="C62" s="277" t="s">
        <v>109</v>
      </c>
      <c r="D62" s="278" t="s">
        <v>110</v>
      </c>
      <c r="E62" s="279">
        <f>Assumptions!F5</f>
        <v>53</v>
      </c>
      <c r="F62" s="280">
        <f t="shared" si="8"/>
        <v>722622.609377785</v>
      </c>
      <c r="G62" s="279">
        <f>Assumptions!F61</f>
        <v>38298998.297022603</v>
      </c>
      <c r="H62" s="281">
        <v>5.0099999999999999E-2</v>
      </c>
      <c r="I62" s="280">
        <f t="shared" si="2"/>
        <v>1918779.8146808324</v>
      </c>
      <c r="J62" s="282">
        <f>'Labor Rates'!E6</f>
        <v>29.39</v>
      </c>
      <c r="K62" s="282">
        <f t="shared" si="6"/>
        <v>56392938.753469668</v>
      </c>
      <c r="L62" s="283"/>
      <c r="N62" s="287"/>
    </row>
    <row r="63" spans="1:15" s="276" customFormat="1" x14ac:dyDescent="0.25">
      <c r="A63" s="288"/>
      <c r="C63" s="329" t="s">
        <v>111</v>
      </c>
      <c r="D63" s="330"/>
      <c r="E63" s="330"/>
      <c r="F63" s="330"/>
      <c r="G63" s="330"/>
      <c r="H63" s="330"/>
      <c r="I63" s="330"/>
      <c r="J63" s="330"/>
      <c r="K63" s="330"/>
      <c r="L63" s="283"/>
    </row>
    <row r="64" spans="1:15" s="276" customFormat="1" ht="45" customHeight="1" x14ac:dyDescent="0.25">
      <c r="A64" s="275" t="s">
        <v>28</v>
      </c>
      <c r="C64" s="277" t="s">
        <v>112</v>
      </c>
      <c r="D64" s="278" t="s">
        <v>113</v>
      </c>
      <c r="E64" s="279">
        <f>Assumptions!F5</f>
        <v>53</v>
      </c>
      <c r="F64" s="280">
        <f>G64/E64</f>
        <v>1</v>
      </c>
      <c r="G64" s="279">
        <f>Assumptions!F57</f>
        <v>53</v>
      </c>
      <c r="H64" s="281">
        <v>24</v>
      </c>
      <c r="I64" s="280">
        <f>G64*H64</f>
        <v>1272</v>
      </c>
      <c r="J64" s="282">
        <f>'Labor Rates'!E6</f>
        <v>29.39</v>
      </c>
      <c r="K64" s="282">
        <f>I64*J64</f>
        <v>37384.080000000002</v>
      </c>
      <c r="L64" s="283"/>
    </row>
    <row r="65" spans="1:15" s="276" customFormat="1" ht="45" customHeight="1" x14ac:dyDescent="0.25">
      <c r="A65" s="284" t="s">
        <v>28</v>
      </c>
      <c r="C65" s="277" t="s">
        <v>114</v>
      </c>
      <c r="D65" s="278" t="s">
        <v>115</v>
      </c>
      <c r="E65" s="279">
        <f>Assumptions!F5</f>
        <v>53</v>
      </c>
      <c r="F65" s="280">
        <f>G65/E65</f>
        <v>14452.452830188678</v>
      </c>
      <c r="G65" s="279">
        <f>Assumptions!F82</f>
        <v>765980</v>
      </c>
      <c r="H65" s="281">
        <v>5.0099999999999999E-2</v>
      </c>
      <c r="I65" s="280">
        <f>G65*H65</f>
        <v>38375.597999999998</v>
      </c>
      <c r="J65" s="282">
        <f>'Labor Rates'!E6</f>
        <v>29.39</v>
      </c>
      <c r="K65" s="282">
        <f>I65*J65</f>
        <v>1127858.82522</v>
      </c>
      <c r="L65" s="283"/>
      <c r="N65" s="287"/>
      <c r="O65" s="287"/>
    </row>
    <row r="66" spans="1:15" s="86" customFormat="1" ht="45" customHeight="1" x14ac:dyDescent="0.25">
      <c r="A66" s="36" t="s">
        <v>28</v>
      </c>
      <c r="B66"/>
      <c r="C66" s="32" t="s">
        <v>116</v>
      </c>
      <c r="D66" s="2" t="s">
        <v>117</v>
      </c>
      <c r="E66" s="4">
        <f>Assumptions!F5</f>
        <v>53</v>
      </c>
      <c r="F66" s="33">
        <v>1</v>
      </c>
      <c r="G66" s="4">
        <f>E66*F66</f>
        <v>53</v>
      </c>
      <c r="H66" s="4">
        <v>62</v>
      </c>
      <c r="I66" s="33">
        <f>G66*H66</f>
        <v>3286</v>
      </c>
      <c r="J66" s="23">
        <f>'Labor Rates'!E6</f>
        <v>29.39</v>
      </c>
      <c r="K66" s="23">
        <f t="shared" ref="K66" si="9">I66*J66</f>
        <v>96575.540000000008</v>
      </c>
      <c r="L66" s="87"/>
      <c r="N66" s="123"/>
      <c r="O66" s="184"/>
    </row>
    <row r="67" spans="1:15" s="86" customFormat="1" ht="45" customHeight="1" x14ac:dyDescent="0.25">
      <c r="A67" s="36" t="s">
        <v>28</v>
      </c>
      <c r="B67"/>
      <c r="C67" s="32" t="s">
        <v>118</v>
      </c>
      <c r="D67" s="2" t="s">
        <v>119</v>
      </c>
      <c r="E67" s="4">
        <f>Assumptions!F5</f>
        <v>53</v>
      </c>
      <c r="F67" s="33">
        <f>G67/E67</f>
        <v>895180.40183061513</v>
      </c>
      <c r="G67" s="4">
        <f>Assumptions!F83</f>
        <v>47444561.297022603</v>
      </c>
      <c r="H67" s="61">
        <v>1.67E-2</v>
      </c>
      <c r="I67" s="33">
        <f>G67*H67</f>
        <v>792324.17366027751</v>
      </c>
      <c r="J67" s="23">
        <f>'Labor Rates'!E6</f>
        <v>29.39</v>
      </c>
      <c r="K67" s="23">
        <f>I67*J67</f>
        <v>23286407.463875555</v>
      </c>
      <c r="L67" s="87"/>
      <c r="N67" s="184"/>
      <c r="O67" s="211"/>
    </row>
    <row r="68" spans="1:15" s="289" customFormat="1" ht="45" customHeight="1" x14ac:dyDescent="0.25">
      <c r="A68" s="301" t="s">
        <v>88</v>
      </c>
      <c r="C68" s="290"/>
      <c r="D68" s="291" t="s">
        <v>409</v>
      </c>
      <c r="E68" s="292">
        <v>53</v>
      </c>
      <c r="F68" s="293">
        <v>365</v>
      </c>
      <c r="G68" s="292">
        <f>E68*F68</f>
        <v>19345</v>
      </c>
      <c r="H68" s="294">
        <v>1</v>
      </c>
      <c r="I68" s="293">
        <v>19345</v>
      </c>
      <c r="J68" s="295">
        <v>29.39</v>
      </c>
      <c r="K68" s="295">
        <f>I68*J68</f>
        <v>568549.55000000005</v>
      </c>
      <c r="L68" s="296"/>
      <c r="N68" s="302"/>
      <c r="O68" s="303"/>
    </row>
    <row r="69" spans="1:15" s="289" customFormat="1" ht="45" customHeight="1" x14ac:dyDescent="0.25">
      <c r="A69" s="301" t="s">
        <v>88</v>
      </c>
      <c r="C69" s="290"/>
      <c r="D69" s="291" t="s">
        <v>408</v>
      </c>
      <c r="E69" s="292">
        <v>53</v>
      </c>
      <c r="F69" s="293">
        <v>365</v>
      </c>
      <c r="G69" s="292">
        <f>E69*F69</f>
        <v>19345</v>
      </c>
      <c r="H69" s="294">
        <v>1.67E-2</v>
      </c>
      <c r="I69" s="293">
        <f>G69*H69</f>
        <v>323.06149999999997</v>
      </c>
      <c r="J69" s="295">
        <v>29.39</v>
      </c>
      <c r="K69" s="295">
        <f>I69*J69</f>
        <v>9494.7774849999987</v>
      </c>
      <c r="L69" s="296"/>
      <c r="N69" s="302"/>
      <c r="O69" s="303"/>
    </row>
    <row r="70" spans="1:15" ht="45" customHeight="1" x14ac:dyDescent="0.25">
      <c r="A70" s="37"/>
      <c r="C70" s="319" t="s">
        <v>120</v>
      </c>
      <c r="D70" s="320"/>
      <c r="E70" s="46">
        <f>Assumptions!F5</f>
        <v>53</v>
      </c>
      <c r="F70" s="47">
        <f>G70/E70</f>
        <v>8622153.668002924</v>
      </c>
      <c r="G70" s="46">
        <f>SUM(G8,G10:G11,G13:G27,G29,G31,G33:G39,G41:G45,G47:G62,G64:G69)</f>
        <v>456974144.40415502</v>
      </c>
      <c r="H70" s="78">
        <f>I70/G70</f>
        <v>0.13187261969113959</v>
      </c>
      <c r="I70" s="47">
        <f>SUM(I8,I10:I11,I13:I27,I29,I31,I33:I39,I41:I45,I47:I62,I64:I69)</f>
        <v>60262377.553693034</v>
      </c>
      <c r="J70" s="48">
        <f>K70/I70</f>
        <v>29.390000000000004</v>
      </c>
      <c r="K70" s="49">
        <f>SUM(K8,K10:K11,K13:K27,K29,K31,K33:K39,K41:K45,K47:K62,K64:K69)</f>
        <v>1771111276.3030386</v>
      </c>
      <c r="M70" s="6"/>
      <c r="N70" s="62"/>
      <c r="O70" s="62"/>
    </row>
    <row r="71" spans="1:15" ht="29.25" customHeight="1" x14ac:dyDescent="0.25">
      <c r="A71" s="166"/>
      <c r="C71" s="314" t="s">
        <v>121</v>
      </c>
      <c r="D71" s="315"/>
      <c r="E71" s="315"/>
      <c r="F71" s="315"/>
      <c r="G71" s="315"/>
      <c r="H71" s="315"/>
      <c r="I71" s="315"/>
      <c r="J71" s="315"/>
      <c r="K71" s="315"/>
      <c r="N71" s="62"/>
    </row>
    <row r="72" spans="1:15" ht="45" customHeight="1" x14ac:dyDescent="0.25">
      <c r="A72" s="36" t="s">
        <v>28</v>
      </c>
      <c r="C72" s="32" t="s">
        <v>122</v>
      </c>
      <c r="D72" s="2" t="s">
        <v>123</v>
      </c>
      <c r="E72" s="4">
        <f>Assumptions!F5</f>
        <v>53</v>
      </c>
      <c r="F72" s="33">
        <f>G72/E72</f>
        <v>36</v>
      </c>
      <c r="G72" s="4">
        <f>Assumptions!F76</f>
        <v>1908</v>
      </c>
      <c r="H72" s="61">
        <f>0.5</f>
        <v>0.5</v>
      </c>
      <c r="I72" s="33">
        <f>G72*H72</f>
        <v>954</v>
      </c>
      <c r="J72" s="23">
        <f>'Labor Rates'!E6</f>
        <v>29.39</v>
      </c>
      <c r="K72" s="23">
        <f>I72*J72</f>
        <v>28038.06</v>
      </c>
      <c r="L72"/>
      <c r="N72" s="62"/>
    </row>
    <row r="73" spans="1:15" ht="45" customHeight="1" x14ac:dyDescent="0.25">
      <c r="A73" s="36"/>
      <c r="C73" s="319" t="s">
        <v>124</v>
      </c>
      <c r="D73" s="320"/>
      <c r="E73" s="46">
        <f>Assumptions!F5</f>
        <v>53</v>
      </c>
      <c r="F73" s="47">
        <f>G73/E73</f>
        <v>36</v>
      </c>
      <c r="G73" s="46">
        <f>G72</f>
        <v>1908</v>
      </c>
      <c r="H73" s="110">
        <f>I73/G73</f>
        <v>0.5</v>
      </c>
      <c r="I73" s="47">
        <f>I72</f>
        <v>954</v>
      </c>
      <c r="J73" s="48">
        <f>K73/I73</f>
        <v>29.39</v>
      </c>
      <c r="K73" s="48">
        <f>SUM(K72)</f>
        <v>28038.06</v>
      </c>
      <c r="L73"/>
      <c r="N73" s="215"/>
    </row>
    <row r="74" spans="1:15" ht="24.6" customHeight="1" x14ac:dyDescent="0.25">
      <c r="A74" s="37"/>
      <c r="C74" s="314" t="s">
        <v>125</v>
      </c>
      <c r="D74" s="315"/>
      <c r="E74" s="315"/>
      <c r="F74" s="315"/>
      <c r="G74" s="315"/>
      <c r="H74" s="315"/>
      <c r="I74" s="315"/>
      <c r="J74" s="315"/>
      <c r="K74" s="315"/>
      <c r="L74"/>
      <c r="N74" s="62"/>
    </row>
    <row r="75" spans="1:15" ht="45.75" customHeight="1" x14ac:dyDescent="0.25">
      <c r="A75" s="36" t="s">
        <v>28</v>
      </c>
      <c r="C75" s="32" t="s">
        <v>126</v>
      </c>
      <c r="D75" s="28" t="s">
        <v>127</v>
      </c>
      <c r="E75" s="4">
        <f>Assumptions!F77</f>
        <v>2724</v>
      </c>
      <c r="F75" s="33">
        <f>G75/E75</f>
        <v>41513.950073421438</v>
      </c>
      <c r="G75" s="33">
        <f>Assumptions!F78</f>
        <v>113084000</v>
      </c>
      <c r="H75" s="61">
        <v>3.3399999999999999E-2</v>
      </c>
      <c r="I75" s="33">
        <f>G75*H75</f>
        <v>3777005.6</v>
      </c>
      <c r="J75" s="23">
        <f>'Labor Rates'!E7</f>
        <v>34.65</v>
      </c>
      <c r="K75" s="23">
        <f>I75*J75</f>
        <v>130873244.03999999</v>
      </c>
      <c r="L75"/>
      <c r="N75" s="6"/>
    </row>
    <row r="76" spans="1:15" ht="45.75" customHeight="1" x14ac:dyDescent="0.25">
      <c r="A76" s="36" t="s">
        <v>28</v>
      </c>
      <c r="C76" s="32" t="s">
        <v>128</v>
      </c>
      <c r="D76" s="28" t="s">
        <v>129</v>
      </c>
      <c r="E76" s="4">
        <f>Assumptions!F77</f>
        <v>2724</v>
      </c>
      <c r="F76" s="33">
        <f>G76/E76</f>
        <v>16470.481644640236</v>
      </c>
      <c r="G76" s="33">
        <f>Assumptions!F79</f>
        <v>44865592</v>
      </c>
      <c r="H76" s="61">
        <v>1.67E-2</v>
      </c>
      <c r="I76" s="33">
        <f>G76*H76</f>
        <v>749255.38639999996</v>
      </c>
      <c r="J76" s="23">
        <f>'Labor Rates'!E7</f>
        <v>34.65</v>
      </c>
      <c r="K76" s="23">
        <f>I76*J76</f>
        <v>25961699.138759997</v>
      </c>
      <c r="L76"/>
      <c r="N76" s="120"/>
    </row>
    <row r="77" spans="1:15" x14ac:dyDescent="0.25">
      <c r="A77" s="35"/>
      <c r="C77" s="308"/>
      <c r="D77" s="309"/>
      <c r="E77" s="309"/>
      <c r="F77" s="309"/>
      <c r="G77" s="309"/>
      <c r="H77" s="309"/>
      <c r="I77" s="309"/>
      <c r="J77" s="309"/>
      <c r="K77" s="309"/>
    </row>
    <row r="78" spans="1:15" ht="45.75" customHeight="1" x14ac:dyDescent="0.25">
      <c r="A78" s="37"/>
      <c r="C78" s="331" t="s">
        <v>130</v>
      </c>
      <c r="D78" s="332"/>
      <c r="E78" s="46">
        <f>Assumptions!F77</f>
        <v>2724</v>
      </c>
      <c r="F78" s="268">
        <f>G78/E78</f>
        <v>57984.431718061671</v>
      </c>
      <c r="G78" s="47">
        <f>SUM(G75:G76)</f>
        <v>157949592</v>
      </c>
      <c r="H78" s="65">
        <f>I78/G78</f>
        <v>2.8656363901212227E-2</v>
      </c>
      <c r="I78" s="47">
        <f>SUM(I75:I76)</f>
        <v>4526260.9863999998</v>
      </c>
      <c r="J78" s="48">
        <f>K78/I78</f>
        <v>34.65</v>
      </c>
      <c r="K78" s="48">
        <f>SUM(K75:K76)</f>
        <v>156834943.17875999</v>
      </c>
      <c r="L78"/>
      <c r="N78" s="120"/>
    </row>
    <row r="79" spans="1:15" x14ac:dyDescent="0.25">
      <c r="A79" s="38"/>
      <c r="C79" s="16"/>
      <c r="D79" s="17"/>
      <c r="E79" s="17"/>
      <c r="F79" s="17"/>
      <c r="G79" s="17"/>
      <c r="H79" s="17"/>
      <c r="I79" s="17"/>
      <c r="J79" s="17"/>
      <c r="K79" s="17"/>
      <c r="L79"/>
    </row>
    <row r="80" spans="1:15" ht="45" customHeight="1" thickBot="1" x14ac:dyDescent="0.3">
      <c r="A80" s="37"/>
      <c r="C80" s="304" t="s">
        <v>131</v>
      </c>
      <c r="D80" s="305"/>
      <c r="E80" s="7">
        <f>E78+E70</f>
        <v>2777</v>
      </c>
      <c r="F80" s="8">
        <f>G80/E80</f>
        <v>221435.23385097407</v>
      </c>
      <c r="G80" s="8">
        <f>G70+G73+G78</f>
        <v>614925644.40415502</v>
      </c>
      <c r="H80" s="8">
        <f>I80/G80</f>
        <v>0.10536166954440851</v>
      </c>
      <c r="I80" s="8">
        <f>I70+I73+I78</f>
        <v>64789592.540093035</v>
      </c>
      <c r="J80" s="24">
        <f>K80/I80</f>
        <v>29.757468475337784</v>
      </c>
      <c r="K80" s="24">
        <f>K70+K78+K73</f>
        <v>1927974257.5417986</v>
      </c>
      <c r="L80"/>
      <c r="N80" s="62"/>
      <c r="O80" s="184"/>
    </row>
    <row r="81" spans="1:14" ht="29.65" customHeight="1" x14ac:dyDescent="0.25">
      <c r="A81" s="66"/>
      <c r="C81" s="312" t="s">
        <v>132</v>
      </c>
      <c r="D81" s="313"/>
      <c r="E81" s="313"/>
      <c r="F81" s="313"/>
      <c r="G81" s="313"/>
      <c r="H81" s="313"/>
      <c r="I81" s="313"/>
      <c r="J81" s="313"/>
      <c r="K81" s="313"/>
      <c r="N81" s="120"/>
    </row>
    <row r="82" spans="1:14" ht="24" customHeight="1" x14ac:dyDescent="0.25">
      <c r="A82" s="37"/>
      <c r="C82" s="314" t="s">
        <v>133</v>
      </c>
      <c r="D82" s="315"/>
      <c r="E82" s="315"/>
      <c r="F82" s="315"/>
      <c r="G82" s="315"/>
      <c r="H82" s="315"/>
      <c r="I82" s="315"/>
      <c r="J82" s="315"/>
      <c r="K82" s="315"/>
    </row>
    <row r="83" spans="1:14" x14ac:dyDescent="0.25">
      <c r="A83" s="35"/>
      <c r="C83" s="308" t="s">
        <v>27</v>
      </c>
      <c r="D83" s="309"/>
      <c r="E83" s="309"/>
      <c r="F83" s="309"/>
      <c r="G83" s="309"/>
      <c r="H83" s="309"/>
      <c r="I83" s="309"/>
      <c r="J83" s="309"/>
      <c r="K83" s="309"/>
    </row>
    <row r="84" spans="1:14" ht="45" customHeight="1" x14ac:dyDescent="0.25">
      <c r="A84" s="34" t="s">
        <v>28</v>
      </c>
      <c r="C84" s="32">
        <v>273.2</v>
      </c>
      <c r="D84" s="2" t="s">
        <v>29</v>
      </c>
      <c r="E84" s="4">
        <f>Assumptions!F14</f>
        <v>21142615</v>
      </c>
      <c r="F84" s="33">
        <v>1</v>
      </c>
      <c r="G84" s="4">
        <f>E84*F84</f>
        <v>21142615</v>
      </c>
      <c r="H84" s="61">
        <v>0.31730000000000003</v>
      </c>
      <c r="I84" s="33">
        <f>G84*H84</f>
        <v>6708551.7395000001</v>
      </c>
      <c r="J84" s="23">
        <f>'Labor Rates'!D8</f>
        <v>22.02</v>
      </c>
      <c r="K84" s="23">
        <f>I84*J84</f>
        <v>147722309.30379</v>
      </c>
    </row>
    <row r="85" spans="1:14" x14ac:dyDescent="0.25">
      <c r="A85" s="35"/>
      <c r="C85" s="308" t="s">
        <v>30</v>
      </c>
      <c r="D85" s="309"/>
      <c r="E85" s="309"/>
      <c r="F85" s="309"/>
      <c r="G85" s="309"/>
      <c r="H85" s="309"/>
      <c r="I85" s="309"/>
      <c r="J85" s="309"/>
      <c r="K85" s="309"/>
    </row>
    <row r="86" spans="1:14" ht="45" customHeight="1" x14ac:dyDescent="0.25">
      <c r="A86" s="34" t="s">
        <v>28</v>
      </c>
      <c r="C86" s="32" t="s">
        <v>31</v>
      </c>
      <c r="D86" s="2" t="s">
        <v>134</v>
      </c>
      <c r="E86" s="4">
        <f>Assumptions!F14</f>
        <v>21142615</v>
      </c>
      <c r="F86" s="33">
        <v>1</v>
      </c>
      <c r="G86" s="4">
        <f>E86*F86</f>
        <v>21142615</v>
      </c>
      <c r="H86" s="61">
        <v>0.63460000000000005</v>
      </c>
      <c r="I86" s="33">
        <f>G86*H86</f>
        <v>13417103.479</v>
      </c>
      <c r="J86" s="23">
        <f>'Labor Rates'!D8</f>
        <v>22.02</v>
      </c>
      <c r="K86" s="23">
        <f>I86*J86</f>
        <v>295444618.60758001</v>
      </c>
    </row>
    <row r="87" spans="1:14" ht="45" customHeight="1" x14ac:dyDescent="0.25">
      <c r="A87" s="34" t="s">
        <v>28</v>
      </c>
      <c r="C87" s="32" t="s">
        <v>31</v>
      </c>
      <c r="D87" s="2" t="s">
        <v>135</v>
      </c>
      <c r="E87" s="4">
        <f>Assumptions!F9</f>
        <v>5185924</v>
      </c>
      <c r="F87" s="33">
        <v>1</v>
      </c>
      <c r="G87" s="4">
        <f>E87*F87</f>
        <v>5185924</v>
      </c>
      <c r="H87" s="4">
        <v>2</v>
      </c>
      <c r="I87" s="33">
        <f>G87*H87</f>
        <v>10371848</v>
      </c>
      <c r="J87" s="23">
        <f>'Labor Rates'!D8</f>
        <v>22.02</v>
      </c>
      <c r="K87" s="23">
        <f>I87*J87</f>
        <v>228388092.96000001</v>
      </c>
    </row>
    <row r="88" spans="1:14" x14ac:dyDescent="0.25">
      <c r="A88" s="35"/>
      <c r="C88" s="308" t="s">
        <v>34</v>
      </c>
      <c r="D88" s="309"/>
      <c r="E88" s="309"/>
      <c r="F88" s="309"/>
      <c r="G88" s="309"/>
      <c r="H88" s="309"/>
      <c r="I88" s="309"/>
      <c r="J88" s="309"/>
      <c r="K88" s="309"/>
    </row>
    <row r="89" spans="1:14" ht="45" customHeight="1" x14ac:dyDescent="0.25">
      <c r="A89" s="34" t="s">
        <v>28</v>
      </c>
      <c r="C89" s="32" t="s">
        <v>35</v>
      </c>
      <c r="D89" s="2" t="s">
        <v>36</v>
      </c>
      <c r="E89" s="4">
        <f>Assumptions!F14</f>
        <v>21142615</v>
      </c>
      <c r="F89" s="33">
        <v>1</v>
      </c>
      <c r="G89" s="4">
        <f>E89*F89</f>
        <v>21142615</v>
      </c>
      <c r="H89" s="61">
        <v>6.6799999999999998E-2</v>
      </c>
      <c r="I89" s="33">
        <f>G89*H89</f>
        <v>1412326.682</v>
      </c>
      <c r="J89" s="23">
        <f>'Labor Rates'!D8</f>
        <v>22.02</v>
      </c>
      <c r="K89" s="23">
        <f>I89*J89</f>
        <v>31099433.537640002</v>
      </c>
    </row>
    <row r="90" spans="1:14" ht="45" customHeight="1" x14ac:dyDescent="0.25">
      <c r="A90" s="34" t="s">
        <v>28</v>
      </c>
      <c r="C90" s="32" t="s">
        <v>35</v>
      </c>
      <c r="D90" s="2" t="s">
        <v>37</v>
      </c>
      <c r="E90" s="4">
        <f>Assumptions!F14</f>
        <v>21142615</v>
      </c>
      <c r="F90" s="33">
        <v>1</v>
      </c>
      <c r="G90" s="4">
        <f t="shared" ref="G90:G103" si="10">E90*F90</f>
        <v>21142615</v>
      </c>
      <c r="H90" s="61">
        <v>6.6799999999999998E-2</v>
      </c>
      <c r="I90" s="33">
        <f t="shared" ref="I90:I116" si="11">G90*H90</f>
        <v>1412326.682</v>
      </c>
      <c r="J90" s="23">
        <f>'Labor Rates'!D8</f>
        <v>22.02</v>
      </c>
      <c r="K90" s="23">
        <f>I90*J90</f>
        <v>31099433.537640002</v>
      </c>
    </row>
    <row r="91" spans="1:14" ht="45" customHeight="1" x14ac:dyDescent="0.25">
      <c r="A91" s="34" t="s">
        <v>28</v>
      </c>
      <c r="C91" s="32" t="s">
        <v>35</v>
      </c>
      <c r="D91" s="2" t="s">
        <v>38</v>
      </c>
      <c r="E91" s="4">
        <f>Assumptions!F14</f>
        <v>21142615</v>
      </c>
      <c r="F91" s="33">
        <v>1</v>
      </c>
      <c r="G91" s="4">
        <f t="shared" si="10"/>
        <v>21142615</v>
      </c>
      <c r="H91" s="61">
        <v>6.6799999999999998E-2</v>
      </c>
      <c r="I91" s="33">
        <f t="shared" si="11"/>
        <v>1412326.682</v>
      </c>
      <c r="J91" s="23">
        <f>'Labor Rates'!D8</f>
        <v>22.02</v>
      </c>
      <c r="K91" s="23">
        <f>I91*J91</f>
        <v>31099433.537640002</v>
      </c>
    </row>
    <row r="92" spans="1:14" ht="45" customHeight="1" x14ac:dyDescent="0.25">
      <c r="A92" s="34" t="s">
        <v>28</v>
      </c>
      <c r="C92" s="32" t="s">
        <v>35</v>
      </c>
      <c r="D92" s="2" t="s">
        <v>39</v>
      </c>
      <c r="E92" s="4">
        <f>Assumptions!F14</f>
        <v>21142615</v>
      </c>
      <c r="F92" s="33">
        <v>1</v>
      </c>
      <c r="G92" s="4">
        <f>E92*F92</f>
        <v>21142615</v>
      </c>
      <c r="H92" s="61">
        <v>6.6799999999999998E-2</v>
      </c>
      <c r="I92" s="33">
        <f t="shared" si="11"/>
        <v>1412326.682</v>
      </c>
      <c r="J92" s="23">
        <f>'Labor Rates'!D8</f>
        <v>22.02</v>
      </c>
      <c r="K92" s="23">
        <f>I92*J92</f>
        <v>31099433.537640002</v>
      </c>
    </row>
    <row r="93" spans="1:14" ht="45" customHeight="1" x14ac:dyDescent="0.25">
      <c r="A93" s="34" t="s">
        <v>28</v>
      </c>
      <c r="C93" s="32" t="s">
        <v>35</v>
      </c>
      <c r="D93" s="2" t="s">
        <v>40</v>
      </c>
      <c r="E93" s="4">
        <f>Assumptions!F16</f>
        <v>1189139.49</v>
      </c>
      <c r="F93" s="33">
        <v>1</v>
      </c>
      <c r="G93" s="4">
        <f t="shared" si="10"/>
        <v>1189139.49</v>
      </c>
      <c r="H93" s="61">
        <v>6.6799999999999998E-2</v>
      </c>
      <c r="I93" s="33">
        <f t="shared" si="11"/>
        <v>79434.517932000002</v>
      </c>
      <c r="J93" s="23">
        <f>'Labor Rates'!D8</f>
        <v>22.02</v>
      </c>
      <c r="K93" s="23">
        <f>I93*J93</f>
        <v>1749148.0848626401</v>
      </c>
    </row>
    <row r="94" spans="1:14" ht="45" customHeight="1" x14ac:dyDescent="0.25">
      <c r="A94" s="34" t="s">
        <v>28</v>
      </c>
      <c r="C94" s="32" t="s">
        <v>35</v>
      </c>
      <c r="D94" s="2" t="s">
        <v>41</v>
      </c>
      <c r="E94" s="4">
        <f>Assumptions!F14</f>
        <v>21142615</v>
      </c>
      <c r="F94" s="33">
        <v>1</v>
      </c>
      <c r="G94" s="4">
        <f t="shared" si="10"/>
        <v>21142615</v>
      </c>
      <c r="H94" s="61">
        <v>6.6799999999999998E-2</v>
      </c>
      <c r="I94" s="33">
        <f t="shared" si="11"/>
        <v>1412326.682</v>
      </c>
      <c r="J94" s="23">
        <f>'Labor Rates'!D8</f>
        <v>22.02</v>
      </c>
      <c r="K94" s="23">
        <f t="shared" ref="K94:K97" si="12">I94*J94</f>
        <v>31099433.537640002</v>
      </c>
    </row>
    <row r="95" spans="1:14" ht="71.25" customHeight="1" x14ac:dyDescent="0.25">
      <c r="A95" s="34" t="s">
        <v>28</v>
      </c>
      <c r="C95" s="32" t="s">
        <v>35</v>
      </c>
      <c r="D95" s="2" t="s">
        <v>136</v>
      </c>
      <c r="E95" s="4">
        <f>Assumptions!F17</f>
        <v>15048019.727999998</v>
      </c>
      <c r="F95" s="33">
        <v>1</v>
      </c>
      <c r="G95" s="4">
        <f t="shared" si="10"/>
        <v>15048019.727999998</v>
      </c>
      <c r="H95" s="61">
        <v>6.6799999999999998E-2</v>
      </c>
      <c r="I95" s="33">
        <f t="shared" si="11"/>
        <v>1005207.7178303999</v>
      </c>
      <c r="J95" s="23">
        <f>'Labor Rates'!D8</f>
        <v>22.02</v>
      </c>
      <c r="K95" s="23">
        <f>I95*J95</f>
        <v>22134673.946625404</v>
      </c>
    </row>
    <row r="96" spans="1:14" ht="45" customHeight="1" x14ac:dyDescent="0.25">
      <c r="A96" s="34" t="s">
        <v>28</v>
      </c>
      <c r="C96" s="32" t="s">
        <v>35</v>
      </c>
      <c r="D96" s="2" t="s">
        <v>137</v>
      </c>
      <c r="E96" s="4">
        <f>Assumptions!F18</f>
        <v>3008202.3229999999</v>
      </c>
      <c r="F96" s="33">
        <v>1</v>
      </c>
      <c r="G96" s="4">
        <f t="shared" si="10"/>
        <v>3008202.3229999999</v>
      </c>
      <c r="H96" s="61">
        <v>0.1002</v>
      </c>
      <c r="I96" s="33">
        <f t="shared" si="11"/>
        <v>301421.87276459998</v>
      </c>
      <c r="J96" s="23">
        <f>'Labor Rates'!D8</f>
        <v>22.02</v>
      </c>
      <c r="K96" s="23">
        <f>I96*J96</f>
        <v>6637309.6382764913</v>
      </c>
    </row>
    <row r="97" spans="1:14" ht="45" customHeight="1" x14ac:dyDescent="0.25">
      <c r="A97" s="34" t="s">
        <v>28</v>
      </c>
      <c r="C97" s="32" t="s">
        <v>35</v>
      </c>
      <c r="D97" s="2" t="s">
        <v>44</v>
      </c>
      <c r="E97" s="4">
        <f>Assumptions!F19</f>
        <v>345931.48800000001</v>
      </c>
      <c r="F97" s="33">
        <v>1</v>
      </c>
      <c r="G97" s="4">
        <f t="shared" si="10"/>
        <v>345931.48800000001</v>
      </c>
      <c r="H97" s="61">
        <v>6.6799999999999998E-2</v>
      </c>
      <c r="I97" s="33">
        <f t="shared" si="11"/>
        <v>23108.223398400001</v>
      </c>
      <c r="J97" s="23">
        <f>'Labor Rates'!D8</f>
        <v>22.02</v>
      </c>
      <c r="K97" s="23">
        <f t="shared" si="12"/>
        <v>508843.07923276804</v>
      </c>
    </row>
    <row r="98" spans="1:14" ht="45" customHeight="1" x14ac:dyDescent="0.25">
      <c r="A98" s="34" t="s">
        <v>28</v>
      </c>
      <c r="C98" s="32" t="s">
        <v>35</v>
      </c>
      <c r="D98" s="2" t="s">
        <v>45</v>
      </c>
      <c r="E98" s="4">
        <f>Assumptions!F20</f>
        <v>4713316.5240000002</v>
      </c>
      <c r="F98" s="33">
        <v>1</v>
      </c>
      <c r="G98" s="4">
        <f t="shared" si="10"/>
        <v>4713316.5240000002</v>
      </c>
      <c r="H98" s="61">
        <v>6.6799999999999998E-2</v>
      </c>
      <c r="I98" s="33">
        <f t="shared" si="11"/>
        <v>314849.54380320001</v>
      </c>
      <c r="J98" s="23">
        <f>'Labor Rates'!D8</f>
        <v>22.02</v>
      </c>
      <c r="K98" s="23">
        <f t="shared" ref="K98:K103" si="13">I98*J98</f>
        <v>6932986.9545464637</v>
      </c>
    </row>
    <row r="99" spans="1:14" ht="45" customHeight="1" x14ac:dyDescent="0.25">
      <c r="A99" s="34" t="s">
        <v>28</v>
      </c>
      <c r="C99" s="32" t="s">
        <v>35</v>
      </c>
      <c r="D99" s="2" t="s">
        <v>46</v>
      </c>
      <c r="E99" s="4">
        <f>Assumptions!F14</f>
        <v>21142615</v>
      </c>
      <c r="F99" s="33">
        <v>1</v>
      </c>
      <c r="G99" s="4">
        <f>E99*F99</f>
        <v>21142615</v>
      </c>
      <c r="H99" s="61">
        <v>6.6799999999999998E-2</v>
      </c>
      <c r="I99" s="33">
        <f t="shared" si="11"/>
        <v>1412326.682</v>
      </c>
      <c r="J99" s="23">
        <f>'Labor Rates'!D8</f>
        <v>22.02</v>
      </c>
      <c r="K99" s="23">
        <f t="shared" si="13"/>
        <v>31099433.537640002</v>
      </c>
    </row>
    <row r="100" spans="1:14" s="276" customFormat="1" ht="45" customHeight="1" x14ac:dyDescent="0.25">
      <c r="A100" s="275" t="s">
        <v>28</v>
      </c>
      <c r="C100" s="277" t="s">
        <v>35</v>
      </c>
      <c r="D100" s="278" t="s">
        <v>47</v>
      </c>
      <c r="E100" s="279">
        <f>Assumptions!F23+Assumptions!F24</f>
        <v>807806.21</v>
      </c>
      <c r="F100" s="280">
        <v>1</v>
      </c>
      <c r="G100" s="279">
        <f>E100*F100</f>
        <v>807806.21</v>
      </c>
      <c r="H100" s="281">
        <v>6.6799999999999998E-2</v>
      </c>
      <c r="I100" s="280">
        <f t="shared" si="11"/>
        <v>53961.454827999994</v>
      </c>
      <c r="J100" s="282">
        <f>'Labor Rates'!D8</f>
        <v>22.02</v>
      </c>
      <c r="K100" s="282">
        <f t="shared" si="13"/>
        <v>1188231.2353125599</v>
      </c>
      <c r="L100" s="283"/>
      <c r="N100" s="287"/>
    </row>
    <row r="101" spans="1:14" ht="45" customHeight="1" x14ac:dyDescent="0.25">
      <c r="A101" s="34" t="s">
        <v>28</v>
      </c>
      <c r="C101" s="32" t="s">
        <v>35</v>
      </c>
      <c r="D101" s="2" t="s">
        <v>138</v>
      </c>
      <c r="E101" s="4">
        <f>Assumptions!F27</f>
        <v>1361180</v>
      </c>
      <c r="F101" s="33">
        <v>1</v>
      </c>
      <c r="G101" s="4">
        <f t="shared" si="10"/>
        <v>1361180</v>
      </c>
      <c r="H101" s="61">
        <v>6.6799999999999998E-2</v>
      </c>
      <c r="I101" s="33">
        <f t="shared" si="11"/>
        <v>90926.823999999993</v>
      </c>
      <c r="J101" s="23">
        <f>'Labor Rates'!D8</f>
        <v>22.02</v>
      </c>
      <c r="K101" s="23">
        <f t="shared" si="13"/>
        <v>2002208.6644799998</v>
      </c>
    </row>
    <row r="102" spans="1:14" ht="45" customHeight="1" x14ac:dyDescent="0.25">
      <c r="A102" s="34" t="s">
        <v>28</v>
      </c>
      <c r="C102" s="32" t="s">
        <v>139</v>
      </c>
      <c r="D102" s="2" t="s">
        <v>140</v>
      </c>
      <c r="E102" s="4">
        <f>Assumptions!F26</f>
        <v>370001</v>
      </c>
      <c r="F102" s="33">
        <v>1</v>
      </c>
      <c r="G102" s="4">
        <f t="shared" si="10"/>
        <v>370001</v>
      </c>
      <c r="H102" s="61">
        <v>8.3500000000000005E-2</v>
      </c>
      <c r="I102" s="33">
        <f t="shared" si="11"/>
        <v>30895.083500000001</v>
      </c>
      <c r="J102" s="23">
        <f>'Labor Rates'!D8</f>
        <v>22.02</v>
      </c>
      <c r="K102" s="23">
        <f t="shared" si="13"/>
        <v>680309.73866999999</v>
      </c>
    </row>
    <row r="103" spans="1:14" ht="45" customHeight="1" x14ac:dyDescent="0.25">
      <c r="A103" s="34" t="s">
        <v>28</v>
      </c>
      <c r="C103" s="32" t="s">
        <v>139</v>
      </c>
      <c r="D103" s="2" t="s">
        <v>141</v>
      </c>
      <c r="E103" s="4">
        <f>Assumptions!F25</f>
        <v>670242.25800000003</v>
      </c>
      <c r="F103" s="33">
        <v>1</v>
      </c>
      <c r="G103" s="4">
        <f t="shared" si="10"/>
        <v>670242.25800000003</v>
      </c>
      <c r="H103" s="61">
        <v>3.3399999999999999E-2</v>
      </c>
      <c r="I103" s="33">
        <f t="shared" si="11"/>
        <v>22386.091417200001</v>
      </c>
      <c r="J103" s="23">
        <f>'Labor Rates'!D8</f>
        <v>22.02</v>
      </c>
      <c r="K103" s="23">
        <f t="shared" si="13"/>
        <v>492941.73300674401</v>
      </c>
    </row>
    <row r="104" spans="1:14" ht="14.65" customHeight="1" x14ac:dyDescent="0.25">
      <c r="A104" s="35"/>
      <c r="C104" s="308" t="s">
        <v>52</v>
      </c>
      <c r="D104" s="309"/>
      <c r="E104" s="309"/>
      <c r="F104" s="309"/>
      <c r="G104" s="309"/>
      <c r="H104" s="309"/>
      <c r="I104" s="309"/>
      <c r="J104" s="309"/>
      <c r="K104" s="309"/>
    </row>
    <row r="105" spans="1:14" ht="45" customHeight="1" x14ac:dyDescent="0.25">
      <c r="A105" s="34" t="s">
        <v>28</v>
      </c>
      <c r="C105" s="32">
        <v>273.14</v>
      </c>
      <c r="D105" s="2" t="s">
        <v>54</v>
      </c>
      <c r="E105" s="4">
        <f>Assumptions!F15</f>
        <v>17156383.297022603</v>
      </c>
      <c r="F105" s="33">
        <v>1</v>
      </c>
      <c r="G105" s="4">
        <f>E105*F105</f>
        <v>17156383.297022603</v>
      </c>
      <c r="H105" s="33">
        <v>0.25</v>
      </c>
      <c r="I105" s="33">
        <f t="shared" si="11"/>
        <v>4289095.8242556509</v>
      </c>
      <c r="J105" s="23">
        <f>'Labor Rates'!D8</f>
        <v>22.02</v>
      </c>
      <c r="K105" s="23">
        <f>I105*J105</f>
        <v>94445890.050109431</v>
      </c>
    </row>
    <row r="106" spans="1:14" ht="14.65" customHeight="1" x14ac:dyDescent="0.25">
      <c r="A106" s="35"/>
      <c r="C106" s="308" t="s">
        <v>55</v>
      </c>
      <c r="D106" s="309"/>
      <c r="E106" s="309"/>
      <c r="F106" s="309"/>
      <c r="G106" s="309"/>
      <c r="H106" s="309"/>
      <c r="I106" s="309"/>
      <c r="J106" s="309"/>
      <c r="K106" s="309"/>
    </row>
    <row r="107" spans="1:14" ht="45" customHeight="1" x14ac:dyDescent="0.25">
      <c r="A107" s="34" t="s">
        <v>28</v>
      </c>
      <c r="C107" s="32" t="s">
        <v>56</v>
      </c>
      <c r="D107" s="2" t="s">
        <v>142</v>
      </c>
      <c r="E107" s="4">
        <f>Assumptions!F15</f>
        <v>17156383.297022603</v>
      </c>
      <c r="F107" s="33">
        <v>1</v>
      </c>
      <c r="G107" s="4">
        <f>E107*F107</f>
        <v>17156383.297022603</v>
      </c>
      <c r="H107" s="33">
        <v>0.5</v>
      </c>
      <c r="I107" s="33">
        <f t="shared" si="11"/>
        <v>8578191.6485113017</v>
      </c>
      <c r="J107" s="23">
        <f>'Labor Rates'!D8</f>
        <v>22.02</v>
      </c>
      <c r="K107" s="23">
        <f t="shared" ref="K107:K108" si="14">I107*J107</f>
        <v>188891780.10021886</v>
      </c>
    </row>
    <row r="108" spans="1:14" ht="45" customHeight="1" x14ac:dyDescent="0.25">
      <c r="A108" s="34" t="s">
        <v>28</v>
      </c>
      <c r="C108" s="32" t="s">
        <v>56</v>
      </c>
      <c r="D108" s="2" t="s">
        <v>143</v>
      </c>
      <c r="E108" s="4">
        <f>Assumptions!F28</f>
        <v>3431277</v>
      </c>
      <c r="F108" s="33">
        <v>1</v>
      </c>
      <c r="G108" s="4">
        <f>E108*F108</f>
        <v>3431277</v>
      </c>
      <c r="H108" s="33">
        <v>2</v>
      </c>
      <c r="I108" s="33">
        <f t="shared" si="11"/>
        <v>6862554</v>
      </c>
      <c r="J108" s="23">
        <f>'Labor Rates'!D8</f>
        <v>22.02</v>
      </c>
      <c r="K108" s="23">
        <f t="shared" si="14"/>
        <v>151113439.07999998</v>
      </c>
    </row>
    <row r="109" spans="1:14" x14ac:dyDescent="0.25">
      <c r="A109" s="35"/>
      <c r="C109" s="308" t="s">
        <v>58</v>
      </c>
      <c r="D109" s="309"/>
      <c r="E109" s="309"/>
      <c r="F109" s="309"/>
      <c r="G109" s="309"/>
      <c r="H109" s="309"/>
      <c r="I109" s="309"/>
      <c r="J109" s="309"/>
      <c r="K109" s="309"/>
    </row>
    <row r="110" spans="1:14" ht="59.1" customHeight="1" x14ac:dyDescent="0.25">
      <c r="A110" s="34" t="s">
        <v>28</v>
      </c>
      <c r="C110" s="32" t="s">
        <v>59</v>
      </c>
      <c r="D110" s="2" t="s">
        <v>60</v>
      </c>
      <c r="E110" s="4">
        <f>Assumptions!F29</f>
        <v>8578192</v>
      </c>
      <c r="F110" s="33">
        <v>1</v>
      </c>
      <c r="G110" s="4">
        <f>E110*F110</f>
        <v>8578192</v>
      </c>
      <c r="H110" s="61">
        <v>0.1002</v>
      </c>
      <c r="I110" s="33">
        <f t="shared" si="11"/>
        <v>859534.83840000001</v>
      </c>
      <c r="J110" s="23">
        <f>'Labor Rates'!D8</f>
        <v>22.02</v>
      </c>
      <c r="K110" s="23">
        <f>I110*J110</f>
        <v>18926957.141568001</v>
      </c>
    </row>
    <row r="111" spans="1:14" ht="50.45" customHeight="1" x14ac:dyDescent="0.25">
      <c r="A111" s="34" t="s">
        <v>28</v>
      </c>
      <c r="C111" s="32" t="s">
        <v>59</v>
      </c>
      <c r="D111" s="2" t="s">
        <v>61</v>
      </c>
      <c r="E111" s="4">
        <f>Assumptions!F30</f>
        <v>171564</v>
      </c>
      <c r="F111" s="33">
        <v>1</v>
      </c>
      <c r="G111" s="4">
        <f t="shared" ref="G111:G115" si="15">E111*F111</f>
        <v>171564</v>
      </c>
      <c r="H111" s="61">
        <v>0.1002</v>
      </c>
      <c r="I111" s="33">
        <f t="shared" si="11"/>
        <v>17190.712800000001</v>
      </c>
      <c r="J111" s="23">
        <f>'Labor Rates'!D8</f>
        <v>22.02</v>
      </c>
      <c r="K111" s="23">
        <f>I111*J111</f>
        <v>378539.49585599999</v>
      </c>
    </row>
    <row r="112" spans="1:14" ht="68.45" customHeight="1" x14ac:dyDescent="0.25">
      <c r="A112" s="34" t="s">
        <v>28</v>
      </c>
      <c r="C112" s="32" t="s">
        <v>59</v>
      </c>
      <c r="D112" s="2" t="s">
        <v>62</v>
      </c>
      <c r="E112" s="4">
        <f>Assumptions!F31</f>
        <v>343128</v>
      </c>
      <c r="F112" s="33">
        <v>1</v>
      </c>
      <c r="G112" s="4">
        <f t="shared" si="15"/>
        <v>343128</v>
      </c>
      <c r="H112" s="61">
        <v>0.1002</v>
      </c>
      <c r="I112" s="33">
        <f t="shared" si="11"/>
        <v>34381.425600000002</v>
      </c>
      <c r="J112" s="23">
        <f>'Labor Rates'!D8</f>
        <v>22.02</v>
      </c>
      <c r="K112" s="23">
        <f>I112*J112</f>
        <v>757078.99171199999</v>
      </c>
    </row>
    <row r="113" spans="1:12" ht="57" customHeight="1" x14ac:dyDescent="0.25">
      <c r="A113" s="34" t="s">
        <v>28</v>
      </c>
      <c r="C113" s="32" t="s">
        <v>59</v>
      </c>
      <c r="D113" s="2" t="s">
        <v>144</v>
      </c>
      <c r="E113" s="4">
        <f>Assumptions!F32</f>
        <v>154963</v>
      </c>
      <c r="F113" s="33">
        <v>1</v>
      </c>
      <c r="G113" s="4">
        <f t="shared" si="15"/>
        <v>154963</v>
      </c>
      <c r="H113" s="61">
        <v>0.1002</v>
      </c>
      <c r="I113" s="33">
        <f t="shared" si="11"/>
        <v>15527.292599999999</v>
      </c>
      <c r="J113" s="23">
        <f>'Labor Rates'!D8</f>
        <v>22.02</v>
      </c>
      <c r="K113" s="23">
        <f t="shared" ref="K113" si="16">I113*J113</f>
        <v>341910.983052</v>
      </c>
    </row>
    <row r="114" spans="1:12" ht="47.45" customHeight="1" x14ac:dyDescent="0.25">
      <c r="A114" s="34" t="s">
        <v>28</v>
      </c>
      <c r="C114" s="32" t="s">
        <v>59</v>
      </c>
      <c r="D114" s="2" t="s">
        <v>64</v>
      </c>
      <c r="E114" s="4">
        <f>Assumptions!F33</f>
        <v>6740897</v>
      </c>
      <c r="F114" s="33">
        <v>1</v>
      </c>
      <c r="G114" s="4">
        <f t="shared" si="15"/>
        <v>6740897</v>
      </c>
      <c r="H114" s="61">
        <v>0.1002</v>
      </c>
      <c r="I114" s="33">
        <f t="shared" si="11"/>
        <v>675437.87939999998</v>
      </c>
      <c r="J114" s="23">
        <f>'Labor Rates'!D8</f>
        <v>22.02</v>
      </c>
      <c r="K114" s="23">
        <f>I114*J114</f>
        <v>14873142.104387999</v>
      </c>
    </row>
    <row r="115" spans="1:12" ht="47.45" customHeight="1" x14ac:dyDescent="0.25">
      <c r="A115" s="34" t="s">
        <v>28</v>
      </c>
      <c r="C115" s="32" t="s">
        <v>59</v>
      </c>
      <c r="D115" s="2" t="s">
        <v>65</v>
      </c>
      <c r="E115" s="4">
        <f>Assumptions!F34</f>
        <v>3008202.3229999999</v>
      </c>
      <c r="F115" s="33">
        <v>1</v>
      </c>
      <c r="G115" s="4">
        <f t="shared" si="15"/>
        <v>3008202.3229999999</v>
      </c>
      <c r="H115" s="61">
        <v>0.1002</v>
      </c>
      <c r="I115" s="33">
        <f t="shared" si="11"/>
        <v>301421.87276459998</v>
      </c>
      <c r="J115" s="23">
        <f>'Labor Rates'!D8</f>
        <v>22.02</v>
      </c>
      <c r="K115" s="23">
        <f>I115*J115</f>
        <v>6637309.6382764913</v>
      </c>
    </row>
    <row r="116" spans="1:12" ht="45" customHeight="1" x14ac:dyDescent="0.25">
      <c r="A116" s="34" t="s">
        <v>28</v>
      </c>
      <c r="C116" s="32" t="s">
        <v>59</v>
      </c>
      <c r="D116" s="2" t="s">
        <v>66</v>
      </c>
      <c r="E116" s="4">
        <f>Assumptions!F35</f>
        <v>14148180.974022605</v>
      </c>
      <c r="F116" s="33">
        <v>1</v>
      </c>
      <c r="G116" s="4">
        <f>E116*F116</f>
        <v>14148180.974022605</v>
      </c>
      <c r="H116" s="61">
        <v>0.1002</v>
      </c>
      <c r="I116" s="33">
        <f t="shared" si="11"/>
        <v>1417647.7335970649</v>
      </c>
      <c r="J116" s="23">
        <f>'Labor Rates'!D8</f>
        <v>22.02</v>
      </c>
      <c r="K116" s="23">
        <f>I116*J116</f>
        <v>31216603.093807366</v>
      </c>
    </row>
    <row r="117" spans="1:12" x14ac:dyDescent="0.25">
      <c r="A117" s="35"/>
      <c r="C117" s="308" t="s">
        <v>67</v>
      </c>
      <c r="D117" s="309"/>
      <c r="E117" s="309"/>
      <c r="F117" s="309"/>
      <c r="G117" s="309"/>
      <c r="H117" s="309"/>
      <c r="I117" s="309"/>
      <c r="J117" s="309"/>
      <c r="K117" s="309"/>
    </row>
    <row r="118" spans="1:12" ht="45" customHeight="1" x14ac:dyDescent="0.25">
      <c r="A118" s="34" t="s">
        <v>28</v>
      </c>
      <c r="C118" s="32">
        <v>273.20999999999998</v>
      </c>
      <c r="D118" s="2" t="s">
        <v>145</v>
      </c>
      <c r="E118" s="172">
        <f>Assumptions!F36</f>
        <v>10810</v>
      </c>
      <c r="F118" s="33">
        <v>11</v>
      </c>
      <c r="G118" s="4">
        <f>E118*F118</f>
        <v>118910</v>
      </c>
      <c r="H118" s="61">
        <v>0.1169</v>
      </c>
      <c r="I118" s="33">
        <f>G118*H118</f>
        <v>13900.579</v>
      </c>
      <c r="J118" s="23">
        <f>'Labor Rates'!D8</f>
        <v>22.02</v>
      </c>
      <c r="K118" s="23">
        <f t="shared" ref="K118:K122" si="17">I118*J118</f>
        <v>306090.74958</v>
      </c>
    </row>
    <row r="119" spans="1:12" ht="45" customHeight="1" x14ac:dyDescent="0.25">
      <c r="A119" s="34" t="s">
        <v>28</v>
      </c>
      <c r="C119" s="32" t="s">
        <v>69</v>
      </c>
      <c r="D119" s="2" t="s">
        <v>146</v>
      </c>
      <c r="E119" s="172">
        <f>Assumptions!F37</f>
        <v>6486</v>
      </c>
      <c r="F119" s="33">
        <f>3</f>
        <v>3</v>
      </c>
      <c r="G119" s="4">
        <f>E119*F119</f>
        <v>19458</v>
      </c>
      <c r="H119" s="61">
        <v>0.1336</v>
      </c>
      <c r="I119" s="33">
        <f t="shared" ref="I119:I122" si="18">G119*H119</f>
        <v>2599.5888</v>
      </c>
      <c r="J119" s="23">
        <f>'Labor Rates'!D8</f>
        <v>22.02</v>
      </c>
      <c r="K119" s="23">
        <f>I119*J119</f>
        <v>57242.945375999996</v>
      </c>
    </row>
    <row r="120" spans="1:12" ht="45" customHeight="1" x14ac:dyDescent="0.25">
      <c r="A120" s="34" t="s">
        <v>28</v>
      </c>
      <c r="C120" s="32" t="s">
        <v>71</v>
      </c>
      <c r="D120" s="2" t="s">
        <v>147</v>
      </c>
      <c r="E120" s="172">
        <f>Assumptions!F39</f>
        <v>12810275.25</v>
      </c>
      <c r="F120" s="122">
        <f>1</f>
        <v>1</v>
      </c>
      <c r="G120" s="4">
        <f>E120*F120</f>
        <v>12810275.25</v>
      </c>
      <c r="H120" s="18">
        <v>0.16700000000000001</v>
      </c>
      <c r="I120" s="33">
        <f t="shared" si="18"/>
        <v>2139315.9667500001</v>
      </c>
      <c r="J120" s="23">
        <f>'Labor Rates'!$D$8</f>
        <v>22.02</v>
      </c>
      <c r="K120" s="23">
        <f>I120*J120</f>
        <v>47107737.587834999</v>
      </c>
    </row>
    <row r="121" spans="1:12" ht="45" customHeight="1" x14ac:dyDescent="0.25">
      <c r="A121" s="34" t="s">
        <v>28</v>
      </c>
      <c r="C121" s="32" t="s">
        <v>73</v>
      </c>
      <c r="D121" s="2" t="s">
        <v>148</v>
      </c>
      <c r="E121" s="172">
        <f>Assumptions!F40</f>
        <v>3048521</v>
      </c>
      <c r="F121" s="33">
        <v>3</v>
      </c>
      <c r="G121" s="4">
        <f>E121*F121</f>
        <v>9145563</v>
      </c>
      <c r="H121" s="18">
        <v>0.16700000000000001</v>
      </c>
      <c r="I121" s="33">
        <f t="shared" si="18"/>
        <v>1527309.0210000002</v>
      </c>
      <c r="J121" s="23">
        <f>'Labor Rates'!D8</f>
        <v>22.02</v>
      </c>
      <c r="K121" s="23">
        <f>I121*J121</f>
        <v>33631344.642420001</v>
      </c>
    </row>
    <row r="122" spans="1:12" s="86" customFormat="1" ht="45" customHeight="1" x14ac:dyDescent="0.25">
      <c r="A122" s="36" t="s">
        <v>28</v>
      </c>
      <c r="B122"/>
      <c r="C122" s="32" t="s">
        <v>75</v>
      </c>
      <c r="D122" s="2" t="s">
        <v>76</v>
      </c>
      <c r="E122" s="4">
        <f>Assumptions!F84</f>
        <v>764083.39004199998</v>
      </c>
      <c r="F122" s="33">
        <v>1</v>
      </c>
      <c r="G122" s="4">
        <f>E122*F122</f>
        <v>764083.39004199998</v>
      </c>
      <c r="H122" s="18">
        <f>H121</f>
        <v>0.16700000000000001</v>
      </c>
      <c r="I122" s="33">
        <f t="shared" si="18"/>
        <v>127601.926137014</v>
      </c>
      <c r="J122" s="23">
        <f>'Labor Rates'!$D$8</f>
        <v>22.02</v>
      </c>
      <c r="K122" s="23">
        <f t="shared" si="17"/>
        <v>2809794.4135370483</v>
      </c>
      <c r="L122" s="87"/>
    </row>
    <row r="123" spans="1:12" ht="14.45" customHeight="1" x14ac:dyDescent="0.25">
      <c r="A123" s="35"/>
      <c r="C123" s="310" t="s">
        <v>77</v>
      </c>
      <c r="D123" s="311"/>
      <c r="E123" s="311"/>
      <c r="F123" s="311"/>
      <c r="G123" s="311"/>
      <c r="H123" s="311"/>
      <c r="I123" s="311"/>
      <c r="J123" s="311"/>
      <c r="K123" s="311"/>
    </row>
    <row r="124" spans="1:12" s="276" customFormat="1" ht="45" customHeight="1" x14ac:dyDescent="0.25">
      <c r="A124" s="284" t="s">
        <v>28</v>
      </c>
      <c r="C124" s="277" t="s">
        <v>107</v>
      </c>
      <c r="D124" s="297" t="s">
        <v>149</v>
      </c>
      <c r="E124" s="279">
        <f>Assumptions!F73</f>
        <v>46000</v>
      </c>
      <c r="F124" s="280">
        <v>1</v>
      </c>
      <c r="G124" s="279">
        <f>E124*F124</f>
        <v>46000</v>
      </c>
      <c r="H124" s="281">
        <v>8.3000000000000004E-2</v>
      </c>
      <c r="I124" s="280">
        <f>G124*H124</f>
        <v>3818</v>
      </c>
      <c r="J124" s="282">
        <f>'Labor Rates'!D8</f>
        <v>22.02</v>
      </c>
      <c r="K124" s="282">
        <f t="shared" ref="K124:K131" si="19">I124*J124</f>
        <v>84072.36</v>
      </c>
      <c r="L124" s="283"/>
    </row>
    <row r="125" spans="1:12" s="276" customFormat="1" ht="45" customHeight="1" x14ac:dyDescent="0.25">
      <c r="A125" s="284" t="s">
        <v>28</v>
      </c>
      <c r="C125" s="277" t="s">
        <v>150</v>
      </c>
      <c r="D125" s="297" t="s">
        <v>151</v>
      </c>
      <c r="E125" s="279">
        <f>Assumptions!F74</f>
        <v>2700000</v>
      </c>
      <c r="F125" s="280">
        <v>1</v>
      </c>
      <c r="G125" s="279">
        <f t="shared" ref="G125:G132" si="20">E125*F125</f>
        <v>2700000</v>
      </c>
      <c r="H125" s="281">
        <v>8.3000000000000004E-2</v>
      </c>
      <c r="I125" s="280">
        <f>G125*H125</f>
        <v>224100</v>
      </c>
      <c r="J125" s="282">
        <f>'Labor Rates'!D8</f>
        <v>22.02</v>
      </c>
      <c r="K125" s="282">
        <f t="shared" si="19"/>
        <v>4934682</v>
      </c>
      <c r="L125" s="283"/>
    </row>
    <row r="126" spans="1:12" ht="45" customHeight="1" x14ac:dyDescent="0.25">
      <c r="A126" s="36" t="s">
        <v>28</v>
      </c>
      <c r="C126" s="32" t="s">
        <v>78</v>
      </c>
      <c r="D126" s="298" t="s">
        <v>79</v>
      </c>
      <c r="E126" s="4">
        <f>Assumptions!F62</f>
        <v>31999535</v>
      </c>
      <c r="F126" s="33">
        <v>1</v>
      </c>
      <c r="G126" s="4">
        <f t="shared" si="20"/>
        <v>31999535</v>
      </c>
      <c r="H126" s="61">
        <v>8.3500000000000005E-2</v>
      </c>
      <c r="I126" s="33">
        <f>G126*H126</f>
        <v>2671961.1725000003</v>
      </c>
      <c r="J126" s="23">
        <f>'Labor Rates'!D8</f>
        <v>22.02</v>
      </c>
      <c r="K126" s="23">
        <f t="shared" si="19"/>
        <v>58836585.018450007</v>
      </c>
    </row>
    <row r="127" spans="1:12" ht="45" x14ac:dyDescent="0.25">
      <c r="A127" s="36" t="s">
        <v>28</v>
      </c>
      <c r="C127" s="32" t="s">
        <v>80</v>
      </c>
      <c r="D127" s="298" t="s">
        <v>81</v>
      </c>
      <c r="E127" s="4">
        <f>Assumptions!F63</f>
        <v>46963</v>
      </c>
      <c r="F127" s="33">
        <v>1</v>
      </c>
      <c r="G127" s="4">
        <f t="shared" si="20"/>
        <v>46963</v>
      </c>
      <c r="H127" s="61">
        <v>8.3500000000000005E-2</v>
      </c>
      <c r="I127" s="33">
        <f t="shared" ref="I127" si="21">G127*H127</f>
        <v>3921.4105000000004</v>
      </c>
      <c r="J127" s="23">
        <f>'Labor Rates'!D8</f>
        <v>22.02</v>
      </c>
      <c r="K127" s="23">
        <f t="shared" si="19"/>
        <v>86349.459210000001</v>
      </c>
    </row>
    <row r="128" spans="1:12" ht="45" customHeight="1" x14ac:dyDescent="0.25">
      <c r="A128" s="36" t="s">
        <v>28</v>
      </c>
      <c r="C128" s="32" t="s">
        <v>82</v>
      </c>
      <c r="D128" s="2" t="s">
        <v>83</v>
      </c>
      <c r="E128" s="4">
        <f>Assumptions!F81</f>
        <v>1512369.145</v>
      </c>
      <c r="F128" s="33">
        <v>1</v>
      </c>
      <c r="G128" s="4">
        <f>E128*F128</f>
        <v>1512369.145</v>
      </c>
      <c r="H128" s="61">
        <v>1.67E-2</v>
      </c>
      <c r="I128" s="33">
        <f>G128*H128</f>
        <v>25256.564721499999</v>
      </c>
      <c r="J128" s="23">
        <f>'Labor Rates'!D8</f>
        <v>22.02</v>
      </c>
      <c r="K128" s="23">
        <f t="shared" si="19"/>
        <v>556149.55516742996</v>
      </c>
    </row>
    <row r="129" spans="1:18" ht="45" customHeight="1" x14ac:dyDescent="0.25">
      <c r="A129" s="34" t="s">
        <v>28</v>
      </c>
      <c r="C129" s="39" t="s">
        <v>84</v>
      </c>
      <c r="D129" s="2" t="s">
        <v>85</v>
      </c>
      <c r="E129" s="4">
        <f>Assumptions!F64</f>
        <v>1818087</v>
      </c>
      <c r="F129" s="33">
        <v>1</v>
      </c>
      <c r="G129" s="4">
        <f t="shared" si="20"/>
        <v>1818087</v>
      </c>
      <c r="H129" s="61">
        <v>8.3500000000000005E-2</v>
      </c>
      <c r="I129" s="33">
        <f>G129*H129</f>
        <v>151810.26450000002</v>
      </c>
      <c r="J129" s="23">
        <f>'Labor Rates'!D8</f>
        <v>22.02</v>
      </c>
      <c r="K129" s="23">
        <f t="shared" si="19"/>
        <v>3342862.0242900006</v>
      </c>
    </row>
    <row r="130" spans="1:18" ht="45" customHeight="1" x14ac:dyDescent="0.25">
      <c r="A130" s="36" t="s">
        <v>28</v>
      </c>
      <c r="C130" s="32" t="s">
        <v>86</v>
      </c>
      <c r="D130" s="2" t="s">
        <v>87</v>
      </c>
      <c r="E130" s="4">
        <f>Assumptions!F65</f>
        <v>17020701</v>
      </c>
      <c r="F130" s="33">
        <v>1</v>
      </c>
      <c r="G130" s="4">
        <f t="shared" si="20"/>
        <v>17020701</v>
      </c>
      <c r="H130" s="61">
        <v>8.3500000000000005E-2</v>
      </c>
      <c r="I130" s="33">
        <f>G130*H130</f>
        <v>1421228.5335000001</v>
      </c>
      <c r="J130" s="23">
        <f>'Labor Rates'!D8</f>
        <v>22.02</v>
      </c>
      <c r="K130" s="23">
        <f t="shared" si="19"/>
        <v>31295452.307670001</v>
      </c>
    </row>
    <row r="131" spans="1:18" s="276" customFormat="1" ht="45" customHeight="1" x14ac:dyDescent="0.25">
      <c r="A131" s="284" t="s">
        <v>28</v>
      </c>
      <c r="C131" s="277" t="s">
        <v>89</v>
      </c>
      <c r="D131" s="278" t="s">
        <v>152</v>
      </c>
      <c r="E131" s="279">
        <f>Assumptions!F75</f>
        <v>5496000</v>
      </c>
      <c r="F131" s="280">
        <v>1</v>
      </c>
      <c r="G131" s="279">
        <f>E131*F131</f>
        <v>5496000</v>
      </c>
      <c r="H131" s="281">
        <v>0.02</v>
      </c>
      <c r="I131" s="280">
        <f>G131*H131</f>
        <v>109920</v>
      </c>
      <c r="J131" s="282">
        <f>'Labor Rates'!D8</f>
        <v>22.02</v>
      </c>
      <c r="K131" s="282">
        <f t="shared" si="19"/>
        <v>2420438.4</v>
      </c>
      <c r="L131" s="283"/>
    </row>
    <row r="132" spans="1:18" s="276" customFormat="1" ht="45" customHeight="1" x14ac:dyDescent="0.25">
      <c r="A132" s="275" t="s">
        <v>28</v>
      </c>
      <c r="C132" s="277" t="s">
        <v>91</v>
      </c>
      <c r="D132" s="278" t="s">
        <v>153</v>
      </c>
      <c r="E132" s="279">
        <f>Assumptions!F66+Assumptions!F50</f>
        <v>1685119.6099999999</v>
      </c>
      <c r="F132" s="280">
        <v>1</v>
      </c>
      <c r="G132" s="279">
        <f t="shared" si="20"/>
        <v>1685119.6099999999</v>
      </c>
      <c r="H132" s="281">
        <v>8.3500000000000005E-2</v>
      </c>
      <c r="I132" s="280">
        <f>G132*H132</f>
        <v>140707.48743499999</v>
      </c>
      <c r="J132" s="282">
        <f>'Labor Rates'!D8</f>
        <v>22.02</v>
      </c>
      <c r="K132" s="282">
        <f t="shared" ref="K132" si="22">I132*J132</f>
        <v>3098378.8733186997</v>
      </c>
      <c r="L132" s="283"/>
      <c r="N132" s="287"/>
    </row>
    <row r="133" spans="1:18" s="276" customFormat="1" ht="45" customHeight="1" x14ac:dyDescent="0.25">
      <c r="A133" s="275" t="s">
        <v>28</v>
      </c>
      <c r="C133" s="277" t="s">
        <v>93</v>
      </c>
      <c r="D133" s="278" t="s">
        <v>94</v>
      </c>
      <c r="E133" s="279">
        <f>Assumptions!F67</f>
        <v>281781</v>
      </c>
      <c r="F133" s="280">
        <v>1</v>
      </c>
      <c r="G133" s="279">
        <f t="shared" ref="G133:G139" si="23">E133*F133</f>
        <v>281781</v>
      </c>
      <c r="H133" s="281">
        <v>8.3500000000000005E-2</v>
      </c>
      <c r="I133" s="280">
        <f t="shared" ref="I133:I139" si="24">G133*H133</f>
        <v>23528.713500000002</v>
      </c>
      <c r="J133" s="282">
        <f>'Labor Rates'!D8</f>
        <v>22.02</v>
      </c>
      <c r="K133" s="282">
        <f t="shared" ref="K133:K138" si="25">I133*J133</f>
        <v>518102.27127000003</v>
      </c>
      <c r="L133" s="283"/>
    </row>
    <row r="134" spans="1:18" s="276" customFormat="1" ht="45" customHeight="1" x14ac:dyDescent="0.25">
      <c r="A134" s="275" t="s">
        <v>28</v>
      </c>
      <c r="C134" s="277" t="s">
        <v>95</v>
      </c>
      <c r="D134" s="278" t="s">
        <v>96</v>
      </c>
      <c r="E134" s="279">
        <f>Assumptions!F68</f>
        <v>420885</v>
      </c>
      <c r="F134" s="280">
        <v>1</v>
      </c>
      <c r="G134" s="279">
        <f t="shared" si="23"/>
        <v>420885</v>
      </c>
      <c r="H134" s="281">
        <v>8.3500000000000005E-2</v>
      </c>
      <c r="I134" s="280">
        <f t="shared" si="24"/>
        <v>35143.897499999999</v>
      </c>
      <c r="J134" s="282">
        <f>'Labor Rates'!D8</f>
        <v>22.02</v>
      </c>
      <c r="K134" s="282">
        <f t="shared" si="25"/>
        <v>773868.62294999999</v>
      </c>
      <c r="L134" s="283"/>
    </row>
    <row r="135" spans="1:18" s="273" customFormat="1" ht="45" customHeight="1" x14ac:dyDescent="0.25">
      <c r="A135" s="284" t="s">
        <v>28</v>
      </c>
      <c r="B135" s="276"/>
      <c r="C135" s="277" t="s">
        <v>97</v>
      </c>
      <c r="D135" s="278" t="s">
        <v>98</v>
      </c>
      <c r="E135" s="279">
        <f>Assumptions!F80</f>
        <v>382990</v>
      </c>
      <c r="F135" s="280">
        <v>1</v>
      </c>
      <c r="G135" s="279">
        <f t="shared" si="23"/>
        <v>382990</v>
      </c>
      <c r="H135" s="281">
        <v>8.3500000000000005E-2</v>
      </c>
      <c r="I135" s="280">
        <f t="shared" si="24"/>
        <v>31979.665000000001</v>
      </c>
      <c r="J135" s="282">
        <f>'Labor Rates'!D8</f>
        <v>22.02</v>
      </c>
      <c r="K135" s="282">
        <f t="shared" si="25"/>
        <v>704192.22329999995</v>
      </c>
      <c r="L135" s="274"/>
      <c r="O135" s="285"/>
    </row>
    <row r="136" spans="1:18" s="276" customFormat="1" ht="45" customHeight="1" x14ac:dyDescent="0.25">
      <c r="A136" s="284" t="s">
        <v>28</v>
      </c>
      <c r="C136" s="277" t="s">
        <v>99</v>
      </c>
      <c r="D136" s="278" t="s">
        <v>100</v>
      </c>
      <c r="E136" s="279">
        <f>Assumptions!F69+Assumptions!F54</f>
        <v>830594.61</v>
      </c>
      <c r="F136" s="280">
        <v>1</v>
      </c>
      <c r="G136" s="279">
        <f t="shared" si="23"/>
        <v>830594.61</v>
      </c>
      <c r="H136" s="281">
        <v>8.3500000000000005E-2</v>
      </c>
      <c r="I136" s="280">
        <f t="shared" si="24"/>
        <v>69354.649935000009</v>
      </c>
      <c r="J136" s="282">
        <f>'Labor Rates'!D8</f>
        <v>22.02</v>
      </c>
      <c r="K136" s="282">
        <f t="shared" si="25"/>
        <v>1527189.3915687001</v>
      </c>
      <c r="L136" s="283"/>
      <c r="N136" s="287"/>
    </row>
    <row r="137" spans="1:18" s="86" customFormat="1" ht="45" customHeight="1" x14ac:dyDescent="0.25">
      <c r="A137" s="36" t="s">
        <v>28</v>
      </c>
      <c r="B137"/>
      <c r="C137" s="32" t="s">
        <v>101</v>
      </c>
      <c r="D137" s="2" t="s">
        <v>102</v>
      </c>
      <c r="E137" s="4">
        <f>Assumptions!F70</f>
        <v>3824126</v>
      </c>
      <c r="F137" s="33">
        <v>1</v>
      </c>
      <c r="G137" s="4">
        <f t="shared" si="23"/>
        <v>3824126</v>
      </c>
      <c r="H137" s="61">
        <v>8.3500000000000005E-2</v>
      </c>
      <c r="I137" s="33">
        <f t="shared" si="24"/>
        <v>319314.52100000001</v>
      </c>
      <c r="J137" s="23">
        <f>'Labor Rates'!D8</f>
        <v>22.02</v>
      </c>
      <c r="K137" s="23">
        <f t="shared" si="25"/>
        <v>7031305.7524199998</v>
      </c>
      <c r="L137" s="87"/>
      <c r="N137" s="123"/>
    </row>
    <row r="138" spans="1:18" s="86" customFormat="1" ht="45" customHeight="1" x14ac:dyDescent="0.25">
      <c r="A138" s="36" t="s">
        <v>28</v>
      </c>
      <c r="B138"/>
      <c r="C138" s="32" t="s">
        <v>105</v>
      </c>
      <c r="D138" s="2" t="s">
        <v>106</v>
      </c>
      <c r="E138" s="4">
        <f>Assumptions!F71</f>
        <v>890098</v>
      </c>
      <c r="F138" s="33">
        <v>1</v>
      </c>
      <c r="G138" s="4">
        <f>E138*F138</f>
        <v>890098</v>
      </c>
      <c r="H138" s="61">
        <v>8.3500000000000005E-2</v>
      </c>
      <c r="I138" s="33">
        <f>G138*H138</f>
        <v>74323.183000000005</v>
      </c>
      <c r="J138" s="23">
        <f>'Labor Rates'!D8</f>
        <v>22.02</v>
      </c>
      <c r="K138" s="23">
        <f t="shared" si="25"/>
        <v>1636596.48966</v>
      </c>
      <c r="L138" s="87"/>
    </row>
    <row r="139" spans="1:18" s="86" customFormat="1" ht="45" customHeight="1" x14ac:dyDescent="0.25">
      <c r="A139" s="36" t="s">
        <v>28</v>
      </c>
      <c r="B139"/>
      <c r="C139" s="32" t="s">
        <v>154</v>
      </c>
      <c r="D139" s="2" t="s">
        <v>110</v>
      </c>
      <c r="E139" s="4">
        <f>Assumptions!F72</f>
        <v>30639199</v>
      </c>
      <c r="F139" s="33">
        <v>1</v>
      </c>
      <c r="G139" s="4">
        <f t="shared" si="23"/>
        <v>30639199</v>
      </c>
      <c r="H139" s="61">
        <v>8.3500000000000005E-2</v>
      </c>
      <c r="I139" s="33">
        <f t="shared" si="24"/>
        <v>2558373.1165</v>
      </c>
      <c r="J139" s="23">
        <f>'Labor Rates'!D8</f>
        <v>22.02</v>
      </c>
      <c r="K139" s="23">
        <f t="shared" ref="K139" si="26">I139*J139</f>
        <v>56335376.02533</v>
      </c>
      <c r="L139" s="87"/>
      <c r="N139" s="211"/>
      <c r="O139" s="211"/>
    </row>
    <row r="140" spans="1:18" x14ac:dyDescent="0.25">
      <c r="A140" s="35"/>
      <c r="C140" s="308" t="s">
        <v>111</v>
      </c>
      <c r="D140" s="309"/>
      <c r="E140" s="309"/>
      <c r="F140" s="309"/>
      <c r="G140" s="309"/>
      <c r="H140" s="309"/>
      <c r="I140" s="309"/>
      <c r="J140" s="309"/>
      <c r="K140" s="309"/>
    </row>
    <row r="141" spans="1:18" s="86" customFormat="1" ht="45" customHeight="1" x14ac:dyDescent="0.25">
      <c r="A141" s="36" t="s">
        <v>28</v>
      </c>
      <c r="B141"/>
      <c r="C141" s="32" t="s">
        <v>114</v>
      </c>
      <c r="D141" s="2" t="s">
        <v>115</v>
      </c>
      <c r="E141" s="4">
        <f>Assumptions!F82</f>
        <v>765980</v>
      </c>
      <c r="F141" s="33">
        <v>1</v>
      </c>
      <c r="G141" s="4">
        <f>E141*F141</f>
        <v>765980</v>
      </c>
      <c r="H141" s="61">
        <v>5.0099999999999999E-2</v>
      </c>
      <c r="I141" s="33">
        <f>G141*H141</f>
        <v>38375.597999999998</v>
      </c>
      <c r="J141" s="23">
        <f>'Labor Rates'!D8</f>
        <v>22.02</v>
      </c>
      <c r="K141" s="23">
        <f>I141*J141</f>
        <v>845030.66795999999</v>
      </c>
      <c r="L141" s="87"/>
    </row>
    <row r="142" spans="1:18" s="86" customFormat="1" ht="45" customHeight="1" x14ac:dyDescent="0.25">
      <c r="A142" s="36" t="s">
        <v>28</v>
      </c>
      <c r="B142"/>
      <c r="C142" s="32" t="s">
        <v>118</v>
      </c>
      <c r="D142" s="2" t="s">
        <v>155</v>
      </c>
      <c r="E142" s="4">
        <f>Assumptions!F83</f>
        <v>47444561.297022603</v>
      </c>
      <c r="F142" s="33">
        <v>1</v>
      </c>
      <c r="G142" s="4">
        <f>E142*F142</f>
        <v>47444561.297022603</v>
      </c>
      <c r="H142" s="33">
        <v>0.05</v>
      </c>
      <c r="I142" s="33">
        <f>G142*H142</f>
        <v>2372228.0648511304</v>
      </c>
      <c r="J142" s="23">
        <f>'Labor Rates'!D8</f>
        <v>22.02</v>
      </c>
      <c r="K142" s="23">
        <f>I142*J142</f>
        <v>52236461.988021888</v>
      </c>
      <c r="L142" s="87"/>
    </row>
    <row r="143" spans="1:18" x14ac:dyDescent="0.25">
      <c r="A143" s="35"/>
      <c r="C143" s="308"/>
      <c r="D143" s="309"/>
      <c r="E143" s="309"/>
      <c r="F143" s="309"/>
      <c r="G143" s="309"/>
      <c r="H143" s="309"/>
      <c r="I143" s="309"/>
      <c r="J143" s="309"/>
      <c r="K143" s="309"/>
    </row>
    <row r="144" spans="1:18" ht="45" customHeight="1" thickBot="1" x14ac:dyDescent="0.3">
      <c r="A144" s="37"/>
      <c r="C144" s="304" t="s">
        <v>156</v>
      </c>
      <c r="D144" s="305"/>
      <c r="E144" s="46">
        <f>Assumptions!F22</f>
        <v>21620718</v>
      </c>
      <c r="F144" s="110">
        <f>G144/E144</f>
        <v>20.50778948294559</v>
      </c>
      <c r="G144" s="46">
        <f>SUM(G84,G86:G87,G89:G103,G105,G107:G108,G110:G116,G118:G122,G124:G139,G141:G142)</f>
        <v>443393133.21413243</v>
      </c>
      <c r="H144" s="65">
        <f>I144/G144</f>
        <v>0.17598538170041508</v>
      </c>
      <c r="I144" s="46">
        <f>SUM(I84,I86:I87,I89:I103,I105,I107:I108,I110:I116,I118:I122,I124:I139,I141:I142)</f>
        <v>78030709.792032093</v>
      </c>
      <c r="J144" s="48">
        <f>K144/I144</f>
        <v>22.019999999999989</v>
      </c>
      <c r="K144" s="48">
        <f>SUM(K84,K86:K87,K89:K103,K105,K107:K108,K110:K116,K118:K122,K124:K139,K141:K142)</f>
        <v>1718236229.6205459</v>
      </c>
      <c r="N144" s="300"/>
      <c r="O144" s="5"/>
      <c r="P144" s="1"/>
      <c r="Q144" s="1"/>
      <c r="R144" s="1"/>
    </row>
    <row r="145" spans="1:18" ht="29.65" customHeight="1" x14ac:dyDescent="0.25">
      <c r="A145" s="66"/>
      <c r="C145" s="312" t="s">
        <v>404</v>
      </c>
      <c r="D145" s="313"/>
      <c r="E145" s="313"/>
      <c r="F145" s="313"/>
      <c r="G145" s="313"/>
      <c r="H145" s="313"/>
      <c r="I145" s="313"/>
      <c r="J145" s="313"/>
      <c r="K145" s="313"/>
      <c r="N145" s="63"/>
      <c r="O145" s="59"/>
      <c r="P145" s="1"/>
      <c r="Q145" s="1"/>
      <c r="R145" s="1"/>
    </row>
    <row r="146" spans="1:18" ht="24" customHeight="1" x14ac:dyDescent="0.25">
      <c r="A146" s="37"/>
      <c r="C146" s="314" t="s">
        <v>407</v>
      </c>
      <c r="D146" s="315"/>
      <c r="E146" s="315"/>
      <c r="F146" s="315"/>
      <c r="G146" s="315"/>
      <c r="H146" s="315"/>
      <c r="I146" s="315"/>
      <c r="J146" s="315"/>
      <c r="K146" s="315"/>
      <c r="N146" s="1"/>
      <c r="O146" s="59"/>
      <c r="P146" s="59"/>
      <c r="Q146" s="59"/>
      <c r="R146" s="1"/>
    </row>
    <row r="147" spans="1:18" x14ac:dyDescent="0.25">
      <c r="A147" s="35"/>
      <c r="C147" s="308"/>
      <c r="D147" s="309"/>
      <c r="E147" s="309"/>
      <c r="F147" s="309"/>
      <c r="G147" s="309"/>
      <c r="H147" s="309"/>
      <c r="I147" s="309"/>
      <c r="J147" s="309"/>
      <c r="K147" s="309"/>
      <c r="N147" s="1"/>
      <c r="O147" s="59"/>
      <c r="P147" s="1"/>
      <c r="Q147" s="1"/>
      <c r="R147" s="1"/>
    </row>
    <row r="148" spans="1:18" s="289" customFormat="1" ht="45" customHeight="1" x14ac:dyDescent="0.25">
      <c r="A148" s="299" t="s">
        <v>88</v>
      </c>
      <c r="C148" s="290"/>
      <c r="D148" s="291" t="s">
        <v>405</v>
      </c>
      <c r="E148" s="292">
        <v>2</v>
      </c>
      <c r="F148" s="293">
        <v>365</v>
      </c>
      <c r="G148" s="292">
        <f>E148*F148</f>
        <v>730</v>
      </c>
      <c r="H148" s="294">
        <v>1</v>
      </c>
      <c r="I148" s="293">
        <f>G148*H148</f>
        <v>730</v>
      </c>
      <c r="J148" s="295">
        <v>61.11</v>
      </c>
      <c r="K148" s="295">
        <f>I148*J148</f>
        <v>44610.3</v>
      </c>
      <c r="L148" s="296"/>
    </row>
    <row r="149" spans="1:18" s="289" customFormat="1" ht="45" customHeight="1" x14ac:dyDescent="0.25">
      <c r="A149" s="299" t="s">
        <v>88</v>
      </c>
      <c r="C149" s="290"/>
      <c r="D149" s="291" t="s">
        <v>406</v>
      </c>
      <c r="E149" s="292">
        <v>2</v>
      </c>
      <c r="F149" s="293">
        <v>365</v>
      </c>
      <c r="G149" s="292">
        <f>E149*F149</f>
        <v>730</v>
      </c>
      <c r="H149" s="294">
        <v>1.67E-2</v>
      </c>
      <c r="I149" s="293">
        <f>G149*H149</f>
        <v>12.190999999999999</v>
      </c>
      <c r="J149" s="295">
        <v>61.11</v>
      </c>
      <c r="K149" s="295">
        <f>I149*J149</f>
        <v>744.99200999999994</v>
      </c>
      <c r="L149" s="296"/>
    </row>
    <row r="150" spans="1:18" ht="45" customHeight="1" x14ac:dyDescent="0.25">
      <c r="A150" s="34"/>
      <c r="C150" s="316" t="s">
        <v>407</v>
      </c>
      <c r="D150" s="317"/>
      <c r="E150" s="4">
        <v>2</v>
      </c>
      <c r="F150" s="33">
        <f>G150/E150</f>
        <v>730</v>
      </c>
      <c r="G150" s="4">
        <v>1460</v>
      </c>
      <c r="H150" s="61">
        <f>I150/G150</f>
        <v>0.50834999999999997</v>
      </c>
      <c r="I150" s="33">
        <f>SUM(I148:I149)</f>
        <v>742.19100000000003</v>
      </c>
      <c r="J150" s="23">
        <v>61.11</v>
      </c>
      <c r="K150" s="23">
        <f>SUM(K148:K149)</f>
        <v>45355.292010000005</v>
      </c>
    </row>
    <row r="151" spans="1:18" x14ac:dyDescent="0.25">
      <c r="A151" s="37"/>
      <c r="C151" s="306"/>
      <c r="D151" s="307"/>
      <c r="E151" s="307"/>
      <c r="F151" s="307"/>
      <c r="G151" s="307"/>
      <c r="H151" s="307"/>
      <c r="I151" s="307"/>
      <c r="J151" s="307"/>
      <c r="K151" s="307"/>
    </row>
    <row r="152" spans="1:18" ht="45.75" customHeight="1" thickBot="1" x14ac:dyDescent="0.3">
      <c r="A152" s="37"/>
      <c r="C152" s="304" t="s">
        <v>157</v>
      </c>
      <c r="D152" s="305"/>
      <c r="E152" s="7">
        <f>E80+E144+E150</f>
        <v>21623497</v>
      </c>
      <c r="F152" s="8">
        <f>G152/E152</f>
        <v>48.943065851850299</v>
      </c>
      <c r="G152" s="8">
        <f>G80+G144+G150</f>
        <v>1058320237.6182874</v>
      </c>
      <c r="H152" s="269">
        <f>I152/G152</f>
        <v>0.13495068831390666</v>
      </c>
      <c r="I152" s="8">
        <f>I80+I144+I150</f>
        <v>142821044.52312514</v>
      </c>
      <c r="J152" s="24">
        <f>K152/I152</f>
        <v>25.530242091626516</v>
      </c>
      <c r="K152" s="24">
        <f>K80+K144+K150</f>
        <v>3646255842.4543543</v>
      </c>
      <c r="L152"/>
      <c r="N152" s="6"/>
    </row>
  </sheetData>
  <mergeCells count="39">
    <mergeCell ref="C83:K83"/>
    <mergeCell ref="C85:K85"/>
    <mergeCell ref="C40:K40"/>
    <mergeCell ref="C46:K46"/>
    <mergeCell ref="C63:K63"/>
    <mergeCell ref="C81:K81"/>
    <mergeCell ref="C77:K77"/>
    <mergeCell ref="C82:K82"/>
    <mergeCell ref="C74:K74"/>
    <mergeCell ref="C78:D78"/>
    <mergeCell ref="C80:D80"/>
    <mergeCell ref="C71:K71"/>
    <mergeCell ref="C73:D73"/>
    <mergeCell ref="A2:A4"/>
    <mergeCell ref="C70:D70"/>
    <mergeCell ref="C2:K2"/>
    <mergeCell ref="C6:K6"/>
    <mergeCell ref="C7:K7"/>
    <mergeCell ref="C9:K9"/>
    <mergeCell ref="C12:K12"/>
    <mergeCell ref="C5:K5"/>
    <mergeCell ref="C28:K28"/>
    <mergeCell ref="C32:K32"/>
    <mergeCell ref="C30:K30"/>
    <mergeCell ref="C144:D144"/>
    <mergeCell ref="C152:D152"/>
    <mergeCell ref="C151:K151"/>
    <mergeCell ref="C88:K88"/>
    <mergeCell ref="C104:K104"/>
    <mergeCell ref="C106:K106"/>
    <mergeCell ref="C109:K109"/>
    <mergeCell ref="C117:K117"/>
    <mergeCell ref="C123:K123"/>
    <mergeCell ref="C140:K140"/>
    <mergeCell ref="C143:K143"/>
    <mergeCell ref="C145:K145"/>
    <mergeCell ref="C146:K146"/>
    <mergeCell ref="C147:K147"/>
    <mergeCell ref="C150:D150"/>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4"/>
  <sheetViews>
    <sheetView zoomScale="80" zoomScaleNormal="80" workbookViewId="0">
      <pane ySplit="4" topLeftCell="A10" activePane="bottomLeft" state="frozen"/>
      <selection pane="bottomLeft" activeCell="G6" sqref="G6"/>
    </sheetView>
  </sheetViews>
  <sheetFormatPr defaultColWidth="8.85546875" defaultRowHeight="15" customHeight="1" x14ac:dyDescent="0.25"/>
  <cols>
    <col min="1" max="1" width="14.85546875" style="12" customWidth="1"/>
    <col min="2" max="2" width="4.42578125" style="12" customWidth="1"/>
    <col min="3" max="3" width="31.140625" style="12" bestFit="1" customWidth="1"/>
    <col min="4" max="4" width="16.28515625" style="12" customWidth="1"/>
    <col min="5" max="6" width="14.5703125" style="13" customWidth="1"/>
    <col min="7" max="7" width="45.7109375" style="12" customWidth="1"/>
    <col min="8" max="8" width="14.5703125" style="13" customWidth="1"/>
    <col min="9" max="9" width="47.140625" style="12" customWidth="1"/>
    <col min="10" max="10" width="11.5703125" style="26" customWidth="1"/>
    <col min="11" max="11" width="13" style="12" customWidth="1"/>
    <col min="12" max="12" width="33.28515625" style="12" customWidth="1"/>
    <col min="13" max="16384" width="8.85546875" style="12"/>
  </cols>
  <sheetData>
    <row r="1" spans="1:12" x14ac:dyDescent="0.25"/>
    <row r="2" spans="1:12" ht="30" customHeight="1" x14ac:dyDescent="0.25">
      <c r="A2" s="318" t="s">
        <v>158</v>
      </c>
      <c r="C2" s="333" t="s">
        <v>159</v>
      </c>
      <c r="D2" s="334"/>
      <c r="E2" s="334"/>
      <c r="F2" s="334"/>
      <c r="G2" s="334"/>
      <c r="H2" s="334"/>
      <c r="I2" s="335"/>
      <c r="K2" s="188" t="s">
        <v>15</v>
      </c>
      <c r="L2" s="190" t="s">
        <v>160</v>
      </c>
    </row>
    <row r="3" spans="1:12" ht="25.15" customHeight="1" x14ac:dyDescent="0.25">
      <c r="A3" s="318"/>
      <c r="C3" s="337" t="s">
        <v>161</v>
      </c>
      <c r="D3" s="318" t="s">
        <v>162</v>
      </c>
      <c r="E3" s="318" t="s">
        <v>163</v>
      </c>
      <c r="F3" s="338" t="s">
        <v>164</v>
      </c>
      <c r="G3" s="338"/>
      <c r="H3" s="318" t="s">
        <v>165</v>
      </c>
      <c r="I3" s="336" t="s">
        <v>166</v>
      </c>
      <c r="J3" s="27"/>
      <c r="K3" s="189"/>
      <c r="L3" s="191" t="s">
        <v>167</v>
      </c>
    </row>
    <row r="4" spans="1:12" ht="33.75" customHeight="1" x14ac:dyDescent="0.25">
      <c r="A4" s="318"/>
      <c r="C4" s="337"/>
      <c r="D4" s="318"/>
      <c r="E4" s="318"/>
      <c r="F4" s="267" t="s">
        <v>168</v>
      </c>
      <c r="G4" s="267" t="s">
        <v>169</v>
      </c>
      <c r="H4" s="318"/>
      <c r="I4" s="336"/>
      <c r="K4" s="189"/>
      <c r="L4" s="192" t="s">
        <v>170</v>
      </c>
    </row>
    <row r="5" spans="1:12" ht="45" x14ac:dyDescent="0.25">
      <c r="A5" s="34" t="s">
        <v>28</v>
      </c>
      <c r="C5" s="29" t="s">
        <v>171</v>
      </c>
      <c r="D5" s="31" t="s">
        <v>172</v>
      </c>
      <c r="E5" s="30">
        <v>53</v>
      </c>
      <c r="F5" s="193">
        <v>53</v>
      </c>
      <c r="G5" s="28" t="s">
        <v>173</v>
      </c>
      <c r="H5" s="30">
        <f t="shared" ref="H5:H52" si="0">F5-E5</f>
        <v>0</v>
      </c>
      <c r="I5" s="229"/>
    </row>
    <row r="6" spans="1:12" ht="75" x14ac:dyDescent="0.25">
      <c r="A6" s="34" t="s">
        <v>28</v>
      </c>
      <c r="C6" s="32" t="s">
        <v>174</v>
      </c>
      <c r="D6" s="28" t="s">
        <v>31</v>
      </c>
      <c r="E6" s="30">
        <v>40</v>
      </c>
      <c r="F6" s="193">
        <v>53</v>
      </c>
      <c r="G6" s="28" t="s">
        <v>175</v>
      </c>
      <c r="H6" s="30">
        <f t="shared" si="0"/>
        <v>13</v>
      </c>
      <c r="I6" s="230" t="s">
        <v>176</v>
      </c>
    </row>
    <row r="7" spans="1:12" ht="75" x14ac:dyDescent="0.25">
      <c r="A7" s="34" t="s">
        <v>28</v>
      </c>
      <c r="C7" s="32" t="s">
        <v>177</v>
      </c>
      <c r="D7" s="28" t="s">
        <v>31</v>
      </c>
      <c r="E7" s="30">
        <v>13</v>
      </c>
      <c r="F7" s="193">
        <v>53</v>
      </c>
      <c r="G7" s="28" t="s">
        <v>175</v>
      </c>
      <c r="H7" s="30">
        <f t="shared" si="0"/>
        <v>40</v>
      </c>
      <c r="I7" s="230" t="s">
        <v>176</v>
      </c>
    </row>
    <row r="8" spans="1:12" ht="45" x14ac:dyDescent="0.25">
      <c r="A8" s="34" t="s">
        <v>28</v>
      </c>
      <c r="C8" s="32" t="s">
        <v>178</v>
      </c>
      <c r="D8" s="28" t="s">
        <v>31</v>
      </c>
      <c r="E8" s="30">
        <v>13631850</v>
      </c>
      <c r="F8" s="196">
        <f>ROUND(F14*(E8/E14),0)</f>
        <v>15956691</v>
      </c>
      <c r="G8" s="28" t="s">
        <v>179</v>
      </c>
      <c r="H8" s="30">
        <f t="shared" si="0"/>
        <v>2324841</v>
      </c>
      <c r="I8" s="230" t="s">
        <v>180</v>
      </c>
    </row>
    <row r="9" spans="1:12" ht="45" x14ac:dyDescent="0.25">
      <c r="A9" s="34" t="s">
        <v>28</v>
      </c>
      <c r="C9" s="32" t="s">
        <v>181</v>
      </c>
      <c r="D9" s="28" t="s">
        <v>31</v>
      </c>
      <c r="E9" s="30">
        <v>4430351</v>
      </c>
      <c r="F9" s="196">
        <f>ROUND(F14*(E9/E14),0)</f>
        <v>5185924</v>
      </c>
      <c r="G9" s="28" t="s">
        <v>179</v>
      </c>
      <c r="H9" s="30">
        <f t="shared" si="0"/>
        <v>755573</v>
      </c>
      <c r="I9" s="230" t="s">
        <v>182</v>
      </c>
    </row>
    <row r="10" spans="1:12" ht="30" x14ac:dyDescent="0.25">
      <c r="A10" s="34" t="s">
        <v>28</v>
      </c>
      <c r="C10" s="32" t="s">
        <v>183</v>
      </c>
      <c r="D10" s="28">
        <v>273.20999999999998</v>
      </c>
      <c r="E10" s="30">
        <v>1</v>
      </c>
      <c r="F10" s="193">
        <v>1</v>
      </c>
      <c r="G10" s="28" t="s">
        <v>184</v>
      </c>
      <c r="H10" s="30">
        <f t="shared" si="0"/>
        <v>0</v>
      </c>
      <c r="I10" s="231" t="s">
        <v>185</v>
      </c>
    </row>
    <row r="11" spans="1:12" ht="60" x14ac:dyDescent="0.25">
      <c r="A11" s="34" t="s">
        <v>28</v>
      </c>
      <c r="C11" s="32" t="s">
        <v>186</v>
      </c>
      <c r="D11" s="28" t="s">
        <v>69</v>
      </c>
      <c r="E11" s="30">
        <v>1</v>
      </c>
      <c r="F11" s="193">
        <v>1</v>
      </c>
      <c r="G11" s="28" t="s">
        <v>184</v>
      </c>
      <c r="H11" s="30">
        <f t="shared" si="0"/>
        <v>0</v>
      </c>
      <c r="I11" s="231" t="s">
        <v>187</v>
      </c>
    </row>
    <row r="12" spans="1:12" ht="72.95" customHeight="1" x14ac:dyDescent="0.25">
      <c r="A12" s="34" t="s">
        <v>28</v>
      </c>
      <c r="C12" s="32" t="s">
        <v>188</v>
      </c>
      <c r="D12" s="28" t="s">
        <v>71</v>
      </c>
      <c r="E12" s="30">
        <v>51</v>
      </c>
      <c r="F12" s="224">
        <v>52</v>
      </c>
      <c r="G12" s="223" t="s">
        <v>184</v>
      </c>
      <c r="H12" s="30">
        <f t="shared" si="0"/>
        <v>1</v>
      </c>
      <c r="I12" s="232" t="s">
        <v>189</v>
      </c>
    </row>
    <row r="13" spans="1:12" ht="30" x14ac:dyDescent="0.25">
      <c r="A13" s="34" t="s">
        <v>28</v>
      </c>
      <c r="C13" s="32" t="s">
        <v>190</v>
      </c>
      <c r="D13" s="28" t="s">
        <v>73</v>
      </c>
      <c r="E13" s="30">
        <v>26</v>
      </c>
      <c r="F13" s="224">
        <v>22</v>
      </c>
      <c r="G13" s="223" t="s">
        <v>184</v>
      </c>
      <c r="H13" s="30">
        <f t="shared" si="0"/>
        <v>-4</v>
      </c>
      <c r="I13" s="232" t="s">
        <v>189</v>
      </c>
    </row>
    <row r="14" spans="1:12" x14ac:dyDescent="0.25">
      <c r="A14" s="34" t="s">
        <v>28</v>
      </c>
      <c r="C14" s="29" t="s">
        <v>191</v>
      </c>
      <c r="D14" s="28">
        <v>273.2</v>
      </c>
      <c r="E14" s="30">
        <v>18062201</v>
      </c>
      <c r="F14" s="193">
        <v>21142615</v>
      </c>
      <c r="G14" s="28" t="s">
        <v>192</v>
      </c>
      <c r="H14" s="30">
        <f t="shared" si="0"/>
        <v>3080414</v>
      </c>
      <c r="I14" s="230"/>
      <c r="J14" s="14"/>
    </row>
    <row r="15" spans="1:12" ht="210" x14ac:dyDescent="0.25">
      <c r="A15" s="131" t="s">
        <v>28</v>
      </c>
      <c r="B15" s="132"/>
      <c r="C15" s="165" t="s">
        <v>193</v>
      </c>
      <c r="D15" s="121" t="s">
        <v>53</v>
      </c>
      <c r="E15" s="99">
        <v>14656751</v>
      </c>
      <c r="F15" s="196">
        <f>((E15/E14)*F14)</f>
        <v>17156383.297022603</v>
      </c>
      <c r="G15" s="121" t="s">
        <v>194</v>
      </c>
      <c r="H15" s="99">
        <f t="shared" si="0"/>
        <v>2499632.2970226035</v>
      </c>
      <c r="I15" s="233" t="s">
        <v>195</v>
      </c>
      <c r="J15" s="14"/>
      <c r="L15" s="180"/>
    </row>
    <row r="16" spans="1:12" ht="75" x14ac:dyDescent="0.25">
      <c r="A16" s="34" t="s">
        <v>28</v>
      </c>
      <c r="C16" s="32" t="s">
        <v>196</v>
      </c>
      <c r="D16" s="28" t="s">
        <v>35</v>
      </c>
      <c r="E16" s="30">
        <v>1117000</v>
      </c>
      <c r="F16" s="225">
        <f>F22*0.055</f>
        <v>1189139.49</v>
      </c>
      <c r="G16" s="223" t="s">
        <v>197</v>
      </c>
      <c r="H16" s="30">
        <f t="shared" si="0"/>
        <v>72139.489999999991</v>
      </c>
      <c r="I16" s="230"/>
    </row>
    <row r="17" spans="1:12" ht="75" x14ac:dyDescent="0.25">
      <c r="A17" s="34" t="s">
        <v>28</v>
      </c>
      <c r="C17" s="32" t="s">
        <v>198</v>
      </c>
      <c r="D17" s="28" t="s">
        <v>35</v>
      </c>
      <c r="E17" s="30">
        <v>13693000</v>
      </c>
      <c r="F17" s="225">
        <f>F22*0.696</f>
        <v>15048019.727999998</v>
      </c>
      <c r="G17" s="223" t="s">
        <v>199</v>
      </c>
      <c r="H17" s="30">
        <f t="shared" si="0"/>
        <v>1355019.7279999983</v>
      </c>
      <c r="I17" s="230"/>
    </row>
    <row r="18" spans="1:12" ht="90" x14ac:dyDescent="0.25">
      <c r="A18" s="34" t="s">
        <v>28</v>
      </c>
      <c r="C18" s="32" t="s">
        <v>200</v>
      </c>
      <c r="D18" s="28" t="s">
        <v>35</v>
      </c>
      <c r="E18" s="30">
        <v>2864000</v>
      </c>
      <c r="F18" s="225">
        <f>F21*0.073</f>
        <v>3008202.3229999999</v>
      </c>
      <c r="G18" s="223" t="s">
        <v>201</v>
      </c>
      <c r="H18" s="30">
        <f t="shared" si="0"/>
        <v>144202.32299999986</v>
      </c>
      <c r="I18" s="234"/>
    </row>
    <row r="19" spans="1:12" ht="75" x14ac:dyDescent="0.25">
      <c r="A19" s="34" t="s">
        <v>28</v>
      </c>
      <c r="C19" s="32" t="s">
        <v>202</v>
      </c>
      <c r="D19" s="28" t="s">
        <v>35</v>
      </c>
      <c r="E19" s="30">
        <v>316000</v>
      </c>
      <c r="F19" s="225">
        <f>F22*0.016</f>
        <v>345931.48800000001</v>
      </c>
      <c r="G19" s="223" t="s">
        <v>203</v>
      </c>
      <c r="H19" s="30">
        <f t="shared" si="0"/>
        <v>29931.488000000012</v>
      </c>
      <c r="I19" s="230"/>
    </row>
    <row r="20" spans="1:12" ht="90" x14ac:dyDescent="0.25">
      <c r="A20" s="34" t="s">
        <v>28</v>
      </c>
      <c r="C20" s="32" t="s">
        <v>204</v>
      </c>
      <c r="D20" s="28" t="s">
        <v>35</v>
      </c>
      <c r="E20" s="30">
        <v>4073000</v>
      </c>
      <c r="F20" s="225">
        <f>F22*0.218</f>
        <v>4713316.5240000002</v>
      </c>
      <c r="G20" s="223" t="s">
        <v>205</v>
      </c>
      <c r="H20" s="30">
        <f t="shared" si="0"/>
        <v>640316.52400000021</v>
      </c>
      <c r="I20" s="229"/>
    </row>
    <row r="21" spans="1:12" s="259" customFormat="1" ht="60" x14ac:dyDescent="0.25">
      <c r="A21" s="258" t="s">
        <v>88</v>
      </c>
      <c r="C21" s="260" t="s">
        <v>206</v>
      </c>
      <c r="D21" s="261" t="s">
        <v>207</v>
      </c>
      <c r="E21" s="262" t="s">
        <v>208</v>
      </c>
      <c r="F21" s="224">
        <v>41208251</v>
      </c>
      <c r="G21" s="261" t="s">
        <v>209</v>
      </c>
      <c r="H21" s="262" t="s">
        <v>208</v>
      </c>
      <c r="I21" s="263" t="s">
        <v>210</v>
      </c>
      <c r="J21" s="264"/>
    </row>
    <row r="22" spans="1:12" ht="120" x14ac:dyDescent="0.25">
      <c r="A22" s="34" t="s">
        <v>28</v>
      </c>
      <c r="C22" s="32" t="s">
        <v>211</v>
      </c>
      <c r="D22" s="28" t="s">
        <v>207</v>
      </c>
      <c r="E22" s="30">
        <v>19699000</v>
      </c>
      <c r="F22" s="226">
        <v>21620718</v>
      </c>
      <c r="G22" s="223" t="s">
        <v>209</v>
      </c>
      <c r="H22" s="227">
        <f t="shared" si="0"/>
        <v>1921718</v>
      </c>
      <c r="I22" s="236" t="s">
        <v>212</v>
      </c>
    </row>
    <row r="23" spans="1:12" ht="45" x14ac:dyDescent="0.25">
      <c r="A23" s="34" t="s">
        <v>28</v>
      </c>
      <c r="C23" s="32" t="s">
        <v>213</v>
      </c>
      <c r="D23" s="28" t="s">
        <v>35</v>
      </c>
      <c r="E23" s="30">
        <v>513317</v>
      </c>
      <c r="F23" s="196">
        <f>ROUND(F22*(E23/E22),0)</f>
        <v>563393</v>
      </c>
      <c r="G23" s="28" t="s">
        <v>179</v>
      </c>
      <c r="H23" s="30">
        <f t="shared" si="0"/>
        <v>50076</v>
      </c>
      <c r="I23" s="235"/>
    </row>
    <row r="24" spans="1:12" ht="75" x14ac:dyDescent="0.25">
      <c r="A24" s="90" t="s">
        <v>88</v>
      </c>
      <c r="B24" s="92"/>
      <c r="C24" s="97" t="s">
        <v>214</v>
      </c>
      <c r="D24" s="94" t="s">
        <v>215</v>
      </c>
      <c r="E24" s="93">
        <v>0</v>
      </c>
      <c r="F24" s="93">
        <v>244413.21</v>
      </c>
      <c r="G24" s="94" t="s">
        <v>216</v>
      </c>
      <c r="H24" s="93" t="s">
        <v>207</v>
      </c>
      <c r="I24" s="237" t="s">
        <v>217</v>
      </c>
    </row>
    <row r="25" spans="1:12" ht="75" x14ac:dyDescent="0.25">
      <c r="A25" s="34" t="s">
        <v>28</v>
      </c>
      <c r="C25" s="32" t="s">
        <v>218</v>
      </c>
      <c r="D25" s="28" t="s">
        <v>35</v>
      </c>
      <c r="E25" s="30">
        <v>658000</v>
      </c>
      <c r="F25" s="225">
        <f>F22*0.031</f>
        <v>670242.25800000003</v>
      </c>
      <c r="G25" s="228" t="s">
        <v>219</v>
      </c>
      <c r="H25" s="30">
        <f t="shared" si="0"/>
        <v>12242.258000000031</v>
      </c>
      <c r="I25" s="230"/>
      <c r="J25" s="14"/>
    </row>
    <row r="26" spans="1:12" ht="45" x14ac:dyDescent="0.25">
      <c r="A26" s="34" t="s">
        <v>28</v>
      </c>
      <c r="C26" s="32" t="s">
        <v>220</v>
      </c>
      <c r="D26" s="28" t="s">
        <v>35</v>
      </c>
      <c r="E26" s="30">
        <v>363243</v>
      </c>
      <c r="F26" s="196">
        <f>ROUND(F25*(F14/(F14+F15)),0)</f>
        <v>370001</v>
      </c>
      <c r="G26" s="28" t="s">
        <v>179</v>
      </c>
      <c r="H26" s="30">
        <f t="shared" si="0"/>
        <v>6758</v>
      </c>
      <c r="I26" s="235"/>
      <c r="J26" s="14"/>
      <c r="L26" s="182"/>
    </row>
    <row r="27" spans="1:12" ht="285" x14ac:dyDescent="0.25">
      <c r="A27" s="34" t="s">
        <v>28</v>
      </c>
      <c r="C27" s="32" t="s">
        <v>221</v>
      </c>
      <c r="D27" s="28" t="s">
        <v>35</v>
      </c>
      <c r="E27" s="30">
        <v>1354273</v>
      </c>
      <c r="F27" s="196">
        <f>ROUND((2257121/21511000)*F22*0.6,0)</f>
        <v>1361180</v>
      </c>
      <c r="G27" s="28" t="s">
        <v>222</v>
      </c>
      <c r="H27" s="30">
        <f t="shared" si="0"/>
        <v>6907</v>
      </c>
      <c r="I27" s="230" t="s">
        <v>223</v>
      </c>
      <c r="J27" s="183"/>
      <c r="K27" s="181"/>
      <c r="L27" s="181"/>
    </row>
    <row r="28" spans="1:12" ht="30" x14ac:dyDescent="0.25">
      <c r="A28" s="34" t="s">
        <v>28</v>
      </c>
      <c r="C28" s="32" t="s">
        <v>224</v>
      </c>
      <c r="D28" s="121" t="s">
        <v>56</v>
      </c>
      <c r="E28" s="30">
        <f>E15*0.2</f>
        <v>2931350.2</v>
      </c>
      <c r="F28" s="196">
        <f>ROUND(F15*0.2,0)</f>
        <v>3431277</v>
      </c>
      <c r="G28" s="28" t="s">
        <v>225</v>
      </c>
      <c r="H28" s="30">
        <f t="shared" si="0"/>
        <v>499926.79999999981</v>
      </c>
      <c r="I28" s="230"/>
      <c r="J28" s="14"/>
    </row>
    <row r="29" spans="1:12" ht="45" x14ac:dyDescent="0.25">
      <c r="A29" s="34" t="s">
        <v>28</v>
      </c>
      <c r="C29" s="32" t="s">
        <v>226</v>
      </c>
      <c r="D29" s="28" t="s">
        <v>59</v>
      </c>
      <c r="E29" s="30">
        <v>7328376</v>
      </c>
      <c r="F29" s="196">
        <f>ROUND((E29/E15)*F15,0)</f>
        <v>8578192</v>
      </c>
      <c r="G29" s="28" t="s">
        <v>179</v>
      </c>
      <c r="H29" s="30">
        <f t="shared" si="0"/>
        <v>1249816</v>
      </c>
      <c r="I29" s="230"/>
      <c r="J29" s="14"/>
    </row>
    <row r="30" spans="1:12" ht="45" x14ac:dyDescent="0.25">
      <c r="A30" s="34" t="s">
        <v>28</v>
      </c>
      <c r="C30" s="32" t="s">
        <v>227</v>
      </c>
      <c r="D30" s="121" t="s">
        <v>59</v>
      </c>
      <c r="E30" s="30">
        <v>146568</v>
      </c>
      <c r="F30" s="196">
        <f>ROUND((E30/E15)*F15,0)</f>
        <v>171564</v>
      </c>
      <c r="G30" s="28" t="s">
        <v>179</v>
      </c>
      <c r="H30" s="30">
        <f t="shared" si="0"/>
        <v>24996</v>
      </c>
      <c r="I30" s="230"/>
      <c r="J30" s="14"/>
    </row>
    <row r="31" spans="1:12" ht="45" x14ac:dyDescent="0.25">
      <c r="A31" s="34" t="s">
        <v>28</v>
      </c>
      <c r="C31" s="32" t="s">
        <v>228</v>
      </c>
      <c r="D31" s="121" t="s">
        <v>59</v>
      </c>
      <c r="E31" s="30">
        <v>293135</v>
      </c>
      <c r="F31" s="196">
        <f>ROUND((E31/E15)*F15,0)</f>
        <v>343128</v>
      </c>
      <c r="G31" s="28" t="s">
        <v>179</v>
      </c>
      <c r="H31" s="30">
        <f t="shared" si="0"/>
        <v>49993</v>
      </c>
      <c r="I31" s="230"/>
      <c r="J31" s="14"/>
    </row>
    <row r="32" spans="1:12" ht="45" x14ac:dyDescent="0.25">
      <c r="A32" s="34" t="s">
        <v>28</v>
      </c>
      <c r="C32" s="32" t="s">
        <v>229</v>
      </c>
      <c r="D32" s="121" t="s">
        <v>59</v>
      </c>
      <c r="E32" s="30">
        <v>141555</v>
      </c>
      <c r="F32" s="196">
        <f>ROUND((F19)*((F15)/(F15+F14)),0)</f>
        <v>154963</v>
      </c>
      <c r="G32" s="221" t="s">
        <v>230</v>
      </c>
      <c r="H32" s="30">
        <f t="shared" si="0"/>
        <v>13408</v>
      </c>
      <c r="I32" s="238"/>
      <c r="J32" s="14"/>
    </row>
    <row r="33" spans="1:10" ht="45" x14ac:dyDescent="0.25">
      <c r="A33" s="34" t="s">
        <v>28</v>
      </c>
      <c r="C33" s="219" t="s">
        <v>231</v>
      </c>
      <c r="D33" s="220" t="s">
        <v>59</v>
      </c>
      <c r="E33" s="151">
        <v>6133903</v>
      </c>
      <c r="F33" s="218">
        <f>ROUND((F17)*(F15/(F15+F14)),0)</f>
        <v>6740897</v>
      </c>
      <c r="G33" s="221" t="s">
        <v>232</v>
      </c>
      <c r="H33" s="151">
        <f t="shared" si="0"/>
        <v>606994</v>
      </c>
      <c r="I33" s="239"/>
      <c r="J33" s="14"/>
    </row>
    <row r="34" spans="1:10" ht="30" x14ac:dyDescent="0.25">
      <c r="A34" s="34" t="s">
        <v>28</v>
      </c>
      <c r="C34" s="32" t="s">
        <v>233</v>
      </c>
      <c r="D34" s="121" t="s">
        <v>59</v>
      </c>
      <c r="E34" s="30">
        <v>2864000</v>
      </c>
      <c r="F34" s="196">
        <f>F18</f>
        <v>3008202.3229999999</v>
      </c>
      <c r="G34" s="28" t="s">
        <v>234</v>
      </c>
      <c r="H34" s="30">
        <f t="shared" si="0"/>
        <v>144202.32299999986</v>
      </c>
      <c r="I34" s="238"/>
      <c r="J34" s="14"/>
    </row>
    <row r="35" spans="1:10" ht="30" x14ac:dyDescent="0.25">
      <c r="A35" s="34" t="s">
        <v>28</v>
      </c>
      <c r="C35" s="32" t="s">
        <v>235</v>
      </c>
      <c r="D35" s="121" t="s">
        <v>59</v>
      </c>
      <c r="E35" s="30">
        <v>11792751</v>
      </c>
      <c r="F35" s="196">
        <f>F15-F34</f>
        <v>14148180.974022605</v>
      </c>
      <c r="G35" s="28" t="s">
        <v>236</v>
      </c>
      <c r="H35" s="30">
        <f t="shared" si="0"/>
        <v>2355429.9740226045</v>
      </c>
      <c r="I35" s="238"/>
      <c r="J35" s="14"/>
    </row>
    <row r="36" spans="1:10" ht="30" x14ac:dyDescent="0.25">
      <c r="A36" s="34" t="s">
        <v>208</v>
      </c>
      <c r="C36" s="32" t="s">
        <v>237</v>
      </c>
      <c r="D36" s="28">
        <v>273.20999999999998</v>
      </c>
      <c r="E36" s="30" t="s">
        <v>208</v>
      </c>
      <c r="F36" s="196">
        <f>ROUND((F22*0.0005),0)</f>
        <v>10810</v>
      </c>
      <c r="G36" s="28" t="s">
        <v>238</v>
      </c>
      <c r="H36" s="30" t="s">
        <v>239</v>
      </c>
      <c r="I36" s="238"/>
      <c r="J36" s="14"/>
    </row>
    <row r="37" spans="1:10" ht="30" x14ac:dyDescent="0.25">
      <c r="A37" s="34" t="s">
        <v>208</v>
      </c>
      <c r="C37" s="32" t="s">
        <v>240</v>
      </c>
      <c r="D37" s="28" t="s">
        <v>69</v>
      </c>
      <c r="E37" s="30" t="s">
        <v>208</v>
      </c>
      <c r="F37" s="196">
        <f>ROUND((F22*0.0003),0)</f>
        <v>6486</v>
      </c>
      <c r="G37" s="28" t="s">
        <v>241</v>
      </c>
      <c r="H37" s="30" t="s">
        <v>208</v>
      </c>
      <c r="I37" s="238"/>
      <c r="J37" s="14"/>
    </row>
    <row r="38" spans="1:10" ht="30" x14ac:dyDescent="0.25">
      <c r="A38" s="34" t="s">
        <v>208</v>
      </c>
      <c r="C38" s="32" t="s">
        <v>242</v>
      </c>
      <c r="D38" s="28" t="s">
        <v>71</v>
      </c>
      <c r="E38" s="30" t="s">
        <v>208</v>
      </c>
      <c r="F38" s="196">
        <f>ROUND((F22*0.79),0)</f>
        <v>17080367</v>
      </c>
      <c r="G38" s="28" t="s">
        <v>243</v>
      </c>
      <c r="H38" s="30" t="s">
        <v>208</v>
      </c>
      <c r="I38" s="238"/>
      <c r="J38" s="14"/>
    </row>
    <row r="39" spans="1:10" ht="60" x14ac:dyDescent="0.25">
      <c r="A39" s="34" t="s">
        <v>208</v>
      </c>
      <c r="C39" s="32" t="s">
        <v>244</v>
      </c>
      <c r="D39" s="28" t="s">
        <v>71</v>
      </c>
      <c r="E39" s="30" t="s">
        <v>208</v>
      </c>
      <c r="F39" s="196">
        <f>F38*0.75</f>
        <v>12810275.25</v>
      </c>
      <c r="G39" s="171" t="s">
        <v>245</v>
      </c>
      <c r="H39" s="30" t="s">
        <v>239</v>
      </c>
      <c r="I39" s="230" t="s">
        <v>246</v>
      </c>
      <c r="J39" s="14"/>
    </row>
    <row r="40" spans="1:10" ht="30" x14ac:dyDescent="0.25">
      <c r="A40" s="34" t="s">
        <v>208</v>
      </c>
      <c r="C40" s="32" t="s">
        <v>247</v>
      </c>
      <c r="D40" s="28" t="s">
        <v>73</v>
      </c>
      <c r="E40" s="30" t="s">
        <v>208</v>
      </c>
      <c r="F40" s="196">
        <f>ROUND((F22*0.141),0)</f>
        <v>3048521</v>
      </c>
      <c r="G40" s="28" t="s">
        <v>248</v>
      </c>
      <c r="H40" s="30" t="s">
        <v>208</v>
      </c>
      <c r="I40" s="238"/>
      <c r="J40" s="14"/>
    </row>
    <row r="41" spans="1:10" ht="30" x14ac:dyDescent="0.25">
      <c r="A41" s="34" t="s">
        <v>28</v>
      </c>
      <c r="C41" s="32" t="s">
        <v>249</v>
      </c>
      <c r="D41" s="28">
        <v>273.20999999999998</v>
      </c>
      <c r="E41" s="30">
        <v>91000</v>
      </c>
      <c r="F41" s="257">
        <f>F36*11</f>
        <v>118910</v>
      </c>
      <c r="G41" s="2" t="s">
        <v>250</v>
      </c>
      <c r="H41" s="40">
        <f t="shared" si="0"/>
        <v>27910</v>
      </c>
      <c r="I41" s="240" t="s">
        <v>251</v>
      </c>
    </row>
    <row r="42" spans="1:10" ht="30" x14ac:dyDescent="0.25">
      <c r="A42" s="34" t="s">
        <v>28</v>
      </c>
      <c r="C42" s="32" t="s">
        <v>252</v>
      </c>
      <c r="D42" s="28" t="s">
        <v>69</v>
      </c>
      <c r="E42" s="30">
        <v>19000</v>
      </c>
      <c r="F42" s="257">
        <f>F37*3</f>
        <v>19458</v>
      </c>
      <c r="G42" s="2" t="s">
        <v>253</v>
      </c>
      <c r="H42" s="40">
        <f t="shared" si="0"/>
        <v>458</v>
      </c>
      <c r="I42" s="240" t="s">
        <v>254</v>
      </c>
    </row>
    <row r="43" spans="1:10" ht="30" x14ac:dyDescent="0.25">
      <c r="A43" s="34" t="s">
        <v>28</v>
      </c>
      <c r="C43" s="32" t="s">
        <v>255</v>
      </c>
      <c r="D43" s="28" t="s">
        <v>71</v>
      </c>
      <c r="E43" s="30">
        <v>11624000</v>
      </c>
      <c r="F43" s="257">
        <f>F39</f>
        <v>12810275.25</v>
      </c>
      <c r="G43" s="171" t="s">
        <v>256</v>
      </c>
      <c r="H43" s="40">
        <f t="shared" si="0"/>
        <v>1186275.25</v>
      </c>
      <c r="I43" s="240" t="s">
        <v>257</v>
      </c>
    </row>
    <row r="44" spans="1:10" ht="45" x14ac:dyDescent="0.25">
      <c r="A44" s="34" t="s">
        <v>28</v>
      </c>
      <c r="C44" s="32" t="s">
        <v>258</v>
      </c>
      <c r="D44" s="28" t="s">
        <v>73</v>
      </c>
      <c r="E44" s="30">
        <v>9366000</v>
      </c>
      <c r="F44" s="257">
        <f>F40*3</f>
        <v>9145563</v>
      </c>
      <c r="G44" s="2" t="s">
        <v>259</v>
      </c>
      <c r="H44" s="40">
        <f t="shared" si="0"/>
        <v>-220437</v>
      </c>
      <c r="I44" s="240" t="s">
        <v>257</v>
      </c>
    </row>
    <row r="45" spans="1:10" ht="45" x14ac:dyDescent="0.25">
      <c r="A45" s="34" t="s">
        <v>28</v>
      </c>
      <c r="C45" s="32" t="s">
        <v>260</v>
      </c>
      <c r="D45" s="28" t="s">
        <v>78</v>
      </c>
      <c r="E45" s="30">
        <v>36444144</v>
      </c>
      <c r="F45" s="196">
        <f>(ROUND((E45/E22)*F22,0))</f>
        <v>39999419</v>
      </c>
      <c r="G45" s="223" t="s">
        <v>261</v>
      </c>
      <c r="H45" s="30">
        <f t="shared" si="0"/>
        <v>3555275</v>
      </c>
      <c r="I45" s="230" t="s">
        <v>262</v>
      </c>
      <c r="J45" s="14"/>
    </row>
    <row r="46" spans="1:10" ht="60" x14ac:dyDescent="0.25">
      <c r="A46" s="34" t="s">
        <v>28</v>
      </c>
      <c r="C46" s="32" t="s">
        <v>263</v>
      </c>
      <c r="D46" s="28" t="s">
        <v>80</v>
      </c>
      <c r="E46" s="30">
        <v>53486</v>
      </c>
      <c r="F46" s="196">
        <f>ROUND((E46/$E$22)*$F$22,0)</f>
        <v>58704</v>
      </c>
      <c r="G46" s="223" t="s">
        <v>261</v>
      </c>
      <c r="H46" s="30">
        <f t="shared" si="0"/>
        <v>5218</v>
      </c>
      <c r="I46" s="238"/>
      <c r="J46" s="14"/>
    </row>
    <row r="47" spans="1:10" ht="45" x14ac:dyDescent="0.25">
      <c r="A47" s="34" t="s">
        <v>28</v>
      </c>
      <c r="C47" s="32" t="s">
        <v>264</v>
      </c>
      <c r="D47" s="28" t="s">
        <v>84</v>
      </c>
      <c r="E47" s="30">
        <v>2070612</v>
      </c>
      <c r="F47" s="196">
        <f>ROUND((E47/$E$22)*$F$22,0)</f>
        <v>2272609</v>
      </c>
      <c r="G47" s="223" t="s">
        <v>265</v>
      </c>
      <c r="H47" s="30">
        <f t="shared" si="0"/>
        <v>201997</v>
      </c>
      <c r="I47" s="238"/>
      <c r="J47" s="14"/>
    </row>
    <row r="48" spans="1:10" ht="30" x14ac:dyDescent="0.25">
      <c r="A48" s="34" t="s">
        <v>28</v>
      </c>
      <c r="C48" s="32" t="s">
        <v>266</v>
      </c>
      <c r="D48" s="28" t="s">
        <v>86</v>
      </c>
      <c r="E48" s="30">
        <v>19384809</v>
      </c>
      <c r="F48" s="196">
        <f>ROUND((E48/$E$22)*$F$22,0)</f>
        <v>21275876</v>
      </c>
      <c r="G48" s="223" t="s">
        <v>261</v>
      </c>
      <c r="H48" s="30">
        <f t="shared" si="0"/>
        <v>1891067</v>
      </c>
      <c r="I48" s="238"/>
      <c r="J48" s="14"/>
    </row>
    <row r="49" spans="1:10" ht="30" x14ac:dyDescent="0.25">
      <c r="A49" s="34" t="s">
        <v>28</v>
      </c>
      <c r="C49" s="32" t="s">
        <v>267</v>
      </c>
      <c r="D49" s="28" t="s">
        <v>91</v>
      </c>
      <c r="E49" s="30">
        <v>1452559</v>
      </c>
      <c r="F49" s="196">
        <f>ROUND((E49/$E$22)*$F$22,0)</f>
        <v>1594262</v>
      </c>
      <c r="G49" s="223" t="s">
        <v>261</v>
      </c>
      <c r="H49" s="30">
        <f>F49-E49</f>
        <v>141703</v>
      </c>
      <c r="I49" s="238"/>
      <c r="J49" s="14"/>
    </row>
    <row r="50" spans="1:10" ht="75" x14ac:dyDescent="0.25">
      <c r="A50" s="90" t="s">
        <v>88</v>
      </c>
      <c r="B50" s="92"/>
      <c r="C50" s="108" t="s">
        <v>268</v>
      </c>
      <c r="D50" s="94" t="s">
        <v>269</v>
      </c>
      <c r="E50" s="93">
        <v>0</v>
      </c>
      <c r="F50" s="93">
        <v>409709.61</v>
      </c>
      <c r="G50" s="94" t="s">
        <v>216</v>
      </c>
      <c r="H50" s="93" t="s">
        <v>207</v>
      </c>
      <c r="I50" s="237" t="s">
        <v>270</v>
      </c>
      <c r="J50" s="14"/>
    </row>
    <row r="51" spans="1:10" ht="30" x14ac:dyDescent="0.25">
      <c r="A51" s="34" t="s">
        <v>28</v>
      </c>
      <c r="C51" s="32" t="s">
        <v>271</v>
      </c>
      <c r="D51" s="28" t="s">
        <v>93</v>
      </c>
      <c r="E51" s="30">
        <v>320919</v>
      </c>
      <c r="F51" s="196">
        <f>ROUND((E51/$E$22)*$F$22,0)</f>
        <v>352226</v>
      </c>
      <c r="G51" s="223" t="s">
        <v>261</v>
      </c>
      <c r="H51" s="30">
        <f t="shared" si="0"/>
        <v>31307</v>
      </c>
      <c r="I51" s="238"/>
      <c r="J51" s="14"/>
    </row>
    <row r="52" spans="1:10" ht="30" x14ac:dyDescent="0.25">
      <c r="A52" s="34" t="s">
        <v>28</v>
      </c>
      <c r="C52" s="32" t="s">
        <v>272</v>
      </c>
      <c r="D52" s="28" t="s">
        <v>95</v>
      </c>
      <c r="E52" s="30">
        <v>479344</v>
      </c>
      <c r="F52" s="196">
        <f>ROUND(F49*0.33,0)</f>
        <v>526106</v>
      </c>
      <c r="G52" s="28" t="s">
        <v>273</v>
      </c>
      <c r="H52" s="30">
        <f t="shared" si="0"/>
        <v>46762</v>
      </c>
      <c r="I52" s="238"/>
      <c r="J52" s="14"/>
    </row>
    <row r="53" spans="1:10" ht="30" x14ac:dyDescent="0.25">
      <c r="A53" s="34" t="s">
        <v>28</v>
      </c>
      <c r="C53" s="88" t="s">
        <v>274</v>
      </c>
      <c r="D53" s="28" t="s">
        <v>99</v>
      </c>
      <c r="E53" s="30">
        <v>479344</v>
      </c>
      <c r="F53" s="196">
        <f>F52</f>
        <v>526106</v>
      </c>
      <c r="G53" s="28" t="s">
        <v>275</v>
      </c>
      <c r="H53" s="30">
        <f>F53-E53</f>
        <v>46762</v>
      </c>
      <c r="I53" s="238"/>
      <c r="J53" s="14"/>
    </row>
    <row r="54" spans="1:10" ht="75" x14ac:dyDescent="0.25">
      <c r="A54" s="90" t="s">
        <v>88</v>
      </c>
      <c r="B54" s="92"/>
      <c r="C54" s="98" t="s">
        <v>276</v>
      </c>
      <c r="D54" s="102" t="s">
        <v>277</v>
      </c>
      <c r="E54" s="93">
        <v>0</v>
      </c>
      <c r="F54" s="93">
        <v>409709.61</v>
      </c>
      <c r="G54" s="94" t="s">
        <v>216</v>
      </c>
      <c r="H54" s="93" t="s">
        <v>207</v>
      </c>
      <c r="I54" s="237" t="s">
        <v>278</v>
      </c>
      <c r="J54" s="14"/>
    </row>
    <row r="55" spans="1:10" ht="105" x14ac:dyDescent="0.25">
      <c r="A55" s="34" t="s">
        <v>28</v>
      </c>
      <c r="C55" s="88" t="s">
        <v>279</v>
      </c>
      <c r="D55" s="28" t="s">
        <v>101</v>
      </c>
      <c r="E55" s="30">
        <v>5224000</v>
      </c>
      <c r="F55" s="225">
        <f>F21*0.116</f>
        <v>4780157.1160000004</v>
      </c>
      <c r="G55" s="223" t="s">
        <v>280</v>
      </c>
      <c r="H55" s="30">
        <f>F55-E55</f>
        <v>-443842.88399999961</v>
      </c>
      <c r="I55" s="230" t="s">
        <v>281</v>
      </c>
      <c r="J55" s="14"/>
    </row>
    <row r="56" spans="1:10" ht="150" x14ac:dyDescent="0.25">
      <c r="A56" s="34" t="s">
        <v>28</v>
      </c>
      <c r="C56" s="32" t="s">
        <v>282</v>
      </c>
      <c r="D56" s="28" t="s">
        <v>105</v>
      </c>
      <c r="E56" s="30">
        <v>128495</v>
      </c>
      <c r="F56" s="225">
        <f>F21*0.027</f>
        <v>1112622.777</v>
      </c>
      <c r="G56" s="223" t="s">
        <v>283</v>
      </c>
      <c r="H56" s="30">
        <f>F56-E56</f>
        <v>984127.777</v>
      </c>
      <c r="I56" s="241" t="s">
        <v>284</v>
      </c>
      <c r="J56" s="14"/>
    </row>
    <row r="57" spans="1:10" ht="60" x14ac:dyDescent="0.25">
      <c r="A57" s="90" t="s">
        <v>88</v>
      </c>
      <c r="B57" s="92"/>
      <c r="C57" s="95" t="s">
        <v>285</v>
      </c>
      <c r="D57" s="91" t="s">
        <v>112</v>
      </c>
      <c r="E57" s="93">
        <v>0</v>
      </c>
      <c r="F57" s="93">
        <v>53</v>
      </c>
      <c r="G57" s="94" t="s">
        <v>286</v>
      </c>
      <c r="H57" s="93" t="s">
        <v>207</v>
      </c>
      <c r="I57" s="242"/>
      <c r="J57" s="14"/>
    </row>
    <row r="58" spans="1:10" ht="60" x14ac:dyDescent="0.25">
      <c r="A58" s="90" t="s">
        <v>88</v>
      </c>
      <c r="B58" s="92"/>
      <c r="C58" s="243" t="s">
        <v>287</v>
      </c>
      <c r="D58" s="91" t="s">
        <v>107</v>
      </c>
      <c r="E58" s="93">
        <v>0</v>
      </c>
      <c r="F58" s="93">
        <v>46000</v>
      </c>
      <c r="G58" s="94" t="s">
        <v>286</v>
      </c>
      <c r="H58" s="93" t="s">
        <v>207</v>
      </c>
      <c r="I58" s="242"/>
      <c r="J58" s="14"/>
    </row>
    <row r="59" spans="1:10" ht="60" x14ac:dyDescent="0.25">
      <c r="A59" s="90" t="s">
        <v>88</v>
      </c>
      <c r="B59" s="92"/>
      <c r="C59" s="244" t="s">
        <v>288</v>
      </c>
      <c r="D59" s="91" t="s">
        <v>289</v>
      </c>
      <c r="E59" s="93">
        <v>0</v>
      </c>
      <c r="F59" s="93">
        <v>53</v>
      </c>
      <c r="G59" s="94" t="s">
        <v>286</v>
      </c>
      <c r="H59" s="93" t="s">
        <v>207</v>
      </c>
      <c r="I59" s="242"/>
      <c r="J59" s="14"/>
    </row>
    <row r="60" spans="1:10" ht="105" x14ac:dyDescent="0.25">
      <c r="A60" s="90" t="s">
        <v>88</v>
      </c>
      <c r="B60" s="92"/>
      <c r="C60" s="96" t="s">
        <v>290</v>
      </c>
      <c r="D60" s="91" t="s">
        <v>103</v>
      </c>
      <c r="E60" s="93">
        <v>0</v>
      </c>
      <c r="F60" s="109">
        <v>2700000</v>
      </c>
      <c r="G60" s="94" t="s">
        <v>286</v>
      </c>
      <c r="H60" s="93" t="s">
        <v>207</v>
      </c>
      <c r="I60" s="242" t="s">
        <v>281</v>
      </c>
      <c r="J60" s="14"/>
    </row>
    <row r="61" spans="1:10" ht="124.15" customHeight="1" x14ac:dyDescent="0.25">
      <c r="A61" s="34" t="s">
        <v>28</v>
      </c>
      <c r="C61" s="88" t="s">
        <v>291</v>
      </c>
      <c r="D61" s="28" t="s">
        <v>109</v>
      </c>
      <c r="E61" s="30">
        <v>32718952</v>
      </c>
      <c r="F61" s="197">
        <f>F14+F15</f>
        <v>38298998.297022603</v>
      </c>
      <c r="G61" s="28" t="s">
        <v>292</v>
      </c>
      <c r="H61" s="30">
        <f t="shared" ref="H61:H72" si="1">F61-E61</f>
        <v>5580046.2970226035</v>
      </c>
      <c r="I61" s="230"/>
      <c r="J61" s="14"/>
    </row>
    <row r="62" spans="1:10" ht="115.5" customHeight="1" x14ac:dyDescent="0.25">
      <c r="A62" s="34" t="s">
        <v>28</v>
      </c>
      <c r="C62" s="32" t="s">
        <v>293</v>
      </c>
      <c r="D62" s="28" t="s">
        <v>78</v>
      </c>
      <c r="E62" s="30">
        <v>29155315</v>
      </c>
      <c r="F62" s="198">
        <f>ROUND(F45*0.8,0)</f>
        <v>31999535</v>
      </c>
      <c r="G62" s="28" t="s">
        <v>294</v>
      </c>
      <c r="H62" s="30">
        <f t="shared" si="1"/>
        <v>2844220</v>
      </c>
      <c r="I62" s="238"/>
      <c r="J62" s="14"/>
    </row>
    <row r="63" spans="1:10" ht="45.95" customHeight="1" x14ac:dyDescent="0.25">
      <c r="A63" s="34" t="s">
        <v>28</v>
      </c>
      <c r="C63" s="32" t="s">
        <v>295</v>
      </c>
      <c r="D63" s="101" t="s">
        <v>80</v>
      </c>
      <c r="E63" s="30">
        <v>42789</v>
      </c>
      <c r="F63" s="196">
        <f>ROUND(F46*0.8,0)</f>
        <v>46963</v>
      </c>
      <c r="G63" s="28" t="s">
        <v>296</v>
      </c>
      <c r="H63" s="30">
        <f t="shared" si="1"/>
        <v>4174</v>
      </c>
      <c r="I63" s="238"/>
      <c r="J63" s="14"/>
    </row>
    <row r="64" spans="1:10" ht="120" customHeight="1" x14ac:dyDescent="0.25">
      <c r="A64" s="34" t="s">
        <v>28</v>
      </c>
      <c r="C64" s="32" t="s">
        <v>297</v>
      </c>
      <c r="D64" s="28" t="s">
        <v>84</v>
      </c>
      <c r="E64" s="30">
        <v>1656490</v>
      </c>
      <c r="F64" s="196">
        <f>ROUND(F47*0.8,0)</f>
        <v>1818087</v>
      </c>
      <c r="G64" s="28" t="s">
        <v>294</v>
      </c>
      <c r="H64" s="30">
        <f t="shared" si="1"/>
        <v>161597</v>
      </c>
      <c r="I64" s="238"/>
      <c r="J64" s="14"/>
    </row>
    <row r="65" spans="1:10" ht="30" x14ac:dyDescent="0.25">
      <c r="A65" s="34" t="s">
        <v>28</v>
      </c>
      <c r="C65" s="32" t="s">
        <v>298</v>
      </c>
      <c r="D65" s="28" t="s">
        <v>86</v>
      </c>
      <c r="E65" s="30">
        <v>15507847</v>
      </c>
      <c r="F65" s="196">
        <f>ROUND(F48*0.8,0)</f>
        <v>17020701</v>
      </c>
      <c r="G65" s="28" t="s">
        <v>296</v>
      </c>
      <c r="H65" s="30">
        <f t="shared" si="1"/>
        <v>1512854</v>
      </c>
      <c r="I65" s="238"/>
      <c r="J65" s="14"/>
    </row>
    <row r="66" spans="1:10" ht="30" x14ac:dyDescent="0.25">
      <c r="A66" s="34" t="s">
        <v>28</v>
      </c>
      <c r="C66" s="32" t="s">
        <v>299</v>
      </c>
      <c r="D66" s="28" t="s">
        <v>91</v>
      </c>
      <c r="E66" s="30">
        <v>1162047</v>
      </c>
      <c r="F66" s="196">
        <f>ROUND(F49*0.8,0)</f>
        <v>1275410</v>
      </c>
      <c r="G66" s="28" t="s">
        <v>296</v>
      </c>
      <c r="H66" s="30">
        <f t="shared" si="1"/>
        <v>113363</v>
      </c>
      <c r="I66" s="238"/>
      <c r="J66" s="14"/>
    </row>
    <row r="67" spans="1:10" ht="30" x14ac:dyDescent="0.25">
      <c r="A67" s="34" t="s">
        <v>28</v>
      </c>
      <c r="C67" s="32" t="s">
        <v>300</v>
      </c>
      <c r="D67" s="28" t="s">
        <v>93</v>
      </c>
      <c r="E67" s="30">
        <v>256735</v>
      </c>
      <c r="F67" s="196">
        <f>ROUND(F51*0.8,0)</f>
        <v>281781</v>
      </c>
      <c r="G67" s="28" t="s">
        <v>301</v>
      </c>
      <c r="H67" s="30">
        <f t="shared" si="1"/>
        <v>25046</v>
      </c>
      <c r="I67" s="238"/>
      <c r="J67" s="14"/>
    </row>
    <row r="68" spans="1:10" ht="30" x14ac:dyDescent="0.25">
      <c r="A68" s="34" t="s">
        <v>28</v>
      </c>
      <c r="C68" s="32" t="s">
        <v>302</v>
      </c>
      <c r="D68" s="28" t="s">
        <v>95</v>
      </c>
      <c r="E68" s="30">
        <v>383475</v>
      </c>
      <c r="F68" s="196">
        <f>ROUND(F52*0.8,0)</f>
        <v>420885</v>
      </c>
      <c r="G68" s="28" t="s">
        <v>303</v>
      </c>
      <c r="H68" s="30">
        <f t="shared" si="1"/>
        <v>37410</v>
      </c>
      <c r="I68" s="238"/>
      <c r="J68" s="14"/>
    </row>
    <row r="69" spans="1:10" ht="30" x14ac:dyDescent="0.25">
      <c r="A69" s="34" t="s">
        <v>28</v>
      </c>
      <c r="C69" s="88" t="s">
        <v>304</v>
      </c>
      <c r="D69" s="28" t="s">
        <v>99</v>
      </c>
      <c r="E69" s="30">
        <v>383475</v>
      </c>
      <c r="F69" s="196">
        <f>ROUND((F53)*0.8,0)</f>
        <v>420885</v>
      </c>
      <c r="G69" s="28" t="s">
        <v>305</v>
      </c>
      <c r="H69" s="30">
        <f t="shared" si="1"/>
        <v>37410</v>
      </c>
      <c r="I69" s="238"/>
      <c r="J69" s="14"/>
    </row>
    <row r="70" spans="1:10" ht="120" x14ac:dyDescent="0.25">
      <c r="A70" s="34" t="s">
        <v>28</v>
      </c>
      <c r="C70" s="88" t="s">
        <v>306</v>
      </c>
      <c r="D70" s="28" t="s">
        <v>101</v>
      </c>
      <c r="E70" s="30">
        <v>4179200</v>
      </c>
      <c r="F70" s="196">
        <f>ROUND(F55*0.8,0)</f>
        <v>3824126</v>
      </c>
      <c r="G70" s="28" t="s">
        <v>307</v>
      </c>
      <c r="H70" s="30">
        <f t="shared" si="1"/>
        <v>-355074</v>
      </c>
      <c r="I70" s="230" t="s">
        <v>308</v>
      </c>
      <c r="J70" s="14"/>
    </row>
    <row r="71" spans="1:10" ht="120" x14ac:dyDescent="0.25">
      <c r="A71" s="34" t="s">
        <v>28</v>
      </c>
      <c r="C71" s="88" t="s">
        <v>309</v>
      </c>
      <c r="D71" s="28" t="s">
        <v>105</v>
      </c>
      <c r="E71" s="30">
        <v>102796</v>
      </c>
      <c r="F71" s="196">
        <f>ROUND(F56*0.8,0)</f>
        <v>890098</v>
      </c>
      <c r="G71" s="28" t="s">
        <v>310</v>
      </c>
      <c r="H71" s="30">
        <f t="shared" si="1"/>
        <v>787302</v>
      </c>
      <c r="I71" s="230" t="s">
        <v>308</v>
      </c>
      <c r="J71" s="14"/>
    </row>
    <row r="72" spans="1:10" ht="51" customHeight="1" x14ac:dyDescent="0.25">
      <c r="A72" s="34" t="s">
        <v>28</v>
      </c>
      <c r="C72" s="88" t="s">
        <v>311</v>
      </c>
      <c r="D72" s="28" t="s">
        <v>109</v>
      </c>
      <c r="E72" s="30">
        <v>26175162</v>
      </c>
      <c r="F72" s="196">
        <f>ROUND(F61*0.8,0)</f>
        <v>30639199</v>
      </c>
      <c r="G72" s="28" t="s">
        <v>312</v>
      </c>
      <c r="H72" s="30">
        <f t="shared" si="1"/>
        <v>4464037</v>
      </c>
      <c r="I72" s="230"/>
      <c r="J72" s="14"/>
    </row>
    <row r="73" spans="1:10" ht="75" x14ac:dyDescent="0.25">
      <c r="A73" s="90" t="s">
        <v>88</v>
      </c>
      <c r="B73" s="92"/>
      <c r="C73" s="243" t="s">
        <v>313</v>
      </c>
      <c r="D73" s="91" t="s">
        <v>107</v>
      </c>
      <c r="E73" s="93">
        <v>0</v>
      </c>
      <c r="F73" s="100">
        <v>46000</v>
      </c>
      <c r="G73" s="94" t="s">
        <v>314</v>
      </c>
      <c r="H73" s="93" t="s">
        <v>207</v>
      </c>
      <c r="I73" s="242" t="s">
        <v>315</v>
      </c>
      <c r="J73" s="14"/>
    </row>
    <row r="74" spans="1:10" ht="75" x14ac:dyDescent="0.25">
      <c r="A74" s="90" t="s">
        <v>88</v>
      </c>
      <c r="B74" s="92"/>
      <c r="C74" s="245" t="s">
        <v>316</v>
      </c>
      <c r="D74" s="91" t="s">
        <v>150</v>
      </c>
      <c r="E74" s="93">
        <v>0</v>
      </c>
      <c r="F74" s="100">
        <v>2700000</v>
      </c>
      <c r="G74" s="94" t="s">
        <v>314</v>
      </c>
      <c r="H74" s="93" t="s">
        <v>207</v>
      </c>
      <c r="I74" s="242" t="s">
        <v>315</v>
      </c>
      <c r="J74" s="14"/>
    </row>
    <row r="75" spans="1:10" ht="165" x14ac:dyDescent="0.25">
      <c r="A75" s="136" t="s">
        <v>88</v>
      </c>
      <c r="B75" s="92"/>
      <c r="C75" s="245" t="s">
        <v>317</v>
      </c>
      <c r="D75" s="137" t="s">
        <v>89</v>
      </c>
      <c r="E75" s="138">
        <v>0</v>
      </c>
      <c r="F75" s="139">
        <v>5496000</v>
      </c>
      <c r="G75" s="140" t="s">
        <v>318</v>
      </c>
      <c r="H75" s="138" t="s">
        <v>207</v>
      </c>
      <c r="I75" s="246" t="s">
        <v>319</v>
      </c>
      <c r="J75" s="14"/>
    </row>
    <row r="76" spans="1:10" ht="30" x14ac:dyDescent="0.25">
      <c r="A76" s="133" t="s">
        <v>28</v>
      </c>
      <c r="B76" s="185"/>
      <c r="C76" s="247" t="s">
        <v>123</v>
      </c>
      <c r="D76" s="186" t="s">
        <v>122</v>
      </c>
      <c r="E76" s="135">
        <v>1908</v>
      </c>
      <c r="F76" s="194">
        <v>1908</v>
      </c>
      <c r="G76" s="134" t="s">
        <v>320</v>
      </c>
      <c r="H76" s="135">
        <f t="shared" ref="H76:H84" si="2">F76-E76</f>
        <v>0</v>
      </c>
      <c r="I76" s="248"/>
      <c r="J76" s="14"/>
    </row>
    <row r="77" spans="1:10" ht="191.65" customHeight="1" x14ac:dyDescent="0.25">
      <c r="A77" s="141" t="s">
        <v>28</v>
      </c>
      <c r="C77" s="39" t="s">
        <v>321</v>
      </c>
      <c r="D77" s="142" t="s">
        <v>322</v>
      </c>
      <c r="E77" s="143">
        <v>2724</v>
      </c>
      <c r="F77" s="195">
        <v>2724</v>
      </c>
      <c r="G77" s="142" t="s">
        <v>320</v>
      </c>
      <c r="H77" s="143">
        <f t="shared" si="2"/>
        <v>0</v>
      </c>
      <c r="I77" s="249"/>
    </row>
    <row r="78" spans="1:10" ht="75" x14ac:dyDescent="0.25">
      <c r="A78" s="34" t="s">
        <v>28</v>
      </c>
      <c r="C78" s="32" t="s">
        <v>323</v>
      </c>
      <c r="D78" s="28" t="s">
        <v>126</v>
      </c>
      <c r="E78" s="30">
        <v>124301000</v>
      </c>
      <c r="F78" s="225">
        <f>39519000+37202000+36363000</f>
        <v>113084000</v>
      </c>
      <c r="G78" s="223" t="s">
        <v>324</v>
      </c>
      <c r="H78" s="30">
        <f t="shared" si="2"/>
        <v>-11217000</v>
      </c>
      <c r="I78" s="230" t="s">
        <v>325</v>
      </c>
      <c r="J78" s="14"/>
    </row>
    <row r="79" spans="1:10" ht="30" x14ac:dyDescent="0.25">
      <c r="A79" s="34" t="s">
        <v>28</v>
      </c>
      <c r="C79" s="32" t="s">
        <v>326</v>
      </c>
      <c r="D79" s="28" t="s">
        <v>128</v>
      </c>
      <c r="E79" s="30">
        <v>40877796</v>
      </c>
      <c r="F79" s="196">
        <f>ROUND((E79/$E$22)*$F$22,0)</f>
        <v>44865592</v>
      </c>
      <c r="G79" s="223" t="s">
        <v>261</v>
      </c>
      <c r="H79" s="30">
        <f t="shared" si="2"/>
        <v>3987796</v>
      </c>
      <c r="I79" s="238"/>
      <c r="J79" s="14"/>
    </row>
    <row r="80" spans="1:10" ht="45" x14ac:dyDescent="0.25">
      <c r="A80" s="34" t="s">
        <v>28</v>
      </c>
      <c r="C80" s="89" t="s">
        <v>327</v>
      </c>
      <c r="D80" s="28" t="s">
        <v>97</v>
      </c>
      <c r="E80" s="30">
        <v>327190</v>
      </c>
      <c r="F80" s="196">
        <f>ROUND((F14+F15)*0.01,0)</f>
        <v>382990</v>
      </c>
      <c r="G80" s="28" t="s">
        <v>328</v>
      </c>
      <c r="H80" s="30">
        <f t="shared" si="2"/>
        <v>55800</v>
      </c>
      <c r="I80" s="230"/>
    </row>
    <row r="81" spans="1:10" ht="180" x14ac:dyDescent="0.25">
      <c r="A81" s="34" t="s">
        <v>28</v>
      </c>
      <c r="C81" s="175" t="s">
        <v>329</v>
      </c>
      <c r="D81" s="28" t="s">
        <v>82</v>
      </c>
      <c r="E81" s="30">
        <v>512986</v>
      </c>
      <c r="F81" s="196">
        <f>(F38*0.035)+(F44*0.1)</f>
        <v>1512369.145</v>
      </c>
      <c r="G81" s="28" t="s">
        <v>330</v>
      </c>
      <c r="H81" s="30">
        <f t="shared" si="2"/>
        <v>999383.14500000002</v>
      </c>
      <c r="I81" s="230" t="s">
        <v>331</v>
      </c>
    </row>
    <row r="82" spans="1:10" ht="45" x14ac:dyDescent="0.25">
      <c r="A82" s="34" t="s">
        <v>28</v>
      </c>
      <c r="C82" s="89" t="s">
        <v>332</v>
      </c>
      <c r="D82" s="28" t="s">
        <v>114</v>
      </c>
      <c r="E82" s="30">
        <v>654379</v>
      </c>
      <c r="F82" s="196">
        <f>ROUND((F14+F15)*0.02,0)</f>
        <v>765980</v>
      </c>
      <c r="G82" s="28" t="s">
        <v>333</v>
      </c>
      <c r="H82" s="30">
        <f t="shared" si="2"/>
        <v>111601</v>
      </c>
      <c r="I82" s="230"/>
    </row>
    <row r="83" spans="1:10" ht="45" x14ac:dyDescent="0.25">
      <c r="A83" s="34" t="s">
        <v>28</v>
      </c>
      <c r="C83" s="89" t="s">
        <v>334</v>
      </c>
      <c r="D83" s="28" t="s">
        <v>118</v>
      </c>
      <c r="E83" s="30">
        <v>42084952</v>
      </c>
      <c r="F83" s="196">
        <f>F14+F15+F44</f>
        <v>47444561.297022603</v>
      </c>
      <c r="G83" s="28" t="s">
        <v>335</v>
      </c>
      <c r="H83" s="30">
        <f t="shared" si="2"/>
        <v>5359609.2970226035</v>
      </c>
      <c r="I83" s="238"/>
    </row>
    <row r="84" spans="1:10" ht="150" x14ac:dyDescent="0.25">
      <c r="A84" s="255" t="s">
        <v>28</v>
      </c>
      <c r="B84" s="229"/>
      <c r="C84" s="256" t="s">
        <v>336</v>
      </c>
      <c r="D84" s="250" t="s">
        <v>75</v>
      </c>
      <c r="E84" s="251">
        <v>744640</v>
      </c>
      <c r="F84" s="252">
        <f>(F21*0.073)*0.254</f>
        <v>764083.39004199998</v>
      </c>
      <c r="G84" s="253" t="s">
        <v>337</v>
      </c>
      <c r="H84" s="251">
        <f t="shared" si="2"/>
        <v>19443.390041999985</v>
      </c>
      <c r="I84" s="254"/>
      <c r="J84"/>
    </row>
  </sheetData>
  <mergeCells count="8">
    <mergeCell ref="A2:A4"/>
    <mergeCell ref="D3:D4"/>
    <mergeCell ref="C2:I2"/>
    <mergeCell ref="I3:I4"/>
    <mergeCell ref="H3:H4"/>
    <mergeCell ref="C3:C4"/>
    <mergeCell ref="E3:E4"/>
    <mergeCell ref="F3:G3"/>
  </mergeCells>
  <phoneticPr fontId="7" type="noConversion"/>
  <conditionalFormatting sqref="D80:D83">
    <cfRule type="expression" dxfId="0" priority="3">
      <formula>$C80="No"</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9"/>
  <sheetViews>
    <sheetView topLeftCell="A5" zoomScale="70" zoomScaleNormal="70" workbookViewId="0">
      <selection activeCell="E9" sqref="E9"/>
    </sheetView>
  </sheetViews>
  <sheetFormatPr defaultColWidth="8.85546875" defaultRowHeight="15" customHeight="1" x14ac:dyDescent="0.25"/>
  <cols>
    <col min="1" max="1" width="3.5703125" style="12" customWidth="1"/>
    <col min="2" max="2" width="36.42578125" style="12" bestFit="1" customWidth="1"/>
    <col min="3" max="4" width="14.5703125" style="13" customWidth="1"/>
    <col min="5" max="5" width="61.28515625" style="12" customWidth="1"/>
    <col min="6" max="6" width="35.140625" style="12" customWidth="1"/>
    <col min="7" max="7" width="76" style="12" customWidth="1"/>
    <col min="8" max="8" width="29.5703125" style="12" customWidth="1"/>
    <col min="9" max="16384" width="8.85546875" style="12"/>
  </cols>
  <sheetData>
    <row r="1" spans="2:8" x14ac:dyDescent="0.25">
      <c r="B1" s="14"/>
      <c r="C1" s="15"/>
      <c r="D1" s="15"/>
      <c r="E1"/>
      <c r="F1"/>
      <c r="G1"/>
      <c r="H1"/>
    </row>
    <row r="2" spans="2:8" x14ac:dyDescent="0.25">
      <c r="E2"/>
      <c r="F2"/>
      <c r="G2"/>
      <c r="H2"/>
    </row>
    <row r="3" spans="2:8" x14ac:dyDescent="0.25">
      <c r="B3" s="341" t="s">
        <v>338</v>
      </c>
      <c r="C3" s="341"/>
      <c r="D3" s="341"/>
      <c r="E3" s="341"/>
      <c r="F3" s="341"/>
      <c r="G3" s="341"/>
      <c r="H3"/>
    </row>
    <row r="4" spans="2:8" x14ac:dyDescent="0.25">
      <c r="B4" s="144"/>
      <c r="C4" s="339" t="s">
        <v>339</v>
      </c>
      <c r="D4" s="340"/>
      <c r="E4" s="340"/>
      <c r="F4" s="340"/>
      <c r="G4" s="340"/>
      <c r="H4"/>
    </row>
    <row r="5" spans="2:8" ht="57" x14ac:dyDescent="0.25">
      <c r="B5" s="145" t="s">
        <v>340</v>
      </c>
      <c r="C5" s="146" t="s">
        <v>341</v>
      </c>
      <c r="D5" s="146" t="s">
        <v>342</v>
      </c>
      <c r="E5" s="146" t="s">
        <v>343</v>
      </c>
      <c r="F5" s="147" t="s">
        <v>344</v>
      </c>
      <c r="G5" s="147" t="s">
        <v>345</v>
      </c>
      <c r="H5"/>
    </row>
    <row r="6" spans="2:8" ht="105" x14ac:dyDescent="0.25">
      <c r="B6" s="148" t="s">
        <v>346</v>
      </c>
      <c r="C6" s="150">
        <v>20.75</v>
      </c>
      <c r="D6" s="150">
        <v>22.1</v>
      </c>
      <c r="E6" s="150">
        <f>ROUND(D6*1.33, 2)</f>
        <v>29.39</v>
      </c>
      <c r="F6" s="150">
        <f>E6*0.5</f>
        <v>14.695</v>
      </c>
      <c r="G6" s="149" t="s">
        <v>347</v>
      </c>
      <c r="H6"/>
    </row>
    <row r="7" spans="2:8" ht="105" x14ac:dyDescent="0.25">
      <c r="B7" s="148" t="s">
        <v>348</v>
      </c>
      <c r="C7" s="150">
        <v>22.56</v>
      </c>
      <c r="D7" s="150">
        <v>26.05</v>
      </c>
      <c r="E7" s="150">
        <f>ROUND(D7*1.33, 2)</f>
        <v>34.65</v>
      </c>
      <c r="F7" s="150">
        <f>E7*0.5</f>
        <v>17.324999999999999</v>
      </c>
      <c r="G7" s="149" t="s">
        <v>349</v>
      </c>
      <c r="H7"/>
    </row>
    <row r="8" spans="2:8" ht="60" x14ac:dyDescent="0.25">
      <c r="B8" s="148" t="s">
        <v>350</v>
      </c>
      <c r="C8" s="150">
        <v>7.25</v>
      </c>
      <c r="D8" s="150">
        <v>22.02</v>
      </c>
      <c r="E8" s="150" t="s">
        <v>208</v>
      </c>
      <c r="F8" s="150">
        <f>D8</f>
        <v>22.02</v>
      </c>
      <c r="G8" s="265" t="s">
        <v>351</v>
      </c>
      <c r="H8"/>
    </row>
    <row r="9" spans="2:8" ht="75" x14ac:dyDescent="0.25">
      <c r="B9" s="148" t="s">
        <v>352</v>
      </c>
      <c r="C9" s="150">
        <v>41.37</v>
      </c>
      <c r="D9" s="150">
        <v>45.14</v>
      </c>
      <c r="E9" s="150">
        <f t="shared" ref="E9:E10" si="0">ROUND(D9*1.33, 2)</f>
        <v>60.04</v>
      </c>
      <c r="F9" s="150" t="s">
        <v>208</v>
      </c>
      <c r="G9" s="265" t="s">
        <v>353</v>
      </c>
      <c r="H9"/>
    </row>
    <row r="10" spans="2:8" ht="75" x14ac:dyDescent="0.25">
      <c r="B10" s="148" t="s">
        <v>354</v>
      </c>
      <c r="C10" s="150">
        <v>58.13</v>
      </c>
      <c r="D10" s="150">
        <v>63.43</v>
      </c>
      <c r="E10" s="150">
        <f t="shared" si="0"/>
        <v>84.36</v>
      </c>
      <c r="F10" s="150" t="s">
        <v>208</v>
      </c>
      <c r="G10" s="265" t="s">
        <v>353</v>
      </c>
      <c r="H10"/>
    </row>
    <row r="11" spans="2:8" x14ac:dyDescent="0.25">
      <c r="E11"/>
      <c r="F11"/>
      <c r="G11"/>
      <c r="H11"/>
    </row>
    <row r="12" spans="2:8" x14ac:dyDescent="0.25">
      <c r="E12"/>
      <c r="F12"/>
      <c r="G12"/>
      <c r="H12"/>
    </row>
    <row r="13" spans="2:8" x14ac:dyDescent="0.25">
      <c r="E13"/>
      <c r="F13"/>
      <c r="G13"/>
      <c r="H13"/>
    </row>
    <row r="14" spans="2:8" x14ac:dyDescent="0.25">
      <c r="E14"/>
      <c r="F14"/>
      <c r="G14"/>
      <c r="H14"/>
    </row>
    <row r="15" spans="2:8" x14ac:dyDescent="0.25">
      <c r="E15"/>
      <c r="F15"/>
      <c r="G15"/>
      <c r="H15"/>
    </row>
    <row r="16" spans="2:8" x14ac:dyDescent="0.25">
      <c r="E16"/>
      <c r="F16"/>
      <c r="G16"/>
      <c r="H16"/>
    </row>
    <row r="17" spans="5:8" x14ac:dyDescent="0.25">
      <c r="E17"/>
      <c r="F17"/>
      <c r="G17"/>
      <c r="H17"/>
    </row>
    <row r="18" spans="5:8" x14ac:dyDescent="0.25">
      <c r="E18"/>
      <c r="F18"/>
      <c r="G18"/>
      <c r="H18"/>
    </row>
    <row r="19" spans="5:8" x14ac:dyDescent="0.25">
      <c r="E19"/>
      <c r="F19"/>
      <c r="G19"/>
      <c r="H19"/>
    </row>
    <row r="20" spans="5:8" x14ac:dyDescent="0.25">
      <c r="E20"/>
      <c r="F20"/>
      <c r="G20"/>
      <c r="H20"/>
    </row>
    <row r="21" spans="5:8" x14ac:dyDescent="0.25">
      <c r="E21"/>
      <c r="F21"/>
      <c r="G21"/>
      <c r="H21"/>
    </row>
    <row r="22" spans="5:8" x14ac:dyDescent="0.25">
      <c r="E22"/>
      <c r="F22"/>
      <c r="G22"/>
      <c r="H22"/>
    </row>
    <row r="23" spans="5:8" x14ac:dyDescent="0.25">
      <c r="E23"/>
      <c r="F23"/>
      <c r="G23"/>
      <c r="H23"/>
    </row>
    <row r="24" spans="5:8" x14ac:dyDescent="0.25">
      <c r="E24"/>
      <c r="F24"/>
      <c r="G24"/>
      <c r="H24"/>
    </row>
    <row r="25" spans="5:8" x14ac:dyDescent="0.25">
      <c r="E25"/>
      <c r="F25"/>
      <c r="G25"/>
      <c r="H25"/>
    </row>
    <row r="26" spans="5:8" x14ac:dyDescent="0.25">
      <c r="E26"/>
      <c r="F26"/>
      <c r="G26"/>
      <c r="H26"/>
    </row>
    <row r="27" spans="5:8" x14ac:dyDescent="0.25">
      <c r="E27"/>
      <c r="F27"/>
      <c r="G27"/>
      <c r="H27"/>
    </row>
    <row r="28" spans="5:8" x14ac:dyDescent="0.25">
      <c r="E28"/>
      <c r="F28"/>
      <c r="G28"/>
      <c r="H28"/>
    </row>
    <row r="29" spans="5:8" x14ac:dyDescent="0.25">
      <c r="E29"/>
      <c r="F29"/>
      <c r="G29"/>
      <c r="H29"/>
    </row>
    <row r="30" spans="5:8" x14ac:dyDescent="0.25">
      <c r="E30"/>
      <c r="F30"/>
      <c r="G30"/>
      <c r="H30"/>
    </row>
    <row r="31" spans="5:8" x14ac:dyDescent="0.25">
      <c r="E31"/>
      <c r="F31"/>
      <c r="G31"/>
      <c r="H31"/>
    </row>
    <row r="32" spans="5:8" x14ac:dyDescent="0.25">
      <c r="E32"/>
      <c r="F32"/>
      <c r="G32"/>
      <c r="H32"/>
    </row>
    <row r="33" spans="5:8" x14ac:dyDescent="0.25">
      <c r="E33"/>
      <c r="F33"/>
      <c r="G33"/>
      <c r="H33"/>
    </row>
    <row r="34" spans="5:8" x14ac:dyDescent="0.25">
      <c r="E34"/>
      <c r="F34"/>
      <c r="G34"/>
      <c r="H34"/>
    </row>
    <row r="35" spans="5:8" x14ac:dyDescent="0.25">
      <c r="E35"/>
      <c r="F35"/>
      <c r="G35"/>
      <c r="H35"/>
    </row>
    <row r="36" spans="5:8" x14ac:dyDescent="0.25">
      <c r="E36"/>
      <c r="F36"/>
      <c r="G36"/>
      <c r="H36"/>
    </row>
    <row r="37" spans="5:8" x14ac:dyDescent="0.25">
      <c r="E37"/>
      <c r="F37"/>
      <c r="G37"/>
      <c r="H37"/>
    </row>
    <row r="38" spans="5:8" x14ac:dyDescent="0.25">
      <c r="E38"/>
      <c r="F38"/>
      <c r="G38"/>
      <c r="H38"/>
    </row>
    <row r="39" spans="5:8" x14ac:dyDescent="0.25">
      <c r="E39"/>
      <c r="F39"/>
      <c r="G39"/>
      <c r="H39"/>
    </row>
    <row r="40" spans="5:8" x14ac:dyDescent="0.25">
      <c r="E40"/>
      <c r="F40"/>
      <c r="G40"/>
      <c r="H40"/>
    </row>
    <row r="41" spans="5:8" x14ac:dyDescent="0.25">
      <c r="E41"/>
      <c r="F41"/>
      <c r="G41"/>
      <c r="H41"/>
    </row>
    <row r="42" spans="5:8" x14ac:dyDescent="0.25">
      <c r="E42"/>
      <c r="F42"/>
      <c r="G42"/>
      <c r="H42"/>
    </row>
    <row r="43" spans="5:8" x14ac:dyDescent="0.25">
      <c r="E43"/>
      <c r="F43"/>
      <c r="G43"/>
      <c r="H43"/>
    </row>
    <row r="44" spans="5:8" x14ac:dyDescent="0.25">
      <c r="E44"/>
      <c r="F44"/>
      <c r="G44"/>
      <c r="H44"/>
    </row>
    <row r="45" spans="5:8" x14ac:dyDescent="0.25">
      <c r="E45"/>
      <c r="F45"/>
      <c r="G45"/>
      <c r="H45"/>
    </row>
    <row r="46" spans="5:8" x14ac:dyDescent="0.25">
      <c r="E46"/>
      <c r="F46"/>
      <c r="G46"/>
      <c r="H46"/>
    </row>
    <row r="47" spans="5:8" x14ac:dyDescent="0.25">
      <c r="E47"/>
      <c r="F47"/>
      <c r="G47"/>
      <c r="H47"/>
    </row>
    <row r="48" spans="5:8" x14ac:dyDescent="0.25">
      <c r="E48"/>
      <c r="F48"/>
      <c r="G48"/>
      <c r="H48"/>
    </row>
    <row r="49" spans="5:8" x14ac:dyDescent="0.25">
      <c r="E49"/>
      <c r="F49"/>
      <c r="G49"/>
      <c r="H49"/>
    </row>
  </sheetData>
  <mergeCells count="2">
    <mergeCell ref="C4:G4"/>
    <mergeCell ref="B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16"/>
  <sheetViews>
    <sheetView topLeftCell="A2" zoomScale="90" zoomScaleNormal="90" workbookViewId="0">
      <selection activeCell="B10" sqref="B10"/>
    </sheetView>
  </sheetViews>
  <sheetFormatPr defaultRowHeight="15" x14ac:dyDescent="0.25"/>
  <cols>
    <col min="1" max="1" width="3.5703125" customWidth="1"/>
    <col min="2" max="2" width="26.5703125" bestFit="1" customWidth="1"/>
    <col min="3" max="3" width="14.5703125" customWidth="1"/>
    <col min="4" max="4" width="13.5703125" customWidth="1"/>
    <col min="5" max="5" width="23.5703125" customWidth="1"/>
    <col min="6" max="6" width="13.5703125" customWidth="1"/>
    <col min="7" max="7" width="23.140625" customWidth="1"/>
    <col min="8" max="8" width="13.5703125" customWidth="1"/>
    <col min="9" max="9" width="25.7109375" customWidth="1"/>
    <col min="10" max="10" width="16.140625" customWidth="1"/>
    <col min="11" max="11" width="22.85546875" customWidth="1"/>
    <col min="12" max="12" width="13.5703125" customWidth="1"/>
    <col min="13" max="13" width="25.140625" customWidth="1"/>
  </cols>
  <sheetData>
    <row r="2" spans="2:13" ht="30" customHeight="1" x14ac:dyDescent="0.25">
      <c r="B2" s="342" t="s">
        <v>355</v>
      </c>
      <c r="C2" s="343"/>
      <c r="D2" s="343"/>
      <c r="E2" s="343"/>
      <c r="F2" s="343"/>
      <c r="G2" s="343"/>
      <c r="H2" s="343"/>
      <c r="I2" s="343"/>
      <c r="J2" s="343"/>
      <c r="K2" s="343"/>
      <c r="L2" s="343"/>
      <c r="M2" s="344"/>
    </row>
    <row r="3" spans="2:13" ht="75" x14ac:dyDescent="0.25">
      <c r="B3" s="103"/>
      <c r="C3" s="43" t="s">
        <v>4</v>
      </c>
      <c r="D3" s="43" t="s">
        <v>356</v>
      </c>
      <c r="E3" s="43" t="s">
        <v>6</v>
      </c>
      <c r="F3" s="43" t="s">
        <v>357</v>
      </c>
      <c r="G3" s="43" t="s">
        <v>8</v>
      </c>
      <c r="H3" s="44" t="s">
        <v>9</v>
      </c>
      <c r="I3" s="44" t="s">
        <v>10</v>
      </c>
      <c r="J3" s="44" t="s">
        <v>11</v>
      </c>
      <c r="K3" s="44" t="s">
        <v>12</v>
      </c>
      <c r="L3" s="44" t="s">
        <v>13</v>
      </c>
      <c r="M3" s="45" t="s">
        <v>14</v>
      </c>
    </row>
    <row r="4" spans="2:13" x14ac:dyDescent="0.25">
      <c r="B4" s="104"/>
      <c r="C4" s="19" t="s">
        <v>358</v>
      </c>
      <c r="D4" s="19" t="s">
        <v>359</v>
      </c>
      <c r="E4" s="19" t="s">
        <v>360</v>
      </c>
      <c r="F4" s="19" t="s">
        <v>18</v>
      </c>
      <c r="G4" s="19" t="s">
        <v>361</v>
      </c>
      <c r="H4" s="41" t="s">
        <v>20</v>
      </c>
      <c r="I4" s="41" t="s">
        <v>362</v>
      </c>
      <c r="J4" s="41" t="s">
        <v>22</v>
      </c>
      <c r="K4" s="41" t="s">
        <v>363</v>
      </c>
      <c r="L4" s="41" t="s">
        <v>24</v>
      </c>
      <c r="M4" s="42" t="s">
        <v>364</v>
      </c>
    </row>
    <row r="5" spans="2:13" ht="45" customHeight="1" x14ac:dyDescent="0.25">
      <c r="B5" s="266" t="s">
        <v>365</v>
      </c>
      <c r="C5" s="30">
        <f>'Burden Calculations'!E144+'Burden Calculations'!E70</f>
        <v>21620771</v>
      </c>
      <c r="D5" s="105">
        <f>E5/C5</f>
        <v>41.643624902103973</v>
      </c>
      <c r="E5" s="105">
        <f>'Burden Calculations'!G70+'Burden Calculations'!G144</f>
        <v>900367277.61828744</v>
      </c>
      <c r="F5" s="270">
        <f>G5/E5</f>
        <v>0.15359630540055538</v>
      </c>
      <c r="G5" s="105">
        <f>'Burden Calculations'!I70+'Burden Calculations'!I144</f>
        <v>138293087.34572512</v>
      </c>
      <c r="H5" s="106">
        <f>I5/G5</f>
        <v>25.231539572187057</v>
      </c>
      <c r="I5" s="106">
        <f>'Burden Calculations'!K70+'Burden Calculations'!K144</f>
        <v>3489347505.9235845</v>
      </c>
      <c r="J5" s="105" t="e">
        <f>'Burden Calculations'!#REF!+'Burden Calculations'!#REF!</f>
        <v>#REF!</v>
      </c>
      <c r="K5" s="105" t="e">
        <f>'Burden Calculations'!#REF!+'Burden Calculations'!#REF!</f>
        <v>#REF!</v>
      </c>
      <c r="L5" s="105" t="e">
        <f>'Burden Calculations'!#REF!+'Burden Calculations'!#REF!</f>
        <v>#REF!</v>
      </c>
      <c r="M5" s="107" t="e">
        <f>K5+L5</f>
        <v>#REF!</v>
      </c>
    </row>
    <row r="6" spans="2:13" ht="45" customHeight="1" x14ac:dyDescent="0.25">
      <c r="B6" s="266" t="s">
        <v>366</v>
      </c>
      <c r="C6" s="30">
        <f>'Burden Calculations'!E78</f>
        <v>2724</v>
      </c>
      <c r="D6" s="105">
        <f>E6/C6</f>
        <v>57984.431718061671</v>
      </c>
      <c r="E6" s="105">
        <f>'Burden Calculations'!G78</f>
        <v>157949592</v>
      </c>
      <c r="F6" s="270">
        <f>G6/E6</f>
        <v>2.8656363901212227E-2</v>
      </c>
      <c r="G6" s="105">
        <f>'Burden Calculations'!I78</f>
        <v>4526260.9863999998</v>
      </c>
      <c r="H6" s="106">
        <f>I6/G6</f>
        <v>34.65</v>
      </c>
      <c r="I6" s="106">
        <f>'Burden Calculations'!K78</f>
        <v>156834943.17875999</v>
      </c>
      <c r="J6" s="105" t="e">
        <f>'Burden Calculations'!#REF!</f>
        <v>#REF!</v>
      </c>
      <c r="K6" s="105" t="e">
        <f>'Burden Calculations'!#REF!</f>
        <v>#REF!</v>
      </c>
      <c r="L6" s="105" t="e">
        <f>'Burden Calculations'!#REF!</f>
        <v>#REF!</v>
      </c>
      <c r="M6" s="107" t="e">
        <f>K6+L6</f>
        <v>#REF!</v>
      </c>
    </row>
    <row r="7" spans="2:13" ht="45" customHeight="1" x14ac:dyDescent="0.25">
      <c r="B7" s="20" t="s">
        <v>367</v>
      </c>
      <c r="C7" s="151">
        <f>'Burden Calculations'!E73</f>
        <v>53</v>
      </c>
      <c r="D7" s="152">
        <f>E7/C7</f>
        <v>36</v>
      </c>
      <c r="E7" s="152">
        <f>'Burden Calculations'!G73</f>
        <v>1908</v>
      </c>
      <c r="F7" s="271">
        <f>G7/E7</f>
        <v>0.5</v>
      </c>
      <c r="G7" s="152">
        <f>'Burden Calculations'!I73</f>
        <v>954</v>
      </c>
      <c r="H7" s="153">
        <f>I7/G7</f>
        <v>29.39</v>
      </c>
      <c r="I7" s="153">
        <f>'Burden Calculations'!K73</f>
        <v>28038.06</v>
      </c>
      <c r="J7" s="152" t="e">
        <f>'Burden Calculations'!#REF!</f>
        <v>#REF!</v>
      </c>
      <c r="K7" s="152" t="e">
        <f>G7-J7</f>
        <v>#REF!</v>
      </c>
      <c r="L7" s="152" t="e">
        <f>'Burden Calculations'!#REF!</f>
        <v>#REF!</v>
      </c>
      <c r="M7" s="154" t="e">
        <f>K7+L7</f>
        <v>#REF!</v>
      </c>
    </row>
    <row r="8" spans="2:13" ht="45" customHeight="1" x14ac:dyDescent="0.25">
      <c r="B8" s="9" t="s">
        <v>368</v>
      </c>
      <c r="C8" s="173">
        <f>C5+C6</f>
        <v>21623495</v>
      </c>
      <c r="D8" s="10">
        <f>E8/C8</f>
        <v>48.943002859541785</v>
      </c>
      <c r="E8" s="10">
        <f>E5+E6+E7</f>
        <v>1058318777.6182874</v>
      </c>
      <c r="F8" s="272">
        <f>G8/E8</f>
        <v>0.13495017319218094</v>
      </c>
      <c r="G8" s="222">
        <f>G5+G6+G7</f>
        <v>142820302.33212513</v>
      </c>
      <c r="H8" s="25">
        <f>I8/G8</f>
        <v>25.530057195112015</v>
      </c>
      <c r="I8" s="25">
        <f>I5+I6+I7</f>
        <v>3646210487.1623445</v>
      </c>
      <c r="J8" s="212" t="e">
        <f>J5+J6+J7</f>
        <v>#REF!</v>
      </c>
      <c r="K8" s="10" t="e">
        <f>K5+K6+K7</f>
        <v>#REF!</v>
      </c>
      <c r="L8" s="10" t="e">
        <f>L5+L6+L7</f>
        <v>#REF!</v>
      </c>
      <c r="M8" s="11" t="e">
        <f>M5+M6+M7</f>
        <v>#REF!</v>
      </c>
    </row>
    <row r="10" spans="2:13" x14ac:dyDescent="0.25">
      <c r="E10" s="6"/>
      <c r="I10" s="62"/>
    </row>
    <row r="11" spans="2:13" ht="15.75" x14ac:dyDescent="0.25">
      <c r="E11" s="67"/>
      <c r="G11" s="67"/>
      <c r="I11" s="62"/>
      <c r="J11" s="62"/>
      <c r="K11" s="6"/>
    </row>
    <row r="12" spans="2:13" x14ac:dyDescent="0.25">
      <c r="G12" s="6"/>
      <c r="I12" s="62"/>
      <c r="K12" s="6"/>
    </row>
    <row r="13" spans="2:13" x14ac:dyDescent="0.25">
      <c r="I13" s="62"/>
      <c r="L13" s="6"/>
    </row>
    <row r="14" spans="2:13" x14ac:dyDescent="0.25">
      <c r="E14" s="6"/>
      <c r="G14" s="6"/>
      <c r="J14" s="6"/>
    </row>
    <row r="15" spans="2:13" x14ac:dyDescent="0.25">
      <c r="J15" s="6"/>
    </row>
    <row r="16" spans="2:13" x14ac:dyDescent="0.25">
      <c r="J16" s="217"/>
    </row>
  </sheetData>
  <mergeCells count="1">
    <mergeCell ref="B2:M2"/>
  </mergeCells>
  <pageMargins left="0.7" right="0.7" top="0.75" bottom="0.75" header="0.3" footer="0.3"/>
  <pageSetup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3"/>
  <sheetViews>
    <sheetView topLeftCell="A2" workbookViewId="0">
      <selection activeCell="C6" sqref="C6"/>
    </sheetView>
  </sheetViews>
  <sheetFormatPr defaultRowHeight="15" x14ac:dyDescent="0.25"/>
  <cols>
    <col min="1" max="1" width="8.7109375" customWidth="1"/>
    <col min="2" max="2" width="60.85546875" customWidth="1"/>
    <col min="3" max="3" width="14.42578125" customWidth="1"/>
    <col min="4" max="4" width="17.140625" style="6" customWidth="1"/>
    <col min="5" max="5" width="22.85546875" style="6" bestFit="1" customWidth="1"/>
    <col min="6" max="6" width="16.5703125" style="6" customWidth="1"/>
    <col min="7" max="7" width="21.7109375" style="6" bestFit="1" customWidth="1"/>
    <col min="9" max="9" width="24.85546875" bestFit="1" customWidth="1"/>
    <col min="10" max="10" width="18.7109375" bestFit="1" customWidth="1"/>
  </cols>
  <sheetData>
    <row r="1" spans="2:10" x14ac:dyDescent="0.25">
      <c r="H1" s="71"/>
      <c r="I1" s="71"/>
    </row>
    <row r="2" spans="2:10" ht="29.65" customHeight="1" thickBot="1" x14ac:dyDescent="0.3">
      <c r="B2" s="346" t="s">
        <v>355</v>
      </c>
      <c r="C2" s="346"/>
      <c r="D2" s="346"/>
      <c r="E2" s="346"/>
      <c r="F2" s="346"/>
      <c r="G2" s="346"/>
      <c r="H2" s="346"/>
      <c r="I2" s="346"/>
    </row>
    <row r="3" spans="2:10" ht="60" x14ac:dyDescent="0.25">
      <c r="B3" s="68" t="s">
        <v>369</v>
      </c>
      <c r="C3" s="69" t="s">
        <v>370</v>
      </c>
      <c r="D3" s="70" t="s">
        <v>371</v>
      </c>
      <c r="E3" s="70" t="s">
        <v>372</v>
      </c>
      <c r="F3" s="70" t="s">
        <v>373</v>
      </c>
      <c r="G3" s="72" t="s">
        <v>374</v>
      </c>
      <c r="H3" s="83" t="s">
        <v>375</v>
      </c>
      <c r="I3" s="84" t="s">
        <v>376</v>
      </c>
    </row>
    <row r="4" spans="2:10" x14ac:dyDescent="0.25">
      <c r="B4" s="345" t="s">
        <v>377</v>
      </c>
      <c r="C4" s="345"/>
      <c r="D4" s="345"/>
      <c r="E4" s="345"/>
      <c r="F4" s="345"/>
      <c r="G4" s="345"/>
      <c r="H4" s="76"/>
      <c r="I4" s="77"/>
    </row>
    <row r="5" spans="2:10" x14ac:dyDescent="0.25">
      <c r="B5" s="50" t="s">
        <v>378</v>
      </c>
      <c r="C5" s="51">
        <f>'Burden Calculations'!E70</f>
        <v>53</v>
      </c>
      <c r="D5" s="56">
        <f>'Burden Calculations'!F70</f>
        <v>8622153.668002924</v>
      </c>
      <c r="E5" s="56">
        <f>'Burden Calculations'!G70</f>
        <v>456974144.40415502</v>
      </c>
      <c r="F5" s="56">
        <f>'Burden Calculations'!H70</f>
        <v>0.13187261969113959</v>
      </c>
      <c r="G5" s="73">
        <f>'Burden Calculations'!I70</f>
        <v>60262377.553693034</v>
      </c>
      <c r="H5" s="79">
        <f>'Burden Calculations'!J70</f>
        <v>29.390000000000004</v>
      </c>
      <c r="I5" s="80">
        <f>SUM(G5*H5)</f>
        <v>1771111276.3030386</v>
      </c>
      <c r="J5" s="85"/>
    </row>
    <row r="6" spans="2:10" x14ac:dyDescent="0.25">
      <c r="B6" s="50" t="s">
        <v>403</v>
      </c>
      <c r="C6" s="51">
        <f>'Burden Calculations'!E144</f>
        <v>21620718</v>
      </c>
      <c r="D6" s="56">
        <f>'Burden Calculations'!F144</f>
        <v>20.50778948294559</v>
      </c>
      <c r="E6" s="56">
        <f>'Burden Calculations'!G144</f>
        <v>443393133.21413243</v>
      </c>
      <c r="F6" s="56">
        <f>'Burden Calculations'!H144</f>
        <v>0.17598538170041508</v>
      </c>
      <c r="G6" s="73">
        <f>'Burden Calculations'!I144</f>
        <v>78030709.792032093</v>
      </c>
      <c r="H6" s="79">
        <f>'Labor Rates'!D8</f>
        <v>22.02</v>
      </c>
      <c r="I6" s="81">
        <f>SUM(G6*H6)</f>
        <v>1718236229.6205466</v>
      </c>
      <c r="J6" s="85"/>
    </row>
    <row r="7" spans="2:10" x14ac:dyDescent="0.25">
      <c r="B7" s="52" t="s">
        <v>379</v>
      </c>
      <c r="C7" s="53">
        <f>SUM(C5:C6)</f>
        <v>21620771</v>
      </c>
      <c r="D7" s="57">
        <f>E7/C7</f>
        <v>41.643624902103973</v>
      </c>
      <c r="E7" s="57">
        <f>SUM(E5:E6)</f>
        <v>900367277.61828744</v>
      </c>
      <c r="F7" s="57">
        <f>G7/E7</f>
        <v>0.15359630540055538</v>
      </c>
      <c r="G7" s="74">
        <f>SUM(G5:G6)</f>
        <v>138293087.34572512</v>
      </c>
      <c r="H7" s="167">
        <f>I7/G7</f>
        <v>25.23153957218706</v>
      </c>
      <c r="I7" s="168">
        <f>SUM(I5+I6)</f>
        <v>3489347505.9235849</v>
      </c>
      <c r="J7" s="85"/>
    </row>
    <row r="8" spans="2:10" x14ac:dyDescent="0.25">
      <c r="B8" s="345" t="s">
        <v>380</v>
      </c>
      <c r="C8" s="345"/>
      <c r="D8" s="345"/>
      <c r="E8" s="345"/>
      <c r="F8" s="345"/>
      <c r="G8" s="345"/>
      <c r="H8" s="79"/>
      <c r="I8" s="81"/>
      <c r="J8" s="85"/>
    </row>
    <row r="9" spans="2:10" x14ac:dyDescent="0.25">
      <c r="B9" s="50" t="s">
        <v>378</v>
      </c>
      <c r="C9" s="51">
        <f>'Burden Calculations'!E78</f>
        <v>2724</v>
      </c>
      <c r="D9" s="56">
        <f>'Burden Calculations'!F78</f>
        <v>57984.431718061671</v>
      </c>
      <c r="E9" s="56">
        <f>'Burden Calculations'!G78</f>
        <v>157949592</v>
      </c>
      <c r="F9" s="56">
        <f>'Burden Calculations'!H78</f>
        <v>2.8656363901212227E-2</v>
      </c>
      <c r="G9" s="73">
        <f>'Burden Calculations'!I78</f>
        <v>4526260.9863999998</v>
      </c>
      <c r="H9" s="79">
        <f>'Labor Rates'!E7</f>
        <v>34.65</v>
      </c>
      <c r="I9" s="81">
        <f>G9*H9</f>
        <v>156834943.17875999</v>
      </c>
      <c r="J9" s="85"/>
    </row>
    <row r="10" spans="2:10" x14ac:dyDescent="0.25">
      <c r="B10" s="52" t="s">
        <v>381</v>
      </c>
      <c r="C10" s="53">
        <f>C9</f>
        <v>2724</v>
      </c>
      <c r="D10" s="57">
        <f>D9</f>
        <v>57984.431718061671</v>
      </c>
      <c r="E10" s="57">
        <f>E9</f>
        <v>157949592</v>
      </c>
      <c r="F10" s="57">
        <f>F9</f>
        <v>2.8656363901212227E-2</v>
      </c>
      <c r="G10" s="74">
        <f>G9</f>
        <v>4526260.9863999998</v>
      </c>
      <c r="H10" s="167">
        <f>'Burden Calculations'!J78</f>
        <v>34.65</v>
      </c>
      <c r="I10" s="168">
        <f>G10*H10</f>
        <v>156834943.17875999</v>
      </c>
      <c r="J10" s="85"/>
    </row>
    <row r="11" spans="2:10" x14ac:dyDescent="0.25">
      <c r="B11" s="161" t="s">
        <v>123</v>
      </c>
      <c r="C11" s="162">
        <f>'Burden Calculations'!E73</f>
        <v>53</v>
      </c>
      <c r="D11" s="163">
        <f>'Burden Calculations'!F73</f>
        <v>36</v>
      </c>
      <c r="E11" s="163">
        <f>'Burden Calculations'!G73</f>
        <v>1908</v>
      </c>
      <c r="F11" s="163">
        <f>'Burden Calculations'!H73</f>
        <v>0.5</v>
      </c>
      <c r="G11" s="164">
        <f>'Burden Calculations'!I73</f>
        <v>954</v>
      </c>
      <c r="H11" s="159">
        <f>'Labor Rates'!E6</f>
        <v>29.39</v>
      </c>
      <c r="I11" s="160">
        <f>G11*H11</f>
        <v>28038.06</v>
      </c>
      <c r="J11" s="85"/>
    </row>
    <row r="12" spans="2:10" x14ac:dyDescent="0.25">
      <c r="B12" s="155" t="s">
        <v>367</v>
      </c>
      <c r="C12" s="156">
        <f>C11</f>
        <v>53</v>
      </c>
      <c r="D12" s="157">
        <f>D11</f>
        <v>36</v>
      </c>
      <c r="E12" s="157">
        <f>E11</f>
        <v>1908</v>
      </c>
      <c r="F12" s="157">
        <f>F11</f>
        <v>0.5</v>
      </c>
      <c r="G12" s="158">
        <f>G11</f>
        <v>954</v>
      </c>
      <c r="H12" s="169">
        <f>'Burden Calculations'!J73</f>
        <v>29.39</v>
      </c>
      <c r="I12" s="170">
        <f>G12*H12</f>
        <v>28038.06</v>
      </c>
      <c r="J12" s="85"/>
    </row>
    <row r="13" spans="2:10" x14ac:dyDescent="0.25">
      <c r="B13" s="54" t="s">
        <v>382</v>
      </c>
      <c r="C13" s="55">
        <f>C7+C10</f>
        <v>21623495</v>
      </c>
      <c r="D13" s="58">
        <f>E13/C13</f>
        <v>48.943002859541785</v>
      </c>
      <c r="E13" s="58">
        <f>E7+E10+E12</f>
        <v>1058318777.6182874</v>
      </c>
      <c r="F13" s="58">
        <f>G13/E13</f>
        <v>0.13495017319218094</v>
      </c>
      <c r="G13" s="75">
        <f>G7+G10+G12</f>
        <v>142820302.33212513</v>
      </c>
      <c r="H13" s="213">
        <f>I13/G13</f>
        <v>25.530057195112018</v>
      </c>
      <c r="I13" s="82">
        <f>SUM(I7+I10+I12)</f>
        <v>3646210487.1623449</v>
      </c>
      <c r="J13" s="85"/>
    </row>
    <row r="14" spans="2:10" x14ac:dyDescent="0.25">
      <c r="I14" s="85"/>
      <c r="J14" s="85"/>
    </row>
    <row r="15" spans="2:10" x14ac:dyDescent="0.25">
      <c r="E15"/>
      <c r="I15" s="174"/>
    </row>
    <row r="16" spans="2:10" x14ac:dyDescent="0.25">
      <c r="E16"/>
      <c r="F16"/>
      <c r="G16" s="85"/>
    </row>
    <row r="17" spans="5:7" x14ac:dyDescent="0.25">
      <c r="E17"/>
      <c r="F17"/>
      <c r="G17" s="85"/>
    </row>
    <row r="18" spans="5:7" x14ac:dyDescent="0.25">
      <c r="E18"/>
      <c r="F18"/>
      <c r="G18"/>
    </row>
    <row r="19" spans="5:7" x14ac:dyDescent="0.25">
      <c r="E19"/>
      <c r="F19"/>
      <c r="G19"/>
    </row>
    <row r="20" spans="5:7" x14ac:dyDescent="0.25">
      <c r="E20"/>
      <c r="F20"/>
      <c r="G20"/>
    </row>
    <row r="21" spans="5:7" x14ac:dyDescent="0.25">
      <c r="E21"/>
      <c r="F21"/>
      <c r="G21"/>
    </row>
    <row r="22" spans="5:7" x14ac:dyDescent="0.25">
      <c r="E22"/>
      <c r="F22"/>
      <c r="G22"/>
    </row>
    <row r="23" spans="5:7" x14ac:dyDescent="0.25">
      <c r="E23"/>
      <c r="F23"/>
      <c r="G23"/>
    </row>
  </sheetData>
  <mergeCells count="3">
    <mergeCell ref="B4:G4"/>
    <mergeCell ref="B8:G8"/>
    <mergeCell ref="B2:I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58965-B2B2-46E2-8411-0B952D1E268F}">
  <dimension ref="D4:G11"/>
  <sheetViews>
    <sheetView topLeftCell="C1" workbookViewId="0">
      <selection activeCell="G11" sqref="G11"/>
    </sheetView>
  </sheetViews>
  <sheetFormatPr defaultRowHeight="15" x14ac:dyDescent="0.25"/>
  <cols>
    <col min="4" max="4" width="81.5703125" bestFit="1" customWidth="1"/>
    <col min="5" max="5" width="17.7109375" bestFit="1" customWidth="1"/>
    <col min="6" max="6" width="18.85546875" bestFit="1" customWidth="1"/>
    <col min="7" max="7" width="19.85546875" bestFit="1" customWidth="1"/>
    <col min="9" max="9" width="13.28515625" bestFit="1" customWidth="1"/>
  </cols>
  <sheetData>
    <row r="4" spans="4:7" x14ac:dyDescent="0.25">
      <c r="D4" s="347" t="s">
        <v>383</v>
      </c>
      <c r="E4" s="348"/>
      <c r="F4" s="348"/>
      <c r="G4" s="349"/>
    </row>
    <row r="5" spans="4:7" x14ac:dyDescent="0.25">
      <c r="D5" s="199" t="s">
        <v>384</v>
      </c>
      <c r="E5" s="199" t="s">
        <v>385</v>
      </c>
      <c r="F5" s="200" t="s">
        <v>386</v>
      </c>
      <c r="G5" s="201" t="s">
        <v>387</v>
      </c>
    </row>
    <row r="6" spans="4:7" x14ac:dyDescent="0.25">
      <c r="D6" s="202" t="s">
        <v>388</v>
      </c>
      <c r="E6" s="202">
        <f>'Labor Rates'!E6</f>
        <v>29.39</v>
      </c>
      <c r="F6" s="203">
        <f>'Burden Calculations'!I70+'Burden Calculations'!I73</f>
        <v>60263331.553693034</v>
      </c>
      <c r="G6" s="204">
        <f>E6*F6</f>
        <v>1771139314.3630383</v>
      </c>
    </row>
    <row r="7" spans="4:7" x14ac:dyDescent="0.25">
      <c r="D7" s="202" t="s">
        <v>389</v>
      </c>
      <c r="E7" s="202">
        <f>'Labor Rates'!E7</f>
        <v>34.65</v>
      </c>
      <c r="F7" s="203">
        <f>'Burden Calculations'!I78</f>
        <v>4526260.9863999998</v>
      </c>
      <c r="G7" s="205">
        <f>F7*E7</f>
        <v>156834943.17875999</v>
      </c>
    </row>
    <row r="8" spans="4:7" x14ac:dyDescent="0.25">
      <c r="D8" s="202" t="s">
        <v>390</v>
      </c>
      <c r="E8" s="202">
        <f>'Labor Rates'!D8</f>
        <v>22.02</v>
      </c>
      <c r="F8" s="203">
        <f>'Burden Calculations'!I144</f>
        <v>78030709.792032093</v>
      </c>
      <c r="G8" s="205">
        <f>F8*E8</f>
        <v>1718236229.6205466</v>
      </c>
    </row>
    <row r="9" spans="4:7" x14ac:dyDescent="0.25">
      <c r="D9" s="350" t="s">
        <v>391</v>
      </c>
      <c r="E9" s="351"/>
      <c r="F9" s="352"/>
      <c r="G9" s="205">
        <f>SUM(G6:G8)</f>
        <v>3646210487.1623449</v>
      </c>
    </row>
    <row r="10" spans="4:7" x14ac:dyDescent="0.25">
      <c r="D10" s="350" t="s">
        <v>392</v>
      </c>
      <c r="E10" s="351"/>
      <c r="F10" s="352"/>
      <c r="G10" s="206">
        <f>(G6+G7)/2</f>
        <v>963987128.77089918</v>
      </c>
    </row>
    <row r="11" spans="4:7" x14ac:dyDescent="0.25">
      <c r="D11" s="350" t="s">
        <v>393</v>
      </c>
      <c r="E11" s="351"/>
      <c r="F11" s="352"/>
      <c r="G11" s="210">
        <f>G9-G10</f>
        <v>2682223358.3914456</v>
      </c>
    </row>
  </sheetData>
  <mergeCells count="4">
    <mergeCell ref="D4:G4"/>
    <mergeCell ref="D9:F9"/>
    <mergeCell ref="D10:F10"/>
    <mergeCell ref="D11:F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9F597-4F2C-4E7D-BDF9-B9BEC7824ADA}">
  <dimension ref="B7:E14"/>
  <sheetViews>
    <sheetView topLeftCell="A4" zoomScaleNormal="100" workbookViewId="0">
      <selection activeCell="E14" sqref="E14"/>
    </sheetView>
  </sheetViews>
  <sheetFormatPr defaultRowHeight="15" x14ac:dyDescent="0.25"/>
  <cols>
    <col min="2" max="2" width="88" customWidth="1"/>
    <col min="3" max="3" width="12" customWidth="1"/>
    <col min="4" max="4" width="13.140625" customWidth="1"/>
    <col min="5" max="5" width="17" customWidth="1"/>
  </cols>
  <sheetData>
    <row r="7" spans="2:5" ht="75" x14ac:dyDescent="0.25">
      <c r="B7" s="209" t="s">
        <v>394</v>
      </c>
      <c r="C7" s="208" t="s">
        <v>395</v>
      </c>
      <c r="D7" s="208" t="s">
        <v>396</v>
      </c>
      <c r="E7" s="207" t="s">
        <v>397</v>
      </c>
    </row>
    <row r="8" spans="2:5" x14ac:dyDescent="0.25">
      <c r="B8" s="124" t="s">
        <v>398</v>
      </c>
      <c r="C8" s="356" t="s">
        <v>399</v>
      </c>
      <c r="D8" s="357"/>
      <c r="E8" s="214">
        <f>'Respon. Cost'!G10</f>
        <v>963987128.77089918</v>
      </c>
    </row>
    <row r="9" spans="2:5" x14ac:dyDescent="0.25">
      <c r="B9" s="124" t="s">
        <v>402</v>
      </c>
      <c r="C9" s="125">
        <v>500</v>
      </c>
      <c r="D9" s="126">
        <f>'Labor Rates'!E9</f>
        <v>60.04</v>
      </c>
      <c r="E9" s="127">
        <f>D9*C9</f>
        <v>30020</v>
      </c>
    </row>
    <row r="10" spans="2:5" x14ac:dyDescent="0.25">
      <c r="B10" s="124" t="s">
        <v>400</v>
      </c>
      <c r="C10" s="125">
        <v>20</v>
      </c>
      <c r="D10" s="128">
        <f>'Labor Rates'!E10</f>
        <v>84.36</v>
      </c>
      <c r="E10" s="127">
        <f>D10*C10</f>
        <v>1687.2</v>
      </c>
    </row>
    <row r="11" spans="2:5" x14ac:dyDescent="0.25">
      <c r="B11" s="353" t="s">
        <v>401</v>
      </c>
      <c r="C11" s="354"/>
      <c r="D11" s="355"/>
      <c r="E11" s="129">
        <f>SUM(E8:E10)</f>
        <v>964018835.97089922</v>
      </c>
    </row>
    <row r="12" spans="2:5" x14ac:dyDescent="0.25">
      <c r="B12" s="130"/>
      <c r="C12" s="130"/>
      <c r="D12" s="130"/>
      <c r="E12" s="130"/>
    </row>
    <row r="13" spans="2:5" x14ac:dyDescent="0.25">
      <c r="E13" s="216"/>
    </row>
    <row r="14" spans="2:5" x14ac:dyDescent="0.25">
      <c r="E14" s="216"/>
    </row>
  </sheetData>
  <mergeCells count="2">
    <mergeCell ref="B11:D11"/>
    <mergeCell ref="C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3fb875a-8af9-4255-b008-0995492d31cd" xsi:nil="true"/>
    <lcf76f155ced4ddcb4097134ff3c332f xmlns="ecf624fd-d71f-4fb0-b10a-ca34a99f6b63">
      <Terms xmlns="http://schemas.microsoft.com/office/infopath/2007/PartnerControls"/>
    </lcf76f155ced4ddcb4097134ff3c332f>
    <SharedWithUsers xmlns="3ae1a219-f1fd-468f-b2c7-b4766e985bb7">
      <UserInfo>
        <DisplayName>Lisa Marie Clark</DisplayName>
        <AccountId>214</AccountId>
        <AccountType/>
      </UserInfo>
    </SharedWithUsers>
    <MovedtoFinal_x003f_ xmlns="ecf624fd-d71f-4fb0-b10a-ca34a99f6b63">true</MovedtoFinal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172219E140EF439EA3A5E815526697" ma:contentTypeVersion="20" ma:contentTypeDescription="Create a new document." ma:contentTypeScope="" ma:versionID="29b2e395480a661586d88556d71f250a">
  <xsd:schema xmlns:xsd="http://www.w3.org/2001/XMLSchema" xmlns:xs="http://www.w3.org/2001/XMLSchema" xmlns:p="http://schemas.microsoft.com/office/2006/metadata/properties" xmlns:ns1="http://schemas.microsoft.com/sharepoint/v3" xmlns:ns2="ecf624fd-d71f-4fb0-b10a-ca34a99f6b63" xmlns:ns3="3ae1a219-f1fd-468f-b2c7-b4766e985bb7" xmlns:ns4="73fb875a-8af9-4255-b008-0995492d31cd" targetNamespace="http://schemas.microsoft.com/office/2006/metadata/properties" ma:root="true" ma:fieldsID="141b0dc27492a17ceafb592e20878a57" ns1:_="" ns2:_="" ns3:_="" ns4:_="">
    <xsd:import namespace="http://schemas.microsoft.com/sharepoint/v3"/>
    <xsd:import namespace="ecf624fd-d71f-4fb0-b10a-ca34a99f6b63"/>
    <xsd:import namespace="3ae1a219-f1fd-468f-b2c7-b4766e985bb7"/>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4:TaxCatchAll" minOccurs="0"/>
                <xsd:element ref="ns2:MovedtoFinal_x003f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f624fd-d71f-4fb0-b10a-ca34a99f6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ovedtoFinal_x003f_" ma:index="22" nillable="true" ma:displayName="Moved to Final?" ma:default="1" ma:description="Moved individually or bundled with others into the Final Folder." ma:format="Dropdown" ma:internalName="MovedtoFinal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e1a219-f1fd-468f-b2c7-b4766e985b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88b618-126b-41af-83b5-177d0922ab20}" ma:internalName="TaxCatchAll" ma:showField="CatchAllData" ma:web="3ae1a219-f1fd-468f-b2c7-b4766e985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462AF-E1A6-4B60-8F13-01AC5EFA3A87}">
  <ds:schemaRefs>
    <ds:schemaRef ds:uri="http://schemas.microsoft.com/office/2006/metadata/properties"/>
    <ds:schemaRef ds:uri="http://purl.org/dc/elements/1.1/"/>
    <ds:schemaRef ds:uri="http://purl.org/dc/terms/"/>
    <ds:schemaRef ds:uri="http://schemas.microsoft.com/sharepoint/v3"/>
    <ds:schemaRef ds:uri="ecf624fd-d71f-4fb0-b10a-ca34a99f6b63"/>
    <ds:schemaRef ds:uri="3ae1a219-f1fd-468f-b2c7-b4766e985bb7"/>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73fb875a-8af9-4255-b008-0995492d31cd"/>
  </ds:schemaRefs>
</ds:datastoreItem>
</file>

<file path=customXml/itemProps2.xml><?xml version="1.0" encoding="utf-8"?>
<ds:datastoreItem xmlns:ds="http://schemas.openxmlformats.org/officeDocument/2006/customXml" ds:itemID="{81E910FE-F8FD-467D-AD1B-7B0660DF8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f624fd-d71f-4fb0-b10a-ca34a99f6b63"/>
    <ds:schemaRef ds:uri="3ae1a219-f1fd-468f-b2c7-b4766e985bb7"/>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047FA-B695-4899-BCE9-413ACE9AD1D5}">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Burden Calculations</vt:lpstr>
      <vt:lpstr>Assumptions</vt:lpstr>
      <vt:lpstr>Labor Rates</vt:lpstr>
      <vt:lpstr>Total Burden by Burden Type</vt:lpstr>
      <vt:lpstr>Total Burden by Type and Respon</vt:lpstr>
      <vt:lpstr>Respon. Cost</vt:lpstr>
      <vt:lpstr>Federal Burden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McGlinn, William</dc:creator>
  <cp:keywords/>
  <dc:description/>
  <cp:lastModifiedBy>Gilbert, Lynn - FNS</cp:lastModifiedBy>
  <cp:revision/>
  <dcterms:created xsi:type="dcterms:W3CDTF">2019-08-09T14:45:58Z</dcterms:created>
  <dcterms:modified xsi:type="dcterms:W3CDTF">2025-06-11T18:33:30Z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0x01010056172219E140EF439EA3A5E815526697</vt:lpwstr>
  </property>
  <property fmtid="{D5CDD505-2E9C-101B-9397-08002B2CF9AE}" pid="3" name="_dlc_DocIdItemGuid">
    <vt:lpwstr>e7388e48-2de8-4354-8cfc-e9484d407572</vt:lpwstr>
  </property>
  <property fmtid="{D5CDD505-2E9C-101B-9397-08002B2CF9AE}" pid="4" name="_dlc_DocId">
    <vt:lpwstr>VER3ZRMQVMMH-1271368775-21</vt:lpwstr>
  </property>
  <property fmtid="{D5CDD505-2E9C-101B-9397-08002B2CF9AE}" pid="5" name="_dlc_DocIdUrl">
    <vt:lpwstr>https://fncspro.usda.net/programs/snap/pdd/cpb/_layouts/15/DocIdRedir.aspx?ID=VER3ZRMQVMMH-1271368775-21, VER3ZRMQVMMH-1271368775-21</vt:lpwstr>
  </property>
  <property fmtid="{D5CDD505-2E9C-101B-9397-08002B2CF9AE}" pid="6" name="ESRI_WORKBOOK_ID">
    <vt:lpwstr>9210f3b56bcb498b829fa7849712bed0</vt:lpwstr>
  </property>
  <property fmtid="{D5CDD505-2E9C-101B-9397-08002B2CF9AE}" pid="7" name="MediaServiceImageTags">
    <vt:lpwstr/>
  </property>
</Properties>
</file>