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227"/>
  <workbookPr defaultThemeVersion="124226"/>
  <mc:AlternateContent xmlns:mc="http://schemas.openxmlformats.org/markup-compatibility/2006">
    <mc:Choice Requires="x15">
      <x15ac:absPath xmlns:x15ac="http://schemas.microsoft.com/office/spreadsheetml/2010/11/ac" url="https://easternresearchgroup.sharepoint.com/sites/CAAICRRenewals/Shared Documents/General/FY25_Drafts/1807.11 NESHAP for Pesticide Active Ingredient Production/Send to EPA/"/>
    </mc:Choice>
  </mc:AlternateContent>
  <xr:revisionPtr revIDLastSave="4" documentId="8_{98E746F5-37B2-4EA2-9E58-3023C68FDDAD}" xr6:coauthVersionLast="47" xr6:coauthVersionMax="47" xr10:uidLastSave="{DEA112A3-BE25-4BB0-9F80-8353598A991C}"/>
  <bookViews>
    <workbookView xWindow="-120" yWindow="-120" windowWidth="25440" windowHeight="15270" tabRatio="714" xr2:uid="{00000000-000D-0000-FFFF-FFFF00000000}"/>
  </bookViews>
  <sheets>
    <sheet name="Summary" sheetId="11" r:id="rId1"/>
    <sheet name="Table 1" sheetId="1" r:id="rId2"/>
    <sheet name="Table 2" sheetId="2" r:id="rId3"/>
    <sheet name="Capital O&amp;M" sheetId="10" r:id="rId4"/>
    <sheet name="Respondents" sheetId="9" r:id="rId5"/>
    <sheet name="Responses" sheetId="8" r:id="rId6"/>
  </sheets>
  <definedNames>
    <definedName name="_xlnm.Print_Area" localSheetId="1">'Table 1'!$A$1:$J$51</definedName>
    <definedName name="_xlnm.Print_Area" localSheetId="2">'Table 2'!$A$1:$J$4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1" i="1" l="1"/>
  <c r="D10" i="8"/>
  <c r="F21" i="1"/>
  <c r="F6" i="2"/>
  <c r="E21" i="1"/>
  <c r="G21" i="1" l="1"/>
  <c r="I21" i="1"/>
  <c r="H11" i="10"/>
  <c r="H21" i="1" l="1"/>
  <c r="J21" i="1" s="1"/>
  <c r="G31" i="1"/>
  <c r="F24" i="1"/>
  <c r="F23" i="1"/>
  <c r="F18" i="1"/>
  <c r="H10" i="10" l="1"/>
  <c r="H9" i="10"/>
  <c r="H8" i="10"/>
  <c r="H7" i="10"/>
  <c r="E10" i="10"/>
  <c r="E9" i="10"/>
  <c r="E8" i="10"/>
  <c r="E11" i="10" s="1"/>
  <c r="E7" i="10"/>
  <c r="F8" i="1"/>
  <c r="F44" i="1"/>
  <c r="F43" i="1"/>
  <c r="F39" i="1"/>
  <c r="F37" i="1"/>
  <c r="F36" i="1"/>
  <c r="F22" i="1"/>
  <c r="F20" i="1"/>
  <c r="F19" i="1"/>
  <c r="F10" i="1"/>
  <c r="J11" i="10" l="1"/>
  <c r="E5" i="2"/>
  <c r="E6" i="2"/>
  <c r="D7" i="2"/>
  <c r="E7" i="2" s="1"/>
  <c r="D9" i="2"/>
  <c r="E9" i="2" s="1"/>
  <c r="D10" i="2"/>
  <c r="E10" i="2" s="1"/>
  <c r="D11" i="2"/>
  <c r="E11" i="2" s="1"/>
  <c r="D12" i="2"/>
  <c r="E12" i="2" s="1"/>
  <c r="D13" i="2"/>
  <c r="E13" i="2" s="1"/>
  <c r="D14" i="2"/>
  <c r="E14" i="2" s="1"/>
  <c r="D15" i="2"/>
  <c r="E15" i="2" s="1"/>
  <c r="D16" i="2"/>
  <c r="E16" i="2" s="1"/>
  <c r="D17" i="2"/>
  <c r="E17" i="2" s="1"/>
  <c r="D18" i="2"/>
  <c r="E18" i="2" s="1"/>
  <c r="D19" i="2"/>
  <c r="E19" i="2" s="1"/>
  <c r="D20" i="2"/>
  <c r="E20" i="2" s="1"/>
  <c r="D21" i="2"/>
  <c r="E21" i="2" s="1"/>
  <c r="J48" i="1" l="1"/>
  <c r="B6" i="11"/>
  <c r="F29" i="1"/>
  <c r="F30" i="1" s="1"/>
  <c r="F28" i="1"/>
  <c r="F21" i="2" s="1"/>
  <c r="G21" i="2" s="1"/>
  <c r="F27" i="1"/>
  <c r="F20" i="2" s="1"/>
  <c r="G20" i="2" s="1"/>
  <c r="F17" i="2"/>
  <c r="G17" i="2" s="1"/>
  <c r="F13" i="2"/>
  <c r="G13" i="2" s="1"/>
  <c r="F14" i="2" l="1"/>
  <c r="G14" i="2" s="1"/>
  <c r="H14" i="2" s="1"/>
  <c r="F10" i="2"/>
  <c r="G10" i="2" s="1"/>
  <c r="I10" i="2" s="1"/>
  <c r="F11" i="2"/>
  <c r="G11" i="2" s="1"/>
  <c r="H11" i="2" s="1"/>
  <c r="F12" i="2"/>
  <c r="G12" i="2" s="1"/>
  <c r="H12" i="2" s="1"/>
  <c r="F42" i="1"/>
  <c r="H13" i="2"/>
  <c r="I13" i="2"/>
  <c r="I20" i="2"/>
  <c r="H20" i="2"/>
  <c r="I21" i="2"/>
  <c r="H21" i="2"/>
  <c r="J21" i="2" s="1"/>
  <c r="F16" i="2"/>
  <c r="G16" i="2" s="1"/>
  <c r="I17" i="2"/>
  <c r="H17" i="2"/>
  <c r="F9" i="2"/>
  <c r="G9" i="2" s="1"/>
  <c r="F26" i="1"/>
  <c r="F19" i="2" s="1"/>
  <c r="G19" i="2" s="1"/>
  <c r="F41" i="1"/>
  <c r="J20" i="2" l="1"/>
  <c r="I14" i="2"/>
  <c r="J14" i="2" s="1"/>
  <c r="I12" i="2"/>
  <c r="J12" i="2" s="1"/>
  <c r="J17" i="2"/>
  <c r="J13" i="2"/>
  <c r="H10" i="2"/>
  <c r="J10" i="2" s="1"/>
  <c r="I11" i="2"/>
  <c r="J11" i="2" s="1"/>
  <c r="H16" i="2"/>
  <c r="I16" i="2"/>
  <c r="F18" i="2"/>
  <c r="G18" i="2" s="1"/>
  <c r="F7" i="2"/>
  <c r="G7" i="2" s="1"/>
  <c r="F5" i="2"/>
  <c r="F15" i="2"/>
  <c r="G15" i="2" s="1"/>
  <c r="I19" i="2"/>
  <c r="H19" i="2"/>
  <c r="I9" i="2"/>
  <c r="H9" i="2"/>
  <c r="J19" i="2" l="1"/>
  <c r="J9" i="2"/>
  <c r="J16" i="2"/>
  <c r="H15" i="2"/>
  <c r="I15" i="2"/>
  <c r="H18" i="2"/>
  <c r="I18" i="2"/>
  <c r="G6" i="2"/>
  <c r="G5" i="2"/>
  <c r="H7" i="2"/>
  <c r="I7" i="2"/>
  <c r="J15" i="2" l="1"/>
  <c r="J18" i="2"/>
  <c r="H5" i="2"/>
  <c r="J5" i="2" s="1"/>
  <c r="I5" i="2"/>
  <c r="H6" i="2"/>
  <c r="I6" i="2"/>
  <c r="J7" i="2"/>
  <c r="D5" i="8"/>
  <c r="D6" i="8"/>
  <c r="D7" i="8"/>
  <c r="D8" i="8"/>
  <c r="D9" i="8"/>
  <c r="D11" i="8"/>
  <c r="D12" i="8"/>
  <c r="D13" i="8"/>
  <c r="D14" i="8"/>
  <c r="D15" i="8"/>
  <c r="D16" i="8"/>
  <c r="D4" i="8"/>
  <c r="E44" i="1"/>
  <c r="E43" i="1"/>
  <c r="E41" i="1"/>
  <c r="G41" i="1" s="1"/>
  <c r="E37" i="1"/>
  <c r="E36" i="1"/>
  <c r="C16" i="8"/>
  <c r="E29" i="1"/>
  <c r="C8" i="8"/>
  <c r="C12" i="8"/>
  <c r="E22" i="1"/>
  <c r="E20" i="1"/>
  <c r="E19" i="1"/>
  <c r="E15" i="1"/>
  <c r="E17" i="1"/>
  <c r="E18" i="1"/>
  <c r="E14" i="1"/>
  <c r="E10" i="1"/>
  <c r="E8" i="1"/>
  <c r="D7" i="9"/>
  <c r="G7" i="9" s="1"/>
  <c r="J6" i="2" l="1"/>
  <c r="G22" i="2"/>
  <c r="H41" i="1"/>
  <c r="I41" i="1"/>
  <c r="F8" i="8"/>
  <c r="F12" i="8"/>
  <c r="C15" i="8"/>
  <c r="F15" i="8" s="1"/>
  <c r="C7" i="8"/>
  <c r="F7" i="8" s="1"/>
  <c r="F16" i="8"/>
  <c r="G44" i="1"/>
  <c r="H44" i="1" s="1"/>
  <c r="G43" i="1"/>
  <c r="H43" i="1" s="1"/>
  <c r="G37" i="1"/>
  <c r="I37" i="1" s="1"/>
  <c r="G36" i="1"/>
  <c r="G29" i="1"/>
  <c r="H29" i="1" s="1"/>
  <c r="G17" i="1"/>
  <c r="H17" i="1" s="1"/>
  <c r="G18" i="1"/>
  <c r="G8" i="1"/>
  <c r="E42" i="1"/>
  <c r="E10" i="9"/>
  <c r="D8" i="9"/>
  <c r="J22" i="2" l="1"/>
  <c r="J41" i="1"/>
  <c r="C14" i="8"/>
  <c r="F14" i="8" s="1"/>
  <c r="C9" i="8"/>
  <c r="F9" i="8" s="1"/>
  <c r="H18" i="1"/>
  <c r="C11" i="8"/>
  <c r="F11" i="8" s="1"/>
  <c r="C4" i="8"/>
  <c r="F4" i="8" s="1"/>
  <c r="C5" i="8"/>
  <c r="F5" i="8" s="1"/>
  <c r="C10" i="8"/>
  <c r="F10" i="8" s="1"/>
  <c r="F17" i="8" s="1"/>
  <c r="G19" i="1"/>
  <c r="I19" i="1" s="1"/>
  <c r="G14" i="1"/>
  <c r="I14" i="1" s="1"/>
  <c r="G15" i="1"/>
  <c r="I15" i="1" s="1"/>
  <c r="G22" i="1"/>
  <c r="I22" i="1" s="1"/>
  <c r="I36" i="1"/>
  <c r="I44" i="1"/>
  <c r="J44" i="1" s="1"/>
  <c r="I43" i="1"/>
  <c r="J43" i="1" s="1"/>
  <c r="G42" i="1"/>
  <c r="I42" i="1" s="1"/>
  <c r="H37" i="1"/>
  <c r="J37" i="1" s="1"/>
  <c r="H36" i="1"/>
  <c r="H8" i="1"/>
  <c r="J8" i="1" s="1"/>
  <c r="I29" i="1"/>
  <c r="J29" i="1" s="1"/>
  <c r="G10" i="1"/>
  <c r="H10" i="1" s="1"/>
  <c r="G20" i="1"/>
  <c r="I17" i="1"/>
  <c r="J17" i="1" s="1"/>
  <c r="I18" i="1"/>
  <c r="I8" i="1"/>
  <c r="C10" i="9"/>
  <c r="G8" i="9"/>
  <c r="D9" i="9" s="1"/>
  <c r="G9" i="9" s="1"/>
  <c r="G10" i="9" s="1"/>
  <c r="B3" i="11" s="1"/>
  <c r="J18" i="1" l="1"/>
  <c r="J36" i="1"/>
  <c r="C13" i="8"/>
  <c r="F13" i="8" s="1"/>
  <c r="H14" i="1"/>
  <c r="J14" i="1" s="1"/>
  <c r="H19" i="1"/>
  <c r="J19" i="1" s="1"/>
  <c r="H22" i="1"/>
  <c r="J22" i="1" s="1"/>
  <c r="H15" i="1"/>
  <c r="J15" i="1" s="1"/>
  <c r="H42" i="1"/>
  <c r="J42" i="1" s="1"/>
  <c r="I10" i="1"/>
  <c r="J10" i="1" s="1"/>
  <c r="I20" i="1"/>
  <c r="H20" i="1"/>
  <c r="D10" i="9"/>
  <c r="E39" i="1"/>
  <c r="G39" i="1" s="1"/>
  <c r="E28" i="1"/>
  <c r="G28" i="1" s="1"/>
  <c r="E30" i="1"/>
  <c r="G30" i="1" s="1"/>
  <c r="E26" i="1"/>
  <c r="G26" i="1" s="1"/>
  <c r="E27" i="1"/>
  <c r="G27" i="1" s="1"/>
  <c r="E24" i="1"/>
  <c r="G24" i="1" s="1"/>
  <c r="E23" i="1"/>
  <c r="G23" i="1" s="1"/>
  <c r="E16" i="1"/>
  <c r="H39" i="1" l="1"/>
  <c r="I39" i="1"/>
  <c r="G46" i="1" s="1"/>
  <c r="H28" i="1"/>
  <c r="I28" i="1"/>
  <c r="H30" i="1"/>
  <c r="I30" i="1"/>
  <c r="I26" i="1"/>
  <c r="H26" i="1"/>
  <c r="H27" i="1"/>
  <c r="I27" i="1"/>
  <c r="H24" i="1"/>
  <c r="I24" i="1"/>
  <c r="I23" i="1"/>
  <c r="H23" i="1"/>
  <c r="J20" i="1"/>
  <c r="C6" i="8" l="1"/>
  <c r="F6" i="8" s="1"/>
  <c r="J39" i="1"/>
  <c r="J46" i="1" s="1"/>
  <c r="J28" i="1"/>
  <c r="J30" i="1"/>
  <c r="J26" i="1"/>
  <c r="J27" i="1"/>
  <c r="J24" i="1"/>
  <c r="J23" i="1"/>
  <c r="G16" i="1"/>
  <c r="H16" i="1" l="1"/>
  <c r="J16" i="1" s="1"/>
  <c r="I16" i="1"/>
  <c r="G47" i="1" l="1"/>
  <c r="J47" i="1"/>
  <c r="B4" i="11" l="1"/>
  <c r="J50" i="1"/>
  <c r="B2" i="11" s="1"/>
  <c r="J49" i="1"/>
  <c r="B5" i="11" s="1"/>
</calcChain>
</file>

<file path=xl/sharedStrings.xml><?xml version="1.0" encoding="utf-8"?>
<sst xmlns="http://schemas.openxmlformats.org/spreadsheetml/2006/main" count="214" uniqueCount="178">
  <si>
    <t>ICR Summary Information</t>
  </si>
  <si>
    <t>Hours Per Response</t>
  </si>
  <si>
    <t>Number of Respondents</t>
  </si>
  <si>
    <t>Total Estimated Burden Hours</t>
  </si>
  <si>
    <t>Total Estimated Costs</t>
  </si>
  <si>
    <t>Annualized Capital O&amp;M</t>
  </si>
  <si>
    <t>Form Number</t>
  </si>
  <si>
    <t>Table 1: Annual Respondent Burden and Cost – NESHAP for Pesticide Active Ingredient Production (40 CFR Part 63, Subpart MMM) (Renewal)</t>
  </si>
  <si>
    <t>Burden item</t>
  </si>
  <si>
    <t>A</t>
  </si>
  <si>
    <t>B</t>
  </si>
  <si>
    <t>C</t>
  </si>
  <si>
    <t>D</t>
  </si>
  <si>
    <t>E</t>
  </si>
  <si>
    <t>F</t>
  </si>
  <si>
    <t>G</t>
  </si>
  <si>
    <t>H</t>
  </si>
  <si>
    <t>Source Type</t>
  </si>
  <si>
    <t>No.</t>
  </si>
  <si>
    <t>Person-hours
per occurrence</t>
  </si>
  <si>
    <t>Annual occurrences
per respondent</t>
  </si>
  <si>
    <t>Person-hours
per respondent
per year (AxB)</t>
  </si>
  <si>
    <r>
      <t xml:space="preserve">Respondents
per year </t>
    </r>
    <r>
      <rPr>
        <b/>
        <vertAlign val="superscript"/>
        <sz val="10"/>
        <rFont val="Times New Roman"/>
        <family val="1"/>
      </rPr>
      <t>a</t>
    </r>
  </si>
  <si>
    <t>Technical hours per
year (CxD)</t>
  </si>
  <si>
    <t>Management hours per year (Ex0.05)</t>
  </si>
  <si>
    <t>Clerical hours
per year
(Ex0.10)</t>
  </si>
  <si>
    <r>
      <t xml:space="preserve">Annual Cost
($) </t>
    </r>
    <r>
      <rPr>
        <b/>
        <vertAlign val="superscript"/>
        <sz val="10"/>
        <rFont val="Times New Roman"/>
        <family val="1"/>
      </rPr>
      <t>b</t>
    </r>
  </si>
  <si>
    <t>Existing</t>
  </si>
  <si>
    <t>1.  Applications</t>
  </si>
  <si>
    <t>N/A</t>
  </si>
  <si>
    <t>Modified</t>
  </si>
  <si>
    <t>2.  Surveys and studies</t>
  </si>
  <si>
    <t>New</t>
  </si>
  <si>
    <t>3.  Reporting requirements</t>
  </si>
  <si>
    <t>A.  Familiarization with Regulatory Requirements</t>
  </si>
  <si>
    <t>Labor Rates</t>
  </si>
  <si>
    <t>B.  Required activities</t>
  </si>
  <si>
    <t>Managerial</t>
  </si>
  <si>
    <t>Performance evaluation test (CMS certification)</t>
  </si>
  <si>
    <t>Technical</t>
  </si>
  <si>
    <t>C.  Create information</t>
  </si>
  <si>
    <t>See 3B</t>
  </si>
  <si>
    <t>Clerical</t>
  </si>
  <si>
    <t>D.  Gather existing information</t>
  </si>
  <si>
    <t>See 3E</t>
  </si>
  <si>
    <t>E.  Write report</t>
  </si>
  <si>
    <r>
      <t xml:space="preserve">Notification and application of construction/reconstruction </t>
    </r>
    <r>
      <rPr>
        <vertAlign val="superscript"/>
        <sz val="10"/>
        <rFont val="Times New Roman"/>
        <family val="1"/>
      </rPr>
      <t>c</t>
    </r>
  </si>
  <si>
    <r>
      <t xml:space="preserve">Notification of applicability </t>
    </r>
    <r>
      <rPr>
        <vertAlign val="superscript"/>
        <sz val="10"/>
        <rFont val="Times New Roman"/>
        <family val="1"/>
      </rPr>
      <t>c</t>
    </r>
  </si>
  <si>
    <r>
      <t xml:space="preserve">Notification of anticipated startup </t>
    </r>
    <r>
      <rPr>
        <vertAlign val="superscript"/>
        <sz val="10"/>
        <rFont val="Times New Roman"/>
        <family val="1"/>
      </rPr>
      <t>c</t>
    </r>
  </si>
  <si>
    <r>
      <t xml:space="preserve">Notification of actual startup </t>
    </r>
    <r>
      <rPr>
        <vertAlign val="superscript"/>
        <sz val="10"/>
        <rFont val="Times New Roman"/>
        <family val="1"/>
      </rPr>
      <t>c</t>
    </r>
  </si>
  <si>
    <r>
      <t xml:space="preserve">Notification of process changes </t>
    </r>
    <r>
      <rPr>
        <vertAlign val="superscript"/>
        <sz val="10"/>
        <rFont val="Times New Roman"/>
        <family val="1"/>
      </rPr>
      <t>d</t>
    </r>
  </si>
  <si>
    <r>
      <t xml:space="preserve">Pre-compliance report </t>
    </r>
    <r>
      <rPr>
        <vertAlign val="superscript"/>
        <sz val="10"/>
        <rFont val="Times New Roman"/>
        <family val="1"/>
      </rPr>
      <t>c</t>
    </r>
  </si>
  <si>
    <r>
      <t xml:space="preserve">Notification of initial performance test </t>
    </r>
    <r>
      <rPr>
        <vertAlign val="superscript"/>
        <sz val="10"/>
        <rFont val="Times New Roman"/>
        <family val="1"/>
      </rPr>
      <t>c</t>
    </r>
  </si>
  <si>
    <r>
      <t xml:space="preserve">Notification of initial CMS performance evaluation </t>
    </r>
    <r>
      <rPr>
        <vertAlign val="superscript"/>
        <sz val="10"/>
        <rFont val="Times New Roman"/>
        <family val="1"/>
      </rPr>
      <t>c</t>
    </r>
  </si>
  <si>
    <r>
      <t xml:space="preserve">CMS evaluation with performance test </t>
    </r>
    <r>
      <rPr>
        <vertAlign val="superscript"/>
        <sz val="10"/>
        <rFont val="Times New Roman"/>
        <family val="1"/>
      </rPr>
      <t>c, e</t>
    </r>
  </si>
  <si>
    <r>
      <t xml:space="preserve">CMS evaluation without performance test </t>
    </r>
    <r>
      <rPr>
        <vertAlign val="superscript"/>
        <sz val="10"/>
        <rFont val="Times New Roman"/>
        <family val="1"/>
      </rPr>
      <t>c, f</t>
    </r>
  </si>
  <si>
    <t>Periodic reporting</t>
  </si>
  <si>
    <r>
      <t xml:space="preserve">Semiannual report </t>
    </r>
    <r>
      <rPr>
        <vertAlign val="superscript"/>
        <sz val="10"/>
        <rFont val="Times New Roman"/>
        <family val="1"/>
      </rPr>
      <t>g</t>
    </r>
  </si>
  <si>
    <r>
      <t xml:space="preserve">Quarterly report </t>
    </r>
    <r>
      <rPr>
        <vertAlign val="superscript"/>
        <sz val="10"/>
        <rFont val="Times New Roman"/>
        <family val="1"/>
      </rPr>
      <t>h</t>
    </r>
  </si>
  <si>
    <r>
      <t xml:space="preserve">Emissions averaging plan </t>
    </r>
    <r>
      <rPr>
        <vertAlign val="superscript"/>
        <sz val="10"/>
        <rFont val="Times New Roman"/>
        <family val="1"/>
      </rPr>
      <t>i</t>
    </r>
  </si>
  <si>
    <r>
      <t>PRD reporting</t>
    </r>
    <r>
      <rPr>
        <vertAlign val="superscript"/>
        <sz val="10"/>
        <rFont val="Times New Roman"/>
        <family val="1"/>
      </rPr>
      <t>k</t>
    </r>
  </si>
  <si>
    <r>
      <t>LDAR reporting</t>
    </r>
    <r>
      <rPr>
        <vertAlign val="superscript"/>
        <sz val="10"/>
        <rFont val="Times New Roman"/>
        <family val="1"/>
      </rPr>
      <t>k</t>
    </r>
  </si>
  <si>
    <t>Subtotal for Reporting Requirements</t>
  </si>
  <si>
    <t>4.  Recordkeeping requirements</t>
  </si>
  <si>
    <t>See 3A</t>
  </si>
  <si>
    <t>B.  Plan activities</t>
  </si>
  <si>
    <t>C.  Implement activities</t>
  </si>
  <si>
    <r>
      <t xml:space="preserve">D.  Develop record system </t>
    </r>
    <r>
      <rPr>
        <vertAlign val="superscript"/>
        <sz val="10"/>
        <rFont val="Times New Roman"/>
        <family val="1"/>
      </rPr>
      <t>c</t>
    </r>
  </si>
  <si>
    <r>
      <t xml:space="preserve">E.  Develop QA/QC plan for CMS </t>
    </r>
    <r>
      <rPr>
        <vertAlign val="superscript"/>
        <sz val="10"/>
        <rFont val="Times New Roman"/>
        <family val="1"/>
      </rPr>
      <t>c</t>
    </r>
  </si>
  <si>
    <t>F.  Time to enter information</t>
  </si>
  <si>
    <t>Records of excess emissions</t>
  </si>
  <si>
    <t>Records of CMS data</t>
  </si>
  <si>
    <r>
      <t xml:space="preserve">Record continuously monitored parameters </t>
    </r>
    <r>
      <rPr>
        <vertAlign val="superscript"/>
        <sz val="10"/>
        <rFont val="Times New Roman"/>
        <family val="1"/>
      </rPr>
      <t>j</t>
    </r>
  </si>
  <si>
    <t>Enter/verify information for periodic report</t>
  </si>
  <si>
    <r>
      <t xml:space="preserve">G.  CMS calibration </t>
    </r>
    <r>
      <rPr>
        <vertAlign val="superscript"/>
        <sz val="10"/>
        <rFont val="Times New Roman"/>
        <family val="1"/>
      </rPr>
      <t>c</t>
    </r>
  </si>
  <si>
    <r>
      <t xml:space="preserve">H.  Train personnel </t>
    </r>
    <r>
      <rPr>
        <vertAlign val="superscript"/>
        <sz val="10"/>
        <rFont val="Times New Roman"/>
        <family val="1"/>
      </rPr>
      <t>c</t>
    </r>
  </si>
  <si>
    <t>I.  Audits</t>
  </si>
  <si>
    <t>Subtotal for Recordkeeping Requirements</t>
  </si>
  <si>
    <r>
      <t>TOTAL ANNUAL BURDEN AND COST (ROUNDED)</t>
    </r>
    <r>
      <rPr>
        <vertAlign val="superscript"/>
        <sz val="10"/>
        <rFont val="Times New Roman"/>
        <family val="1"/>
      </rPr>
      <t>l</t>
    </r>
  </si>
  <si>
    <r>
      <t>TOTAL CAPITAL AND O&amp;M COST (rounded)</t>
    </r>
    <r>
      <rPr>
        <vertAlign val="superscript"/>
        <sz val="10"/>
        <rFont val="Times New Roman"/>
        <family val="1"/>
      </rPr>
      <t>l</t>
    </r>
  </si>
  <si>
    <r>
      <t>GRAND TOTAL (rounded)</t>
    </r>
    <r>
      <rPr>
        <vertAlign val="superscript"/>
        <sz val="10"/>
        <rFont val="Times New Roman"/>
        <family val="1"/>
      </rPr>
      <t>l</t>
    </r>
  </si>
  <si>
    <t>hr/response</t>
  </si>
  <si>
    <t>Table 2: Average Annual EPA Burden and Cost – NESHAP for Pesticide Active Ingredient Production (40 CFR Part 63, Subpart MMM) (Renewal)</t>
  </si>
  <si>
    <t>EPA
person-hours
per occurrence</t>
  </si>
  <si>
    <t>EPA person-hours
per respondent
per year (AxB)</t>
  </si>
  <si>
    <t>Technical hours
per year
(CxD)</t>
  </si>
  <si>
    <t>Management
hours per year
(Ex0.05)</t>
  </si>
  <si>
    <r>
      <t xml:space="preserve">Annual cost
($) </t>
    </r>
    <r>
      <rPr>
        <b/>
        <vertAlign val="superscript"/>
        <sz val="10"/>
        <rFont val="Times New Roman"/>
        <family val="1"/>
      </rPr>
      <t>b</t>
    </r>
  </si>
  <si>
    <t>Initial performance test</t>
  </si>
  <si>
    <r>
      <rPr>
        <sz val="10"/>
        <color rgb="FF000000"/>
        <rFont val="Times New Roman"/>
        <family val="1"/>
      </rPr>
      <t xml:space="preserve">Repeat performance test </t>
    </r>
    <r>
      <rPr>
        <vertAlign val="superscript"/>
        <sz val="10"/>
        <color rgb="FF000000"/>
        <rFont val="Times New Roman"/>
        <family val="1"/>
      </rPr>
      <t>c</t>
    </r>
  </si>
  <si>
    <r>
      <t xml:space="preserve">Performance evaluation test (CMS certification) </t>
    </r>
    <r>
      <rPr>
        <vertAlign val="superscript"/>
        <sz val="10"/>
        <rFont val="Times New Roman"/>
        <family val="1"/>
      </rPr>
      <t>d</t>
    </r>
  </si>
  <si>
    <t>Report review</t>
  </si>
  <si>
    <t>Notification of construction/reconstruction</t>
  </si>
  <si>
    <t>Notification of applicability</t>
  </si>
  <si>
    <t>Notification of anticipated startup</t>
  </si>
  <si>
    <t>Notification of actual startup</t>
  </si>
  <si>
    <r>
      <t xml:space="preserve">Notification of process changes </t>
    </r>
    <r>
      <rPr>
        <vertAlign val="superscript"/>
        <sz val="10"/>
        <rFont val="Times New Roman"/>
        <family val="1"/>
      </rPr>
      <t>e</t>
    </r>
  </si>
  <si>
    <t>Pre-compliance plan</t>
  </si>
  <si>
    <t>Notification of initial performance test</t>
  </si>
  <si>
    <t>Notification of initial CMS performance evaluation</t>
  </si>
  <si>
    <r>
      <t xml:space="preserve">CMS evaluation with performance test </t>
    </r>
    <r>
      <rPr>
        <vertAlign val="superscript"/>
        <sz val="10"/>
        <rFont val="Times New Roman"/>
        <family val="1"/>
      </rPr>
      <t>f</t>
    </r>
  </si>
  <si>
    <r>
      <t xml:space="preserve">CMS evaluation without performance test </t>
    </r>
    <r>
      <rPr>
        <vertAlign val="superscript"/>
        <sz val="10"/>
        <rFont val="Times New Roman"/>
        <family val="1"/>
      </rPr>
      <t>g</t>
    </r>
  </si>
  <si>
    <r>
      <t xml:space="preserve">Semiannual report </t>
    </r>
    <r>
      <rPr>
        <vertAlign val="superscript"/>
        <sz val="10"/>
        <rFont val="Times New Roman"/>
        <family val="1"/>
      </rPr>
      <t>h</t>
    </r>
  </si>
  <si>
    <r>
      <t xml:space="preserve">Quarterly report </t>
    </r>
    <r>
      <rPr>
        <vertAlign val="superscript"/>
        <sz val="10"/>
        <rFont val="Times New Roman"/>
        <family val="1"/>
      </rPr>
      <t>i</t>
    </r>
  </si>
  <si>
    <r>
      <t xml:space="preserve">Emissions averaging plan </t>
    </r>
    <r>
      <rPr>
        <vertAlign val="superscript"/>
        <sz val="10"/>
        <rFont val="Times New Roman"/>
        <family val="1"/>
      </rPr>
      <t>j</t>
    </r>
  </si>
  <si>
    <r>
      <t>TOTAL ANNUAL BURDEN AND COST (ROUNDED)</t>
    </r>
    <r>
      <rPr>
        <vertAlign val="superscript"/>
        <sz val="10"/>
        <rFont val="Times New Roman"/>
        <family val="1"/>
      </rPr>
      <t>k</t>
    </r>
  </si>
  <si>
    <t>Capital/Startup vs. Operation and Maintenance (O&amp;M) Costs</t>
  </si>
  <si>
    <t>(A)</t>
  </si>
  <si>
    <t>(B)</t>
  </si>
  <si>
    <t>(C)</t>
  </si>
  <si>
    <t>(D)</t>
  </si>
  <si>
    <t>(E)</t>
  </si>
  <si>
    <t>(F)</t>
  </si>
  <si>
    <t>(G)</t>
  </si>
  <si>
    <t>Continuous Monitoring Device</t>
  </si>
  <si>
    <t>Capital/Startup Cost for One Respondent</t>
  </si>
  <si>
    <r>
      <t xml:space="preserve">Number of New Respondents </t>
    </r>
    <r>
      <rPr>
        <vertAlign val="superscript"/>
        <sz val="10"/>
        <color rgb="FF7030A0"/>
        <rFont val="Times New Roman"/>
        <family val="1"/>
      </rPr>
      <t>a</t>
    </r>
  </si>
  <si>
    <t>Total Capital/Startup Cost, 
(B X C)</t>
  </si>
  <si>
    <t>Annual O&amp;M Costs for One Respondent</t>
  </si>
  <si>
    <t>Number of Respondents with O&amp;M</t>
  </si>
  <si>
    <t>Total O&amp;M,
(E X F)</t>
  </si>
  <si>
    <r>
      <t xml:space="preserve">PRD Electronic Indicators </t>
    </r>
    <r>
      <rPr>
        <vertAlign val="superscript"/>
        <sz val="10"/>
        <color rgb="FF7030A0"/>
        <rFont val="Times New Roman"/>
        <family val="1"/>
      </rPr>
      <t>b</t>
    </r>
  </si>
  <si>
    <t>Performance Tests</t>
  </si>
  <si>
    <r>
      <t>Process Vents CMS</t>
    </r>
    <r>
      <rPr>
        <vertAlign val="superscript"/>
        <sz val="10"/>
        <color rgb="FF7030A0"/>
        <rFont val="Times New Roman"/>
        <family val="1"/>
      </rPr>
      <t>c</t>
    </r>
  </si>
  <si>
    <r>
      <t>Wastewater CMS</t>
    </r>
    <r>
      <rPr>
        <vertAlign val="superscript"/>
        <sz val="10"/>
        <color rgb="FF7030A0"/>
        <rFont val="Times New Roman"/>
        <family val="1"/>
      </rPr>
      <t>d</t>
    </r>
  </si>
  <si>
    <t>TOTAL</t>
  </si>
  <si>
    <t>Total (rounded)</t>
  </si>
  <si>
    <r>
      <rPr>
        <vertAlign val="superscript"/>
        <sz val="10"/>
        <color rgb="FF000000"/>
        <rFont val="Times New Roman"/>
        <family val="1"/>
      </rPr>
      <t>a</t>
    </r>
    <r>
      <rPr>
        <sz val="10"/>
        <color rgb="FF000000"/>
        <rFont val="Times New Roman"/>
        <family val="1"/>
      </rPr>
      <t xml:space="preserve"> On average, EPA estimates 19 existing sources will be subject to the NESHAP and no new sources will become subject to the standard over the three-year period of this ICR. However, based on previous comments received from Corteva, we assume one existing source per year will install a new process unit. </t>
    </r>
  </si>
  <si>
    <r>
      <rPr>
        <vertAlign val="superscript"/>
        <sz val="10"/>
        <color rgb="FF000000"/>
        <rFont val="Times New Roman"/>
        <family val="1"/>
      </rPr>
      <t>b</t>
    </r>
    <r>
      <rPr>
        <sz val="10"/>
        <color rgb="FF000000"/>
        <rFont val="Times New Roman"/>
        <family val="1"/>
      </rPr>
      <t xml:space="preserve"> Based on previous comments received from Corteva, we assume a cost of $2,825 annually per respondent for annual PRD monitoring.</t>
    </r>
  </si>
  <si>
    <r>
      <rPr>
        <vertAlign val="superscript"/>
        <sz val="10"/>
        <color rgb="FF000000"/>
        <rFont val="Times New Roman"/>
        <family val="1"/>
      </rPr>
      <t>c</t>
    </r>
    <r>
      <rPr>
        <sz val="10"/>
        <color rgb="FF000000"/>
        <rFont val="Times New Roman"/>
        <family val="1"/>
      </rPr>
      <t xml:space="preserve"> Based on previous comments received from Corteva, we assume approximately 10 hours of technical labor for programming time, correct instrumentation, and calibrations, or $1,220 per respondent annually. </t>
    </r>
  </si>
  <si>
    <r>
      <rPr>
        <vertAlign val="superscript"/>
        <sz val="10"/>
        <color rgb="FF000000"/>
        <rFont val="Times New Roman"/>
        <family val="1"/>
      </rPr>
      <t>d</t>
    </r>
    <r>
      <rPr>
        <sz val="10"/>
        <color rgb="FF000000"/>
        <rFont val="Times New Roman"/>
        <family val="1"/>
      </rPr>
      <t xml:space="preserve"> Based on previous comments received from Corteva, we assume a cost of $9,038 annually per respondent for calibration and maintenance for the treatment device and associated control devices and operating parameters.</t>
    </r>
  </si>
  <si>
    <t>Respondents That Submit Reports</t>
  </si>
  <si>
    <t>Respondents That Do Not Submit Any Reports</t>
  </si>
  <si>
    <t>Year</t>
  </si>
  <si>
    <t>Number of Existing Respondents</t>
  </si>
  <si>
    <t>Number of Existing  Respondents that keep records but do not submit reports</t>
  </si>
  <si>
    <t>(E=A+B+C-D)</t>
  </si>
  <si>
    <t>Average</t>
  </si>
  <si>
    <t>Total Annual Responses</t>
  </si>
  <si>
    <t>(A)
Information Collection Activity</t>
  </si>
  <si>
    <t xml:space="preserve">(B)
Number of Respondents  </t>
  </si>
  <si>
    <t>(C)
Number of Responses</t>
  </si>
  <si>
    <t>(D)
Number of Existing Respondents That Keep Records But Do Not Submit Reports</t>
  </si>
  <si>
    <t>(E)
Total Annual Responses
E=(BxC)+D</t>
  </si>
  <si>
    <t>Notification of process changes</t>
  </si>
  <si>
    <t>CMS evaluation with performance test</t>
  </si>
  <si>
    <t>CMS evaluation without performance test</t>
  </si>
  <si>
    <t>Semiannual report</t>
  </si>
  <si>
    <t>Quarterly report</t>
  </si>
  <si>
    <t>Emissions averaging plan</t>
  </si>
  <si>
    <t>Total</t>
  </si>
  <si>
    <t xml:space="preserve">Number of Existing Respondents That Are Also New Respondents </t>
  </si>
  <si>
    <r>
      <t xml:space="preserve">Number of New Respondents </t>
    </r>
    <r>
      <rPr>
        <vertAlign val="superscript"/>
        <sz val="10"/>
        <color rgb="FFFF0000"/>
        <rFont val="Times New Roman"/>
        <family val="1"/>
      </rPr>
      <t>a</t>
    </r>
  </si>
  <si>
    <r>
      <rPr>
        <vertAlign val="superscript"/>
        <sz val="10"/>
        <rFont val="Times New Roman"/>
        <family val="1"/>
      </rPr>
      <t>b</t>
    </r>
    <r>
      <rPr>
        <sz val="10"/>
        <rFont val="Times New Roman"/>
        <family val="1"/>
      </rPr>
      <t xml:space="preserve"> This ICR uses the following labor rates: Managerial $172.41 ($82.10+ 110%); Technical $141.75 ($67.50 + 110%); and Clerical $71.36 ($33.98 + 110%). These rates are from the United States Department of Labor, Bureau of Labor Statistics, December 2023, “Table 2. Civilian workers by occupational and industry group.” The rates are from column 1, “Total compensation.” The rates are increased by 110 percent to account for varying industry wage rates and the additional overhead business costs of employing workers beyond their wages and benefits, including business expenses associated with hiring, training, and equipping their employees.</t>
    </r>
  </si>
  <si>
    <r>
      <rPr>
        <vertAlign val="superscript"/>
        <sz val="10"/>
        <rFont val="Times New Roman"/>
        <family val="1"/>
      </rPr>
      <t>d</t>
    </r>
    <r>
      <rPr>
        <sz val="10"/>
        <rFont val="Times New Roman"/>
        <family val="1"/>
      </rPr>
      <t xml:space="preserve">  EPA assumes 5 percent of existing facilities (19 x 0.05 = 1, after rounding) will implement process changes.</t>
    </r>
  </si>
  <si>
    <r>
      <rPr>
        <vertAlign val="superscript"/>
        <sz val="10"/>
        <rFont val="Times New Roman"/>
        <family val="1"/>
      </rPr>
      <t>f</t>
    </r>
    <r>
      <rPr>
        <sz val="10"/>
        <rFont val="Times New Roman"/>
        <family val="1"/>
      </rPr>
      <t xml:space="preserve">  EPA assumes 10 percent of new sources will comply by submitting engineering calculations, designing calculations, and CMS performance evaluation results.</t>
    </r>
  </si>
  <si>
    <r>
      <rPr>
        <vertAlign val="superscript"/>
        <sz val="10"/>
        <rFont val="Times New Roman"/>
        <family val="1"/>
      </rPr>
      <t>g</t>
    </r>
    <r>
      <rPr>
        <sz val="10"/>
        <rFont val="Times New Roman"/>
        <family val="1"/>
      </rPr>
      <t xml:space="preserve">  EPA assumes 90 percent of sources (19 x 0.9 = 17, after rounding) will have no exceedances and periods of noncompliance; therefore, they will submit periodic reports on a semiannual basis.</t>
    </r>
  </si>
  <si>
    <r>
      <rPr>
        <vertAlign val="superscript"/>
        <sz val="10"/>
        <rFont val="Times New Roman"/>
        <family val="1"/>
      </rPr>
      <t>h</t>
    </r>
    <r>
      <rPr>
        <sz val="10"/>
        <rFont val="Times New Roman"/>
        <family val="1"/>
      </rPr>
      <t xml:space="preserve">  EPA assumes 10 percent of sources (19 x 0.1 = 2, after rounding) will have exceedances and periods of noncompliance; therefore, they will submit periodic reports on a quarterly basis.</t>
    </r>
  </si>
  <si>
    <r>
      <rPr>
        <vertAlign val="superscript"/>
        <sz val="10"/>
        <rFont val="Times New Roman"/>
        <family val="1"/>
      </rPr>
      <t>j</t>
    </r>
    <r>
      <rPr>
        <sz val="10"/>
        <rFont val="Times New Roman"/>
        <family val="1"/>
      </rPr>
      <t xml:space="preserve">  EPA assumes it will take 1 hour, 320 times per year, to record continuously monitored parameter data.</t>
    </r>
  </si>
  <si>
    <r>
      <rPr>
        <vertAlign val="superscript"/>
        <sz val="10"/>
        <rFont val="Times New Roman"/>
        <family val="1"/>
      </rPr>
      <t>k</t>
    </r>
    <r>
      <rPr>
        <sz val="10"/>
        <rFont val="Times New Roman"/>
        <family val="1"/>
      </rPr>
      <t xml:space="preserve"> Pressure Relief Device (PRD) reporting and Leak Detection and Repair (LDAR) reporting are submitted with the semiannual report.</t>
    </r>
  </si>
  <si>
    <r>
      <rPr>
        <vertAlign val="superscript"/>
        <sz val="10"/>
        <rFont val="Times New Roman"/>
        <family val="1"/>
      </rPr>
      <t>l</t>
    </r>
    <r>
      <rPr>
        <sz val="10"/>
        <rFont val="Times New Roman"/>
        <family val="1"/>
      </rPr>
      <t xml:space="preserve"> Totals have been rounded to 3 significant figures. Figures may not add exactly due to rounding.</t>
    </r>
  </si>
  <si>
    <r>
      <rPr>
        <vertAlign val="superscript"/>
        <sz val="10"/>
        <rFont val="Times New Roman"/>
        <family val="1"/>
      </rPr>
      <t>a</t>
    </r>
    <r>
      <rPr>
        <sz val="10"/>
        <rFont val="Times New Roman"/>
        <family val="1"/>
      </rPr>
      <t xml:space="preserve">  On average, EPA estimates 19 existing sources will be subject to the NESHAP.  No new sources will become subject to the standard over the three-year period of this ICR. However, based on comments received from Corteva, we assume one existing source per year will install a new process unit. </t>
    </r>
  </si>
  <si>
    <r>
      <rPr>
        <vertAlign val="superscript"/>
        <sz val="10"/>
        <rFont val="Times New Roman"/>
        <family val="1"/>
      </rPr>
      <t>b</t>
    </r>
    <r>
      <rPr>
        <sz val="10"/>
        <rFont val="Times New Roman"/>
        <family val="1"/>
      </rPr>
      <t xml:space="preserve">  This cost is based on the average hourly labor rate as follows: Managerial $76.91 (GS-13, Step 5, $48.07 + 60%); Technical $57.07 (GS-12, Step 1, $35.67 + 60%); and Clerical $30.88 (GS-6, Step 3, $19.30+ 60%). This ICR assumes that Managerial hours are 5 percent of Technical hours, and Clerical hours are 10 percent of Technical hours. These rates are from the Office of Personnel Management (OPM), 2024 General Schedule, which excludes locality, rates of pay. The rates have been increased by 60 percent to account for the benefit packages available to government employees.</t>
    </r>
  </si>
  <si>
    <r>
      <rPr>
        <vertAlign val="superscript"/>
        <sz val="10"/>
        <rFont val="Times New Roman"/>
        <family val="1"/>
      </rPr>
      <t>c</t>
    </r>
    <r>
      <rPr>
        <sz val="10"/>
        <rFont val="Times New Roman"/>
        <family val="1"/>
      </rPr>
      <t xml:space="preserve">  EPA assumes five percent of new sources will repeat performance testing.</t>
    </r>
  </si>
  <si>
    <r>
      <rPr>
        <vertAlign val="superscript"/>
        <sz val="10"/>
        <rFont val="Times New Roman"/>
        <family val="1"/>
      </rPr>
      <t>d</t>
    </r>
    <r>
      <rPr>
        <sz val="10"/>
        <rFont val="Times New Roman"/>
        <family val="1"/>
      </rPr>
      <t xml:space="preserve">  EPA assumes Agency personnel will attend ten percent of evaluation tests.</t>
    </r>
  </si>
  <si>
    <r>
      <rPr>
        <vertAlign val="superscript"/>
        <sz val="10"/>
        <rFont val="Times New Roman"/>
        <family val="1"/>
      </rPr>
      <t>e</t>
    </r>
    <r>
      <rPr>
        <sz val="10"/>
        <rFont val="Times New Roman"/>
        <family val="1"/>
      </rPr>
      <t xml:space="preserve">  EPA assumes 5 percent of existing facilities (19 x 0.05 = 1, after rounding) will implement process changes.</t>
    </r>
  </si>
  <si>
    <r>
      <rPr>
        <vertAlign val="superscript"/>
        <sz val="10"/>
        <rFont val="Times New Roman"/>
        <family val="1"/>
      </rPr>
      <t>f</t>
    </r>
    <r>
      <rPr>
        <sz val="10"/>
        <rFont val="Times New Roman"/>
        <family val="1"/>
      </rPr>
      <t xml:space="preserve">  EPA assumes 90 percent of new sources will comply by conducting performance testing.</t>
    </r>
  </si>
  <si>
    <r>
      <rPr>
        <vertAlign val="superscript"/>
        <sz val="10"/>
        <rFont val="Times New Roman"/>
        <family val="1"/>
      </rPr>
      <t>g</t>
    </r>
    <r>
      <rPr>
        <sz val="10"/>
        <rFont val="Times New Roman"/>
        <family val="1"/>
      </rPr>
      <t xml:space="preserve">  EPA assumes 10 percent of new sources will comply by submitting engineering calculations, designing calculations, and CMS performance evaluation results.</t>
    </r>
  </si>
  <si>
    <r>
      <rPr>
        <vertAlign val="superscript"/>
        <sz val="10"/>
        <rFont val="Times New Roman"/>
        <family val="1"/>
      </rPr>
      <t>h</t>
    </r>
    <r>
      <rPr>
        <sz val="10"/>
        <rFont val="Times New Roman"/>
        <family val="1"/>
      </rPr>
      <t xml:space="preserve">  EPA assumes 90 percent of sources (19 x 0.9 = 17, after rounding) will have no exceedances and periods of noncompliance; therefore, they will submit periodic reports on a semiannual basis.</t>
    </r>
  </si>
  <si>
    <r>
      <rPr>
        <vertAlign val="superscript"/>
        <sz val="10"/>
        <rFont val="Times New Roman"/>
        <family val="1"/>
      </rPr>
      <t>i</t>
    </r>
    <r>
      <rPr>
        <sz val="10"/>
        <rFont val="Times New Roman"/>
        <family val="1"/>
      </rPr>
      <t xml:space="preserve">  EPA assumes 10 percent of sources (19 x 0.1 = 2, after rounding) will have exceedances and periods of noncompliance; therefore, they will submit periodic reports on a quarterly basis.</t>
    </r>
  </si>
  <si>
    <r>
      <rPr>
        <vertAlign val="superscript"/>
        <sz val="10"/>
        <rFont val="Times New Roman"/>
        <family val="1"/>
      </rPr>
      <t>j</t>
    </r>
    <r>
      <rPr>
        <sz val="10"/>
        <rFont val="Times New Roman"/>
        <family val="1"/>
      </rPr>
      <t xml:space="preserve">  EPA assumes 10 percent of existing sources will comply with emissions averaging requirements.  New sources are not allowed to use emissions averaging.</t>
    </r>
  </si>
  <si>
    <r>
      <rPr>
        <vertAlign val="superscript"/>
        <sz val="10"/>
        <rFont val="Times New Roman"/>
        <family val="1"/>
      </rPr>
      <t>k</t>
    </r>
    <r>
      <rPr>
        <sz val="10"/>
        <rFont val="Times New Roman"/>
        <family val="1"/>
      </rPr>
      <t xml:space="preserve"> Totals have been rounded to 3 significant figures. Figures may not add exactly due to rounding.</t>
    </r>
  </si>
  <si>
    <r>
      <t>a</t>
    </r>
    <r>
      <rPr>
        <sz val="10"/>
        <rFont val="Times New Roman"/>
        <family val="1"/>
      </rPr>
      <t xml:space="preserve"> New respondents include sources with constructed, reconstructed and modified affected facilities. </t>
    </r>
  </si>
  <si>
    <r>
      <t>Pre-compliance</t>
    </r>
    <r>
      <rPr>
        <sz val="9"/>
        <color rgb="FFFF0000"/>
        <rFont val="Times New Roman"/>
        <family val="1"/>
      </rPr>
      <t xml:space="preserve"> </t>
    </r>
    <r>
      <rPr>
        <sz val="9"/>
        <rFont val="Times New Roman"/>
        <family val="1"/>
      </rPr>
      <t>report</t>
    </r>
  </si>
  <si>
    <r>
      <rPr>
        <vertAlign val="superscript"/>
        <sz val="9"/>
        <rFont val="Times New Roman"/>
        <family val="1"/>
      </rPr>
      <t>i</t>
    </r>
    <r>
      <rPr>
        <sz val="9"/>
        <rFont val="Times New Roman"/>
        <family val="1"/>
      </rPr>
      <t xml:space="preserve">  </t>
    </r>
    <r>
      <rPr>
        <sz val="10"/>
        <rFont val="Times New Roman"/>
        <family val="1"/>
      </rPr>
      <t>EPA assumes 10 percent of existing sources will comply with emissions averaging requirements.  New sources are not allowed to use emissions averaging.</t>
    </r>
  </si>
  <si>
    <r>
      <t xml:space="preserve">Notification of repeat performance test </t>
    </r>
    <r>
      <rPr>
        <vertAlign val="superscript"/>
        <sz val="10"/>
        <rFont val="Times New Roman"/>
        <family val="1"/>
      </rPr>
      <t>c</t>
    </r>
  </si>
  <si>
    <r>
      <rPr>
        <vertAlign val="superscript"/>
        <sz val="10"/>
        <rFont val="Times New Roman"/>
        <family val="1"/>
      </rPr>
      <t xml:space="preserve">e </t>
    </r>
    <r>
      <rPr>
        <sz val="10"/>
        <rFont val="Times New Roman"/>
        <family val="1"/>
      </rPr>
      <t xml:space="preserve"> EPA assumes 90 percent of new sources will comply by conducting performance testing. </t>
    </r>
  </si>
  <si>
    <r>
      <rPr>
        <vertAlign val="superscript"/>
        <sz val="10"/>
        <rFont val="Times New Roman"/>
        <family val="1"/>
      </rPr>
      <t>c</t>
    </r>
    <r>
      <rPr>
        <sz val="10"/>
        <rFont val="Times New Roman"/>
        <family val="1"/>
      </rPr>
      <t xml:space="preserve">  Applies to new or reconstructed sources only. However, based on comments received from Corteva, we assume one existing source per year will install a new process unit and would be required to conduct certain activities, including submit an updated pre-compliance report, notifications of initial performance test or performance evaluation, update record management systems, and develop of a QA/QC plan for CMS. We assume 5 percent of new sources would be required to conduct a repeat performance test.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</si>
</sst>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4" formatCode="_(&quot;$&quot;* #,##0.00_);_(&quot;$&quot;* \(#,##0.00\);_(&quot;$&quot;* &quot;-&quot;??_);_(@_)"/>
    <numFmt numFmtId="164" formatCode="&quot;$&quot;#,##0.00"/>
    <numFmt numFmtId="165" formatCode="#,##0.0"/>
    <numFmt numFmtId="166" formatCode="&quot;$&quot;#,##0"/>
  </numFmts>
  <fonts count="30" x14ac:knownFonts="1">
    <font>
      <sz val="10"/>
      <color theme="1"/>
      <name val="Arial"/>
      <family val="2"/>
    </font>
    <font>
      <sz val="10"/>
      <color theme="1"/>
      <name val="Times New Roman"/>
      <family val="1"/>
    </font>
    <font>
      <sz val="10"/>
      <name val="Times New Roman"/>
      <family val="1"/>
    </font>
    <font>
      <b/>
      <sz val="10"/>
      <name val="Times New Roman"/>
      <family val="1"/>
    </font>
    <font>
      <b/>
      <vertAlign val="superscript"/>
      <sz val="10"/>
      <name val="Times New Roman"/>
      <family val="1"/>
    </font>
    <font>
      <b/>
      <sz val="12"/>
      <color rgb="FF000000"/>
      <name val="Times New Roman"/>
      <family val="1"/>
    </font>
    <font>
      <sz val="9"/>
      <color rgb="FF000000"/>
      <name val="Times New Roman"/>
      <family val="1"/>
    </font>
    <font>
      <sz val="9"/>
      <color theme="1"/>
      <name val="Times New Roman"/>
      <family val="1"/>
    </font>
    <font>
      <sz val="9"/>
      <name val="Times New Roman"/>
      <family val="1"/>
    </font>
    <font>
      <sz val="10"/>
      <color rgb="FF000000"/>
      <name val="Times New Roman"/>
      <family val="1"/>
    </font>
    <font>
      <b/>
      <sz val="12"/>
      <name val="Times New Roman"/>
      <family val="1"/>
    </font>
    <font>
      <vertAlign val="superscript"/>
      <sz val="10"/>
      <name val="Times New Roman"/>
      <family val="1"/>
    </font>
    <font>
      <b/>
      <i/>
      <sz val="10"/>
      <name val="Times New Roman"/>
      <family val="1"/>
    </font>
    <font>
      <sz val="10"/>
      <color rgb="FFFF0000"/>
      <name val="Times New Roman"/>
      <family val="1"/>
    </font>
    <font>
      <sz val="10"/>
      <color theme="1"/>
      <name val="Arial"/>
      <family val="2"/>
    </font>
    <font>
      <sz val="10"/>
      <color rgb="FFFF0000"/>
      <name val="Arial"/>
      <family val="2"/>
    </font>
    <font>
      <sz val="12"/>
      <color rgb="FF000000"/>
      <name val="Times New Roman"/>
      <family val="1"/>
    </font>
    <font>
      <b/>
      <sz val="10"/>
      <color rgb="FF000000"/>
      <name val="Times New Roman"/>
      <family val="1"/>
    </font>
    <font>
      <sz val="10"/>
      <color rgb="FF0070C0"/>
      <name val="Times New Roman"/>
      <family val="1"/>
    </font>
    <font>
      <sz val="10"/>
      <color rgb="FF7030A0"/>
      <name val="Times New Roman"/>
      <family val="1"/>
    </font>
    <font>
      <vertAlign val="superscript"/>
      <sz val="10"/>
      <color rgb="FF7030A0"/>
      <name val="Times New Roman"/>
      <family val="1"/>
    </font>
    <font>
      <b/>
      <sz val="11"/>
      <color rgb="FF000000"/>
      <name val="Times New Roman"/>
      <family val="1"/>
    </font>
    <font>
      <sz val="11"/>
      <color theme="1"/>
      <name val="Times New Roman"/>
      <family val="1"/>
    </font>
    <font>
      <sz val="10"/>
      <color rgb="FF000000"/>
      <name val="Times New Roman"/>
      <family val="1"/>
    </font>
    <font>
      <vertAlign val="superscript"/>
      <sz val="10"/>
      <color rgb="FF000000"/>
      <name val="Times New Roman"/>
      <family val="1"/>
    </font>
    <font>
      <vertAlign val="superscript"/>
      <sz val="10"/>
      <color rgb="FFFF0000"/>
      <name val="Times New Roman"/>
      <family val="1"/>
    </font>
    <font>
      <sz val="9"/>
      <color rgb="FFFF0000"/>
      <name val="Times New Roman"/>
      <family val="1"/>
    </font>
    <font>
      <vertAlign val="superscript"/>
      <sz val="9"/>
      <name val="Times New Roman"/>
      <family val="1"/>
    </font>
    <font>
      <b/>
      <sz val="10"/>
      <color theme="1"/>
      <name val="Times New Roman"/>
      <family val="1"/>
    </font>
    <font>
      <b/>
      <sz val="11"/>
      <color theme="1"/>
      <name val="Times New Roman"/>
      <family val="1"/>
    </font>
  </fonts>
  <fills count="3">
    <fill>
      <patternFill patternType="none"/>
    </fill>
    <fill>
      <patternFill patternType="gray125"/>
    </fill>
    <fill>
      <patternFill patternType="solid">
        <fgColor theme="0" tint="-0.249977111117893"/>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2">
    <xf numFmtId="0" fontId="0" fillId="0" borderId="0"/>
    <xf numFmtId="44" fontId="14" fillId="0" borderId="0" applyFont="0" applyFill="0" applyBorder="0" applyAlignment="0" applyProtection="0"/>
  </cellStyleXfs>
  <cellXfs count="137">
    <xf numFmtId="0" fontId="0" fillId="0" borderId="0" xfId="0"/>
    <xf numFmtId="0" fontId="2" fillId="0" borderId="0" xfId="0" applyFont="1"/>
    <xf numFmtId="0" fontId="3" fillId="0" borderId="1" xfId="0" applyFont="1" applyBorder="1" applyAlignment="1">
      <alignment horizontal="center"/>
    </xf>
    <xf numFmtId="0" fontId="2" fillId="0" borderId="0" xfId="0" applyFont="1" applyAlignment="1">
      <alignment wrapText="1"/>
    </xf>
    <xf numFmtId="4" fontId="3" fillId="0" borderId="1" xfId="0" applyNumberFormat="1" applyFont="1" applyBorder="1" applyAlignment="1">
      <alignment horizontal="center"/>
    </xf>
    <xf numFmtId="4" fontId="3" fillId="0" borderId="1" xfId="0" applyNumberFormat="1" applyFont="1" applyBorder="1" applyAlignment="1">
      <alignment horizontal="center" wrapText="1"/>
    </xf>
    <xf numFmtId="4" fontId="2" fillId="0" borderId="0" xfId="0" applyNumberFormat="1" applyFont="1"/>
    <xf numFmtId="0" fontId="3" fillId="0" borderId="1" xfId="0" applyFont="1" applyBorder="1" applyAlignment="1">
      <alignment horizontal="center" vertical="center"/>
    </xf>
    <xf numFmtId="0" fontId="2" fillId="0" borderId="0" xfId="0" applyFont="1" applyAlignment="1">
      <alignment horizontal="left" vertical="top"/>
    </xf>
    <xf numFmtId="0" fontId="7" fillId="0" borderId="1" xfId="0" applyFont="1" applyBorder="1" applyAlignment="1">
      <alignment horizontal="center" vertical="top" wrapText="1"/>
    </xf>
    <xf numFmtId="0" fontId="8" fillId="0" borderId="1" xfId="0" applyFont="1" applyBorder="1" applyAlignment="1">
      <alignment horizontal="center" vertical="top" wrapText="1"/>
    </xf>
    <xf numFmtId="0" fontId="1" fillId="0" borderId="0" xfId="0" quotePrefix="1" applyFont="1" applyAlignment="1">
      <alignment horizontal="left"/>
    </xf>
    <xf numFmtId="0" fontId="10" fillId="0" borderId="0" xfId="0" applyFont="1"/>
    <xf numFmtId="0" fontId="2" fillId="0" borderId="0" xfId="0" applyFont="1" applyAlignment="1">
      <alignment horizontal="center"/>
    </xf>
    <xf numFmtId="0" fontId="9" fillId="0" borderId="5" xfId="0" applyFont="1" applyBorder="1" applyAlignment="1">
      <alignment horizontal="center" vertical="top" wrapText="1"/>
    </xf>
    <xf numFmtId="0" fontId="9" fillId="0" borderId="6" xfId="0" applyFont="1" applyBorder="1" applyAlignment="1">
      <alignment horizontal="center" vertical="top" wrapText="1"/>
    </xf>
    <xf numFmtId="0" fontId="5" fillId="0" borderId="7" xfId="0" applyFont="1" applyBorder="1" applyAlignment="1">
      <alignment vertical="top" wrapText="1"/>
    </xf>
    <xf numFmtId="0" fontId="6" fillId="0" borderId="1" xfId="0" applyFont="1" applyBorder="1" applyAlignment="1">
      <alignment vertical="top" wrapText="1"/>
    </xf>
    <xf numFmtId="0" fontId="9" fillId="0" borderId="1" xfId="0" applyFont="1" applyBorder="1" applyAlignment="1">
      <alignment horizontal="center" vertical="top" wrapText="1"/>
    </xf>
    <xf numFmtId="3" fontId="9" fillId="0" borderId="1" xfId="0" applyNumberFormat="1" applyFont="1" applyBorder="1" applyAlignment="1">
      <alignment horizontal="center" vertical="top" wrapText="1"/>
    </xf>
    <xf numFmtId="0" fontId="2" fillId="0" borderId="0" xfId="0" quotePrefix="1" applyFont="1"/>
    <xf numFmtId="0" fontId="2" fillId="0" borderId="0" xfId="0" applyFont="1" applyAlignment="1">
      <alignment horizontal="left"/>
    </xf>
    <xf numFmtId="164" fontId="2" fillId="0" borderId="0" xfId="0" applyNumberFormat="1" applyFont="1" applyAlignment="1">
      <alignment horizontal="left" vertical="top"/>
    </xf>
    <xf numFmtId="0" fontId="3" fillId="0" borderId="0" xfId="0" applyFont="1"/>
    <xf numFmtId="0" fontId="2" fillId="0" borderId="1" xfId="0" applyFont="1" applyBorder="1"/>
    <xf numFmtId="3" fontId="2" fillId="0" borderId="1" xfId="0" applyNumberFormat="1" applyFont="1" applyBorder="1"/>
    <xf numFmtId="0" fontId="3" fillId="2" borderId="1" xfId="0" applyFont="1" applyFill="1" applyBorder="1"/>
    <xf numFmtId="0" fontId="3" fillId="0" borderId="1" xfId="0" applyFont="1" applyBorder="1" applyAlignment="1">
      <alignment horizontal="center" vertical="top" wrapText="1"/>
    </xf>
    <xf numFmtId="0" fontId="3" fillId="0" borderId="1" xfId="0" applyFont="1" applyBorder="1" applyAlignment="1">
      <alignment vertical="top" wrapText="1"/>
    </xf>
    <xf numFmtId="0" fontId="6" fillId="0" borderId="1" xfId="0" applyFont="1" applyBorder="1" applyAlignment="1">
      <alignment horizontal="left" vertical="top" wrapText="1"/>
    </xf>
    <xf numFmtId="3" fontId="6" fillId="0" borderId="1" xfId="0" applyNumberFormat="1" applyFont="1" applyBorder="1" applyAlignment="1">
      <alignment horizontal="center" vertical="top" wrapText="1"/>
    </xf>
    <xf numFmtId="0" fontId="7" fillId="0" borderId="1" xfId="0" applyFont="1" applyBorder="1" applyAlignment="1">
      <alignment vertical="top" wrapText="1"/>
    </xf>
    <xf numFmtId="0" fontId="6" fillId="0" borderId="1" xfId="0" applyFont="1" applyBorder="1" applyAlignment="1">
      <alignment horizontal="center" vertical="top" wrapText="1"/>
    </xf>
    <xf numFmtId="0" fontId="3" fillId="0" borderId="1" xfId="0" applyFont="1" applyBorder="1" applyAlignment="1">
      <alignment horizontal="center" wrapText="1"/>
    </xf>
    <xf numFmtId="0" fontId="13" fillId="0" borderId="0" xfId="0" applyFont="1"/>
    <xf numFmtId="3" fontId="2" fillId="0" borderId="0" xfId="0" applyNumberFormat="1" applyFont="1"/>
    <xf numFmtId="3" fontId="2" fillId="0" borderId="0" xfId="0" applyNumberFormat="1" applyFont="1" applyAlignment="1">
      <alignment horizontal="right"/>
    </xf>
    <xf numFmtId="0" fontId="2" fillId="0" borderId="1" xfId="0" applyFont="1" applyBorder="1" applyAlignment="1">
      <alignment vertical="top" wrapText="1"/>
    </xf>
    <xf numFmtId="0" fontId="2" fillId="0" borderId="1" xfId="0" applyFont="1" applyBorder="1" applyAlignment="1">
      <alignment horizontal="center" vertical="top" wrapText="1"/>
    </xf>
    <xf numFmtId="4" fontId="2" fillId="0" borderId="1" xfId="0" applyNumberFormat="1" applyFont="1" applyBorder="1" applyAlignment="1">
      <alignment horizontal="right" vertical="top" wrapText="1"/>
    </xf>
    <xf numFmtId="0" fontId="2" fillId="0" borderId="1" xfId="0" applyFont="1" applyBorder="1" applyAlignment="1">
      <alignment horizontal="left" vertical="top" wrapText="1" indent="1"/>
    </xf>
    <xf numFmtId="3" fontId="2" fillId="0" borderId="1" xfId="0" applyNumberFormat="1" applyFont="1" applyBorder="1" applyAlignment="1">
      <alignment horizontal="center" vertical="top" wrapText="1"/>
    </xf>
    <xf numFmtId="0" fontId="2" fillId="0" borderId="1" xfId="0" applyFont="1" applyBorder="1" applyAlignment="1">
      <alignment horizontal="left" vertical="top" wrapText="1" indent="3"/>
    </xf>
    <xf numFmtId="165" fontId="2" fillId="0" borderId="1" xfId="0" applyNumberFormat="1" applyFont="1" applyBorder="1" applyAlignment="1">
      <alignment horizontal="center" vertical="top" wrapText="1"/>
    </xf>
    <xf numFmtId="0" fontId="2" fillId="0" borderId="1" xfId="0" applyFont="1" applyBorder="1" applyAlignment="1">
      <alignment horizontal="left" vertical="top" wrapText="1" indent="5"/>
    </xf>
    <xf numFmtId="1" fontId="2" fillId="0" borderId="1" xfId="0" applyNumberFormat="1" applyFont="1" applyBorder="1" applyAlignment="1">
      <alignment horizontal="center" vertical="top" wrapText="1"/>
    </xf>
    <xf numFmtId="4" fontId="2" fillId="0" borderId="1" xfId="0" applyNumberFormat="1" applyFont="1" applyBorder="1" applyAlignment="1">
      <alignment horizontal="center" vertical="top" wrapText="1"/>
    </xf>
    <xf numFmtId="0" fontId="12" fillId="0" borderId="1" xfId="0" applyFont="1"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horizontal="left" vertical="top" wrapText="1" indent="2"/>
    </xf>
    <xf numFmtId="3" fontId="3" fillId="0" borderId="1" xfId="0" applyNumberFormat="1" applyFont="1" applyBorder="1" applyAlignment="1">
      <alignment horizontal="center" vertical="top" wrapText="1"/>
    </xf>
    <xf numFmtId="0" fontId="3" fillId="0" borderId="1" xfId="0" applyFont="1" applyBorder="1" applyAlignment="1">
      <alignment vertical="top"/>
    </xf>
    <xf numFmtId="164" fontId="2" fillId="0" borderId="1" xfId="1" applyNumberFormat="1" applyFont="1" applyFill="1" applyBorder="1" applyAlignment="1">
      <alignment horizontal="right" vertical="top" wrapText="1"/>
    </xf>
    <xf numFmtId="166" fontId="2" fillId="0" borderId="1" xfId="1" applyNumberFormat="1" applyFont="1" applyFill="1" applyBorder="1" applyAlignment="1">
      <alignment horizontal="right" vertical="top" wrapText="1"/>
    </xf>
    <xf numFmtId="166" fontId="3" fillId="0" borderId="1" xfId="1" applyNumberFormat="1" applyFont="1" applyFill="1" applyBorder="1" applyAlignment="1">
      <alignment horizontal="right" vertical="top" wrapText="1"/>
    </xf>
    <xf numFmtId="166" fontId="3" fillId="0" borderId="1" xfId="1" applyNumberFormat="1" applyFont="1" applyFill="1" applyBorder="1"/>
    <xf numFmtId="164" fontId="2" fillId="0" borderId="1" xfId="0" applyNumberFormat="1" applyFont="1" applyBorder="1" applyAlignment="1">
      <alignment horizontal="right" vertical="top" wrapText="1"/>
    </xf>
    <xf numFmtId="166" fontId="3" fillId="0" borderId="1" xfId="0" applyNumberFormat="1" applyFont="1" applyBorder="1" applyAlignment="1">
      <alignment horizontal="right" vertical="top" wrapText="1"/>
    </xf>
    <xf numFmtId="0" fontId="15" fillId="0" borderId="0" xfId="0" applyFont="1"/>
    <xf numFmtId="0" fontId="8" fillId="0" borderId="0" xfId="0" applyFont="1"/>
    <xf numFmtId="0" fontId="9" fillId="0" borderId="1" xfId="0" applyFont="1" applyBorder="1" applyAlignment="1">
      <alignment vertical="center" wrapText="1"/>
    </xf>
    <xf numFmtId="0" fontId="9" fillId="0" borderId="1" xfId="0" applyFont="1" applyBorder="1" applyAlignment="1">
      <alignment horizontal="right" vertical="center" wrapText="1"/>
    </xf>
    <xf numFmtId="6" fontId="9" fillId="0" borderId="1" xfId="0" applyNumberFormat="1" applyFont="1" applyBorder="1" applyAlignment="1">
      <alignment horizontal="right" vertical="center" wrapText="1"/>
    </xf>
    <xf numFmtId="0" fontId="9" fillId="0" borderId="6" xfId="0" applyFont="1" applyBorder="1" applyAlignment="1">
      <alignment horizontal="center" vertical="center" wrapText="1"/>
    </xf>
    <xf numFmtId="0" fontId="9" fillId="0" borderId="6" xfId="0" applyFont="1" applyBorder="1" applyAlignment="1">
      <alignment vertical="center" wrapText="1"/>
    </xf>
    <xf numFmtId="0" fontId="9" fillId="0" borderId="7" xfId="0" applyFont="1" applyBorder="1" applyAlignment="1">
      <alignment horizontal="center" vertical="center" wrapText="1"/>
    </xf>
    <xf numFmtId="0" fontId="9" fillId="0" borderId="7" xfId="0" applyFont="1" applyBorder="1" applyAlignment="1">
      <alignment vertical="center" wrapText="1"/>
    </xf>
    <xf numFmtId="0" fontId="9" fillId="0" borderId="0" xfId="0" applyFont="1" applyAlignment="1">
      <alignment horizontal="center" vertical="center" wrapText="1"/>
    </xf>
    <xf numFmtId="0" fontId="9" fillId="0" borderId="0" xfId="0" applyFont="1" applyAlignment="1">
      <alignment vertical="center" wrapText="1"/>
    </xf>
    <xf numFmtId="0" fontId="9" fillId="0" borderId="8" xfId="0" applyFont="1" applyBorder="1" applyAlignment="1">
      <alignment vertical="center" wrapText="1"/>
    </xf>
    <xf numFmtId="0" fontId="13" fillId="0" borderId="0" xfId="0" applyFont="1" applyAlignment="1">
      <alignment horizontal="left"/>
    </xf>
    <xf numFmtId="0" fontId="18" fillId="0" borderId="0" xfId="0" applyFont="1"/>
    <xf numFmtId="0" fontId="19" fillId="0" borderId="0" xfId="0" applyFont="1"/>
    <xf numFmtId="0" fontId="17" fillId="0" borderId="5" xfId="0" applyFont="1" applyBorder="1" applyAlignment="1">
      <alignment vertical="center" wrapText="1"/>
    </xf>
    <xf numFmtId="0" fontId="17" fillId="0" borderId="5" xfId="0" applyFont="1" applyBorder="1" applyAlignment="1">
      <alignment horizontal="right" vertical="center" wrapText="1"/>
    </xf>
    <xf numFmtId="6" fontId="17" fillId="0" borderId="5" xfId="0" applyNumberFormat="1" applyFont="1" applyBorder="1" applyAlignment="1">
      <alignment horizontal="right" vertical="center" wrapText="1"/>
    </xf>
    <xf numFmtId="0" fontId="2" fillId="0" borderId="0" xfId="0" applyFont="1" applyAlignment="1">
      <alignment horizontal="left" wrapText="1"/>
    </xf>
    <xf numFmtId="165" fontId="8" fillId="0" borderId="1" xfId="0" applyNumberFormat="1" applyFont="1" applyBorder="1" applyAlignment="1">
      <alignment horizontal="center" vertical="top" wrapText="1"/>
    </xf>
    <xf numFmtId="0" fontId="22" fillId="0" borderId="0" xfId="0" applyFont="1" applyAlignment="1">
      <alignment vertical="center" wrapText="1"/>
    </xf>
    <xf numFmtId="1" fontId="22" fillId="0" borderId="0" xfId="0" applyNumberFormat="1" applyFont="1"/>
    <xf numFmtId="0" fontId="22" fillId="0" borderId="0" xfId="0" applyFont="1"/>
    <xf numFmtId="3" fontId="22" fillId="0" borderId="0" xfId="0" applyNumberFormat="1" applyFont="1"/>
    <xf numFmtId="6" fontId="22" fillId="0" borderId="0" xfId="0" applyNumberFormat="1" applyFont="1"/>
    <xf numFmtId="164" fontId="2" fillId="0" borderId="19" xfId="0" applyNumberFormat="1" applyFont="1" applyBorder="1"/>
    <xf numFmtId="164" fontId="2" fillId="0" borderId="15" xfId="0" applyNumberFormat="1" applyFont="1" applyBorder="1"/>
    <xf numFmtId="164" fontId="2" fillId="0" borderId="17" xfId="0" applyNumberFormat="1" applyFont="1" applyBorder="1"/>
    <xf numFmtId="164" fontId="2" fillId="0" borderId="19" xfId="0" applyNumberFormat="1" applyFont="1" applyBorder="1" applyAlignment="1">
      <alignment horizontal="right" vertical="top"/>
    </xf>
    <xf numFmtId="164" fontId="2" fillId="0" borderId="15" xfId="0" applyNumberFormat="1" applyFont="1" applyBorder="1" applyAlignment="1">
      <alignment horizontal="right" vertical="top"/>
    </xf>
    <xf numFmtId="164" fontId="2" fillId="0" borderId="17" xfId="0" applyNumberFormat="1" applyFont="1" applyBorder="1" applyAlignment="1">
      <alignment horizontal="right" vertical="top"/>
    </xf>
    <xf numFmtId="0" fontId="23" fillId="0" borderId="1" xfId="0" applyFont="1" applyBorder="1" applyAlignment="1">
      <alignment horizontal="left" vertical="top" wrapText="1"/>
    </xf>
    <xf numFmtId="0" fontId="1" fillId="0" borderId="0" xfId="0" applyFont="1"/>
    <xf numFmtId="6" fontId="28" fillId="0" borderId="0" xfId="0" applyNumberFormat="1" applyFont="1"/>
    <xf numFmtId="0" fontId="1" fillId="0" borderId="18" xfId="0" applyFont="1" applyBorder="1"/>
    <xf numFmtId="0" fontId="1" fillId="0" borderId="14" xfId="0" applyFont="1" applyBorder="1"/>
    <xf numFmtId="0" fontId="1" fillId="0" borderId="16" xfId="0" applyFont="1" applyBorder="1"/>
    <xf numFmtId="0" fontId="9" fillId="0" borderId="18" xfId="0" applyFont="1" applyBorder="1"/>
    <xf numFmtId="0" fontId="9" fillId="0" borderId="14" xfId="0" applyFont="1" applyBorder="1"/>
    <xf numFmtId="0" fontId="9" fillId="0" borderId="16" xfId="0" applyFont="1" applyBorder="1"/>
    <xf numFmtId="0" fontId="21" fillId="0" borderId="0" xfId="0" applyFont="1" applyAlignment="1">
      <alignment horizontal="center"/>
    </xf>
    <xf numFmtId="0" fontId="29" fillId="0" borderId="12" xfId="0" applyFont="1" applyBorder="1" applyAlignment="1">
      <alignment horizontal="center" vertical="center"/>
    </xf>
    <xf numFmtId="0" fontId="29" fillId="0" borderId="13" xfId="0" applyFont="1" applyBorder="1" applyAlignment="1">
      <alignment horizontal="center" vertical="center"/>
    </xf>
    <xf numFmtId="0" fontId="2" fillId="0" borderId="2"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3" fillId="0" borderId="1" xfId="0" applyFont="1" applyBorder="1" applyAlignment="1">
      <alignment horizontal="center" wrapText="1"/>
    </xf>
    <xf numFmtId="0" fontId="2" fillId="0" borderId="0" xfId="0" applyFont="1" applyAlignment="1">
      <alignment horizontal="left" wrapText="1"/>
    </xf>
    <xf numFmtId="3" fontId="3" fillId="0" borderId="1" xfId="0" applyNumberFormat="1" applyFont="1" applyBorder="1" applyAlignment="1">
      <alignment horizontal="center" vertical="top" wrapText="1"/>
    </xf>
    <xf numFmtId="2" fontId="2" fillId="0" borderId="0" xfId="0" applyNumberFormat="1" applyFont="1" applyAlignment="1">
      <alignment horizontal="left" wrapText="1"/>
    </xf>
    <xf numFmtId="0" fontId="8" fillId="0" borderId="0" xfId="0" applyFont="1" applyAlignment="1">
      <alignment horizontal="left" wrapText="1"/>
    </xf>
    <xf numFmtId="3" fontId="3" fillId="0" borderId="2" xfId="0" applyNumberFormat="1" applyFont="1" applyBorder="1" applyAlignment="1">
      <alignment horizontal="center" vertical="top" wrapText="1"/>
    </xf>
    <xf numFmtId="3" fontId="3" fillId="0" borderId="3" xfId="0" applyNumberFormat="1" applyFont="1" applyBorder="1" applyAlignment="1">
      <alignment horizontal="center" vertical="top" wrapText="1"/>
    </xf>
    <xf numFmtId="3" fontId="3" fillId="0" borderId="4" xfId="0" applyNumberFormat="1" applyFont="1" applyBorder="1" applyAlignment="1">
      <alignment horizontal="center" vertical="top" wrapText="1"/>
    </xf>
    <xf numFmtId="0" fontId="2" fillId="0" borderId="0" xfId="0" applyFont="1" applyAlignment="1">
      <alignment horizontal="left"/>
    </xf>
    <xf numFmtId="0" fontId="3" fillId="0" borderId="1" xfId="0" applyFont="1" applyBorder="1" applyAlignment="1">
      <alignment horizontal="left" wrapText="1"/>
    </xf>
    <xf numFmtId="0" fontId="2" fillId="0" borderId="0" xfId="0" applyFont="1" applyAlignment="1">
      <alignment horizontal="left" vertical="top" wrapText="1"/>
    </xf>
    <xf numFmtId="0" fontId="23" fillId="0" borderId="0" xfId="0" applyFont="1" applyAlignment="1">
      <alignment horizontal="left" vertical="center" wrapText="1"/>
    </xf>
    <xf numFmtId="0" fontId="2" fillId="0" borderId="0" xfId="0" applyFont="1" applyAlignment="1">
      <alignment horizontal="left" vertical="center" wrapText="1"/>
    </xf>
    <xf numFmtId="0" fontId="16" fillId="0" borderId="10" xfId="0" applyFont="1" applyBorder="1" applyAlignment="1">
      <alignment vertical="center" wrapText="1"/>
    </xf>
    <xf numFmtId="0" fontId="16" fillId="0" borderId="11" xfId="0" applyFont="1" applyBorder="1" applyAlignment="1">
      <alignment vertical="center" wrapText="1"/>
    </xf>
    <xf numFmtId="0" fontId="16" fillId="0" borderId="9" xfId="0" applyFont="1" applyBorder="1" applyAlignment="1">
      <alignment vertical="center" wrapText="1"/>
    </xf>
    <xf numFmtId="0" fontId="5" fillId="0" borderId="20"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22" xfId="0" applyFont="1" applyBorder="1" applyAlignment="1">
      <alignment horizontal="center" vertical="center" wrapText="1"/>
    </xf>
    <xf numFmtId="0" fontId="23" fillId="0" borderId="11" xfId="0" applyFont="1" applyBorder="1" applyAlignment="1">
      <alignment horizontal="left" vertical="center" wrapText="1"/>
    </xf>
    <xf numFmtId="0" fontId="2" fillId="0" borderId="11" xfId="0" applyFont="1" applyBorder="1" applyAlignment="1">
      <alignment horizontal="left" vertical="center" wrapText="1"/>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5" fillId="0" borderId="4" xfId="0" applyFont="1" applyBorder="1" applyAlignment="1">
      <alignment horizontal="center" vertical="top" wrapText="1"/>
    </xf>
    <xf numFmtId="0" fontId="6" fillId="0" borderId="2" xfId="0" applyFont="1" applyBorder="1" applyAlignment="1">
      <alignment horizontal="center" vertical="top" wrapText="1"/>
    </xf>
    <xf numFmtId="0" fontId="6" fillId="0" borderId="4" xfId="0" applyFont="1" applyBorder="1" applyAlignment="1">
      <alignment horizontal="center" vertical="top" wrapText="1"/>
    </xf>
    <xf numFmtId="0" fontId="11" fillId="0" borderId="11" xfId="0" applyFont="1" applyBorder="1" applyAlignment="1">
      <alignment horizontal="left" vertical="top" wrapText="1"/>
    </xf>
    <xf numFmtId="0" fontId="5" fillId="0" borderId="1" xfId="0" applyFont="1" applyBorder="1" applyAlignment="1">
      <alignment horizontal="center" vertical="top" wrapText="1"/>
    </xf>
    <xf numFmtId="0" fontId="2" fillId="0" borderId="1" xfId="0" applyFont="1" applyFill="1" applyBorder="1" applyAlignment="1">
      <alignment horizontal="left" vertical="top" wrapText="1" indent="3"/>
    </xf>
    <xf numFmtId="0" fontId="2" fillId="0" borderId="1" xfId="0" applyFont="1" applyFill="1" applyBorder="1" applyAlignment="1">
      <alignment horizontal="center" vertical="top" wrapText="1"/>
    </xf>
    <xf numFmtId="3" fontId="2" fillId="0" borderId="1" xfId="0" applyNumberFormat="1" applyFont="1" applyFill="1" applyBorder="1" applyAlignment="1">
      <alignment horizontal="center" vertical="top" wrapText="1"/>
    </xf>
    <xf numFmtId="165" fontId="2" fillId="0" borderId="1" xfId="0" applyNumberFormat="1" applyFont="1" applyFill="1" applyBorder="1" applyAlignment="1">
      <alignment horizontal="center" vertical="top" wrapText="1"/>
    </xf>
    <xf numFmtId="4" fontId="2" fillId="0" borderId="1" xfId="0" applyNumberFormat="1" applyFont="1" applyFill="1" applyBorder="1" applyAlignment="1">
      <alignment horizontal="center" vertical="top" wrapText="1"/>
    </xf>
  </cellXfs>
  <cellStyles count="2">
    <cellStyle name="Currency"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54AAB-FE7E-420C-AAC6-5C3CB4393B2E}">
  <dimension ref="A1:B7"/>
  <sheetViews>
    <sheetView tabSelected="1" workbookViewId="0">
      <selection activeCell="B7" sqref="B7"/>
    </sheetView>
  </sheetViews>
  <sheetFormatPr defaultRowHeight="12.75" x14ac:dyDescent="0.2"/>
  <cols>
    <col min="1" max="1" width="27.42578125" customWidth="1"/>
    <col min="2" max="2" width="13.28515625" customWidth="1"/>
  </cols>
  <sheetData>
    <row r="1" spans="1:2" ht="14.25" x14ac:dyDescent="0.2">
      <c r="A1" s="98" t="s">
        <v>0</v>
      </c>
      <c r="B1" s="98"/>
    </row>
    <row r="2" spans="1:2" ht="15.75" customHeight="1" x14ac:dyDescent="0.25">
      <c r="A2" s="78" t="s">
        <v>1</v>
      </c>
      <c r="B2" s="79">
        <f>'Table 1'!J50</f>
        <v>269</v>
      </c>
    </row>
    <row r="3" spans="1:2" ht="15.75" customHeight="1" x14ac:dyDescent="0.25">
      <c r="A3" s="78" t="s">
        <v>2</v>
      </c>
      <c r="B3" s="81">
        <f>Respondents!G10</f>
        <v>19</v>
      </c>
    </row>
    <row r="4" spans="1:2" ht="15.75" customHeight="1" x14ac:dyDescent="0.25">
      <c r="A4" s="78" t="s">
        <v>3</v>
      </c>
      <c r="B4" s="81">
        <f>'Table 1'!G47</f>
        <v>13200</v>
      </c>
    </row>
    <row r="5" spans="1:2" ht="15.75" customHeight="1" x14ac:dyDescent="0.25">
      <c r="A5" s="78" t="s">
        <v>4</v>
      </c>
      <c r="B5" s="82">
        <f>'Table 1'!J49</f>
        <v>2150000</v>
      </c>
    </row>
    <row r="6" spans="1:2" ht="15.75" customHeight="1" x14ac:dyDescent="0.25">
      <c r="A6" s="78" t="s">
        <v>5</v>
      </c>
      <c r="B6" s="82">
        <f>'Capital O&amp;M'!J11</f>
        <v>339000</v>
      </c>
    </row>
    <row r="7" spans="1:2" ht="15.75" customHeight="1" x14ac:dyDescent="0.25">
      <c r="A7" s="78" t="s">
        <v>6</v>
      </c>
      <c r="B7" s="80" t="s">
        <v>29</v>
      </c>
    </row>
  </sheetData>
  <mergeCells count="1">
    <mergeCell ref="A1:B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U62"/>
  <sheetViews>
    <sheetView topLeftCell="B1" zoomScaleNormal="100" zoomScaleSheetLayoutView="55" workbookViewId="0">
      <selection activeCell="L21" sqref="L21"/>
    </sheetView>
  </sheetViews>
  <sheetFormatPr defaultColWidth="9.140625" defaultRowHeight="12.75" x14ac:dyDescent="0.2"/>
  <cols>
    <col min="1" max="1" width="0.7109375" style="1" customWidth="1"/>
    <col min="2" max="2" width="40.7109375" style="1" customWidth="1"/>
    <col min="3" max="4" width="14.5703125" style="1" customWidth="1"/>
    <col min="5" max="5" width="15.140625" style="1" customWidth="1"/>
    <col min="6" max="6" width="13" style="1" bestFit="1" customWidth="1"/>
    <col min="7" max="9" width="13" style="1" customWidth="1"/>
    <col min="10" max="10" width="14.85546875" style="6" customWidth="1"/>
    <col min="11" max="11" width="2" style="1" customWidth="1"/>
    <col min="12" max="12" width="11.140625" style="1" customWidth="1"/>
    <col min="13" max="13" width="7.7109375" style="1" bestFit="1" customWidth="1"/>
    <col min="14" max="14" width="9.140625" style="1"/>
    <col min="15" max="15" width="5" style="1" customWidth="1"/>
    <col min="16" max="19" width="9.140625" style="1"/>
    <col min="20" max="20" width="15.42578125" style="1" customWidth="1"/>
    <col min="21" max="16384" width="9.140625" style="1"/>
  </cols>
  <sheetData>
    <row r="1" spans="2:17" ht="15.75" x14ac:dyDescent="0.25">
      <c r="B1" s="12" t="s">
        <v>7</v>
      </c>
    </row>
    <row r="3" spans="2:17" x14ac:dyDescent="0.2">
      <c r="B3" s="104" t="s">
        <v>8</v>
      </c>
      <c r="C3" s="2" t="s">
        <v>9</v>
      </c>
      <c r="D3" s="2" t="s">
        <v>10</v>
      </c>
      <c r="E3" s="2" t="s">
        <v>11</v>
      </c>
      <c r="F3" s="2" t="s">
        <v>12</v>
      </c>
      <c r="G3" s="2" t="s">
        <v>13</v>
      </c>
      <c r="H3" s="2" t="s">
        <v>14</v>
      </c>
      <c r="I3" s="2" t="s">
        <v>15</v>
      </c>
      <c r="J3" s="4" t="s">
        <v>16</v>
      </c>
      <c r="P3" s="26" t="s">
        <v>17</v>
      </c>
      <c r="Q3" s="26" t="s">
        <v>18</v>
      </c>
    </row>
    <row r="4" spans="2:17" s="3" customFormat="1" ht="38.25" x14ac:dyDescent="0.2">
      <c r="B4" s="104"/>
      <c r="C4" s="33" t="s">
        <v>19</v>
      </c>
      <c r="D4" s="33" t="s">
        <v>20</v>
      </c>
      <c r="E4" s="33" t="s">
        <v>21</v>
      </c>
      <c r="F4" s="33" t="s">
        <v>22</v>
      </c>
      <c r="G4" s="33" t="s">
        <v>23</v>
      </c>
      <c r="H4" s="33" t="s">
        <v>24</v>
      </c>
      <c r="I4" s="33" t="s">
        <v>25</v>
      </c>
      <c r="J4" s="5" t="s">
        <v>26</v>
      </c>
      <c r="L4" s="1"/>
      <c r="P4" s="24" t="s">
        <v>27</v>
      </c>
      <c r="Q4" s="25">
        <v>19</v>
      </c>
    </row>
    <row r="5" spans="2:17" x14ac:dyDescent="0.2">
      <c r="B5" s="37" t="s">
        <v>28</v>
      </c>
      <c r="C5" s="38" t="s">
        <v>29</v>
      </c>
      <c r="D5" s="38"/>
      <c r="E5" s="38"/>
      <c r="F5" s="38"/>
      <c r="G5" s="38"/>
      <c r="H5" s="38"/>
      <c r="I5" s="38"/>
      <c r="J5" s="39"/>
      <c r="P5" s="24" t="s">
        <v>30</v>
      </c>
      <c r="Q5" s="25">
        <v>0</v>
      </c>
    </row>
    <row r="6" spans="2:17" x14ac:dyDescent="0.2">
      <c r="B6" s="37" t="s">
        <v>31</v>
      </c>
      <c r="C6" s="38" t="s">
        <v>29</v>
      </c>
      <c r="D6" s="38"/>
      <c r="E6" s="38"/>
      <c r="F6" s="38"/>
      <c r="G6" s="38"/>
      <c r="H6" s="38"/>
      <c r="I6" s="38"/>
      <c r="J6" s="39"/>
      <c r="P6" s="24" t="s">
        <v>32</v>
      </c>
      <c r="Q6" s="25">
        <v>1</v>
      </c>
    </row>
    <row r="7" spans="2:17" x14ac:dyDescent="0.2">
      <c r="B7" s="37" t="s">
        <v>33</v>
      </c>
      <c r="C7" s="38"/>
      <c r="D7" s="38"/>
      <c r="E7" s="38"/>
      <c r="F7" s="38"/>
      <c r="G7" s="38"/>
      <c r="H7" s="38"/>
      <c r="I7" s="38"/>
      <c r="J7" s="39"/>
    </row>
    <row r="8" spans="2:17" ht="15" thickBot="1" x14ac:dyDescent="0.25">
      <c r="B8" s="40" t="s">
        <v>34</v>
      </c>
      <c r="C8" s="38">
        <v>2</v>
      </c>
      <c r="D8" s="38">
        <v>1</v>
      </c>
      <c r="E8" s="41">
        <f>C8*D8</f>
        <v>2</v>
      </c>
      <c r="F8" s="41">
        <f>Q4</f>
        <v>19</v>
      </c>
      <c r="G8" s="41">
        <f>E8*F8</f>
        <v>38</v>
      </c>
      <c r="H8" s="41">
        <f>G8*0.05</f>
        <v>1.9000000000000001</v>
      </c>
      <c r="I8" s="41">
        <f>G8*0.1</f>
        <v>3.8000000000000003</v>
      </c>
      <c r="J8" s="52">
        <f>G8*$M$10+H8*$M$9+I8*$M$11</f>
        <v>5985.2469999999994</v>
      </c>
      <c r="K8" s="34"/>
      <c r="L8" s="99" t="s">
        <v>35</v>
      </c>
      <c r="M8" s="100"/>
    </row>
    <row r="9" spans="2:17" x14ac:dyDescent="0.2">
      <c r="B9" s="40" t="s">
        <v>36</v>
      </c>
      <c r="C9" s="38"/>
      <c r="D9" s="38"/>
      <c r="E9" s="38"/>
      <c r="F9" s="38"/>
      <c r="G9" s="38"/>
      <c r="H9" s="38"/>
      <c r="I9" s="38"/>
      <c r="J9" s="52"/>
      <c r="L9" s="92" t="s">
        <v>37</v>
      </c>
      <c r="M9" s="83">
        <v>172.41</v>
      </c>
    </row>
    <row r="10" spans="2:17" ht="25.5" x14ac:dyDescent="0.2">
      <c r="B10" s="42" t="s">
        <v>38</v>
      </c>
      <c r="C10" s="38">
        <v>13</v>
      </c>
      <c r="D10" s="38">
        <v>6</v>
      </c>
      <c r="E10" s="41">
        <f>C10*D10</f>
        <v>78</v>
      </c>
      <c r="F10" s="41">
        <f>$Q$6</f>
        <v>1</v>
      </c>
      <c r="G10" s="41">
        <f>E10*F10</f>
        <v>78</v>
      </c>
      <c r="H10" s="41">
        <f>G10*0.05</f>
        <v>3.9000000000000004</v>
      </c>
      <c r="I10" s="41">
        <f>G10*0.1</f>
        <v>7.8000000000000007</v>
      </c>
      <c r="J10" s="53">
        <f>G10*$M$10+H10*$M$9+I10*$M$11</f>
        <v>12285.507</v>
      </c>
      <c r="K10" s="34"/>
      <c r="L10" s="93" t="s">
        <v>39</v>
      </c>
      <c r="M10" s="84">
        <v>141.75</v>
      </c>
    </row>
    <row r="11" spans="2:17" ht="13.5" thickBot="1" x14ac:dyDescent="0.25">
      <c r="B11" s="40" t="s">
        <v>40</v>
      </c>
      <c r="C11" s="38" t="s">
        <v>41</v>
      </c>
      <c r="D11" s="38"/>
      <c r="E11" s="38"/>
      <c r="F11" s="38"/>
      <c r="G11" s="38"/>
      <c r="H11" s="38"/>
      <c r="I11" s="38"/>
      <c r="J11" s="52"/>
      <c r="K11" s="34"/>
      <c r="L11" s="94" t="s">
        <v>42</v>
      </c>
      <c r="M11" s="85">
        <v>71.36</v>
      </c>
    </row>
    <row r="12" spans="2:17" x14ac:dyDescent="0.2">
      <c r="B12" s="40" t="s">
        <v>43</v>
      </c>
      <c r="C12" s="38" t="s">
        <v>44</v>
      </c>
      <c r="D12" s="38"/>
      <c r="E12" s="38"/>
      <c r="F12" s="38"/>
      <c r="G12" s="38"/>
      <c r="H12" s="38"/>
      <c r="I12" s="38"/>
      <c r="J12" s="52"/>
      <c r="K12" s="34"/>
    </row>
    <row r="13" spans="2:17" x14ac:dyDescent="0.2">
      <c r="B13" s="40" t="s">
        <v>45</v>
      </c>
      <c r="C13" s="38"/>
      <c r="D13" s="38"/>
      <c r="E13" s="38"/>
      <c r="F13" s="38"/>
      <c r="G13" s="38"/>
      <c r="H13" s="38"/>
      <c r="I13" s="38"/>
      <c r="J13" s="52"/>
      <c r="K13" s="34"/>
    </row>
    <row r="14" spans="2:17" ht="28.5" x14ac:dyDescent="0.2">
      <c r="B14" s="42" t="s">
        <v>46</v>
      </c>
      <c r="C14" s="38">
        <v>2</v>
      </c>
      <c r="D14" s="38">
        <v>1</v>
      </c>
      <c r="E14" s="41">
        <f>C14*D14</f>
        <v>2</v>
      </c>
      <c r="F14" s="41">
        <v>0</v>
      </c>
      <c r="G14" s="41">
        <f t="shared" ref="G14:G22" si="0">E14*F14</f>
        <v>0</v>
      </c>
      <c r="H14" s="41">
        <f t="shared" ref="H14:H22" si="1">G14*0.05</f>
        <v>0</v>
      </c>
      <c r="I14" s="41">
        <f t="shared" ref="I14:I22" si="2">G14*0.1</f>
        <v>0</v>
      </c>
      <c r="J14" s="53">
        <f t="shared" ref="J14:J24" si="3">G14*$M$10+H14*$M$9+I14*$M$11</f>
        <v>0</v>
      </c>
      <c r="K14" s="34"/>
    </row>
    <row r="15" spans="2:17" ht="15.75" x14ac:dyDescent="0.2">
      <c r="B15" s="42" t="s">
        <v>47</v>
      </c>
      <c r="C15" s="38">
        <v>2</v>
      </c>
      <c r="D15" s="38">
        <v>1</v>
      </c>
      <c r="E15" s="41">
        <f t="shared" ref="E15" si="4">C15*D15</f>
        <v>2</v>
      </c>
      <c r="F15" s="41">
        <v>0</v>
      </c>
      <c r="G15" s="41">
        <f>E15*F15</f>
        <v>0</v>
      </c>
      <c r="H15" s="41">
        <f>G15*0.05</f>
        <v>0</v>
      </c>
      <c r="I15" s="41">
        <f>G15*0.1</f>
        <v>0</v>
      </c>
      <c r="J15" s="53">
        <f t="shared" si="3"/>
        <v>0</v>
      </c>
      <c r="K15" s="34"/>
    </row>
    <row r="16" spans="2:17" ht="15.75" x14ac:dyDescent="0.2">
      <c r="B16" s="42" t="s">
        <v>48</v>
      </c>
      <c r="C16" s="38">
        <v>2</v>
      </c>
      <c r="D16" s="38">
        <v>1</v>
      </c>
      <c r="E16" s="41">
        <f t="shared" ref="E16" si="5">C16*D16</f>
        <v>2</v>
      </c>
      <c r="F16" s="41">
        <v>0</v>
      </c>
      <c r="G16" s="41">
        <f>E16*F16</f>
        <v>0</v>
      </c>
      <c r="H16" s="41">
        <f>G16*0.05</f>
        <v>0</v>
      </c>
      <c r="I16" s="41">
        <f>G16*0.1</f>
        <v>0</v>
      </c>
      <c r="J16" s="53">
        <f>G16*$M$10+H16*$M$9+I16*$M$11</f>
        <v>0</v>
      </c>
      <c r="K16" s="34"/>
    </row>
    <row r="17" spans="2:12" ht="15.75" x14ac:dyDescent="0.2">
      <c r="B17" s="42" t="s">
        <v>49</v>
      </c>
      <c r="C17" s="38">
        <v>2</v>
      </c>
      <c r="D17" s="38">
        <v>1</v>
      </c>
      <c r="E17" s="41">
        <f t="shared" ref="E17" si="6">C17*D17</f>
        <v>2</v>
      </c>
      <c r="F17" s="41">
        <v>0</v>
      </c>
      <c r="G17" s="41">
        <f>E17*F17</f>
        <v>0</v>
      </c>
      <c r="H17" s="41">
        <f>G17*0.05</f>
        <v>0</v>
      </c>
      <c r="I17" s="41">
        <f>G17*0.1</f>
        <v>0</v>
      </c>
      <c r="J17" s="53">
        <f t="shared" si="3"/>
        <v>0</v>
      </c>
      <c r="K17" s="34"/>
    </row>
    <row r="18" spans="2:12" ht="15.75" x14ac:dyDescent="0.2">
      <c r="B18" s="42" t="s">
        <v>50</v>
      </c>
      <c r="C18" s="38">
        <v>8</v>
      </c>
      <c r="D18" s="38">
        <v>1</v>
      </c>
      <c r="E18" s="41">
        <f>C18*D18</f>
        <v>8</v>
      </c>
      <c r="F18" s="41">
        <f>ROUND(Q4*0.05, 0)</f>
        <v>1</v>
      </c>
      <c r="G18" s="41">
        <f t="shared" si="0"/>
        <v>8</v>
      </c>
      <c r="H18" s="43">
        <f t="shared" si="1"/>
        <v>0.4</v>
      </c>
      <c r="I18" s="43">
        <f t="shared" si="2"/>
        <v>0.8</v>
      </c>
      <c r="J18" s="52">
        <f t="shared" si="3"/>
        <v>1260.0519999999999</v>
      </c>
    </row>
    <row r="19" spans="2:12" ht="15.75" x14ac:dyDescent="0.2">
      <c r="B19" s="42" t="s">
        <v>51</v>
      </c>
      <c r="C19" s="38">
        <v>40</v>
      </c>
      <c r="D19" s="38">
        <v>1</v>
      </c>
      <c r="E19" s="41">
        <f t="shared" ref="E19" si="7">C19*D19</f>
        <v>40</v>
      </c>
      <c r="F19" s="41">
        <f>$Q$6</f>
        <v>1</v>
      </c>
      <c r="G19" s="41">
        <f t="shared" si="0"/>
        <v>40</v>
      </c>
      <c r="H19" s="41">
        <f t="shared" si="1"/>
        <v>2</v>
      </c>
      <c r="I19" s="41">
        <f t="shared" si="2"/>
        <v>4</v>
      </c>
      <c r="J19" s="53">
        <f t="shared" si="3"/>
        <v>6300.2599999999993</v>
      </c>
      <c r="K19" s="34"/>
    </row>
    <row r="20" spans="2:12" ht="15.75" x14ac:dyDescent="0.2">
      <c r="B20" s="42" t="s">
        <v>52</v>
      </c>
      <c r="C20" s="38">
        <v>2</v>
      </c>
      <c r="D20" s="38">
        <v>1</v>
      </c>
      <c r="E20" s="41">
        <f t="shared" ref="E20" si="8">C20*D20</f>
        <v>2</v>
      </c>
      <c r="F20" s="41">
        <f>$Q$6</f>
        <v>1</v>
      </c>
      <c r="G20" s="41">
        <f t="shared" si="0"/>
        <v>2</v>
      </c>
      <c r="H20" s="46">
        <f t="shared" si="1"/>
        <v>0.1</v>
      </c>
      <c r="I20" s="46">
        <f t="shared" si="2"/>
        <v>0.2</v>
      </c>
      <c r="J20" s="53">
        <f t="shared" si="3"/>
        <v>315.01299999999998</v>
      </c>
      <c r="K20" s="34"/>
    </row>
    <row r="21" spans="2:12" ht="15.75" x14ac:dyDescent="0.2">
      <c r="B21" s="132" t="s">
        <v>175</v>
      </c>
      <c r="C21" s="133">
        <v>2</v>
      </c>
      <c r="D21" s="133">
        <v>1</v>
      </c>
      <c r="E21" s="134">
        <f t="shared" ref="E21" si="9">C21*D21</f>
        <v>2</v>
      </c>
      <c r="F21" s="135">
        <f>F20*0.05</f>
        <v>0.05</v>
      </c>
      <c r="G21" s="136">
        <f t="shared" ref="G21" si="10">E21*F21</f>
        <v>0.1</v>
      </c>
      <c r="H21" s="136">
        <f t="shared" ref="H21" si="11">G21*0.05</f>
        <v>5.000000000000001E-3</v>
      </c>
      <c r="I21" s="136">
        <f t="shared" ref="I21" si="12">G21*0.1</f>
        <v>1.0000000000000002E-2</v>
      </c>
      <c r="J21" s="53">
        <f t="shared" ref="J21" si="13">G21*$M$10+H21*$M$9+I21*$M$11</f>
        <v>15.75065</v>
      </c>
      <c r="K21" s="34"/>
    </row>
    <row r="22" spans="2:12" ht="28.5" x14ac:dyDescent="0.2">
      <c r="B22" s="42" t="s">
        <v>53</v>
      </c>
      <c r="C22" s="38">
        <v>2</v>
      </c>
      <c r="D22" s="38">
        <v>1</v>
      </c>
      <c r="E22" s="41">
        <f t="shared" ref="E22" si="14">C22*D22</f>
        <v>2</v>
      </c>
      <c r="F22" s="41">
        <f>$Q$6</f>
        <v>1</v>
      </c>
      <c r="G22" s="41">
        <f t="shared" si="0"/>
        <v>2</v>
      </c>
      <c r="H22" s="41">
        <f t="shared" si="1"/>
        <v>0.1</v>
      </c>
      <c r="I22" s="41">
        <f t="shared" si="2"/>
        <v>0.2</v>
      </c>
      <c r="J22" s="53">
        <f t="shared" si="3"/>
        <v>315.01299999999998</v>
      </c>
      <c r="K22" s="34"/>
    </row>
    <row r="23" spans="2:12" ht="31.5" x14ac:dyDescent="0.2">
      <c r="B23" s="44" t="s">
        <v>54</v>
      </c>
      <c r="C23" s="38">
        <v>80</v>
      </c>
      <c r="D23" s="38">
        <v>1</v>
      </c>
      <c r="E23" s="41">
        <f t="shared" ref="E23" si="15">C23*D23</f>
        <v>80</v>
      </c>
      <c r="F23" s="43">
        <f>$Q$6*0.9</f>
        <v>0.9</v>
      </c>
      <c r="G23" s="41">
        <f t="shared" ref="G23:G24" si="16">E23*F23</f>
        <v>72</v>
      </c>
      <c r="H23" s="41">
        <f t="shared" ref="H23:H30" si="17">G23*0.05</f>
        <v>3.6</v>
      </c>
      <c r="I23" s="41">
        <f t="shared" ref="I23:I24" si="18">G23*0.1</f>
        <v>7.2</v>
      </c>
      <c r="J23" s="53">
        <f t="shared" si="3"/>
        <v>11340.467999999999</v>
      </c>
      <c r="K23" s="34"/>
    </row>
    <row r="24" spans="2:12" ht="28.5" x14ac:dyDescent="0.2">
      <c r="B24" s="44" t="s">
        <v>55</v>
      </c>
      <c r="C24" s="38">
        <v>120</v>
      </c>
      <c r="D24" s="38">
        <v>1</v>
      </c>
      <c r="E24" s="41">
        <f t="shared" ref="E24" si="19">C24*D24</f>
        <v>120</v>
      </c>
      <c r="F24" s="43">
        <f>$Q$6*0.1</f>
        <v>0.1</v>
      </c>
      <c r="G24" s="41">
        <f t="shared" si="16"/>
        <v>12</v>
      </c>
      <c r="H24" s="41">
        <f t="shared" si="17"/>
        <v>0.60000000000000009</v>
      </c>
      <c r="I24" s="41">
        <f t="shared" si="18"/>
        <v>1.2000000000000002</v>
      </c>
      <c r="J24" s="53">
        <f t="shared" si="3"/>
        <v>1890.078</v>
      </c>
      <c r="K24" s="34"/>
    </row>
    <row r="25" spans="2:12" x14ac:dyDescent="0.2">
      <c r="B25" s="42" t="s">
        <v>56</v>
      </c>
      <c r="C25" s="38"/>
      <c r="D25" s="38"/>
      <c r="E25" s="38"/>
      <c r="F25" s="41"/>
      <c r="G25" s="41"/>
      <c r="H25" s="43"/>
      <c r="I25" s="43"/>
      <c r="J25" s="52"/>
    </row>
    <row r="26" spans="2:12" ht="15.75" x14ac:dyDescent="0.2">
      <c r="B26" s="44" t="s">
        <v>57</v>
      </c>
      <c r="C26" s="38">
        <v>8</v>
      </c>
      <c r="D26" s="38">
        <v>2</v>
      </c>
      <c r="E26" s="41">
        <f t="shared" ref="E26:E30" si="20">C26*D26</f>
        <v>16</v>
      </c>
      <c r="F26" s="45">
        <f>Q4-F27</f>
        <v>17</v>
      </c>
      <c r="G26" s="41">
        <f t="shared" ref="G26" si="21">E26*F26</f>
        <v>272</v>
      </c>
      <c r="H26" s="43">
        <f t="shared" si="17"/>
        <v>13.600000000000001</v>
      </c>
      <c r="I26" s="43">
        <f t="shared" ref="I26" si="22">G26*0.1</f>
        <v>27.200000000000003</v>
      </c>
      <c r="J26" s="52">
        <f>G26*$M$10+H26*$M$9+I26*$M$11</f>
        <v>42841.767999999996</v>
      </c>
      <c r="L26" s="34"/>
    </row>
    <row r="27" spans="2:12" ht="15.75" x14ac:dyDescent="0.2">
      <c r="B27" s="44" t="s">
        <v>58</v>
      </c>
      <c r="C27" s="38">
        <v>24</v>
      </c>
      <c r="D27" s="38">
        <v>4</v>
      </c>
      <c r="E27" s="41">
        <f t="shared" ref="E27" si="23">C27*D27</f>
        <v>96</v>
      </c>
      <c r="F27" s="45">
        <f>ROUND(Q4*0.1, 0)</f>
        <v>2</v>
      </c>
      <c r="G27" s="41">
        <f t="shared" ref="G27" si="24">E27*F27</f>
        <v>192</v>
      </c>
      <c r="H27" s="43">
        <f>G27*0.05</f>
        <v>9.6000000000000014</v>
      </c>
      <c r="I27" s="43">
        <f t="shared" ref="I27" si="25">G27*0.1</f>
        <v>19.200000000000003</v>
      </c>
      <c r="J27" s="52">
        <f>G27*$M$10+H27*$M$9+I27*$M$11</f>
        <v>30241.248</v>
      </c>
    </row>
    <row r="28" spans="2:12" ht="15.75" x14ac:dyDescent="0.2">
      <c r="B28" s="44" t="s">
        <v>59</v>
      </c>
      <c r="C28" s="38">
        <v>40</v>
      </c>
      <c r="D28" s="38">
        <v>1</v>
      </c>
      <c r="E28" s="41">
        <f t="shared" ref="E28" si="26">C28*D28</f>
        <v>40</v>
      </c>
      <c r="F28" s="45">
        <f>ROUND(Q4*0.1, 0)</f>
        <v>2</v>
      </c>
      <c r="G28" s="41">
        <f t="shared" ref="G28" si="27">E28*F28</f>
        <v>80</v>
      </c>
      <c r="H28" s="41">
        <f>G28*0.05</f>
        <v>4</v>
      </c>
      <c r="I28" s="41">
        <f t="shared" ref="I28" si="28">G28*0.1</f>
        <v>8</v>
      </c>
      <c r="J28" s="52">
        <f>G28*$M$10+H28*$M$9+I28*$M$11</f>
        <v>12600.519999999999</v>
      </c>
    </row>
    <row r="29" spans="2:12" ht="15.75" x14ac:dyDescent="0.2">
      <c r="B29" s="44" t="s">
        <v>60</v>
      </c>
      <c r="C29" s="38">
        <v>5.5</v>
      </c>
      <c r="D29" s="38">
        <v>2</v>
      </c>
      <c r="E29" s="41">
        <f t="shared" ref="E29" si="29">C29*D29</f>
        <v>11</v>
      </c>
      <c r="F29" s="45">
        <f>Q4</f>
        <v>19</v>
      </c>
      <c r="G29" s="41">
        <f t="shared" ref="G29" si="30">E29*F29</f>
        <v>209</v>
      </c>
      <c r="H29" s="43">
        <f t="shared" si="17"/>
        <v>10.450000000000001</v>
      </c>
      <c r="I29" s="43">
        <f t="shared" ref="I29" si="31">G29*0.1</f>
        <v>20.900000000000002</v>
      </c>
      <c r="J29" s="52">
        <f>G29*$M$10+H29*$M$9+I29*$M$11</f>
        <v>32918.858500000002</v>
      </c>
    </row>
    <row r="30" spans="2:12" ht="15.75" x14ac:dyDescent="0.2">
      <c r="B30" s="44" t="s">
        <v>61</v>
      </c>
      <c r="C30" s="38">
        <v>94</v>
      </c>
      <c r="D30" s="38">
        <v>2</v>
      </c>
      <c r="E30" s="41">
        <f t="shared" si="20"/>
        <v>188</v>
      </c>
      <c r="F30" s="45">
        <f>F29</f>
        <v>19</v>
      </c>
      <c r="G30" s="41">
        <f t="shared" ref="G30" si="32">E30*F30</f>
        <v>3572</v>
      </c>
      <c r="H30" s="43">
        <f t="shared" si="17"/>
        <v>178.60000000000002</v>
      </c>
      <c r="I30" s="43">
        <f t="shared" ref="I30" si="33">G30*0.1</f>
        <v>357.20000000000005</v>
      </c>
      <c r="J30" s="52">
        <f>G30*$M$10+H30*$M$9+I30*$M$11</f>
        <v>562613.21799999999</v>
      </c>
    </row>
    <row r="31" spans="2:12" ht="13.5" x14ac:dyDescent="0.2">
      <c r="B31" s="47" t="s">
        <v>62</v>
      </c>
      <c r="C31" s="27"/>
      <c r="D31" s="27"/>
      <c r="E31" s="27"/>
      <c r="F31" s="50"/>
      <c r="G31" s="106">
        <f>ROUND(SUM(G8:I30),0)</f>
        <v>5264</v>
      </c>
      <c r="H31" s="106"/>
      <c r="I31" s="106"/>
      <c r="J31" s="54">
        <f>ROUND(SUM(J8:J30),0)</f>
        <v>720923</v>
      </c>
      <c r="L31" s="34"/>
    </row>
    <row r="32" spans="2:12" x14ac:dyDescent="0.2">
      <c r="B32" s="37" t="s">
        <v>63</v>
      </c>
      <c r="C32" s="38"/>
      <c r="D32" s="38"/>
      <c r="E32" s="38"/>
      <c r="F32" s="38"/>
      <c r="G32" s="38"/>
      <c r="H32" s="38"/>
      <c r="I32" s="38"/>
      <c r="J32" s="52"/>
    </row>
    <row r="33" spans="2:17" x14ac:dyDescent="0.2">
      <c r="B33" s="40" t="s">
        <v>34</v>
      </c>
      <c r="C33" s="38" t="s">
        <v>64</v>
      </c>
      <c r="D33" s="38"/>
      <c r="E33" s="38"/>
      <c r="F33" s="38"/>
      <c r="G33" s="38"/>
      <c r="H33" s="38"/>
      <c r="I33" s="38"/>
      <c r="J33" s="52"/>
      <c r="K33" s="34"/>
    </row>
    <row r="34" spans="2:17" x14ac:dyDescent="0.2">
      <c r="B34" s="40" t="s">
        <v>65</v>
      </c>
      <c r="C34" s="38" t="s">
        <v>29</v>
      </c>
      <c r="D34" s="38"/>
      <c r="E34" s="38"/>
      <c r="F34" s="38"/>
      <c r="G34" s="38"/>
      <c r="H34" s="38"/>
      <c r="I34" s="38"/>
      <c r="J34" s="52"/>
      <c r="K34" s="34"/>
    </row>
    <row r="35" spans="2:17" x14ac:dyDescent="0.2">
      <c r="B35" s="40" t="s">
        <v>66</v>
      </c>
      <c r="C35" s="38" t="s">
        <v>29</v>
      </c>
      <c r="D35" s="38"/>
      <c r="E35" s="38"/>
      <c r="F35" s="38"/>
      <c r="G35" s="38"/>
      <c r="H35" s="38"/>
      <c r="I35" s="38"/>
      <c r="J35" s="52"/>
      <c r="K35" s="34"/>
    </row>
    <row r="36" spans="2:17" ht="15.75" x14ac:dyDescent="0.2">
      <c r="B36" s="40" t="s">
        <v>67</v>
      </c>
      <c r="C36" s="38">
        <v>40</v>
      </c>
      <c r="D36" s="38">
        <v>1</v>
      </c>
      <c r="E36" s="41">
        <f t="shared" ref="E36" si="34">C36*D36</f>
        <v>40</v>
      </c>
      <c r="F36" s="41">
        <f>$Q$6</f>
        <v>1</v>
      </c>
      <c r="G36" s="41">
        <f t="shared" ref="G36" si="35">E36*F36</f>
        <v>40</v>
      </c>
      <c r="H36" s="41">
        <f t="shared" ref="H36:H44" si="36">G36*0.05</f>
        <v>2</v>
      </c>
      <c r="I36" s="41">
        <f t="shared" ref="I36" si="37">G36*0.1</f>
        <v>4</v>
      </c>
      <c r="J36" s="53">
        <f>G36*$M$10+H36*$M$9+I36*$M$11</f>
        <v>6300.2599999999993</v>
      </c>
    </row>
    <row r="37" spans="2:17" ht="15.75" x14ac:dyDescent="0.2">
      <c r="B37" s="40" t="s">
        <v>68</v>
      </c>
      <c r="C37" s="38">
        <v>40</v>
      </c>
      <c r="D37" s="38">
        <v>1</v>
      </c>
      <c r="E37" s="41">
        <f t="shared" ref="E37" si="38">C37*D37</f>
        <v>40</v>
      </c>
      <c r="F37" s="41">
        <f>$Q$6</f>
        <v>1</v>
      </c>
      <c r="G37" s="41">
        <f t="shared" ref="G37" si="39">E37*F37</f>
        <v>40</v>
      </c>
      <c r="H37" s="41">
        <f t="shared" si="36"/>
        <v>2</v>
      </c>
      <c r="I37" s="41">
        <f t="shared" ref="I37" si="40">G37*0.1</f>
        <v>4</v>
      </c>
      <c r="J37" s="53">
        <f>G37*$M$10+H37*$M$9+I37*$M$11</f>
        <v>6300.2599999999993</v>
      </c>
    </row>
    <row r="38" spans="2:17" x14ac:dyDescent="0.2">
      <c r="B38" s="40" t="s">
        <v>69</v>
      </c>
      <c r="C38" s="38"/>
      <c r="D38" s="38"/>
      <c r="E38" s="38"/>
      <c r="F38" s="38"/>
      <c r="G38" s="38"/>
      <c r="H38" s="38"/>
      <c r="I38" s="38"/>
      <c r="J38" s="52"/>
    </row>
    <row r="39" spans="2:17" x14ac:dyDescent="0.2">
      <c r="B39" s="42" t="s">
        <v>70</v>
      </c>
      <c r="C39" s="38">
        <v>1.5</v>
      </c>
      <c r="D39" s="38">
        <v>52</v>
      </c>
      <c r="E39" s="41">
        <f t="shared" ref="E39" si="41">C39*D39</f>
        <v>78</v>
      </c>
      <c r="F39" s="41">
        <f>$Q$6</f>
        <v>1</v>
      </c>
      <c r="G39" s="41">
        <f t="shared" ref="G39" si="42">E39*F39</f>
        <v>78</v>
      </c>
      <c r="H39" s="41">
        <f t="shared" si="36"/>
        <v>3.9000000000000004</v>
      </c>
      <c r="I39" s="41">
        <f t="shared" ref="I39" si="43">G39*0.1</f>
        <v>7.8000000000000007</v>
      </c>
      <c r="J39" s="53">
        <f>G39*$M$10+H39*$M$9+I39*$M$11</f>
        <v>12285.507</v>
      </c>
      <c r="L39" s="34"/>
      <c r="Q39" s="71"/>
    </row>
    <row r="40" spans="2:17" x14ac:dyDescent="0.2">
      <c r="B40" s="42" t="s">
        <v>71</v>
      </c>
      <c r="C40" s="38"/>
      <c r="D40" s="38"/>
      <c r="E40" s="43"/>
      <c r="F40" s="41"/>
      <c r="G40" s="43"/>
      <c r="H40" s="46"/>
      <c r="I40" s="46"/>
      <c r="J40" s="52"/>
    </row>
    <row r="41" spans="2:17" ht="28.5" x14ac:dyDescent="0.2">
      <c r="B41" s="44" t="s">
        <v>72</v>
      </c>
      <c r="C41" s="38">
        <v>1</v>
      </c>
      <c r="D41" s="38">
        <v>320</v>
      </c>
      <c r="E41" s="41">
        <f t="shared" ref="E41" si="44">C41*D41</f>
        <v>320</v>
      </c>
      <c r="F41" s="41">
        <f>F29</f>
        <v>19</v>
      </c>
      <c r="G41" s="41">
        <f>E41*F41</f>
        <v>6080</v>
      </c>
      <c r="H41" s="41">
        <f>G41*0.05</f>
        <v>304</v>
      </c>
      <c r="I41" s="41">
        <f>G41*0.1</f>
        <v>608</v>
      </c>
      <c r="J41" s="52">
        <f>G41*$M$10+H41*$M$9+I41*$M$11</f>
        <v>957639.52</v>
      </c>
    </row>
    <row r="42" spans="2:17" ht="25.5" x14ac:dyDescent="0.2">
      <c r="B42" s="44" t="s">
        <v>73</v>
      </c>
      <c r="C42" s="38">
        <v>16</v>
      </c>
      <c r="D42" s="38">
        <v>2</v>
      </c>
      <c r="E42" s="41">
        <f t="shared" ref="E42:E44" si="45">C42*D42</f>
        <v>32</v>
      </c>
      <c r="F42" s="41">
        <f>F29</f>
        <v>19</v>
      </c>
      <c r="G42" s="41">
        <f t="shared" ref="G42:G43" si="46">E42*F42</f>
        <v>608</v>
      </c>
      <c r="H42" s="43">
        <f t="shared" si="36"/>
        <v>30.400000000000002</v>
      </c>
      <c r="I42" s="43">
        <f t="shared" ref="I42:I43" si="47">G42*0.1</f>
        <v>60.800000000000004</v>
      </c>
      <c r="J42" s="52">
        <f>G42*$M$10+H42*$M$9+I42*$M$11</f>
        <v>95763.95199999999</v>
      </c>
    </row>
    <row r="43" spans="2:17" ht="15.75" x14ac:dyDescent="0.2">
      <c r="B43" s="40" t="s">
        <v>74</v>
      </c>
      <c r="C43" s="38">
        <v>48</v>
      </c>
      <c r="D43" s="38">
        <v>1</v>
      </c>
      <c r="E43" s="41">
        <f t="shared" si="45"/>
        <v>48</v>
      </c>
      <c r="F43" s="41">
        <f>$Q$6</f>
        <v>1</v>
      </c>
      <c r="G43" s="41">
        <f t="shared" si="46"/>
        <v>48</v>
      </c>
      <c r="H43" s="41">
        <f t="shared" si="36"/>
        <v>2.4000000000000004</v>
      </c>
      <c r="I43" s="41">
        <f t="shared" si="47"/>
        <v>4.8000000000000007</v>
      </c>
      <c r="J43" s="53">
        <f>G43*$M$10+H43*$M$9+I43*$M$11</f>
        <v>7560.3119999999999</v>
      </c>
    </row>
    <row r="44" spans="2:17" ht="15.75" x14ac:dyDescent="0.2">
      <c r="B44" s="40" t="s">
        <v>75</v>
      </c>
      <c r="C44" s="38">
        <v>40</v>
      </c>
      <c r="D44" s="38">
        <v>1</v>
      </c>
      <c r="E44" s="38">
        <f t="shared" si="45"/>
        <v>40</v>
      </c>
      <c r="F44" s="41">
        <f>$Q$6</f>
        <v>1</v>
      </c>
      <c r="G44" s="41">
        <f t="shared" ref="G44" si="48">E44*F44</f>
        <v>40</v>
      </c>
      <c r="H44" s="41">
        <f t="shared" si="36"/>
        <v>2</v>
      </c>
      <c r="I44" s="41">
        <f t="shared" ref="I44" si="49">G44*0.1</f>
        <v>4</v>
      </c>
      <c r="J44" s="53">
        <f>G44*$M$10+H44*$M$9+I44*$M$11</f>
        <v>6300.2599999999993</v>
      </c>
    </row>
    <row r="45" spans="2:17" x14ac:dyDescent="0.2">
      <c r="B45" s="40" t="s">
        <v>76</v>
      </c>
      <c r="C45" s="38" t="s">
        <v>29</v>
      </c>
      <c r="D45" s="38"/>
      <c r="E45" s="38"/>
      <c r="F45" s="38"/>
      <c r="G45" s="38"/>
      <c r="H45" s="38"/>
      <c r="I45" s="38"/>
      <c r="J45" s="52"/>
    </row>
    <row r="46" spans="2:17" ht="13.5" x14ac:dyDescent="0.2">
      <c r="B46" s="47" t="s">
        <v>77</v>
      </c>
      <c r="C46" s="27"/>
      <c r="D46" s="27"/>
      <c r="E46" s="27"/>
      <c r="F46" s="50"/>
      <c r="G46" s="106">
        <f>ROUND(SUM(G33:I45),0)</f>
        <v>7974</v>
      </c>
      <c r="H46" s="106"/>
      <c r="I46" s="106"/>
      <c r="J46" s="54">
        <f>ROUND(SUM(J33:J45),-3)</f>
        <v>1092000</v>
      </c>
      <c r="L46" s="34"/>
    </row>
    <row r="47" spans="2:17" ht="28.5" x14ac:dyDescent="0.2">
      <c r="B47" s="28" t="s">
        <v>78</v>
      </c>
      <c r="C47" s="27"/>
      <c r="D47" s="27"/>
      <c r="E47" s="28"/>
      <c r="F47" s="27"/>
      <c r="G47" s="109">
        <f>ROUND(G31+G46,-2)</f>
        <v>13200</v>
      </c>
      <c r="H47" s="110"/>
      <c r="I47" s="111"/>
      <c r="J47" s="54">
        <f>ROUND(J31+J46,-4)</f>
        <v>1810000</v>
      </c>
    </row>
    <row r="48" spans="2:17" ht="15.75" x14ac:dyDescent="0.2">
      <c r="B48" s="51" t="s">
        <v>79</v>
      </c>
      <c r="C48" s="27"/>
      <c r="D48" s="27"/>
      <c r="E48" s="27"/>
      <c r="F48" s="50"/>
      <c r="G48" s="106"/>
      <c r="H48" s="106"/>
      <c r="I48" s="106"/>
      <c r="J48" s="54">
        <f>'Capital O&amp;M'!J11</f>
        <v>339000</v>
      </c>
    </row>
    <row r="49" spans="2:21" ht="15.75" x14ac:dyDescent="0.2">
      <c r="B49" s="51" t="s">
        <v>80</v>
      </c>
      <c r="C49" s="24"/>
      <c r="D49" s="24"/>
      <c r="E49" s="24"/>
      <c r="F49" s="24"/>
      <c r="G49" s="101"/>
      <c r="H49" s="102"/>
      <c r="I49" s="103"/>
      <c r="J49" s="55">
        <f>ROUND(SUM(J47:J48),-4)</f>
        <v>2150000</v>
      </c>
      <c r="K49" s="20"/>
      <c r="M49" s="35"/>
    </row>
    <row r="50" spans="2:21" x14ac:dyDescent="0.2">
      <c r="J50" s="36">
        <f>ROUND('Table 1'!G47/Responses!F17, 0)</f>
        <v>269</v>
      </c>
      <c r="L50" s="1" t="s">
        <v>81</v>
      </c>
    </row>
    <row r="51" spans="2:21" ht="23.25" customHeight="1" x14ac:dyDescent="0.2">
      <c r="B51" s="105" t="s">
        <v>161</v>
      </c>
      <c r="C51" s="105"/>
      <c r="D51" s="105"/>
      <c r="E51" s="105"/>
      <c r="F51" s="105"/>
      <c r="G51" s="105"/>
      <c r="H51" s="105"/>
      <c r="I51" s="105"/>
      <c r="J51" s="105"/>
      <c r="K51" s="34"/>
    </row>
    <row r="52" spans="2:21" ht="38.25" customHeight="1" x14ac:dyDescent="0.2">
      <c r="B52" s="107" t="s">
        <v>153</v>
      </c>
      <c r="C52" s="107"/>
      <c r="D52" s="107"/>
      <c r="E52" s="107"/>
      <c r="F52" s="107"/>
      <c r="G52" s="107"/>
      <c r="H52" s="107"/>
      <c r="I52" s="107"/>
      <c r="J52" s="107"/>
    </row>
    <row r="53" spans="2:21" ht="38.1" customHeight="1" x14ac:dyDescent="0.2">
      <c r="B53" s="105" t="s">
        <v>177</v>
      </c>
      <c r="C53" s="105"/>
      <c r="D53" s="105"/>
      <c r="E53" s="105"/>
      <c r="F53" s="105"/>
      <c r="G53" s="105"/>
      <c r="H53" s="105"/>
      <c r="I53" s="105"/>
      <c r="J53" s="105"/>
      <c r="L53" s="72"/>
      <c r="U53" s="71"/>
    </row>
    <row r="54" spans="2:21" ht="15.75" x14ac:dyDescent="0.2">
      <c r="B54" s="1" t="s">
        <v>154</v>
      </c>
      <c r="C54" s="76"/>
      <c r="D54" s="76"/>
      <c r="E54" s="76"/>
      <c r="F54" s="76"/>
      <c r="G54" s="76"/>
      <c r="H54" s="76"/>
      <c r="I54" s="76"/>
      <c r="J54" s="76"/>
      <c r="L54" s="34"/>
      <c r="S54" s="71"/>
    </row>
    <row r="55" spans="2:21" ht="15.75" x14ac:dyDescent="0.2">
      <c r="B55" s="1" t="s">
        <v>176</v>
      </c>
    </row>
    <row r="56" spans="2:21" x14ac:dyDescent="0.2">
      <c r="B56" s="105" t="s">
        <v>155</v>
      </c>
      <c r="C56" s="105"/>
      <c r="D56" s="105"/>
      <c r="E56" s="105"/>
      <c r="F56" s="105"/>
      <c r="G56" s="105"/>
      <c r="H56" s="105"/>
      <c r="I56" s="105"/>
      <c r="J56" s="105"/>
    </row>
    <row r="57" spans="2:21" x14ac:dyDescent="0.2">
      <c r="B57" s="105" t="s">
        <v>156</v>
      </c>
      <c r="C57" s="105"/>
      <c r="D57" s="105"/>
      <c r="E57" s="105"/>
      <c r="F57" s="105"/>
      <c r="G57" s="105"/>
      <c r="H57" s="105"/>
      <c r="I57" s="105"/>
      <c r="J57" s="105"/>
      <c r="L57" s="34"/>
      <c r="N57" s="71"/>
    </row>
    <row r="58" spans="2:21" x14ac:dyDescent="0.2">
      <c r="B58" s="105" t="s">
        <v>157</v>
      </c>
      <c r="C58" s="105"/>
      <c r="D58" s="105"/>
      <c r="E58" s="105"/>
      <c r="F58" s="105"/>
      <c r="G58" s="105"/>
      <c r="H58" s="105"/>
      <c r="I58" s="105"/>
      <c r="J58" s="105"/>
      <c r="L58" s="34"/>
      <c r="N58" s="71"/>
    </row>
    <row r="59" spans="2:21" s="59" customFormat="1" x14ac:dyDescent="0.2">
      <c r="B59" s="108" t="s">
        <v>174</v>
      </c>
      <c r="C59" s="108"/>
      <c r="D59" s="108"/>
      <c r="E59" s="108"/>
      <c r="F59" s="108"/>
      <c r="G59" s="108"/>
      <c r="H59" s="108"/>
      <c r="I59" s="108"/>
      <c r="J59" s="108"/>
      <c r="L59" s="34"/>
    </row>
    <row r="60" spans="2:21" x14ac:dyDescent="0.2">
      <c r="B60" s="105" t="s">
        <v>158</v>
      </c>
      <c r="C60" s="105"/>
      <c r="D60" s="105"/>
      <c r="E60" s="105"/>
      <c r="F60" s="105"/>
      <c r="G60" s="105"/>
      <c r="H60" s="105"/>
      <c r="I60" s="105"/>
      <c r="J60" s="105"/>
    </row>
    <row r="61" spans="2:21" ht="15.75" x14ac:dyDescent="0.2">
      <c r="B61" s="21" t="s">
        <v>159</v>
      </c>
      <c r="C61" s="76"/>
      <c r="D61" s="76"/>
      <c r="E61" s="76"/>
      <c r="F61" s="76"/>
      <c r="G61" s="76"/>
      <c r="H61" s="76"/>
      <c r="I61" s="76"/>
      <c r="J61" s="76"/>
    </row>
    <row r="62" spans="2:21" ht="15.75" x14ac:dyDescent="0.2">
      <c r="B62" s="1" t="s">
        <v>160</v>
      </c>
    </row>
  </sheetData>
  <mergeCells count="15">
    <mergeCell ref="L8:M8"/>
    <mergeCell ref="G49:I49"/>
    <mergeCell ref="B3:B4"/>
    <mergeCell ref="B60:J60"/>
    <mergeCell ref="G31:I31"/>
    <mergeCell ref="G46:I46"/>
    <mergeCell ref="B51:J51"/>
    <mergeCell ref="B52:J52"/>
    <mergeCell ref="B57:J57"/>
    <mergeCell ref="B59:J59"/>
    <mergeCell ref="B53:J53"/>
    <mergeCell ref="B56:J56"/>
    <mergeCell ref="B58:J58"/>
    <mergeCell ref="G47:I47"/>
    <mergeCell ref="G48:I48"/>
  </mergeCells>
  <pageMargins left="0.7" right="0.7" top="0.75" bottom="0.75" header="0.3" footer="0.3"/>
  <pageSetup scale="7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T35"/>
  <sheetViews>
    <sheetView zoomScale="90" zoomScaleNormal="90" workbookViewId="0">
      <selection activeCell="B15" sqref="B15"/>
    </sheetView>
  </sheetViews>
  <sheetFormatPr defaultColWidth="9.140625" defaultRowHeight="12.75" x14ac:dyDescent="0.2"/>
  <cols>
    <col min="1" max="1" width="0.85546875" style="1" customWidth="1"/>
    <col min="2" max="2" width="49.28515625" style="1" bestFit="1" customWidth="1"/>
    <col min="3" max="3" width="15.140625" style="1" bestFit="1" customWidth="1"/>
    <col min="4" max="4" width="15" style="1" customWidth="1"/>
    <col min="5" max="5" width="15.7109375" style="1" customWidth="1"/>
    <col min="6" max="6" width="13" style="1" bestFit="1" customWidth="1"/>
    <col min="7" max="7" width="15.85546875" style="1" customWidth="1"/>
    <col min="8" max="8" width="15.140625" style="1" bestFit="1" customWidth="1"/>
    <col min="9" max="9" width="14.42578125" style="1" customWidth="1"/>
    <col min="10" max="10" width="11.28515625" style="1" customWidth="1"/>
    <col min="11" max="11" width="2" style="1" customWidth="1"/>
    <col min="12" max="12" width="12.28515625" style="1" customWidth="1"/>
    <col min="13" max="13" width="7.7109375" style="1" customWidth="1"/>
    <col min="14" max="14" width="3.42578125" style="1" customWidth="1"/>
    <col min="15" max="16384" width="9.140625" style="1"/>
  </cols>
  <sheetData>
    <row r="1" spans="2:20" ht="15.75" x14ac:dyDescent="0.25">
      <c r="B1" s="12" t="s">
        <v>82</v>
      </c>
      <c r="C1" s="12"/>
    </row>
    <row r="3" spans="2:20" ht="12.75" customHeight="1" x14ac:dyDescent="0.2">
      <c r="B3" s="113" t="s">
        <v>8</v>
      </c>
      <c r="C3" s="7" t="s">
        <v>9</v>
      </c>
      <c r="D3" s="7" t="s">
        <v>10</v>
      </c>
      <c r="E3" s="7" t="s">
        <v>11</v>
      </c>
      <c r="F3" s="7" t="s">
        <v>12</v>
      </c>
      <c r="G3" s="7" t="s">
        <v>13</v>
      </c>
      <c r="H3" s="7" t="s">
        <v>14</v>
      </c>
      <c r="I3" s="7" t="s">
        <v>15</v>
      </c>
      <c r="J3" s="7" t="s">
        <v>16</v>
      </c>
      <c r="K3" s="13"/>
      <c r="L3" s="8"/>
    </row>
    <row r="4" spans="2:20" s="3" customFormat="1" ht="38.25" x14ac:dyDescent="0.2">
      <c r="B4" s="113"/>
      <c r="C4" s="33" t="s">
        <v>83</v>
      </c>
      <c r="D4" s="33" t="s">
        <v>20</v>
      </c>
      <c r="E4" s="33" t="s">
        <v>84</v>
      </c>
      <c r="F4" s="33" t="s">
        <v>22</v>
      </c>
      <c r="G4" s="33" t="s">
        <v>85</v>
      </c>
      <c r="H4" s="33" t="s">
        <v>86</v>
      </c>
      <c r="I4" s="33" t="s">
        <v>25</v>
      </c>
      <c r="J4" s="33" t="s">
        <v>87</v>
      </c>
      <c r="K4" s="1"/>
      <c r="L4" s="8"/>
    </row>
    <row r="5" spans="2:20" x14ac:dyDescent="0.2">
      <c r="B5" s="48" t="s">
        <v>88</v>
      </c>
      <c r="C5" s="38">
        <v>40</v>
      </c>
      <c r="D5" s="38">
        <v>1</v>
      </c>
      <c r="E5" s="38">
        <f>C5*D5</f>
        <v>40</v>
      </c>
      <c r="F5" s="41">
        <f>'Table 1'!F20</f>
        <v>1</v>
      </c>
      <c r="G5" s="41">
        <f>E5*F5</f>
        <v>40</v>
      </c>
      <c r="H5" s="41">
        <f>G5*0.05</f>
        <v>2</v>
      </c>
      <c r="I5" s="41">
        <f>G5*0.1</f>
        <v>4</v>
      </c>
      <c r="J5" s="53">
        <f>G5*$M$10+H5*$M$9+I5*$M$11</f>
        <v>2560.1400000000003</v>
      </c>
      <c r="L5" s="8"/>
    </row>
    <row r="6" spans="2:20" ht="15.75" x14ac:dyDescent="0.2">
      <c r="B6" s="89" t="s">
        <v>89</v>
      </c>
      <c r="C6" s="38">
        <v>40</v>
      </c>
      <c r="D6" s="38">
        <v>1</v>
      </c>
      <c r="E6" s="38">
        <f>C6*D6</f>
        <v>40</v>
      </c>
      <c r="F6" s="43">
        <f>F5*0.05</f>
        <v>0.05</v>
      </c>
      <c r="G6" s="41">
        <f>E6*F6</f>
        <v>2</v>
      </c>
      <c r="H6" s="41">
        <f>G6*0.05</f>
        <v>0.1</v>
      </c>
      <c r="I6" s="41">
        <f>G6*0.1</f>
        <v>0.2</v>
      </c>
      <c r="J6" s="53">
        <f>G6*$M$10+H6*$M$9+I6*$M$11</f>
        <v>128.00700000000001</v>
      </c>
      <c r="L6" s="8"/>
      <c r="M6" s="22"/>
    </row>
    <row r="7" spans="2:20" ht="16.5" thickBot="1" x14ac:dyDescent="0.25">
      <c r="B7" s="48" t="s">
        <v>90</v>
      </c>
      <c r="C7" s="38">
        <v>2</v>
      </c>
      <c r="D7" s="38">
        <f>'Table 1'!D10</f>
        <v>6</v>
      </c>
      <c r="E7" s="38">
        <f t="shared" ref="E7:E10" si="0">C7*D7</f>
        <v>12</v>
      </c>
      <c r="F7" s="43">
        <f>'Table 1'!F10*0.1</f>
        <v>0.1</v>
      </c>
      <c r="G7" s="41">
        <f>E7*F7</f>
        <v>1.2000000000000002</v>
      </c>
      <c r="H7" s="41">
        <f>G7*0.05</f>
        <v>6.0000000000000012E-2</v>
      </c>
      <c r="I7" s="41">
        <f>G7*0.1</f>
        <v>0.12000000000000002</v>
      </c>
      <c r="J7" s="53">
        <f>G7*$M$10+H7*$M$9+I7*$M$11</f>
        <v>76.804200000000009</v>
      </c>
      <c r="L7" s="21"/>
      <c r="M7" s="21"/>
    </row>
    <row r="8" spans="2:20" ht="15" thickBot="1" x14ac:dyDescent="0.25">
      <c r="B8" s="48" t="s">
        <v>91</v>
      </c>
      <c r="C8" s="38"/>
      <c r="D8" s="38"/>
      <c r="E8" s="38"/>
      <c r="F8" s="41"/>
      <c r="G8" s="41"/>
      <c r="H8" s="43"/>
      <c r="I8" s="41"/>
      <c r="J8" s="53"/>
      <c r="L8" s="99" t="s">
        <v>35</v>
      </c>
      <c r="M8" s="100"/>
    </row>
    <row r="9" spans="2:20" x14ac:dyDescent="0.2">
      <c r="B9" s="40" t="s">
        <v>92</v>
      </c>
      <c r="C9" s="38">
        <v>2</v>
      </c>
      <c r="D9" s="38">
        <f>'Table 1'!D14</f>
        <v>1</v>
      </c>
      <c r="E9" s="38">
        <f>C9*D9</f>
        <v>2</v>
      </c>
      <c r="F9" s="41">
        <f>'Table 1'!F14</f>
        <v>0</v>
      </c>
      <c r="G9" s="41">
        <f t="shared" ref="G9:G21" si="1">E9*F9</f>
        <v>0</v>
      </c>
      <c r="H9" s="41">
        <f t="shared" ref="H9:H21" si="2">G9*0.05</f>
        <v>0</v>
      </c>
      <c r="I9" s="41">
        <f t="shared" ref="I9:I21" si="3">G9*0.1</f>
        <v>0</v>
      </c>
      <c r="J9" s="53">
        <f t="shared" ref="J9:J21" si="4">G9*$M$10+H9*$M$9+I9*$M$11</f>
        <v>0</v>
      </c>
      <c r="L9" s="95" t="s">
        <v>37</v>
      </c>
      <c r="M9" s="86">
        <v>76.91</v>
      </c>
      <c r="T9" s="71"/>
    </row>
    <row r="10" spans="2:20" x14ac:dyDescent="0.2">
      <c r="B10" s="40" t="s">
        <v>93</v>
      </c>
      <c r="C10" s="38">
        <v>2</v>
      </c>
      <c r="D10" s="38">
        <f>'Table 1'!D15</f>
        <v>1</v>
      </c>
      <c r="E10" s="38">
        <f t="shared" si="0"/>
        <v>2</v>
      </c>
      <c r="F10" s="41">
        <f>'Table 1'!F15</f>
        <v>0</v>
      </c>
      <c r="G10" s="41">
        <f t="shared" si="1"/>
        <v>0</v>
      </c>
      <c r="H10" s="41">
        <f t="shared" si="2"/>
        <v>0</v>
      </c>
      <c r="I10" s="41">
        <f t="shared" si="3"/>
        <v>0</v>
      </c>
      <c r="J10" s="53">
        <f t="shared" si="4"/>
        <v>0</v>
      </c>
      <c r="L10" s="96" t="s">
        <v>39</v>
      </c>
      <c r="M10" s="87">
        <v>57.07</v>
      </c>
    </row>
    <row r="11" spans="2:20" ht="13.5" thickBot="1" x14ac:dyDescent="0.25">
      <c r="B11" s="40" t="s">
        <v>94</v>
      </c>
      <c r="C11" s="38">
        <v>2</v>
      </c>
      <c r="D11" s="38">
        <f>'Table 1'!D16</f>
        <v>1</v>
      </c>
      <c r="E11" s="38">
        <f t="shared" ref="E11" si="5">C11*D11</f>
        <v>2</v>
      </c>
      <c r="F11" s="41">
        <f>'Table 1'!F16</f>
        <v>0</v>
      </c>
      <c r="G11" s="41">
        <f t="shared" si="1"/>
        <v>0</v>
      </c>
      <c r="H11" s="41">
        <f t="shared" si="2"/>
        <v>0</v>
      </c>
      <c r="I11" s="41">
        <f t="shared" si="3"/>
        <v>0</v>
      </c>
      <c r="J11" s="53">
        <f t="shared" si="4"/>
        <v>0</v>
      </c>
      <c r="L11" s="97" t="s">
        <v>42</v>
      </c>
      <c r="M11" s="88">
        <v>30.88</v>
      </c>
    </row>
    <row r="12" spans="2:20" x14ac:dyDescent="0.2">
      <c r="B12" s="40" t="s">
        <v>95</v>
      </c>
      <c r="C12" s="38">
        <v>2</v>
      </c>
      <c r="D12" s="38">
        <f>'Table 1'!D17</f>
        <v>1</v>
      </c>
      <c r="E12" s="38">
        <f t="shared" ref="E12" si="6">C12*D12</f>
        <v>2</v>
      </c>
      <c r="F12" s="41">
        <f>'Table 1'!F17</f>
        <v>0</v>
      </c>
      <c r="G12" s="41">
        <f t="shared" si="1"/>
        <v>0</v>
      </c>
      <c r="H12" s="41">
        <f t="shared" si="2"/>
        <v>0</v>
      </c>
      <c r="I12" s="41">
        <f t="shared" si="3"/>
        <v>0</v>
      </c>
      <c r="J12" s="53">
        <f t="shared" si="4"/>
        <v>0</v>
      </c>
      <c r="L12" s="21"/>
      <c r="M12" s="21"/>
    </row>
    <row r="13" spans="2:20" ht="15.75" x14ac:dyDescent="0.2">
      <c r="B13" s="40" t="s">
        <v>96</v>
      </c>
      <c r="C13" s="38">
        <v>8</v>
      </c>
      <c r="D13" s="38">
        <f>'Table 1'!D18</f>
        <v>1</v>
      </c>
      <c r="E13" s="38">
        <f>C13*D13</f>
        <v>8</v>
      </c>
      <c r="F13" s="41">
        <f>'Table 1'!F18</f>
        <v>1</v>
      </c>
      <c r="G13" s="41">
        <f t="shared" si="1"/>
        <v>8</v>
      </c>
      <c r="H13" s="43">
        <f t="shared" si="2"/>
        <v>0.4</v>
      </c>
      <c r="I13" s="43">
        <f t="shared" si="3"/>
        <v>0.8</v>
      </c>
      <c r="J13" s="56">
        <f t="shared" si="4"/>
        <v>512.02800000000002</v>
      </c>
      <c r="L13" s="21"/>
      <c r="M13" s="21"/>
    </row>
    <row r="14" spans="2:20" x14ac:dyDescent="0.2">
      <c r="B14" s="40" t="s">
        <v>97</v>
      </c>
      <c r="C14" s="38">
        <v>4</v>
      </c>
      <c r="D14" s="38">
        <f>'Table 1'!D19</f>
        <v>1</v>
      </c>
      <c r="E14" s="38">
        <f t="shared" ref="E14:E21" si="7">C14*D14</f>
        <v>4</v>
      </c>
      <c r="F14" s="41">
        <f>'Table 1'!F19</f>
        <v>1</v>
      </c>
      <c r="G14" s="41">
        <f t="shared" si="1"/>
        <v>4</v>
      </c>
      <c r="H14" s="41">
        <f t="shared" si="2"/>
        <v>0.2</v>
      </c>
      <c r="I14" s="41">
        <f t="shared" si="3"/>
        <v>0.4</v>
      </c>
      <c r="J14" s="53">
        <f t="shared" si="4"/>
        <v>256.01400000000001</v>
      </c>
      <c r="L14" s="21"/>
      <c r="M14" s="21"/>
    </row>
    <row r="15" spans="2:20" x14ac:dyDescent="0.2">
      <c r="B15" s="40" t="s">
        <v>98</v>
      </c>
      <c r="C15" s="38">
        <v>2</v>
      </c>
      <c r="D15" s="38">
        <f>'Table 1'!D20</f>
        <v>1</v>
      </c>
      <c r="E15" s="38">
        <f t="shared" si="7"/>
        <v>2</v>
      </c>
      <c r="F15" s="41">
        <f>'Table 1'!F20</f>
        <v>1</v>
      </c>
      <c r="G15" s="41">
        <f t="shared" si="1"/>
        <v>2</v>
      </c>
      <c r="H15" s="41">
        <f t="shared" si="2"/>
        <v>0.1</v>
      </c>
      <c r="I15" s="41">
        <f t="shared" si="3"/>
        <v>0.2</v>
      </c>
      <c r="J15" s="53">
        <f t="shared" si="4"/>
        <v>128.00700000000001</v>
      </c>
      <c r="L15" s="21"/>
      <c r="M15" s="21"/>
    </row>
    <row r="16" spans="2:20" x14ac:dyDescent="0.2">
      <c r="B16" s="40" t="s">
        <v>99</v>
      </c>
      <c r="C16" s="38">
        <v>2</v>
      </c>
      <c r="D16" s="38">
        <f>'Table 1'!D22</f>
        <v>1</v>
      </c>
      <c r="E16" s="38">
        <f t="shared" si="7"/>
        <v>2</v>
      </c>
      <c r="F16" s="41">
        <f>'Table 1'!F22</f>
        <v>1</v>
      </c>
      <c r="G16" s="41">
        <f t="shared" si="1"/>
        <v>2</v>
      </c>
      <c r="H16" s="41">
        <f t="shared" si="2"/>
        <v>0.1</v>
      </c>
      <c r="I16" s="41">
        <f t="shared" si="3"/>
        <v>0.2</v>
      </c>
      <c r="J16" s="53">
        <f t="shared" si="4"/>
        <v>128.00700000000001</v>
      </c>
      <c r="L16" s="21"/>
      <c r="M16" s="21"/>
    </row>
    <row r="17" spans="2:18" ht="15.75" x14ac:dyDescent="0.2">
      <c r="B17" s="49" t="s">
        <v>100</v>
      </c>
      <c r="C17" s="38">
        <v>40</v>
      </c>
      <c r="D17" s="38">
        <f>'Table 1'!D23</f>
        <v>1</v>
      </c>
      <c r="E17" s="38">
        <f t="shared" si="7"/>
        <v>40</v>
      </c>
      <c r="F17" s="43">
        <f>'Table 1'!F23</f>
        <v>0.9</v>
      </c>
      <c r="G17" s="41">
        <f t="shared" si="1"/>
        <v>36</v>
      </c>
      <c r="H17" s="41">
        <f t="shared" si="2"/>
        <v>1.8</v>
      </c>
      <c r="I17" s="41">
        <f t="shared" si="3"/>
        <v>3.6</v>
      </c>
      <c r="J17" s="53">
        <f t="shared" si="4"/>
        <v>2304.1260000000002</v>
      </c>
      <c r="L17" s="21"/>
      <c r="M17" s="21"/>
    </row>
    <row r="18" spans="2:18" ht="15.75" x14ac:dyDescent="0.2">
      <c r="B18" s="49" t="s">
        <v>101</v>
      </c>
      <c r="C18" s="38">
        <v>40</v>
      </c>
      <c r="D18" s="38">
        <f>'Table 1'!D24</f>
        <v>1</v>
      </c>
      <c r="E18" s="38">
        <f t="shared" si="7"/>
        <v>40</v>
      </c>
      <c r="F18" s="43">
        <f>'Table 1'!F24</f>
        <v>0.1</v>
      </c>
      <c r="G18" s="41">
        <f t="shared" si="1"/>
        <v>4</v>
      </c>
      <c r="H18" s="41">
        <f t="shared" si="2"/>
        <v>0.2</v>
      </c>
      <c r="I18" s="41">
        <f t="shared" si="3"/>
        <v>0.4</v>
      </c>
      <c r="J18" s="53">
        <f t="shared" si="4"/>
        <v>256.01400000000001</v>
      </c>
      <c r="L18" s="21"/>
      <c r="M18" s="21"/>
    </row>
    <row r="19" spans="2:18" ht="15.75" x14ac:dyDescent="0.2">
      <c r="B19" s="40" t="s">
        <v>102</v>
      </c>
      <c r="C19" s="38">
        <v>2</v>
      </c>
      <c r="D19" s="38">
        <f>'Table 1'!D26</f>
        <v>2</v>
      </c>
      <c r="E19" s="38">
        <f t="shared" si="7"/>
        <v>4</v>
      </c>
      <c r="F19" s="41">
        <f>'Table 1'!F26</f>
        <v>17</v>
      </c>
      <c r="G19" s="41">
        <f t="shared" si="1"/>
        <v>68</v>
      </c>
      <c r="H19" s="43">
        <f t="shared" si="2"/>
        <v>3.4000000000000004</v>
      </c>
      <c r="I19" s="43">
        <f t="shared" si="3"/>
        <v>6.8000000000000007</v>
      </c>
      <c r="J19" s="56">
        <f t="shared" si="4"/>
        <v>4352.2380000000003</v>
      </c>
      <c r="L19" s="34"/>
      <c r="M19" s="21"/>
    </row>
    <row r="20" spans="2:18" ht="15.75" x14ac:dyDescent="0.2">
      <c r="B20" s="40" t="s">
        <v>103</v>
      </c>
      <c r="C20" s="38">
        <v>8</v>
      </c>
      <c r="D20" s="38">
        <f>'Table 1'!D27</f>
        <v>4</v>
      </c>
      <c r="E20" s="38">
        <f t="shared" si="7"/>
        <v>32</v>
      </c>
      <c r="F20" s="41">
        <f>'Table 1'!F27</f>
        <v>2</v>
      </c>
      <c r="G20" s="41">
        <f t="shared" si="1"/>
        <v>64</v>
      </c>
      <c r="H20" s="43">
        <f t="shared" si="2"/>
        <v>3.2</v>
      </c>
      <c r="I20" s="43">
        <f t="shared" si="3"/>
        <v>6.4</v>
      </c>
      <c r="J20" s="56">
        <f t="shared" si="4"/>
        <v>4096.2240000000002</v>
      </c>
    </row>
    <row r="21" spans="2:18" ht="15.75" x14ac:dyDescent="0.2">
      <c r="B21" s="40" t="s">
        <v>104</v>
      </c>
      <c r="C21" s="38">
        <v>20</v>
      </c>
      <c r="D21" s="38">
        <f>'Table 1'!D28</f>
        <v>1</v>
      </c>
      <c r="E21" s="38">
        <f t="shared" si="7"/>
        <v>20</v>
      </c>
      <c r="F21" s="41">
        <f>'Table 1'!F28</f>
        <v>2</v>
      </c>
      <c r="G21" s="41">
        <f t="shared" si="1"/>
        <v>40</v>
      </c>
      <c r="H21" s="41">
        <f t="shared" si="2"/>
        <v>2</v>
      </c>
      <c r="I21" s="41">
        <f t="shared" si="3"/>
        <v>4</v>
      </c>
      <c r="J21" s="56">
        <f t="shared" si="4"/>
        <v>2560.1400000000003</v>
      </c>
      <c r="L21" s="34"/>
      <c r="M21" s="21"/>
    </row>
    <row r="22" spans="2:18" ht="15.75" x14ac:dyDescent="0.2">
      <c r="B22" s="28" t="s">
        <v>105</v>
      </c>
      <c r="C22" s="27"/>
      <c r="D22" s="27"/>
      <c r="E22" s="27"/>
      <c r="F22" s="27"/>
      <c r="G22" s="106">
        <f>ROUND(SUM(G5:I21),0)</f>
        <v>312</v>
      </c>
      <c r="H22" s="106"/>
      <c r="I22" s="106"/>
      <c r="J22" s="57">
        <f>ROUND(SUM(J5:J21),-2)</f>
        <v>17400</v>
      </c>
      <c r="K22" s="20"/>
      <c r="M22" s="35"/>
    </row>
    <row r="23" spans="2:18" x14ac:dyDescent="0.2">
      <c r="K23" s="20"/>
    </row>
    <row r="24" spans="2:18" x14ac:dyDescent="0.2">
      <c r="B24" s="23"/>
      <c r="K24" s="20"/>
    </row>
    <row r="25" spans="2:18" ht="27" customHeight="1" x14ac:dyDescent="0.2">
      <c r="B25" s="105" t="s">
        <v>161</v>
      </c>
      <c r="C25" s="105"/>
      <c r="D25" s="105"/>
      <c r="E25" s="105"/>
      <c r="F25" s="105"/>
      <c r="G25" s="105"/>
      <c r="H25" s="105"/>
      <c r="I25" s="105"/>
      <c r="J25" s="105"/>
    </row>
    <row r="26" spans="2:18" x14ac:dyDescent="0.2">
      <c r="B26" s="114" t="s">
        <v>162</v>
      </c>
      <c r="C26" s="114"/>
      <c r="D26" s="114"/>
      <c r="E26" s="114"/>
      <c r="F26" s="114"/>
      <c r="G26" s="114"/>
      <c r="H26" s="114"/>
      <c r="I26" s="114"/>
      <c r="J26" s="114"/>
    </row>
    <row r="27" spans="2:18" ht="15.75" x14ac:dyDescent="0.2">
      <c r="B27" s="112" t="s">
        <v>163</v>
      </c>
      <c r="C27" s="112"/>
      <c r="D27" s="112"/>
      <c r="E27" s="112"/>
      <c r="F27" s="112"/>
      <c r="G27" s="112"/>
      <c r="H27" s="112"/>
      <c r="I27" s="112"/>
      <c r="J27" s="112"/>
    </row>
    <row r="28" spans="2:18" ht="15.75" x14ac:dyDescent="0.2">
      <c r="B28" s="112" t="s">
        <v>164</v>
      </c>
      <c r="C28" s="112"/>
      <c r="D28" s="112"/>
      <c r="E28" s="112"/>
      <c r="F28" s="112"/>
      <c r="G28" s="112"/>
      <c r="H28" s="112"/>
      <c r="I28" s="112"/>
      <c r="J28" s="112"/>
    </row>
    <row r="29" spans="2:18" ht="15.75" x14ac:dyDescent="0.2">
      <c r="B29" s="112" t="s">
        <v>165</v>
      </c>
      <c r="C29" s="112"/>
      <c r="D29" s="112"/>
      <c r="E29" s="112"/>
      <c r="F29" s="112"/>
      <c r="G29" s="112"/>
      <c r="H29" s="112"/>
      <c r="I29" s="112"/>
      <c r="J29" s="112"/>
      <c r="L29" s="70"/>
      <c r="R29" s="71"/>
    </row>
    <row r="30" spans="2:18" ht="15.75" x14ac:dyDescent="0.2">
      <c r="B30" s="112" t="s">
        <v>166</v>
      </c>
      <c r="C30" s="112"/>
      <c r="D30" s="112"/>
      <c r="E30" s="112"/>
      <c r="F30" s="112"/>
      <c r="G30" s="112"/>
      <c r="H30" s="112"/>
      <c r="I30" s="112"/>
      <c r="J30" s="112"/>
    </row>
    <row r="31" spans="2:18" x14ac:dyDescent="0.2">
      <c r="B31" s="105" t="s">
        <v>167</v>
      </c>
      <c r="C31" s="105"/>
      <c r="D31" s="105"/>
      <c r="E31" s="105"/>
      <c r="F31" s="105"/>
      <c r="G31" s="105"/>
      <c r="H31" s="105"/>
      <c r="I31" s="105"/>
      <c r="J31" s="105"/>
    </row>
    <row r="32" spans="2:18" ht="12.75" customHeight="1" x14ac:dyDescent="0.2">
      <c r="B32" s="105" t="s">
        <v>168</v>
      </c>
      <c r="C32" s="105"/>
      <c r="D32" s="105"/>
      <c r="E32" s="105"/>
      <c r="F32" s="105"/>
      <c r="G32" s="105"/>
      <c r="H32" s="105"/>
      <c r="I32" s="105"/>
      <c r="J32" s="105"/>
    </row>
    <row r="33" spans="2:10" x14ac:dyDescent="0.2">
      <c r="B33" s="105" t="s">
        <v>169</v>
      </c>
      <c r="C33" s="105"/>
      <c r="D33" s="105"/>
      <c r="E33" s="105"/>
      <c r="F33" s="105"/>
      <c r="G33" s="105"/>
      <c r="H33" s="105"/>
      <c r="I33" s="105"/>
      <c r="J33" s="105"/>
    </row>
    <row r="34" spans="2:10" ht="12.75" customHeight="1" x14ac:dyDescent="0.2">
      <c r="B34" s="105" t="s">
        <v>170</v>
      </c>
      <c r="C34" s="105"/>
      <c r="D34" s="105"/>
      <c r="E34" s="105"/>
      <c r="F34" s="105"/>
      <c r="G34" s="105"/>
      <c r="H34" s="105"/>
      <c r="I34" s="105"/>
      <c r="J34" s="105"/>
    </row>
    <row r="35" spans="2:10" ht="15.75" x14ac:dyDescent="0.2">
      <c r="B35" s="1" t="s">
        <v>171</v>
      </c>
    </row>
  </sheetData>
  <mergeCells count="13">
    <mergeCell ref="L8:M8"/>
    <mergeCell ref="B25:J25"/>
    <mergeCell ref="G22:I22"/>
    <mergeCell ref="B3:B4"/>
    <mergeCell ref="B26:J26"/>
    <mergeCell ref="B34:J34"/>
    <mergeCell ref="B33:J33"/>
    <mergeCell ref="B32:J32"/>
    <mergeCell ref="B27:J27"/>
    <mergeCell ref="B28:J28"/>
    <mergeCell ref="B29:J29"/>
    <mergeCell ref="B31:J31"/>
    <mergeCell ref="B30:J30"/>
  </mergeCells>
  <pageMargins left="0.7" right="0.7" top="0.75" bottom="0.75" header="0.3" footer="0.3"/>
  <pageSetup scale="72" orientation="landscape" r:id="rId1"/>
  <colBreaks count="1" manualBreakCount="1">
    <brk id="10" max="1048575" man="1"/>
  </colBreaks>
  <ignoredErrors>
    <ignoredError sqref="F5 F7:F21"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EF622-D897-4F8C-A5F6-EEC8C2B198D0}">
  <dimension ref="B3:K15"/>
  <sheetViews>
    <sheetView workbookViewId="0">
      <selection activeCell="B14" sqref="B14:H14"/>
    </sheetView>
  </sheetViews>
  <sheetFormatPr defaultRowHeight="12.75" x14ac:dyDescent="0.2"/>
  <cols>
    <col min="2" max="2" width="18" customWidth="1"/>
    <col min="3" max="3" width="12.5703125" customWidth="1"/>
    <col min="4" max="4" width="17.28515625" customWidth="1"/>
    <col min="5" max="5" width="16.28515625" customWidth="1"/>
    <col min="6" max="6" width="18" customWidth="1"/>
    <col min="7" max="7" width="15.85546875" customWidth="1"/>
    <col min="10" max="10" width="13.140625" customWidth="1"/>
  </cols>
  <sheetData>
    <row r="3" spans="2:11" ht="15.75" x14ac:dyDescent="0.2">
      <c r="B3" s="117"/>
      <c r="C3" s="118"/>
      <c r="D3" s="118"/>
      <c r="E3" s="118"/>
      <c r="F3" s="118"/>
      <c r="G3" s="118"/>
      <c r="H3" s="119"/>
    </row>
    <row r="4" spans="2:11" ht="15.75" x14ac:dyDescent="0.2">
      <c r="B4" s="120" t="s">
        <v>106</v>
      </c>
      <c r="C4" s="121"/>
      <c r="D4" s="121"/>
      <c r="E4" s="121"/>
      <c r="F4" s="121"/>
      <c r="G4" s="121"/>
      <c r="H4" s="122"/>
    </row>
    <row r="5" spans="2:11" x14ac:dyDescent="0.2">
      <c r="B5" s="63" t="s">
        <v>107</v>
      </c>
      <c r="C5" s="65" t="s">
        <v>108</v>
      </c>
      <c r="D5" s="63" t="s">
        <v>109</v>
      </c>
      <c r="E5" s="67" t="s">
        <v>110</v>
      </c>
      <c r="F5" s="63" t="s">
        <v>111</v>
      </c>
      <c r="G5" s="67" t="s">
        <v>112</v>
      </c>
      <c r="H5" s="63" t="s">
        <v>113</v>
      </c>
    </row>
    <row r="6" spans="2:11" ht="54" customHeight="1" x14ac:dyDescent="0.2">
      <c r="B6" s="64" t="s">
        <v>114</v>
      </c>
      <c r="C6" s="66" t="s">
        <v>115</v>
      </c>
      <c r="D6" s="64" t="s">
        <v>116</v>
      </c>
      <c r="E6" s="68" t="s">
        <v>117</v>
      </c>
      <c r="F6" s="64" t="s">
        <v>118</v>
      </c>
      <c r="G6" s="68" t="s">
        <v>119</v>
      </c>
      <c r="H6" s="69" t="s">
        <v>120</v>
      </c>
      <c r="K6" s="68"/>
    </row>
    <row r="7" spans="2:11" ht="28.5" x14ac:dyDescent="0.2">
      <c r="B7" s="60" t="s">
        <v>121</v>
      </c>
      <c r="C7" s="62">
        <v>11632</v>
      </c>
      <c r="D7" s="61">
        <v>1</v>
      </c>
      <c r="E7" s="62">
        <f>C7*D7</f>
        <v>11632</v>
      </c>
      <c r="F7" s="62">
        <v>2825</v>
      </c>
      <c r="G7" s="61">
        <v>19</v>
      </c>
      <c r="H7" s="62">
        <f>F7*G7</f>
        <v>53675</v>
      </c>
    </row>
    <row r="8" spans="2:11" x14ac:dyDescent="0.2">
      <c r="B8" s="60" t="s">
        <v>122</v>
      </c>
      <c r="C8" s="62">
        <v>52200</v>
      </c>
      <c r="D8" s="61">
        <v>1</v>
      </c>
      <c r="E8" s="62">
        <f>C8*D8</f>
        <v>52200</v>
      </c>
      <c r="F8" s="62">
        <v>0</v>
      </c>
      <c r="G8" s="61">
        <v>0</v>
      </c>
      <c r="H8" s="62">
        <f>F8*G8</f>
        <v>0</v>
      </c>
    </row>
    <row r="9" spans="2:11" ht="15.75" x14ac:dyDescent="0.2">
      <c r="B9" s="60" t="s">
        <v>123</v>
      </c>
      <c r="C9" s="62">
        <v>15920</v>
      </c>
      <c r="D9" s="61">
        <v>1</v>
      </c>
      <c r="E9" s="62">
        <f>C9*D9</f>
        <v>15920</v>
      </c>
      <c r="F9" s="62">
        <v>1220</v>
      </c>
      <c r="G9" s="61">
        <v>19</v>
      </c>
      <c r="H9" s="62">
        <f>F9*G9</f>
        <v>23180</v>
      </c>
    </row>
    <row r="10" spans="2:11" ht="15.75" x14ac:dyDescent="0.2">
      <c r="B10" s="60" t="s">
        <v>124</v>
      </c>
      <c r="C10" s="62">
        <v>10690</v>
      </c>
      <c r="D10" s="61">
        <v>1</v>
      </c>
      <c r="E10" s="62">
        <f>C10*D10</f>
        <v>10690</v>
      </c>
      <c r="F10" s="62">
        <v>9038</v>
      </c>
      <c r="G10" s="61">
        <v>19</v>
      </c>
      <c r="H10" s="62">
        <f>F10*G10</f>
        <v>171722</v>
      </c>
    </row>
    <row r="11" spans="2:11" x14ac:dyDescent="0.2">
      <c r="B11" s="73" t="s">
        <v>126</v>
      </c>
      <c r="C11" s="74"/>
      <c r="D11" s="74"/>
      <c r="E11" s="75">
        <f>ROUND(SUM(E7:E10),-2)</f>
        <v>90400</v>
      </c>
      <c r="F11" s="74"/>
      <c r="G11" s="74"/>
      <c r="H11" s="75">
        <f>ROUND(SUM(H7:H10),-3)</f>
        <v>249000</v>
      </c>
      <c r="I11" s="90" t="s">
        <v>125</v>
      </c>
      <c r="J11" s="91">
        <f>ROUND(SUM(E11,H11),-3)</f>
        <v>339000</v>
      </c>
    </row>
    <row r="12" spans="2:11" ht="51" customHeight="1" x14ac:dyDescent="0.2">
      <c r="B12" s="123" t="s">
        <v>127</v>
      </c>
      <c r="C12" s="124"/>
      <c r="D12" s="124"/>
      <c r="E12" s="124"/>
      <c r="F12" s="124"/>
      <c r="G12" s="124"/>
      <c r="H12" s="124"/>
    </row>
    <row r="13" spans="2:11" ht="15.75" customHeight="1" x14ac:dyDescent="0.2">
      <c r="B13" s="115" t="s">
        <v>128</v>
      </c>
      <c r="C13" s="116"/>
      <c r="D13" s="116"/>
      <c r="E13" s="116"/>
      <c r="F13" s="116"/>
      <c r="G13" s="116"/>
      <c r="H13" s="116"/>
    </row>
    <row r="14" spans="2:11" ht="29.25" customHeight="1" x14ac:dyDescent="0.2">
      <c r="B14" s="115" t="s">
        <v>129</v>
      </c>
      <c r="C14" s="116"/>
      <c r="D14" s="116"/>
      <c r="E14" s="116"/>
      <c r="F14" s="116"/>
      <c r="G14" s="116"/>
      <c r="H14" s="116"/>
    </row>
    <row r="15" spans="2:11" ht="27.75" customHeight="1" x14ac:dyDescent="0.2">
      <c r="B15" s="115" t="s">
        <v>130</v>
      </c>
      <c r="C15" s="116"/>
      <c r="D15" s="116"/>
      <c r="E15" s="116"/>
      <c r="F15" s="116"/>
      <c r="G15" s="116"/>
      <c r="H15" s="116"/>
    </row>
  </sheetData>
  <mergeCells count="6">
    <mergeCell ref="B15:H15"/>
    <mergeCell ref="B3:H3"/>
    <mergeCell ref="B4:H4"/>
    <mergeCell ref="B12:H12"/>
    <mergeCell ref="B13:H13"/>
    <mergeCell ref="B14:H1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G11"/>
  <sheetViews>
    <sheetView workbookViewId="0">
      <selection activeCell="G32" sqref="G32"/>
    </sheetView>
  </sheetViews>
  <sheetFormatPr defaultRowHeight="12.75" x14ac:dyDescent="0.2"/>
  <cols>
    <col min="1" max="1" width="1" customWidth="1"/>
    <col min="2" max="2" width="9.7109375" customWidth="1"/>
    <col min="3" max="3" width="12.85546875" bestFit="1" customWidth="1"/>
    <col min="4" max="4" width="15.5703125" bestFit="1" customWidth="1"/>
    <col min="5" max="5" width="18.5703125" customWidth="1"/>
    <col min="6" max="6" width="15.5703125" bestFit="1" customWidth="1"/>
    <col min="7" max="7" width="12.85546875" customWidth="1"/>
  </cols>
  <sheetData>
    <row r="2" spans="2:7" ht="15.75" x14ac:dyDescent="0.2">
      <c r="B2" s="125" t="s">
        <v>2</v>
      </c>
      <c r="C2" s="126"/>
      <c r="D2" s="126"/>
      <c r="E2" s="126"/>
      <c r="F2" s="126"/>
      <c r="G2" s="127"/>
    </row>
    <row r="3" spans="2:7" ht="24" customHeight="1" x14ac:dyDescent="0.2">
      <c r="B3" s="16"/>
      <c r="C3" s="128" t="s">
        <v>131</v>
      </c>
      <c r="D3" s="129"/>
      <c r="E3" s="17" t="s">
        <v>132</v>
      </c>
      <c r="F3" s="128"/>
      <c r="G3" s="129"/>
    </row>
    <row r="4" spans="2:7" x14ac:dyDescent="0.2">
      <c r="B4" s="14"/>
      <c r="C4" s="15" t="s">
        <v>107</v>
      </c>
      <c r="D4" s="15" t="s">
        <v>108</v>
      </c>
      <c r="E4" s="15" t="s">
        <v>109</v>
      </c>
      <c r="F4" s="15" t="s">
        <v>110</v>
      </c>
      <c r="G4" s="15" t="s">
        <v>111</v>
      </c>
    </row>
    <row r="5" spans="2:7" ht="68.25" customHeight="1" x14ac:dyDescent="0.2">
      <c r="B5" s="15" t="s">
        <v>133</v>
      </c>
      <c r="C5" s="15" t="s">
        <v>152</v>
      </c>
      <c r="D5" s="15" t="s">
        <v>134</v>
      </c>
      <c r="E5" s="15" t="s">
        <v>135</v>
      </c>
      <c r="F5" s="15" t="s">
        <v>151</v>
      </c>
      <c r="G5" s="15" t="s">
        <v>2</v>
      </c>
    </row>
    <row r="6" spans="2:7" x14ac:dyDescent="0.2">
      <c r="B6" s="15"/>
      <c r="C6" s="15"/>
      <c r="D6" s="15"/>
      <c r="E6" s="15"/>
      <c r="F6" s="15"/>
      <c r="G6" s="15" t="s">
        <v>136</v>
      </c>
    </row>
    <row r="7" spans="2:7" x14ac:dyDescent="0.2">
      <c r="B7" s="18">
        <v>1</v>
      </c>
      <c r="C7" s="19">
        <v>1</v>
      </c>
      <c r="D7" s="19">
        <f>'Table 1'!Q4</f>
        <v>19</v>
      </c>
      <c r="E7" s="18">
        <v>0</v>
      </c>
      <c r="F7" s="18">
        <v>1</v>
      </c>
      <c r="G7" s="19">
        <f>C7+D7+E7-F7</f>
        <v>19</v>
      </c>
    </row>
    <row r="8" spans="2:7" x14ac:dyDescent="0.2">
      <c r="B8" s="18">
        <v>2</v>
      </c>
      <c r="C8" s="18">
        <v>1</v>
      </c>
      <c r="D8" s="18">
        <f>G7</f>
        <v>19</v>
      </c>
      <c r="E8" s="18">
        <v>0</v>
      </c>
      <c r="F8" s="18">
        <v>1</v>
      </c>
      <c r="G8" s="18">
        <f t="shared" ref="G8:G9" si="0">C8+D8+E8-F8</f>
        <v>19</v>
      </c>
    </row>
    <row r="9" spans="2:7" x14ac:dyDescent="0.2">
      <c r="B9" s="18">
        <v>3</v>
      </c>
      <c r="C9" s="18">
        <v>1</v>
      </c>
      <c r="D9" s="18">
        <f>G8</f>
        <v>19</v>
      </c>
      <c r="E9" s="18">
        <v>0</v>
      </c>
      <c r="F9" s="18">
        <v>1</v>
      </c>
      <c r="G9" s="18">
        <f t="shared" si="0"/>
        <v>19</v>
      </c>
    </row>
    <row r="10" spans="2:7" x14ac:dyDescent="0.2">
      <c r="B10" s="18" t="s">
        <v>137</v>
      </c>
      <c r="C10" s="19">
        <f>AVERAGE(C7:C9)</f>
        <v>1</v>
      </c>
      <c r="D10" s="19">
        <f t="shared" ref="D10:G10" si="1">AVERAGE(D7:D9)</f>
        <v>19</v>
      </c>
      <c r="E10" s="19">
        <f t="shared" si="1"/>
        <v>0</v>
      </c>
      <c r="F10" s="19">
        <v>1</v>
      </c>
      <c r="G10" s="19">
        <f t="shared" si="1"/>
        <v>19</v>
      </c>
    </row>
    <row r="11" spans="2:7" ht="15.75" x14ac:dyDescent="0.2">
      <c r="B11" s="130" t="s">
        <v>172</v>
      </c>
      <c r="C11" s="130"/>
      <c r="D11" s="130"/>
      <c r="E11" s="130"/>
      <c r="F11" s="130"/>
      <c r="G11" s="130"/>
    </row>
  </sheetData>
  <mergeCells count="4">
    <mergeCell ref="B2:G2"/>
    <mergeCell ref="C3:D3"/>
    <mergeCell ref="F3:G3"/>
    <mergeCell ref="B11:G11"/>
  </mergeCells>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G20"/>
  <sheetViews>
    <sheetView workbookViewId="0">
      <selection activeCell="D14" sqref="D14"/>
    </sheetView>
  </sheetViews>
  <sheetFormatPr defaultColWidth="9.140625" defaultRowHeight="12.75" x14ac:dyDescent="0.2"/>
  <cols>
    <col min="1" max="1" width="0.7109375" customWidth="1"/>
    <col min="2" max="2" width="31.28515625" customWidth="1"/>
    <col min="3" max="4" width="10" customWidth="1"/>
    <col min="5" max="5" width="16" customWidth="1"/>
    <col min="6" max="6" width="10.5703125" customWidth="1"/>
  </cols>
  <sheetData>
    <row r="2" spans="2:7" ht="15.75" x14ac:dyDescent="0.2">
      <c r="B2" s="131" t="s">
        <v>138</v>
      </c>
      <c r="C2" s="131"/>
      <c r="D2" s="131"/>
      <c r="E2" s="131"/>
      <c r="F2" s="131"/>
    </row>
    <row r="3" spans="2:7" ht="63.75" customHeight="1" x14ac:dyDescent="0.2">
      <c r="B3" s="9" t="s">
        <v>139</v>
      </c>
      <c r="C3" s="10" t="s">
        <v>140</v>
      </c>
      <c r="D3" s="10" t="s">
        <v>141</v>
      </c>
      <c r="E3" s="9" t="s">
        <v>142</v>
      </c>
      <c r="F3" s="9" t="s">
        <v>143</v>
      </c>
    </row>
    <row r="4" spans="2:7" x14ac:dyDescent="0.2">
      <c r="B4" s="29" t="s">
        <v>92</v>
      </c>
      <c r="C4" s="30">
        <f>'Table 1'!F14</f>
        <v>0</v>
      </c>
      <c r="D4" s="30">
        <f>'Table 1'!D14</f>
        <v>1</v>
      </c>
      <c r="E4" s="32">
        <v>0</v>
      </c>
      <c r="F4" s="32">
        <f>C4*D4+E4</f>
        <v>0</v>
      </c>
    </row>
    <row r="5" spans="2:7" x14ac:dyDescent="0.2">
      <c r="B5" s="29" t="s">
        <v>93</v>
      </c>
      <c r="C5" s="30">
        <f>'Table 1'!F15</f>
        <v>0</v>
      </c>
      <c r="D5" s="30">
        <f>'Table 1'!D15</f>
        <v>1</v>
      </c>
      <c r="E5" s="32">
        <v>0</v>
      </c>
      <c r="F5" s="32">
        <f t="shared" ref="F5:F16" si="0">C5*D5+E5</f>
        <v>0</v>
      </c>
    </row>
    <row r="6" spans="2:7" x14ac:dyDescent="0.2">
      <c r="B6" s="29" t="s">
        <v>94</v>
      </c>
      <c r="C6" s="30">
        <f>'Table 1'!F16</f>
        <v>0</v>
      </c>
      <c r="D6" s="30">
        <f>'Table 1'!D16</f>
        <v>1</v>
      </c>
      <c r="E6" s="32">
        <v>0</v>
      </c>
      <c r="F6" s="32">
        <f t="shared" si="0"/>
        <v>0</v>
      </c>
    </row>
    <row r="7" spans="2:7" x14ac:dyDescent="0.2">
      <c r="B7" s="29" t="s">
        <v>95</v>
      </c>
      <c r="C7" s="30">
        <f>'Table 1'!F17</f>
        <v>0</v>
      </c>
      <c r="D7" s="30">
        <f>'Table 1'!D17</f>
        <v>1</v>
      </c>
      <c r="E7" s="32">
        <v>0</v>
      </c>
      <c r="F7" s="32">
        <f t="shared" si="0"/>
        <v>0</v>
      </c>
    </row>
    <row r="8" spans="2:7" x14ac:dyDescent="0.2">
      <c r="B8" s="29" t="s">
        <v>144</v>
      </c>
      <c r="C8" s="30">
        <f>'Table 1'!F18</f>
        <v>1</v>
      </c>
      <c r="D8" s="30">
        <f>'Table 1'!D18</f>
        <v>1</v>
      </c>
      <c r="E8" s="32">
        <v>0</v>
      </c>
      <c r="F8" s="32">
        <f t="shared" si="0"/>
        <v>1</v>
      </c>
    </row>
    <row r="9" spans="2:7" x14ac:dyDescent="0.2">
      <c r="B9" s="29" t="s">
        <v>173</v>
      </c>
      <c r="C9" s="30">
        <f>'Table 1'!F19</f>
        <v>1</v>
      </c>
      <c r="D9" s="30">
        <f>'Table 1'!D19</f>
        <v>1</v>
      </c>
      <c r="E9" s="32">
        <v>0</v>
      </c>
      <c r="F9" s="32">
        <f t="shared" si="0"/>
        <v>1</v>
      </c>
      <c r="G9" s="58"/>
    </row>
    <row r="10" spans="2:7" ht="14.25" customHeight="1" x14ac:dyDescent="0.2">
      <c r="B10" s="29" t="s">
        <v>98</v>
      </c>
      <c r="C10" s="30">
        <f>'Table 1'!F20</f>
        <v>1</v>
      </c>
      <c r="D10" s="30">
        <f>'Table 1'!F20</f>
        <v>1</v>
      </c>
      <c r="E10" s="32">
        <v>0</v>
      </c>
      <c r="F10" s="32">
        <f t="shared" si="0"/>
        <v>1</v>
      </c>
    </row>
    <row r="11" spans="2:7" ht="24" x14ac:dyDescent="0.2">
      <c r="B11" s="29" t="s">
        <v>99</v>
      </c>
      <c r="C11" s="30">
        <f>'Table 1'!F22</f>
        <v>1</v>
      </c>
      <c r="D11" s="30">
        <f>'Table 1'!D22</f>
        <v>1</v>
      </c>
      <c r="E11" s="32">
        <v>0</v>
      </c>
      <c r="F11" s="32">
        <f t="shared" si="0"/>
        <v>1</v>
      </c>
    </row>
    <row r="12" spans="2:7" x14ac:dyDescent="0.2">
      <c r="B12" s="29" t="s">
        <v>145</v>
      </c>
      <c r="C12" s="77">
        <f>'Table 1'!F23</f>
        <v>0.9</v>
      </c>
      <c r="D12" s="30">
        <f>'Table 1'!D23</f>
        <v>1</v>
      </c>
      <c r="E12" s="32">
        <v>0</v>
      </c>
      <c r="F12" s="32">
        <f t="shared" si="0"/>
        <v>0.9</v>
      </c>
    </row>
    <row r="13" spans="2:7" x14ac:dyDescent="0.2">
      <c r="B13" s="29" t="s">
        <v>146</v>
      </c>
      <c r="C13" s="77">
        <f>'Table 1'!F24</f>
        <v>0.1</v>
      </c>
      <c r="D13" s="30">
        <f>'Table 1'!D24</f>
        <v>1</v>
      </c>
      <c r="E13" s="32">
        <v>0</v>
      </c>
      <c r="F13" s="32">
        <f t="shared" si="0"/>
        <v>0.1</v>
      </c>
    </row>
    <row r="14" spans="2:7" x14ac:dyDescent="0.2">
      <c r="B14" s="29" t="s">
        <v>147</v>
      </c>
      <c r="C14" s="30">
        <f>'Table 1'!F26</f>
        <v>17</v>
      </c>
      <c r="D14" s="30">
        <f>'Table 1'!D26</f>
        <v>2</v>
      </c>
      <c r="E14" s="32">
        <v>0</v>
      </c>
      <c r="F14" s="32">
        <f t="shared" si="0"/>
        <v>34</v>
      </c>
    </row>
    <row r="15" spans="2:7" x14ac:dyDescent="0.2">
      <c r="B15" s="29" t="s">
        <v>148</v>
      </c>
      <c r="C15" s="30">
        <f>'Table 1'!F27</f>
        <v>2</v>
      </c>
      <c r="D15" s="30">
        <f>'Table 1'!D27</f>
        <v>4</v>
      </c>
      <c r="E15" s="32">
        <v>0</v>
      </c>
      <c r="F15" s="32">
        <f t="shared" si="0"/>
        <v>8</v>
      </c>
    </row>
    <row r="16" spans="2:7" x14ac:dyDescent="0.2">
      <c r="B16" s="29" t="s">
        <v>149</v>
      </c>
      <c r="C16" s="30">
        <f>'Table 1'!F28</f>
        <v>2</v>
      </c>
      <c r="D16" s="30">
        <f>'Table 1'!D28</f>
        <v>1</v>
      </c>
      <c r="E16" s="32">
        <v>0</v>
      </c>
      <c r="F16" s="32">
        <f t="shared" si="0"/>
        <v>2</v>
      </c>
    </row>
    <row r="17" spans="2:7" x14ac:dyDescent="0.2">
      <c r="B17" s="31"/>
      <c r="C17" s="31"/>
      <c r="D17" s="31"/>
      <c r="E17" s="9" t="s">
        <v>150</v>
      </c>
      <c r="F17" s="9">
        <f>ROUND(SUM(F4:F16),0)</f>
        <v>49</v>
      </c>
      <c r="G17" s="11"/>
    </row>
    <row r="19" spans="2:7" x14ac:dyDescent="0.2">
      <c r="B19" s="58"/>
    </row>
    <row r="20" spans="2:7" x14ac:dyDescent="0.2">
      <c r="B20" s="58"/>
    </row>
  </sheetData>
  <mergeCells count="1">
    <mergeCell ref="B2:F2"/>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C2644CEF3BE14BA984F9E32D274554" ma:contentTypeVersion="16" ma:contentTypeDescription="Create a new document." ma:contentTypeScope="" ma:versionID="d513bca65c16c20fa6621e38b2352deb">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02fe02c4-dc41-46ff-9d52-90c0a1b1f611" xmlns:ns6="96fc5250-dc30-4f01-945b-7e46a880eeb3" targetNamespace="http://schemas.microsoft.com/office/2006/metadata/properties" ma:root="true" ma:fieldsID="a96de173cb04a30135a30bb001169eca" ns1:_="" ns2:_="" ns3:_="" ns4:_="" ns5:_="" ns6:_="">
    <xsd:import namespace="http://schemas.microsoft.com/sharepoint/v3"/>
    <xsd:import namespace="4ffa91fb-a0ff-4ac5-b2db-65c790d184a4"/>
    <xsd:import namespace="http://schemas.microsoft.com/sharepoint.v3"/>
    <xsd:import namespace="http://schemas.microsoft.com/sharepoint/v3/fields"/>
    <xsd:import namespace="02fe02c4-dc41-46ff-9d52-90c0a1b1f611"/>
    <xsd:import namespace="96fc5250-dc30-4f01-945b-7e46a880eeb3"/>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DateTaken" minOccurs="0"/>
                <xsd:element ref="ns5:MediaServiceAutoTags" minOccurs="0"/>
                <xsd:element ref="ns5:MediaServiceOCR" minOccurs="0"/>
                <xsd:element ref="ns5:MediaServiceGenerationTime" minOccurs="0"/>
                <xsd:element ref="ns5:MediaServiceEventHashCode" minOccurs="0"/>
                <xsd:element ref="ns1:_ip_UnifiedCompliancePolicyProperties" minOccurs="0"/>
                <xsd:element ref="ns1:_ip_UnifiedCompliancePolicyUIAction" minOccurs="0"/>
                <xsd:element ref="ns5:MediaLengthInSeconds"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7" nillable="true" ma:displayName="Unified Compliance Policy Properties" ma:hidden="true" ma:internalName="_ip_UnifiedCompliancePolicyProperties">
      <xsd:simpleType>
        <xsd:restriction base="dms:Note"/>
      </xsd:simpleType>
    </xsd:element>
    <xsd:element name="_ip_UnifiedCompliancePolicyUIAction" ma:index="3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9205dcaf-ae28-4449-b177-6e6c07e37888}" ma:internalName="TaxCatchAllLabel" ma:readOnly="true" ma:showField="CatchAllDataLabel" ma:web="96fc5250-dc30-4f01-945b-7e46a880eeb3">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9205dcaf-ae28-4449-b177-6e6c07e37888}" ma:internalName="TaxCatchAll" ma:showField="CatchAllData" ma:web="96fc5250-dc30-4f01-945b-7e46a880ee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2fe02c4-dc41-46ff-9d52-90c0a1b1f611"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2" nillable="true" ma:displayName="MediaServiceDateTaken" ma:hidden="true" ma:internalName="MediaServiceDateTaken" ma:readOnly="true">
      <xsd:simpleType>
        <xsd:restriction base="dms:Text"/>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LengthInSeconds" ma:index="39" nillable="true" ma:displayName="MediaLengthInSeconds" ma:hidden="true" ma:internalName="MediaLengthInSeconds" ma:readOnly="true">
      <xsd:simpleType>
        <xsd:restriction base="dms:Unknown"/>
      </xsd:simpleType>
    </xsd:element>
    <xsd:element name="MediaServiceObjectDetectorVersions" ma:index="40" nillable="true" ma:displayName="MediaServiceObjectDetectorVersions" ma:hidden="true" ma:indexed="true" ma:internalName="MediaServiceObjectDetectorVersions" ma:readOnly="true">
      <xsd:simpleType>
        <xsd:restriction base="dms:Text"/>
      </xsd:simpleType>
    </xsd:element>
    <xsd:element name="MediaServiceSearchProperties" ma:index="4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fc5250-dc30-4f01-945b-7e46a880eeb3"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4ffa91fb-a0ff-4ac5-b2db-65c790d184a4" xsi:nil="true"/>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_ip_UnifiedCompliancePolicyProperties xmlns="http://schemas.microsoft.com/sharepoint/v3" xsi:nil="true"/>
    <Rights xmlns="4ffa91fb-a0ff-4ac5-b2db-65c790d184a4" xsi:nil="true"/>
    <Document_x0020_Creation_x0020_Date xmlns="4ffa91fb-a0ff-4ac5-b2db-65c790d184a4">2025-01-06T16:11:21+00:00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32591F09-EE31-4DEF-83C2-4CA05B649CB0}"/>
</file>

<file path=customXml/itemProps2.xml><?xml version="1.0" encoding="utf-8"?>
<ds:datastoreItem xmlns:ds="http://schemas.openxmlformats.org/officeDocument/2006/customXml" ds:itemID="{7F695170-DEFF-414B-82F0-9B08F15E5645}">
  <ds:schemaRefs>
    <ds:schemaRef ds:uri="http://schemas.microsoft.com/office/infopath/2007/PartnerControls"/>
    <ds:schemaRef ds:uri="http://purl.org/dc/dcmitype/"/>
    <ds:schemaRef ds:uri="http://schemas.openxmlformats.org/package/2006/metadata/core-properties"/>
    <ds:schemaRef ds:uri="http://schemas.microsoft.com/office/2006/metadata/properties"/>
    <ds:schemaRef ds:uri="http://www.w3.org/XML/1998/namespace"/>
    <ds:schemaRef ds:uri="http://purl.org/dc/elements/1.1/"/>
    <ds:schemaRef ds:uri="http://schemas.microsoft.com/office/2006/documentManagement/types"/>
    <ds:schemaRef ds:uri="4d6aed1e-57d3-46e3-9aba-f706adbce63b"/>
    <ds:schemaRef ds:uri="1891fcec-84c2-4840-9468-b51a784ab0d1"/>
    <ds:schemaRef ds:uri="http://purl.org/dc/terms/"/>
  </ds:schemaRefs>
</ds:datastoreItem>
</file>

<file path=customXml/itemProps3.xml><?xml version="1.0" encoding="utf-8"?>
<ds:datastoreItem xmlns:ds="http://schemas.openxmlformats.org/officeDocument/2006/customXml" ds:itemID="{6B2B85ED-5BD7-45D3-AB31-1EB5210E75F5}">
  <ds:schemaRefs>
    <ds:schemaRef ds:uri="http://schemas.microsoft.com/sharepoint/v3/contenttype/forms"/>
  </ds:schemaRefs>
</ds:datastoreItem>
</file>

<file path=customXml/itemProps4.xml><?xml version="1.0" encoding="utf-8"?>
<ds:datastoreItem xmlns:ds="http://schemas.openxmlformats.org/officeDocument/2006/customXml" ds:itemID="{9BB333AE-064E-4703-8CD8-2E46EAB1FAF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Summary</vt:lpstr>
      <vt:lpstr>Table 1</vt:lpstr>
      <vt:lpstr>Table 2</vt:lpstr>
      <vt:lpstr>Capital O&amp;M</vt:lpstr>
      <vt:lpstr>Respondents</vt:lpstr>
      <vt:lpstr>Responses</vt:lpstr>
      <vt:lpstr>'Table 1'!Print_Area</vt:lpstr>
      <vt:lpstr>'Table 2'!Print_Area</vt:lpstr>
    </vt:vector>
  </TitlesOfParts>
  <Manager/>
  <Company>Eastern Research Group,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ERG, EV</dc:creator>
  <cp:keywords/>
  <dc:description/>
  <cp:lastModifiedBy>ERG</cp:lastModifiedBy>
  <cp:revision/>
  <dcterms:created xsi:type="dcterms:W3CDTF">2013-07-15T20:11:44Z</dcterms:created>
  <dcterms:modified xsi:type="dcterms:W3CDTF">2025-01-02T17:27:43Z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0x01010052C2644CEF3BE14BA984F9E32D274554</vt:lpwstr>
  </property>
  <property fmtid="{D5CDD505-2E9C-101B-9397-08002B2CF9AE}" pid="3" name="MediaServiceImageTags">
    <vt:lpwstr/>
  </property>
</Properties>
</file>