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4.xml" ContentType="application/vnd.openxmlformats-officedocument.spreadsheetml.comment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24226"/>
  <mc:AlternateContent xmlns:mc="http://schemas.openxmlformats.org/markup-compatibility/2006">
    <mc:Choice Requires="x15">
      <x15ac:absPath xmlns:x15ac="http://schemas.microsoft.com/office/spreadsheetml/2010/11/ac" url="https://easternresearchgroup.sharepoint.com/sites/CAAICRRenewals/Shared Documents/General/FY25_Drafts/2498.05 NSPS Review for Municipal Solid Waste Landfills/Send to EPA/"/>
    </mc:Choice>
  </mc:AlternateContent>
  <xr:revisionPtr revIDLastSave="14" documentId="13_ncr:1_{4DEBD078-E02D-4097-8746-AFABF4E23032}" xr6:coauthVersionLast="47" xr6:coauthVersionMax="47" xr10:uidLastSave="{0A44E9C2-2396-41EF-904B-779D182E04BA}"/>
  <bookViews>
    <workbookView xWindow="-120" yWindow="-120" windowWidth="29040" windowHeight="15720" tabRatio="890" firstSheet="3" activeTab="8" xr2:uid="{00000000-000D-0000-FFFF-FFFF00000000}"/>
  </bookViews>
  <sheets>
    <sheet name="Controllers NSPS acreage" sheetId="46" state="hidden" r:id="rId1"/>
    <sheet name="# of Responses" sheetId="48" state="hidden" r:id="rId2"/>
    <sheet name="BURDEN SUMMARY" sheetId="33" state="hidden" r:id="rId3"/>
    <sheet name="Summary" sheetId="53" r:id="rId4"/>
    <sheet name="Table 1A" sheetId="50" r:id="rId5"/>
    <sheet name="Table 1B" sheetId="49" r:id="rId6"/>
    <sheet name="Table 1C" sheetId="52" r:id="rId7"/>
    <sheet name="Table 2" sheetId="51" r:id="rId8"/>
    <sheet name="Capital O&amp;M" sheetId="44" r:id="rId9"/>
    <sheet name="Respondents" sheetId="54" r:id="rId10"/>
    <sheet name="Responses" sheetId="55" r:id="rId11"/>
    <sheet name="Annual # of Respondents" sheetId="8" state="hidden" r:id="rId12"/>
    <sheet name="Labor Data" sheetId="4" state="hidden" r:id="rId13"/>
    <sheet name="FY15 GSA Rate" sheetId="28" state="hidden" r:id="rId14"/>
    <sheet name="Agency Base Data" sheetId="17" state="hidden" r:id="rId15"/>
    <sheet name="Other Cost Basis" sheetId="5" state="hidden" r:id="rId16"/>
    <sheet name="1.A-Public" sheetId="36" state="hidden" r:id="rId17"/>
    <sheet name="2.A-Public" sheetId="39" state="hidden" r:id="rId18"/>
    <sheet name="3.A-Public" sheetId="42" state="hidden" r:id="rId19"/>
    <sheet name="1.B-Priv" sheetId="37" state="hidden" r:id="rId20"/>
    <sheet name="2.B-Priv" sheetId="40" state="hidden" r:id="rId21"/>
    <sheet name="3.B-Priv" sheetId="41" state="hidden" r:id="rId22"/>
    <sheet name="1.C-Fed" sheetId="18" state="hidden" r:id="rId23"/>
    <sheet name="2.C-Fed" sheetId="34" state="hidden" r:id="rId24"/>
    <sheet name="3.C-Fed" sheetId="35" state="hidden" r:id="rId25"/>
  </sheets>
  <externalReferences>
    <externalReference r:id="rId26"/>
    <externalReference r:id="rId27"/>
  </externalReferences>
  <definedNames>
    <definedName name="\b" localSheetId="16">#REF!</definedName>
    <definedName name="\b" localSheetId="19">#REF!</definedName>
    <definedName name="\b" localSheetId="17">#REF!</definedName>
    <definedName name="\b" localSheetId="20">#REF!</definedName>
    <definedName name="\b" localSheetId="23">#REF!</definedName>
    <definedName name="\b" localSheetId="18">#REF!</definedName>
    <definedName name="\b" localSheetId="21">#REF!</definedName>
    <definedName name="\b" localSheetId="24">#REF!</definedName>
    <definedName name="\b" localSheetId="2">#REF!</definedName>
    <definedName name="\b" localSheetId="13">#REF!</definedName>
    <definedName name="\b" localSheetId="4">#REF!</definedName>
    <definedName name="\b" localSheetId="5">#REF!</definedName>
    <definedName name="\b" localSheetId="6">#REF!</definedName>
    <definedName name="\b">#REF!</definedName>
    <definedName name="\c" localSheetId="16">#REF!</definedName>
    <definedName name="\c" localSheetId="19">#REF!</definedName>
    <definedName name="\c" localSheetId="17">#REF!</definedName>
    <definedName name="\c" localSheetId="20">#REF!</definedName>
    <definedName name="\c" localSheetId="23">#REF!</definedName>
    <definedName name="\c" localSheetId="18">#REF!</definedName>
    <definedName name="\c" localSheetId="21">#REF!</definedName>
    <definedName name="\c" localSheetId="24">#REF!</definedName>
    <definedName name="\c" localSheetId="2">#REF!</definedName>
    <definedName name="\c" localSheetId="13">#REF!</definedName>
    <definedName name="\c" localSheetId="4">#REF!</definedName>
    <definedName name="\c" localSheetId="5">#REF!</definedName>
    <definedName name="\c" localSheetId="6">#REF!</definedName>
    <definedName name="\c">#REF!</definedName>
    <definedName name="\p">#N/A</definedName>
    <definedName name="\z" localSheetId="16">#REF!</definedName>
    <definedName name="\z" localSheetId="19">#REF!</definedName>
    <definedName name="\z" localSheetId="17">#REF!</definedName>
    <definedName name="\z" localSheetId="20">#REF!</definedName>
    <definedName name="\z" localSheetId="23">#REF!</definedName>
    <definedName name="\z" localSheetId="18">#REF!</definedName>
    <definedName name="\z" localSheetId="21">#REF!</definedName>
    <definedName name="\z" localSheetId="24">#REF!</definedName>
    <definedName name="\z" localSheetId="2">#REF!</definedName>
    <definedName name="\z" localSheetId="13">#REF!</definedName>
    <definedName name="\z" localSheetId="4">#REF!</definedName>
    <definedName name="\z" localSheetId="5">#REF!</definedName>
    <definedName name="\z" localSheetId="6">#REF!</definedName>
    <definedName name="\z">#REF!</definedName>
    <definedName name="_xlnm._FilterDatabase" localSheetId="0" hidden="1">'Controllers NSPS acreage'!$A$2:$P$448</definedName>
    <definedName name="_ftn1" localSheetId="12">'Labor Data'!#REF!</definedName>
    <definedName name="_ftnref1" localSheetId="12">'Labor Data'!$C$7</definedName>
    <definedName name="_Ref354565577" localSheetId="12">'Labor Data'!$B$5</definedName>
    <definedName name="APPC" localSheetId="16">#REF!</definedName>
    <definedName name="APPC" localSheetId="19">#REF!</definedName>
    <definedName name="APPC" localSheetId="17">#REF!</definedName>
    <definedName name="APPC" localSheetId="20">#REF!</definedName>
    <definedName name="APPC" localSheetId="23">#REF!</definedName>
    <definedName name="APPC" localSheetId="18">#REF!</definedName>
    <definedName name="APPC" localSheetId="21">#REF!</definedName>
    <definedName name="APPC" localSheetId="24">#REF!</definedName>
    <definedName name="APPC" localSheetId="2">#REF!</definedName>
    <definedName name="APPC" localSheetId="13">#REF!</definedName>
    <definedName name="APPC" localSheetId="4">#REF!</definedName>
    <definedName name="APPC" localSheetId="5">#REF!</definedName>
    <definedName name="APPC" localSheetId="6">#REF!</definedName>
    <definedName name="APPC">#REF!</definedName>
    <definedName name="cler" localSheetId="2">[1]basis!$C$26</definedName>
    <definedName name="cler" localSheetId="13">[1]basis!$C$26</definedName>
    <definedName name="cler">[2]basis!$C$26</definedName>
    <definedName name="comptime" localSheetId="22">'1.C-Fed'!#REF!</definedName>
    <definedName name="comptime" localSheetId="23">'2.C-Fed'!#REF!</definedName>
    <definedName name="comptime" localSheetId="24">'3.C-Fed'!#REF!</definedName>
    <definedName name="comptime" localSheetId="7">'Table 2'!#REF!</definedName>
    <definedName name="DUST" localSheetId="16">#REF!</definedName>
    <definedName name="DUST" localSheetId="19">#REF!</definedName>
    <definedName name="DUST" localSheetId="17">#REF!</definedName>
    <definedName name="DUST" localSheetId="20">#REF!</definedName>
    <definedName name="DUST" localSheetId="23">#REF!</definedName>
    <definedName name="DUST" localSheetId="18">#REF!</definedName>
    <definedName name="DUST" localSheetId="21">#REF!</definedName>
    <definedName name="DUST" localSheetId="24">#REF!</definedName>
    <definedName name="DUST" localSheetId="2">#REF!</definedName>
    <definedName name="DUST" localSheetId="13">#REF!</definedName>
    <definedName name="DUST" localSheetId="4">#REF!</definedName>
    <definedName name="DUST" localSheetId="5">#REF!</definedName>
    <definedName name="DUST" localSheetId="6">#REF!</definedName>
    <definedName name="DUST">#REF!</definedName>
    <definedName name="excd" localSheetId="2">[1]basis!$C$19</definedName>
    <definedName name="excd" localSheetId="13">[1]basis!$C$19</definedName>
    <definedName name="excd">[2]basis!$C$19</definedName>
    <definedName name="GOVERNMENT" localSheetId="16">#REF!</definedName>
    <definedName name="GOVERNMENT" localSheetId="19">#REF!</definedName>
    <definedName name="GOVERNMENT" localSheetId="17">#REF!</definedName>
    <definedName name="GOVERNMENT" localSheetId="20">#REF!</definedName>
    <definedName name="GOVERNMENT" localSheetId="23">#REF!</definedName>
    <definedName name="GOVERNMENT" localSheetId="18">#REF!</definedName>
    <definedName name="GOVERNMENT" localSheetId="21">#REF!</definedName>
    <definedName name="GOVERNMENT" localSheetId="24">#REF!</definedName>
    <definedName name="GOVERNMENT" localSheetId="2">#REF!</definedName>
    <definedName name="GOVERNMENT" localSheetId="13">#REF!</definedName>
    <definedName name="GOVERNMENT" localSheetId="4">#REF!</definedName>
    <definedName name="GOVERNMENT" localSheetId="5">#REF!</definedName>
    <definedName name="GOVERNMENT" localSheetId="6">#REF!</definedName>
    <definedName name="GOVERNMENT">#REF!</definedName>
    <definedName name="INDUSTRY" localSheetId="16">#REF!</definedName>
    <definedName name="INDUSTRY" localSheetId="19">#REF!</definedName>
    <definedName name="INDUSTRY" localSheetId="17">#REF!</definedName>
    <definedName name="INDUSTRY" localSheetId="20">#REF!</definedName>
    <definedName name="INDUSTRY" localSheetId="23">#REF!</definedName>
    <definedName name="INDUSTRY" localSheetId="18">#REF!</definedName>
    <definedName name="INDUSTRY" localSheetId="21">#REF!</definedName>
    <definedName name="INDUSTRY" localSheetId="24">#REF!</definedName>
    <definedName name="INDUSTRY" localSheetId="2">#REF!</definedName>
    <definedName name="INDUSTRY" localSheetId="13">#REF!</definedName>
    <definedName name="INDUSTRY" localSheetId="4">#REF!</definedName>
    <definedName name="INDUSTRY" localSheetId="5">#REF!</definedName>
    <definedName name="INDUSTRY" localSheetId="6">#REF!</definedName>
    <definedName name="INDUSTRY">#REF!</definedName>
    <definedName name="June_2003_HMIWI_Inventory" localSheetId="16">#REF!</definedName>
    <definedName name="June_2003_HMIWI_Inventory" localSheetId="19">#REF!</definedName>
    <definedName name="June_2003_HMIWI_Inventory" localSheetId="17">#REF!</definedName>
    <definedName name="June_2003_HMIWI_Inventory" localSheetId="20">#REF!</definedName>
    <definedName name="June_2003_HMIWI_Inventory" localSheetId="23">#REF!</definedName>
    <definedName name="June_2003_HMIWI_Inventory" localSheetId="18">#REF!</definedName>
    <definedName name="June_2003_HMIWI_Inventory" localSheetId="21">#REF!</definedName>
    <definedName name="June_2003_HMIWI_Inventory" localSheetId="24">#REF!</definedName>
    <definedName name="June_2003_HMIWI_Inventory" localSheetId="2">#REF!</definedName>
    <definedName name="June_2003_HMIWI_Inventory" localSheetId="13">#REF!</definedName>
    <definedName name="June_2003_HMIWI_Inventory" localSheetId="4">#REF!</definedName>
    <definedName name="June_2003_HMIWI_Inventory" localSheetId="5">#REF!</definedName>
    <definedName name="June_2003_HMIWI_Inventory" localSheetId="6">#REF!</definedName>
    <definedName name="June_2003_HMIWI_Inventory">#REF!</definedName>
    <definedName name="LIME" localSheetId="16">#REF!</definedName>
    <definedName name="LIME" localSheetId="19">#REF!</definedName>
    <definedName name="LIME" localSheetId="17">#REF!</definedName>
    <definedName name="LIME" localSheetId="20">#REF!</definedName>
    <definedName name="LIME" localSheetId="23">#REF!</definedName>
    <definedName name="LIME" localSheetId="18">#REF!</definedName>
    <definedName name="LIME" localSheetId="21">#REF!</definedName>
    <definedName name="LIME" localSheetId="24">#REF!</definedName>
    <definedName name="LIME" localSheetId="2">#REF!</definedName>
    <definedName name="LIME" localSheetId="13">#REF!</definedName>
    <definedName name="LIME" localSheetId="4">#REF!</definedName>
    <definedName name="LIME" localSheetId="5">#REF!</definedName>
    <definedName name="LIME" localSheetId="6">#REF!</definedName>
    <definedName name="LIME">#REF!</definedName>
    <definedName name="lit" localSheetId="2">[1]basis!$C$13</definedName>
    <definedName name="lit" localSheetId="13">[1]basis!$C$13</definedName>
    <definedName name="lit">[2]basis!$C$13</definedName>
    <definedName name="mang" localSheetId="2">[1]basis!$C$25</definedName>
    <definedName name="mang" localSheetId="13">[1]basis!$C$25</definedName>
    <definedName name="mang">[2]basis!$C$25</definedName>
    <definedName name="new_respondents" localSheetId="2">[1]basis!$C$17</definedName>
    <definedName name="new_respondents" localSheetId="13">[1]basis!$C$17</definedName>
    <definedName name="new_respondents">[2]basis!$C$17</definedName>
    <definedName name="noexcd" localSheetId="2">[1]basis!$C$20</definedName>
    <definedName name="noexcd" localSheetId="13">[1]basis!$C$20</definedName>
    <definedName name="noexcd">[2]basis!$C$20</definedName>
    <definedName name="_xlnm.Print_Area" localSheetId="16">'1.A-Public'!$A$1:$S$64</definedName>
    <definedName name="_xlnm.Print_Area" localSheetId="19">'1.B-Priv'!$A$1:$S$64</definedName>
    <definedName name="_xlnm.Print_Area" localSheetId="22">'1.C-Fed'!$A$1:$N$47</definedName>
    <definedName name="_xlnm.Print_Area" localSheetId="17">'2.A-Public'!$A$1:$S$64</definedName>
    <definedName name="_xlnm.Print_Area" localSheetId="20">'2.B-Priv'!$A$1:$R$64</definedName>
    <definedName name="_xlnm.Print_Area" localSheetId="23">'2.C-Fed'!$A$1:$N$47</definedName>
    <definedName name="_xlnm.Print_Area" localSheetId="18">'3.A-Public'!$A$1:$S$64</definedName>
    <definedName name="_xlnm.Print_Area" localSheetId="21">'3.B-Priv'!$A$1:$R$64</definedName>
    <definedName name="_xlnm.Print_Area" localSheetId="24">'3.C-Fed'!$A$1:$N$48</definedName>
    <definedName name="_xlnm.Print_Area" localSheetId="4">'Table 1A'!$A$1:$AA$66</definedName>
    <definedName name="_xlnm.Print_Area" localSheetId="5">'Table 1B'!$A$1:$Z$48</definedName>
    <definedName name="_xlnm.Print_Area" localSheetId="6">'Table 1C'!$A$1:$K$62</definedName>
    <definedName name="_xlnm.Print_Area" localSheetId="7">'Table 2'!$A$1:$O$45</definedName>
    <definedName name="_xlnm.Print_Titles" localSheetId="16">'1.A-Public'!$1:$3</definedName>
    <definedName name="_xlnm.Print_Titles" localSheetId="19">'1.B-Priv'!$1:$3</definedName>
    <definedName name="_xlnm.Print_Titles" localSheetId="17">'2.A-Public'!$1:$3</definedName>
    <definedName name="_xlnm.Print_Titles" localSheetId="20">'2.B-Priv'!$1:$3</definedName>
    <definedName name="_xlnm.Print_Titles" localSheetId="18">'3.A-Public'!$1:$3</definedName>
    <definedName name="_xlnm.Print_Titles" localSheetId="21">'3.B-Priv'!$1:$3</definedName>
    <definedName name="_xlnm.Print_Titles" localSheetId="4">'Table 1A'!$1:$3</definedName>
    <definedName name="_xlnm.Print_Titles" localSheetId="5">'Table 1B'!$1:$3</definedName>
    <definedName name="_xlnm.Print_Titles" localSheetId="6">'Table 1C'!$1:$6</definedName>
    <definedName name="read1" localSheetId="16">#REF!</definedName>
    <definedName name="read1" localSheetId="19">#REF!</definedName>
    <definedName name="read1" localSheetId="17">#REF!</definedName>
    <definedName name="read1" localSheetId="20">#REF!</definedName>
    <definedName name="read1" localSheetId="23">#REF!</definedName>
    <definedName name="read1" localSheetId="18">#REF!</definedName>
    <definedName name="read1" localSheetId="21">#REF!</definedName>
    <definedName name="read1" localSheetId="24">#REF!</definedName>
    <definedName name="read1" localSheetId="2">#REF!</definedName>
    <definedName name="read1" localSheetId="13">#REF!</definedName>
    <definedName name="read1" localSheetId="4">#REF!</definedName>
    <definedName name="read1" localSheetId="5">#REF!</definedName>
    <definedName name="read1" localSheetId="6">#REF!</definedName>
    <definedName name="read1">#REF!</definedName>
    <definedName name="respondents" localSheetId="22">'1.C-Fed'!#REF!</definedName>
    <definedName name="respondents" localSheetId="23">'2.C-Fed'!#REF!</definedName>
    <definedName name="respondents" localSheetId="24">'3.C-Fed'!#REF!</definedName>
    <definedName name="respondents" localSheetId="7">'Table 2'!#REF!</definedName>
    <definedName name="retest" localSheetId="22">'1.C-Fed'!#REF!</definedName>
    <definedName name="retest" localSheetId="23">'2.C-Fed'!#REF!</definedName>
    <definedName name="retest" localSheetId="24">'3.C-Fed'!#REF!</definedName>
    <definedName name="retest" localSheetId="7">'Table 2'!#REF!</definedName>
    <definedName name="sperfac" localSheetId="22">'1.C-Fed'!#REF!</definedName>
    <definedName name="sperfac" localSheetId="23">'2.C-Fed'!#REF!</definedName>
    <definedName name="sperfac" localSheetId="24">'3.C-Fed'!#REF!</definedName>
    <definedName name="sperfac" localSheetId="7">'Table 2'!#REF!</definedName>
    <definedName name="ssmalf" localSheetId="2">[1]basis!$C$21</definedName>
    <definedName name="ssmalf" localSheetId="13">[1]basis!$C$21</definedName>
    <definedName name="ssmalf">[2]basis!$C$21</definedName>
    <definedName name="TABLE1" localSheetId="16">#REF!</definedName>
    <definedName name="TABLE1" localSheetId="19">#REF!</definedName>
    <definedName name="TABLE1" localSheetId="17">#REF!</definedName>
    <definedName name="TABLE1" localSheetId="20">#REF!</definedName>
    <definedName name="TABLE1" localSheetId="23">#REF!</definedName>
    <definedName name="TABLE1" localSheetId="18">#REF!</definedName>
    <definedName name="TABLE1" localSheetId="21">#REF!</definedName>
    <definedName name="TABLE1" localSheetId="24">#REF!</definedName>
    <definedName name="TABLE1" localSheetId="2">#REF!</definedName>
    <definedName name="TABLE1" localSheetId="13">#REF!</definedName>
    <definedName name="TABLE1" localSheetId="4">#REF!</definedName>
    <definedName name="TABLE1" localSheetId="5">#REF!</definedName>
    <definedName name="TABLE1" localSheetId="6">#REF!</definedName>
    <definedName name="TABLE1">#REF!</definedName>
    <definedName name="TABLE16">#N/A</definedName>
    <definedName name="TABLE17">#N/A</definedName>
    <definedName name="TABLE2" localSheetId="16">#REF!</definedName>
    <definedName name="TABLE2" localSheetId="19">#REF!</definedName>
    <definedName name="TABLE2" localSheetId="17">#REF!</definedName>
    <definedName name="TABLE2" localSheetId="20">#REF!</definedName>
    <definedName name="TABLE2" localSheetId="23">#REF!</definedName>
    <definedName name="TABLE2" localSheetId="18">#REF!</definedName>
    <definedName name="TABLE2" localSheetId="21">#REF!</definedName>
    <definedName name="TABLE2" localSheetId="24">#REF!</definedName>
    <definedName name="TABLE2" localSheetId="2">#REF!</definedName>
    <definedName name="TABLE2" localSheetId="13">#REF!</definedName>
    <definedName name="TABLE2" localSheetId="4">#REF!</definedName>
    <definedName name="TABLE2" localSheetId="5">#REF!</definedName>
    <definedName name="TABLE2" localSheetId="6">#REF!</definedName>
    <definedName name="TABLE2">#REF!</definedName>
    <definedName name="TABLE23">#N/A</definedName>
    <definedName name="tech" localSheetId="2">[1]basis!$C$24</definedName>
    <definedName name="tech" localSheetId="13">[1]basis!$C$24</definedName>
    <definedName name="tech">[2]basis!$C$24</definedName>
    <definedName name="TOTAL" localSheetId="16">#REF!</definedName>
    <definedName name="TOTAL" localSheetId="19">#REF!</definedName>
    <definedName name="TOTAL" localSheetId="17">#REF!</definedName>
    <definedName name="TOTAL" localSheetId="20">#REF!</definedName>
    <definedName name="TOTAL" localSheetId="23">#REF!</definedName>
    <definedName name="TOTAL" localSheetId="18">#REF!</definedName>
    <definedName name="TOTAL" localSheetId="21">#REF!</definedName>
    <definedName name="TOTAL" localSheetId="24">#REF!</definedName>
    <definedName name="TOTAL" localSheetId="2">#REF!</definedName>
    <definedName name="TOTAL" localSheetId="13">#REF!</definedName>
    <definedName name="TOTAL" localSheetId="4">#REF!</definedName>
    <definedName name="TOTAL" localSheetId="5">#REF!</definedName>
    <definedName name="TOTAL" localSheetId="6">#REF!</definedName>
    <definedName name="TOT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44" l="1"/>
  <c r="H13" i="44"/>
  <c r="E13" i="44"/>
  <c r="N44" i="49" l="1"/>
  <c r="M13" i="52" l="1"/>
  <c r="M11" i="52"/>
  <c r="B6" i="53"/>
  <c r="B4" i="53"/>
  <c r="B3" i="53"/>
  <c r="B2" i="53"/>
  <c r="T10" i="50"/>
  <c r="T30" i="50"/>
  <c r="T44" i="50" s="1"/>
  <c r="D2" i="5"/>
  <c r="R9" i="50"/>
  <c r="K46" i="49"/>
  <c r="K32" i="50"/>
  <c r="K44" i="50"/>
  <c r="N42" i="49"/>
  <c r="F19" i="55" s="1"/>
  <c r="N27" i="51"/>
  <c r="N43" i="49" l="1"/>
  <c r="E26" i="52" l="1"/>
  <c r="D26" i="52"/>
  <c r="C26" i="52"/>
  <c r="C34" i="52"/>
  <c r="E16" i="52"/>
  <c r="D16" i="52"/>
  <c r="C16" i="52"/>
  <c r="I12" i="52"/>
  <c r="E11" i="52"/>
  <c r="E43" i="52" s="1"/>
  <c r="D11" i="52"/>
  <c r="D43" i="52" s="1"/>
  <c r="C11" i="52"/>
  <c r="C42" i="52" s="1"/>
  <c r="E8" i="54"/>
  <c r="D8" i="54"/>
  <c r="B8" i="54"/>
  <c r="C6" i="54"/>
  <c r="F5" i="54"/>
  <c r="O9" i="49"/>
  <c r="O8" i="49"/>
  <c r="O7" i="49"/>
  <c r="O6" i="49"/>
  <c r="O9" i="50"/>
  <c r="O8" i="50"/>
  <c r="O7" i="50"/>
  <c r="O6" i="50"/>
  <c r="D30" i="52" l="1"/>
  <c r="D42" i="52"/>
  <c r="E30" i="52"/>
  <c r="E42" i="52"/>
  <c r="C15" i="52"/>
  <c r="C43" i="52"/>
  <c r="C30" i="52"/>
  <c r="D15" i="52"/>
  <c r="E15" i="52"/>
  <c r="G12" i="52"/>
  <c r="F6" i="54"/>
  <c r="C7" i="54"/>
  <c r="F7" i="54" s="1"/>
  <c r="F8" i="54" l="1"/>
  <c r="C8" i="54"/>
  <c r="I11" i="52" l="1"/>
  <c r="G11" i="52"/>
  <c r="I44" i="52" l="1"/>
  <c r="G44" i="52"/>
  <c r="F9" i="50" l="1"/>
  <c r="H9" i="50" s="1"/>
  <c r="F9" i="49"/>
  <c r="F8" i="50"/>
  <c r="H8" i="50" s="1"/>
  <c r="T9" i="49"/>
  <c r="T10" i="49"/>
  <c r="U10" i="49"/>
  <c r="E8" i="49"/>
  <c r="E9" i="49"/>
  <c r="E8" i="50"/>
  <c r="E9" i="50"/>
  <c r="F8" i="49"/>
  <c r="H8" i="49" s="1"/>
  <c r="H9" i="49" l="1"/>
  <c r="I9" i="49" s="1"/>
  <c r="J8" i="50"/>
  <c r="I8" i="50"/>
  <c r="I8" i="49"/>
  <c r="J8" i="49"/>
  <c r="J9" i="50"/>
  <c r="I9" i="50"/>
  <c r="I21" i="52"/>
  <c r="G21" i="52"/>
  <c r="J15" i="51" s="1"/>
  <c r="I15" i="51"/>
  <c r="J9" i="49" l="1"/>
  <c r="K9" i="49" s="1"/>
  <c r="K9" i="50"/>
  <c r="K8" i="50"/>
  <c r="K8" i="49"/>
  <c r="K15" i="51"/>
  <c r="L15" i="51" s="1"/>
  <c r="M15" i="51" l="1"/>
  <c r="N15" i="51" s="1"/>
  <c r="D34" i="52"/>
  <c r="D27" i="52"/>
  <c r="E27" i="52"/>
  <c r="C27" i="52"/>
  <c r="I27" i="52" l="1"/>
  <c r="E34" i="52"/>
  <c r="F34" i="52"/>
  <c r="H34" i="52"/>
  <c r="G27" i="52"/>
  <c r="F24" i="50" s="1"/>
  <c r="B11" i="55" s="1"/>
  <c r="C12" i="50" l="1"/>
  <c r="S10" i="50"/>
  <c r="F4" i="5"/>
  <c r="G4" i="5"/>
  <c r="F8" i="44"/>
  <c r="I14" i="5"/>
  <c r="X9" i="49"/>
  <c r="E9" i="36"/>
  <c r="D9" i="36"/>
  <c r="Q9" i="36"/>
  <c r="F9" i="44"/>
  <c r="E9" i="44"/>
  <c r="E8" i="44"/>
  <c r="G14" i="52"/>
  <c r="X18" i="49" l="1"/>
  <c r="J18" i="51" l="1"/>
  <c r="J17" i="51"/>
  <c r="J26" i="51"/>
  <c r="H7" i="51"/>
  <c r="H16" i="51"/>
  <c r="H14" i="51"/>
  <c r="F41" i="50"/>
  <c r="F31" i="50"/>
  <c r="B16" i="55" s="1"/>
  <c r="F16" i="55" s="1"/>
  <c r="F22" i="50"/>
  <c r="B9" i="55" s="1"/>
  <c r="F9" i="55" s="1"/>
  <c r="F21" i="50"/>
  <c r="B8" i="55" s="1"/>
  <c r="F8" i="55" s="1"/>
  <c r="F18" i="50"/>
  <c r="B5" i="55" s="1"/>
  <c r="F41" i="49"/>
  <c r="F31" i="49"/>
  <c r="C16" i="55" s="1"/>
  <c r="F22" i="49"/>
  <c r="C9" i="55" s="1"/>
  <c r="F21" i="49"/>
  <c r="C8" i="55" s="1"/>
  <c r="F18" i="49"/>
  <c r="C5" i="55" s="1"/>
  <c r="I43" i="52"/>
  <c r="F40" i="49" s="1"/>
  <c r="I42" i="52"/>
  <c r="F39" i="49" s="1"/>
  <c r="I33" i="52"/>
  <c r="I32" i="52"/>
  <c r="F29" i="49" s="1"/>
  <c r="C14" i="55" s="1"/>
  <c r="I31" i="52"/>
  <c r="F28" i="49" s="1"/>
  <c r="C13" i="55" s="1"/>
  <c r="I30" i="52"/>
  <c r="F27" i="49" s="1"/>
  <c r="C12" i="55" s="1"/>
  <c r="F24" i="49"/>
  <c r="C11" i="55" s="1"/>
  <c r="F11" i="55" s="1"/>
  <c r="I26" i="52"/>
  <c r="I23" i="52"/>
  <c r="F20" i="49" s="1"/>
  <c r="C7" i="55" s="1"/>
  <c r="I22" i="52"/>
  <c r="F19" i="49" s="1"/>
  <c r="C6" i="55" s="1"/>
  <c r="I20" i="52"/>
  <c r="F17" i="49" s="1"/>
  <c r="C4" i="55" s="1"/>
  <c r="I16" i="52"/>
  <c r="F13" i="49" s="1"/>
  <c r="I15" i="52"/>
  <c r="F12" i="49" s="1"/>
  <c r="I14" i="52"/>
  <c r="G43" i="52"/>
  <c r="F40" i="50" s="1"/>
  <c r="G42" i="52"/>
  <c r="F39" i="50" s="1"/>
  <c r="G33" i="52"/>
  <c r="F30" i="50" s="1"/>
  <c r="B15" i="55" s="1"/>
  <c r="G32" i="52"/>
  <c r="G31" i="52"/>
  <c r="F28" i="50" s="1"/>
  <c r="B13" i="55" s="1"/>
  <c r="G30" i="52"/>
  <c r="F27" i="50" s="1"/>
  <c r="B12" i="55" s="1"/>
  <c r="G26" i="52"/>
  <c r="F23" i="50" s="1"/>
  <c r="B10" i="55" s="1"/>
  <c r="G23" i="52"/>
  <c r="G22" i="52"/>
  <c r="F19" i="50" s="1"/>
  <c r="B6" i="55" s="1"/>
  <c r="F6" i="55" s="1"/>
  <c r="G20" i="52"/>
  <c r="J14" i="51" s="1"/>
  <c r="G16" i="52"/>
  <c r="G15" i="52"/>
  <c r="T7" i="50"/>
  <c r="F13" i="55" l="1"/>
  <c r="F5" i="55"/>
  <c r="F12" i="55"/>
  <c r="J24" i="51"/>
  <c r="J8" i="51"/>
  <c r="G8" i="44"/>
  <c r="F13" i="50"/>
  <c r="G9" i="44"/>
  <c r="H9" i="44" s="1"/>
  <c r="F20" i="50"/>
  <c r="B7" i="55" s="1"/>
  <c r="F7" i="55" s="1"/>
  <c r="D7" i="44"/>
  <c r="E7" i="44" s="1"/>
  <c r="V7" i="49"/>
  <c r="F11" i="49"/>
  <c r="C3" i="55" s="1"/>
  <c r="D6" i="44"/>
  <c r="J7" i="51"/>
  <c r="J25" i="51"/>
  <c r="J23" i="51"/>
  <c r="F30" i="49"/>
  <c r="C15" i="55" s="1"/>
  <c r="F15" i="55" s="1"/>
  <c r="J19" i="51"/>
  <c r="F17" i="50"/>
  <c r="B4" i="55" s="1"/>
  <c r="F4" i="55" s="1"/>
  <c r="J16" i="51"/>
  <c r="F23" i="49"/>
  <c r="C10" i="55" s="1"/>
  <c r="F10" i="55" s="1"/>
  <c r="F11" i="50"/>
  <c r="B3" i="55" s="1"/>
  <c r="F12" i="50"/>
  <c r="J20" i="51"/>
  <c r="J22" i="51"/>
  <c r="J5" i="51"/>
  <c r="F29" i="50"/>
  <c r="B14" i="55" s="1"/>
  <c r="F14" i="55" s="1"/>
  <c r="N6" i="51"/>
  <c r="N13" i="51"/>
  <c r="E41" i="50"/>
  <c r="E40" i="50"/>
  <c r="E39" i="50"/>
  <c r="E23" i="50"/>
  <c r="H23" i="50" s="1"/>
  <c r="E21" i="50"/>
  <c r="H21" i="50" s="1"/>
  <c r="E20" i="50"/>
  <c r="E17" i="50"/>
  <c r="E11" i="50"/>
  <c r="F3" i="55" l="1"/>
  <c r="F17" i="55"/>
  <c r="J21" i="51"/>
  <c r="J27" i="51"/>
  <c r="G10" i="44"/>
  <c r="H10" i="44" s="1"/>
  <c r="H8" i="44"/>
  <c r="D10" i="44"/>
  <c r="E10" i="44" s="1"/>
  <c r="D12" i="44"/>
  <c r="E6" i="44"/>
  <c r="D11" i="44"/>
  <c r="W9" i="49"/>
  <c r="V9" i="49"/>
  <c r="J9" i="51"/>
  <c r="J12" i="51"/>
  <c r="J11" i="51"/>
  <c r="J10" i="51"/>
  <c r="I26" i="51"/>
  <c r="K26" i="51" s="1"/>
  <c r="I25" i="51"/>
  <c r="K25" i="51" s="1"/>
  <c r="G25" i="51"/>
  <c r="G24" i="51"/>
  <c r="I24" i="51" s="1"/>
  <c r="K24" i="51" s="1"/>
  <c r="G23" i="51"/>
  <c r="I20" i="51"/>
  <c r="K20" i="51" s="1"/>
  <c r="I19" i="51"/>
  <c r="K19" i="51" s="1"/>
  <c r="I18" i="51"/>
  <c r="K18" i="51" s="1"/>
  <c r="I17" i="51"/>
  <c r="I16" i="51"/>
  <c r="K16" i="51" s="1"/>
  <c r="I14" i="51"/>
  <c r="K14" i="51" s="1"/>
  <c r="I21" i="51"/>
  <c r="I10" i="51"/>
  <c r="I9" i="51"/>
  <c r="I8" i="51"/>
  <c r="K8" i="51" s="1"/>
  <c r="I5" i="51"/>
  <c r="K5" i="51" s="1"/>
  <c r="I4" i="51"/>
  <c r="K4" i="51" s="1"/>
  <c r="L4" i="51" s="1"/>
  <c r="V41" i="50"/>
  <c r="U41" i="50"/>
  <c r="U29" i="50"/>
  <c r="E31" i="50"/>
  <c r="H31" i="50" s="1"/>
  <c r="U28" i="50"/>
  <c r="T28" i="50"/>
  <c r="E30" i="50"/>
  <c r="H30" i="50" s="1"/>
  <c r="U27" i="50"/>
  <c r="T27" i="50"/>
  <c r="E29" i="50"/>
  <c r="H29" i="50" s="1"/>
  <c r="U26" i="50"/>
  <c r="T26" i="50"/>
  <c r="E28" i="50"/>
  <c r="H28" i="50" s="1"/>
  <c r="E27" i="50"/>
  <c r="E24" i="50"/>
  <c r="U20" i="50"/>
  <c r="T20" i="50"/>
  <c r="C22" i="50"/>
  <c r="E22" i="50" s="1"/>
  <c r="H22" i="50" s="1"/>
  <c r="U19" i="50"/>
  <c r="T19" i="50"/>
  <c r="V18" i="50"/>
  <c r="H20" i="50"/>
  <c r="R18" i="50"/>
  <c r="T18" i="50" s="1"/>
  <c r="U17" i="50"/>
  <c r="E19" i="50"/>
  <c r="U16" i="50"/>
  <c r="E18" i="50"/>
  <c r="H18" i="50" s="1"/>
  <c r="U15" i="50"/>
  <c r="R11" i="50"/>
  <c r="C13" i="50"/>
  <c r="E13" i="50" s="1"/>
  <c r="G13" i="50" s="1"/>
  <c r="K13" i="50" s="1"/>
  <c r="R10" i="50"/>
  <c r="E12" i="50"/>
  <c r="G12" i="50" s="1"/>
  <c r="K12" i="50" s="1"/>
  <c r="V9" i="50"/>
  <c r="H11" i="50"/>
  <c r="T9" i="50"/>
  <c r="X41" i="49"/>
  <c r="W41" i="49"/>
  <c r="E41" i="49"/>
  <c r="E40" i="49"/>
  <c r="E39" i="49"/>
  <c r="W29" i="49"/>
  <c r="E31" i="49"/>
  <c r="W28" i="49"/>
  <c r="V28" i="49"/>
  <c r="E30" i="49"/>
  <c r="H30" i="49" s="1"/>
  <c r="W27" i="49"/>
  <c r="V27" i="49"/>
  <c r="E29" i="49"/>
  <c r="H29" i="49" s="1"/>
  <c r="W26" i="49"/>
  <c r="V26" i="49"/>
  <c r="E28" i="49"/>
  <c r="H28" i="49" s="1"/>
  <c r="E27" i="49"/>
  <c r="E24" i="49"/>
  <c r="E23" i="49"/>
  <c r="W20" i="49"/>
  <c r="V20" i="49"/>
  <c r="C22" i="49"/>
  <c r="E22" i="49" s="1"/>
  <c r="H22" i="49" s="1"/>
  <c r="W19" i="49"/>
  <c r="V19" i="49"/>
  <c r="E21" i="49"/>
  <c r="H21" i="49" s="1"/>
  <c r="W18" i="49"/>
  <c r="E20" i="49"/>
  <c r="T18" i="49"/>
  <c r="V18" i="49" s="1"/>
  <c r="W17" i="49"/>
  <c r="E19" i="49"/>
  <c r="W16" i="49"/>
  <c r="E18" i="49"/>
  <c r="E17" i="49"/>
  <c r="T11" i="49"/>
  <c r="C13" i="49"/>
  <c r="E13" i="49" s="1"/>
  <c r="G13" i="49" s="1"/>
  <c r="K13" i="49" s="1"/>
  <c r="V10" i="49"/>
  <c r="C12" i="49"/>
  <c r="E12" i="49" s="1"/>
  <c r="G12" i="49" s="1"/>
  <c r="K12" i="49" s="1"/>
  <c r="X30" i="49"/>
  <c r="E11" i="49"/>
  <c r="H11" i="49" s="1"/>
  <c r="K21" i="51" l="1"/>
  <c r="L21" i="51" s="1"/>
  <c r="K9" i="51"/>
  <c r="M9" i="51" s="1"/>
  <c r="K10" i="51"/>
  <c r="L10" i="51" s="1"/>
  <c r="J28" i="49"/>
  <c r="K17" i="51"/>
  <c r="M17" i="51" s="1"/>
  <c r="H12" i="51"/>
  <c r="I12" i="51" s="1"/>
  <c r="K12" i="51" s="1"/>
  <c r="M12" i="51" s="1"/>
  <c r="I23" i="51"/>
  <c r="K23" i="51" s="1"/>
  <c r="L23" i="51" s="1"/>
  <c r="H19" i="50"/>
  <c r="H17" i="50"/>
  <c r="T16" i="50"/>
  <c r="J18" i="50"/>
  <c r="I20" i="50"/>
  <c r="V30" i="50"/>
  <c r="V42" i="50" s="1"/>
  <c r="J31" i="50"/>
  <c r="T29" i="50"/>
  <c r="W15" i="49"/>
  <c r="H17" i="49"/>
  <c r="H18" i="49"/>
  <c r="H31" i="49"/>
  <c r="V29" i="49"/>
  <c r="V16" i="49"/>
  <c r="V17" i="49"/>
  <c r="V15" i="49"/>
  <c r="J29" i="49"/>
  <c r="I29" i="49"/>
  <c r="J28" i="50"/>
  <c r="I28" i="50"/>
  <c r="I22" i="50"/>
  <c r="J22" i="50"/>
  <c r="I21" i="50"/>
  <c r="J21" i="50"/>
  <c r="T17" i="50"/>
  <c r="T15" i="50"/>
  <c r="U18" i="50"/>
  <c r="I30" i="49"/>
  <c r="J30" i="49"/>
  <c r="K30" i="49" s="1"/>
  <c r="W25" i="49"/>
  <c r="X42" i="49"/>
  <c r="H19" i="49"/>
  <c r="M14" i="51"/>
  <c r="L14" i="51"/>
  <c r="M16" i="51"/>
  <c r="L16" i="51"/>
  <c r="M24" i="51"/>
  <c r="L24" i="51"/>
  <c r="L26" i="51"/>
  <c r="M26" i="51"/>
  <c r="M20" i="51"/>
  <c r="L20" i="51"/>
  <c r="M8" i="51"/>
  <c r="L8" i="51"/>
  <c r="M18" i="51"/>
  <c r="L18" i="51"/>
  <c r="L5" i="51"/>
  <c r="M5" i="51"/>
  <c r="M19" i="51"/>
  <c r="L19" i="51"/>
  <c r="M25" i="51"/>
  <c r="L25" i="51"/>
  <c r="I7" i="51"/>
  <c r="K7" i="51" s="1"/>
  <c r="I11" i="51"/>
  <c r="K11" i="51" s="1"/>
  <c r="I22" i="51"/>
  <c r="K22" i="51" s="1"/>
  <c r="L9" i="51"/>
  <c r="M4" i="51"/>
  <c r="N4" i="51" s="1"/>
  <c r="I18" i="50"/>
  <c r="I29" i="50"/>
  <c r="J29" i="50"/>
  <c r="U9" i="50"/>
  <c r="T37" i="50"/>
  <c r="J30" i="50"/>
  <c r="H27" i="50"/>
  <c r="I30" i="50"/>
  <c r="J21" i="49"/>
  <c r="I21" i="49"/>
  <c r="I22" i="49"/>
  <c r="J22" i="49"/>
  <c r="H39" i="49"/>
  <c r="V37" i="49"/>
  <c r="I28" i="49"/>
  <c r="K28" i="49" s="1"/>
  <c r="H20" i="49"/>
  <c r="K22" i="49" l="1"/>
  <c r="K21" i="49"/>
  <c r="K29" i="49"/>
  <c r="J18" i="49"/>
  <c r="J17" i="49"/>
  <c r="M21" i="51"/>
  <c r="N21" i="51" s="1"/>
  <c r="M10" i="51"/>
  <c r="N10" i="51" s="1"/>
  <c r="N25" i="51"/>
  <c r="K21" i="50"/>
  <c r="N18" i="51"/>
  <c r="N26" i="51"/>
  <c r="K18" i="50"/>
  <c r="K28" i="50"/>
  <c r="K29" i="50"/>
  <c r="N19" i="51"/>
  <c r="N16" i="51"/>
  <c r="L12" i="51"/>
  <c r="N12" i="51" s="1"/>
  <c r="N9" i="51"/>
  <c r="M23" i="51"/>
  <c r="N23" i="51" s="1"/>
  <c r="L17" i="51"/>
  <c r="N17" i="51" s="1"/>
  <c r="N14" i="51"/>
  <c r="K30" i="50"/>
  <c r="K22" i="50"/>
  <c r="I18" i="49"/>
  <c r="N24" i="51"/>
  <c r="N20" i="51"/>
  <c r="N8" i="51"/>
  <c r="N5" i="51"/>
  <c r="I19" i="50"/>
  <c r="I17" i="50"/>
  <c r="T11" i="50"/>
  <c r="J19" i="50"/>
  <c r="I31" i="50"/>
  <c r="J17" i="50"/>
  <c r="J20" i="50"/>
  <c r="K20" i="50" s="1"/>
  <c r="W21" i="49"/>
  <c r="H23" i="49"/>
  <c r="J19" i="49"/>
  <c r="I31" i="49"/>
  <c r="I17" i="49"/>
  <c r="H27" i="49"/>
  <c r="V21" i="49"/>
  <c r="J31" i="49"/>
  <c r="V25" i="49"/>
  <c r="I19" i="49"/>
  <c r="K19" i="49" s="1"/>
  <c r="W22" i="49"/>
  <c r="I11" i="50"/>
  <c r="J11" i="50"/>
  <c r="V11" i="49"/>
  <c r="M7" i="51"/>
  <c r="L7" i="51"/>
  <c r="M22" i="51"/>
  <c r="L22" i="51"/>
  <c r="M11" i="51"/>
  <c r="L11" i="51"/>
  <c r="U25" i="50"/>
  <c r="T25" i="50"/>
  <c r="T38" i="50"/>
  <c r="H40" i="50"/>
  <c r="H24" i="50"/>
  <c r="U21" i="50"/>
  <c r="T21" i="50"/>
  <c r="H39" i="50"/>
  <c r="I20" i="49"/>
  <c r="J20" i="49"/>
  <c r="J39" i="49"/>
  <c r="I39" i="49"/>
  <c r="H40" i="49"/>
  <c r="V38" i="49"/>
  <c r="J11" i="49"/>
  <c r="I11" i="49"/>
  <c r="K20" i="49" l="1"/>
  <c r="K17" i="49"/>
  <c r="K31" i="49"/>
  <c r="K18" i="49"/>
  <c r="K28" i="51"/>
  <c r="K39" i="49"/>
  <c r="I23" i="49"/>
  <c r="K31" i="50"/>
  <c r="K11" i="49"/>
  <c r="K11" i="50"/>
  <c r="K19" i="50"/>
  <c r="K17" i="50"/>
  <c r="N11" i="51"/>
  <c r="N22" i="51"/>
  <c r="J23" i="49"/>
  <c r="N7" i="51"/>
  <c r="W30" i="49"/>
  <c r="W42" i="49" s="1"/>
  <c r="I27" i="49"/>
  <c r="J27" i="49"/>
  <c r="H24" i="49"/>
  <c r="V22" i="49"/>
  <c r="V30" i="49" s="1"/>
  <c r="I39" i="50"/>
  <c r="J39" i="50"/>
  <c r="U22" i="50"/>
  <c r="U30" i="50" s="1"/>
  <c r="U42" i="50" s="1"/>
  <c r="T22" i="50"/>
  <c r="T39" i="50"/>
  <c r="T41" i="50" s="1"/>
  <c r="H41" i="50"/>
  <c r="I40" i="50"/>
  <c r="J40" i="50"/>
  <c r="J23" i="50"/>
  <c r="I23" i="50"/>
  <c r="J27" i="50"/>
  <c r="I27" i="50"/>
  <c r="I40" i="49"/>
  <c r="J40" i="49"/>
  <c r="V39" i="49"/>
  <c r="V41" i="49" s="1"/>
  <c r="H41" i="49"/>
  <c r="K23" i="49" l="1"/>
  <c r="K27" i="49"/>
  <c r="N28" i="51"/>
  <c r="K40" i="49"/>
  <c r="V44" i="49"/>
  <c r="K46" i="50"/>
  <c r="K40" i="50"/>
  <c r="K39" i="50"/>
  <c r="K27" i="50"/>
  <c r="K23" i="50"/>
  <c r="I24" i="49"/>
  <c r="J24" i="49"/>
  <c r="I41" i="50"/>
  <c r="J41" i="50"/>
  <c r="J24" i="50"/>
  <c r="I24" i="50"/>
  <c r="G32" i="50" s="1"/>
  <c r="I41" i="49"/>
  <c r="J41" i="49"/>
  <c r="G44" i="49" s="1"/>
  <c r="K24" i="49" l="1"/>
  <c r="K32" i="49" s="1"/>
  <c r="G32" i="49"/>
  <c r="G44" i="50"/>
  <c r="K41" i="49"/>
  <c r="K44" i="49" s="1"/>
  <c r="K24" i="50"/>
  <c r="K41" i="50"/>
  <c r="G45" i="50" l="1"/>
  <c r="K45" i="49"/>
  <c r="K47" i="49" s="1"/>
  <c r="H45" i="49"/>
  <c r="K45" i="50"/>
  <c r="K47" i="50" s="1"/>
  <c r="N7" i="37"/>
  <c r="N7" i="36"/>
  <c r="AA10" i="48" l="1"/>
  <c r="AB10" i="48"/>
  <c r="AC10" i="48"/>
  <c r="AA11" i="48"/>
  <c r="AB11" i="48"/>
  <c r="AC11" i="48"/>
  <c r="AA23" i="48"/>
  <c r="AB23" i="48"/>
  <c r="AC23" i="48"/>
  <c r="AA24" i="48"/>
  <c r="AB24" i="48"/>
  <c r="AC24" i="48"/>
  <c r="AA37" i="48"/>
  <c r="AB37" i="48"/>
  <c r="AC37" i="48"/>
  <c r="AA38" i="48"/>
  <c r="AB38" i="48"/>
  <c r="AC38" i="48"/>
  <c r="AA39" i="48"/>
  <c r="AB39" i="48"/>
  <c r="AC39" i="48"/>
  <c r="Z10" i="48"/>
  <c r="Z11" i="48"/>
  <c r="W11" i="48" s="1"/>
  <c r="Z23" i="48"/>
  <c r="Z24" i="48"/>
  <c r="W24" i="48" s="1"/>
  <c r="Z37" i="48"/>
  <c r="Z38" i="48"/>
  <c r="Z39" i="48"/>
  <c r="Y10" i="48"/>
  <c r="Y11" i="48"/>
  <c r="Y23" i="48"/>
  <c r="V23" i="48" s="1"/>
  <c r="Y24" i="48"/>
  <c r="Y37" i="48"/>
  <c r="Y38" i="48"/>
  <c r="Y39" i="48"/>
  <c r="X10" i="48"/>
  <c r="X11" i="48"/>
  <c r="X23" i="48"/>
  <c r="X24" i="48"/>
  <c r="U24" i="48" s="1"/>
  <c r="X37" i="48"/>
  <c r="X38" i="48"/>
  <c r="U38" i="48" s="1"/>
  <c r="X39" i="48"/>
  <c r="S42" i="48"/>
  <c r="Q42" i="48"/>
  <c r="P42" i="48"/>
  <c r="J42" i="48"/>
  <c r="H39" i="48"/>
  <c r="H38" i="48"/>
  <c r="H37" i="48"/>
  <c r="S30" i="48"/>
  <c r="I29" i="48"/>
  <c r="P29" i="48" s="1"/>
  <c r="H29" i="48"/>
  <c r="P28" i="48"/>
  <c r="O28" i="48"/>
  <c r="H28" i="48"/>
  <c r="K28" i="48" s="1"/>
  <c r="P27" i="48"/>
  <c r="O27" i="48"/>
  <c r="H27" i="48"/>
  <c r="K27" i="48" s="1"/>
  <c r="P26" i="48"/>
  <c r="O26" i="48"/>
  <c r="H26" i="48"/>
  <c r="K26" i="48" s="1"/>
  <c r="M26" i="48" s="1"/>
  <c r="H25" i="48"/>
  <c r="H22" i="48"/>
  <c r="H21" i="48"/>
  <c r="P20" i="48"/>
  <c r="O20" i="48"/>
  <c r="C20" i="48"/>
  <c r="H20" i="48" s="1"/>
  <c r="K20" i="48" s="1"/>
  <c r="L20" i="48" s="1"/>
  <c r="P19" i="48"/>
  <c r="O19" i="48"/>
  <c r="H19" i="48"/>
  <c r="K19" i="48" s="1"/>
  <c r="L19" i="48" s="1"/>
  <c r="Q18" i="48"/>
  <c r="H18" i="48"/>
  <c r="H17" i="48"/>
  <c r="I16" i="48"/>
  <c r="P16" i="48" s="1"/>
  <c r="H16" i="48"/>
  <c r="H15" i="48"/>
  <c r="C11" i="48"/>
  <c r="G11" i="48" s="1"/>
  <c r="Q9" i="48"/>
  <c r="H9" i="48"/>
  <c r="E9" i="48"/>
  <c r="H7" i="48"/>
  <c r="V38" i="48" l="1"/>
  <c r="V24" i="48"/>
  <c r="W38" i="48"/>
  <c r="Q30" i="48"/>
  <c r="Q43" i="48" s="1"/>
  <c r="U11" i="48"/>
  <c r="V10" i="48"/>
  <c r="W39" i="48"/>
  <c r="K29" i="48"/>
  <c r="L29" i="48" s="1"/>
  <c r="U37" i="48"/>
  <c r="O29" i="48"/>
  <c r="V39" i="48"/>
  <c r="U39" i="48"/>
  <c r="U23" i="48"/>
  <c r="V11" i="48"/>
  <c r="W37" i="48"/>
  <c r="W10" i="48"/>
  <c r="U10" i="48"/>
  <c r="V37" i="48"/>
  <c r="W23" i="48"/>
  <c r="AF23" i="48"/>
  <c r="O16" i="48"/>
  <c r="L26" i="48"/>
  <c r="AF24" i="48"/>
  <c r="K16" i="48"/>
  <c r="M16" i="48" s="1"/>
  <c r="M27" i="48"/>
  <c r="L27" i="48"/>
  <c r="M19" i="48"/>
  <c r="M20" i="48"/>
  <c r="L28" i="48"/>
  <c r="M28" i="48"/>
  <c r="M29" i="48"/>
  <c r="L16" i="48" l="1"/>
  <c r="H37" i="36" l="1"/>
  <c r="H25" i="18" l="1"/>
  <c r="G26" i="35" l="1"/>
  <c r="G27" i="35"/>
  <c r="G25" i="35"/>
  <c r="G26" i="34"/>
  <c r="G27" i="34"/>
  <c r="G25" i="34"/>
  <c r="G26" i="18"/>
  <c r="G27" i="18"/>
  <c r="G25" i="18"/>
  <c r="H26" i="35"/>
  <c r="I26" i="35" s="1"/>
  <c r="J26" i="35" s="1"/>
  <c r="H27" i="35"/>
  <c r="H25" i="35"/>
  <c r="I25" i="35" s="1"/>
  <c r="J25" i="35" s="1"/>
  <c r="K25" i="35" s="1"/>
  <c r="H26" i="34"/>
  <c r="H27" i="34"/>
  <c r="H25" i="34"/>
  <c r="I25" i="34" s="1"/>
  <c r="J25" i="34" s="1"/>
  <c r="L25" i="34" s="1"/>
  <c r="H27" i="18"/>
  <c r="I27" i="18" s="1"/>
  <c r="J27" i="18" s="1"/>
  <c r="K27" i="18" s="1"/>
  <c r="H26" i="18"/>
  <c r="I26" i="18" s="1"/>
  <c r="J26" i="18" s="1"/>
  <c r="I25" i="18"/>
  <c r="J25" i="18" s="1"/>
  <c r="I27" i="34" l="1"/>
  <c r="J27" i="34" s="1"/>
  <c r="K27" i="34" s="1"/>
  <c r="I27" i="35"/>
  <c r="J27" i="35" s="1"/>
  <c r="I26" i="34"/>
  <c r="J26" i="34" s="1"/>
  <c r="K26" i="34" s="1"/>
  <c r="K27" i="35"/>
  <c r="L27" i="35"/>
  <c r="L26" i="18"/>
  <c r="K26" i="18"/>
  <c r="K26" i="35"/>
  <c r="L26" i="35"/>
  <c r="L25" i="35"/>
  <c r="L26" i="34"/>
  <c r="K25" i="34"/>
  <c r="L25" i="18"/>
  <c r="K25" i="18"/>
  <c r="L27" i="18"/>
  <c r="I29" i="41"/>
  <c r="I29" i="42"/>
  <c r="I29" i="40"/>
  <c r="I29" i="39"/>
  <c r="I29" i="37"/>
  <c r="L27" i="34" l="1"/>
  <c r="I15" i="35"/>
  <c r="I29" i="36"/>
  <c r="P29" i="36" s="1"/>
  <c r="X29" i="48" s="1"/>
  <c r="I5" i="8"/>
  <c r="H28" i="35" s="1"/>
  <c r="I28" i="35" s="1"/>
  <c r="J28" i="35" s="1"/>
  <c r="F5" i="8"/>
  <c r="H28" i="34" s="1"/>
  <c r="I28" i="34" s="1"/>
  <c r="J28" i="34" s="1"/>
  <c r="K28" i="34" s="1"/>
  <c r="C5" i="8"/>
  <c r="H28" i="18" s="1"/>
  <c r="I28" i="18" s="1"/>
  <c r="J28" i="18" s="1"/>
  <c r="K28" i="18" s="1"/>
  <c r="E3" i="8"/>
  <c r="L28" i="34" l="1"/>
  <c r="L28" i="18"/>
  <c r="L28" i="35"/>
  <c r="K28" i="35"/>
  <c r="H29" i="37"/>
  <c r="X3" i="46" l="1"/>
  <c r="K568" i="46"/>
  <c r="G568" i="46"/>
  <c r="K567" i="46"/>
  <c r="G567" i="46"/>
  <c r="K566" i="46"/>
  <c r="K565" i="46"/>
  <c r="G565" i="46"/>
  <c r="K564" i="46"/>
  <c r="K563" i="46"/>
  <c r="G563" i="46"/>
  <c r="K562" i="46"/>
  <c r="G562" i="46"/>
  <c r="E559" i="46"/>
  <c r="G550" i="46"/>
  <c r="K547" i="46"/>
  <c r="K545" i="46"/>
  <c r="K540" i="46"/>
  <c r="M538" i="46"/>
  <c r="M534" i="46"/>
  <c r="E532" i="46"/>
  <c r="F531" i="46"/>
  <c r="F530" i="46"/>
  <c r="L529" i="46"/>
  <c r="F529" i="46"/>
  <c r="F527" i="46"/>
  <c r="M526" i="46"/>
  <c r="F526" i="46"/>
  <c r="F525" i="46"/>
  <c r="F523" i="46"/>
  <c r="K522" i="46"/>
  <c r="F521" i="46"/>
  <c r="K520" i="46"/>
  <c r="G519" i="46"/>
  <c r="G515" i="46"/>
  <c r="K514" i="46"/>
  <c r="K513" i="46"/>
  <c r="E513" i="46"/>
  <c r="G510" i="46"/>
  <c r="F509" i="46"/>
  <c r="K508" i="46"/>
  <c r="K506" i="46"/>
  <c r="M503" i="46"/>
  <c r="E501" i="46"/>
  <c r="G500" i="46"/>
  <c r="F499" i="46"/>
  <c r="G498" i="46"/>
  <c r="K495" i="46"/>
  <c r="G494" i="46"/>
  <c r="M489" i="46"/>
  <c r="F487" i="46"/>
  <c r="F486" i="46"/>
  <c r="M484" i="46"/>
  <c r="F484" i="46"/>
  <c r="F483" i="46"/>
  <c r="G482" i="46"/>
  <c r="G481" i="46"/>
  <c r="K480" i="46"/>
  <c r="M479" i="46"/>
  <c r="G479" i="46"/>
  <c r="F476" i="46"/>
  <c r="F473" i="46"/>
  <c r="F469" i="46"/>
  <c r="G463" i="46"/>
  <c r="L462" i="46"/>
  <c r="M461" i="46"/>
  <c r="G459" i="46"/>
  <c r="L456" i="46"/>
  <c r="F456" i="46"/>
  <c r="L453" i="46"/>
  <c r="F452" i="46"/>
  <c r="L451" i="46"/>
  <c r="L448" i="46"/>
  <c r="K446" i="46"/>
  <c r="K445" i="46"/>
  <c r="F444" i="46"/>
  <c r="K443" i="46"/>
  <c r="G443" i="46"/>
  <c r="K442" i="46"/>
  <c r="K441" i="46"/>
  <c r="E441" i="46"/>
  <c r="K440" i="46"/>
  <c r="K439" i="46"/>
  <c r="G439" i="46"/>
  <c r="K438" i="46"/>
  <c r="G438" i="46"/>
  <c r="K437" i="46"/>
  <c r="K436" i="46"/>
  <c r="K435" i="46"/>
  <c r="G435" i="46"/>
  <c r="K434" i="46"/>
  <c r="K433" i="46"/>
  <c r="K432" i="46"/>
  <c r="K431" i="46"/>
  <c r="G431" i="46"/>
  <c r="K430" i="46"/>
  <c r="G430" i="46"/>
  <c r="K429" i="46"/>
  <c r="K428" i="46"/>
  <c r="K427" i="46"/>
  <c r="G427" i="46"/>
  <c r="K426" i="46"/>
  <c r="G426" i="46"/>
  <c r="K425" i="46"/>
  <c r="K424" i="46"/>
  <c r="G423" i="46"/>
  <c r="G422" i="46"/>
  <c r="G421" i="46"/>
  <c r="F416" i="46"/>
  <c r="L409" i="46"/>
  <c r="L408" i="46"/>
  <c r="L407" i="46"/>
  <c r="L406" i="46"/>
  <c r="F406" i="46"/>
  <c r="L405" i="46"/>
  <c r="L404" i="46"/>
  <c r="L403" i="46"/>
  <c r="L401" i="46"/>
  <c r="L400" i="46"/>
  <c r="L399" i="46"/>
  <c r="L398" i="46"/>
  <c r="L397" i="46"/>
  <c r="L396" i="46"/>
  <c r="L395" i="46"/>
  <c r="L393" i="46"/>
  <c r="L391" i="46"/>
  <c r="G391" i="46"/>
  <c r="L390" i="46"/>
  <c r="L389" i="46"/>
  <c r="F389" i="46"/>
  <c r="L388" i="46"/>
  <c r="L387" i="46"/>
  <c r="L386" i="46"/>
  <c r="L385" i="46"/>
  <c r="E385" i="46"/>
  <c r="L384" i="46"/>
  <c r="L383" i="46"/>
  <c r="L382" i="46"/>
  <c r="L381" i="46"/>
  <c r="K380" i="46"/>
  <c r="K379" i="46"/>
  <c r="E379" i="46"/>
  <c r="L378" i="46"/>
  <c r="K375" i="46"/>
  <c r="E374" i="46"/>
  <c r="K373" i="46"/>
  <c r="E368" i="46"/>
  <c r="K367" i="46"/>
  <c r="L366" i="46"/>
  <c r="E365" i="46"/>
  <c r="M364" i="46"/>
  <c r="K362" i="46"/>
  <c r="M361" i="46"/>
  <c r="L360" i="46"/>
  <c r="K359" i="46"/>
  <c r="E357" i="46"/>
  <c r="M356" i="46"/>
  <c r="K354" i="46"/>
  <c r="M353" i="46"/>
  <c r="L351" i="46"/>
  <c r="E351" i="46"/>
  <c r="K349" i="46"/>
  <c r="M348" i="46"/>
  <c r="L346" i="46"/>
  <c r="F346" i="46"/>
  <c r="M345" i="46"/>
  <c r="F345" i="46"/>
  <c r="L343" i="46"/>
  <c r="F343" i="46"/>
  <c r="M341" i="46"/>
  <c r="F341" i="46"/>
  <c r="F340" i="46"/>
  <c r="F339" i="46"/>
  <c r="M338" i="46"/>
  <c r="F338" i="46"/>
  <c r="F337" i="46"/>
  <c r="K336" i="46"/>
  <c r="F335" i="46"/>
  <c r="L334" i="46"/>
  <c r="F333" i="46"/>
  <c r="M332" i="46"/>
  <c r="F332" i="46"/>
  <c r="M331" i="46"/>
  <c r="F331" i="46"/>
  <c r="F330" i="46"/>
  <c r="L329" i="46"/>
  <c r="E329" i="46"/>
  <c r="M328" i="46"/>
  <c r="E328" i="46"/>
  <c r="M326" i="46"/>
  <c r="L325" i="46"/>
  <c r="E325" i="46"/>
  <c r="F324" i="46"/>
  <c r="F322" i="46"/>
  <c r="F321" i="46"/>
  <c r="F320" i="46"/>
  <c r="F319" i="46"/>
  <c r="F318" i="46"/>
  <c r="F317" i="46"/>
  <c r="F316" i="46"/>
  <c r="F315" i="46"/>
  <c r="F314" i="46"/>
  <c r="F312" i="46"/>
  <c r="F310" i="46"/>
  <c r="F309" i="46"/>
  <c r="F308" i="46"/>
  <c r="F306" i="46"/>
  <c r="F304" i="46"/>
  <c r="F302" i="46"/>
  <c r="K296" i="46"/>
  <c r="K294" i="46"/>
  <c r="K292" i="46"/>
  <c r="K290" i="46"/>
  <c r="K288" i="46"/>
  <c r="K286" i="46"/>
  <c r="K284" i="46"/>
  <c r="K282" i="46"/>
  <c r="K280" i="46"/>
  <c r="F277" i="46"/>
  <c r="G276" i="46"/>
  <c r="E275" i="46"/>
  <c r="G274" i="46"/>
  <c r="G272" i="46"/>
  <c r="F270" i="46"/>
  <c r="K269" i="46"/>
  <c r="M268" i="46"/>
  <c r="K266" i="46"/>
  <c r="F265" i="46"/>
  <c r="M263" i="46"/>
  <c r="E259" i="46"/>
  <c r="F257" i="46"/>
  <c r="K256" i="46"/>
  <c r="F254" i="46"/>
  <c r="K253" i="46"/>
  <c r="M252" i="46"/>
  <c r="K250" i="46"/>
  <c r="F249" i="46"/>
  <c r="E248" i="46"/>
  <c r="M247" i="46"/>
  <c r="F247" i="46"/>
  <c r="K246" i="46"/>
  <c r="E243" i="46"/>
  <c r="F242" i="46"/>
  <c r="F241" i="46"/>
  <c r="E240" i="46"/>
  <c r="E239" i="46"/>
  <c r="M237" i="46"/>
  <c r="F236" i="46"/>
  <c r="E230" i="46"/>
  <c r="E229" i="46"/>
  <c r="M228" i="46"/>
  <c r="F227" i="46"/>
  <c r="K225" i="46"/>
  <c r="F224" i="46"/>
  <c r="K221" i="46"/>
  <c r="M219" i="46"/>
  <c r="F218" i="46"/>
  <c r="M214" i="46"/>
  <c r="F213" i="46"/>
  <c r="K211" i="46"/>
  <c r="M210" i="46"/>
  <c r="F210" i="46"/>
  <c r="F209" i="46"/>
  <c r="K206" i="46"/>
  <c r="F200" i="46"/>
  <c r="F194" i="46"/>
  <c r="K193" i="46"/>
  <c r="F192" i="46"/>
  <c r="F189" i="46"/>
  <c r="K188" i="46"/>
  <c r="K187" i="46"/>
  <c r="K186" i="46"/>
  <c r="K185" i="46"/>
  <c r="K184" i="46"/>
  <c r="E184" i="46"/>
  <c r="K183" i="46"/>
  <c r="K182" i="46"/>
  <c r="K181" i="46"/>
  <c r="E181" i="46"/>
  <c r="K180" i="46"/>
  <c r="E180" i="46"/>
  <c r="K179" i="46"/>
  <c r="K178" i="46"/>
  <c r="K177" i="46"/>
  <c r="E177" i="46"/>
  <c r="K176" i="46"/>
  <c r="K175" i="46"/>
  <c r="F175" i="46"/>
  <c r="K174" i="46"/>
  <c r="K173" i="46"/>
  <c r="E173" i="46"/>
  <c r="K172" i="46"/>
  <c r="E172" i="46"/>
  <c r="K171" i="46"/>
  <c r="K170" i="46"/>
  <c r="K169" i="46"/>
  <c r="E169" i="46"/>
  <c r="K168" i="46"/>
  <c r="E168" i="46"/>
  <c r="K167" i="46"/>
  <c r="F167" i="46"/>
  <c r="K166" i="46"/>
  <c r="K165" i="46"/>
  <c r="E165" i="46"/>
  <c r="K164" i="46"/>
  <c r="E164" i="46"/>
  <c r="K163" i="46"/>
  <c r="E160" i="46"/>
  <c r="F159" i="46"/>
  <c r="E157" i="46"/>
  <c r="E156" i="46"/>
  <c r="E155" i="46"/>
  <c r="E154" i="46"/>
  <c r="E153" i="46"/>
  <c r="E152" i="46"/>
  <c r="E151" i="46"/>
  <c r="E149" i="46"/>
  <c r="K148" i="46"/>
  <c r="E147" i="46"/>
  <c r="E146" i="46"/>
  <c r="E145" i="46"/>
  <c r="K144" i="46"/>
  <c r="E144" i="46"/>
  <c r="E143" i="46"/>
  <c r="M142" i="46"/>
  <c r="E142" i="46"/>
  <c r="M141" i="46"/>
  <c r="E141" i="46"/>
  <c r="M140" i="46"/>
  <c r="E140" i="46"/>
  <c r="M139" i="46"/>
  <c r="E139" i="46"/>
  <c r="M138" i="46"/>
  <c r="E138" i="46"/>
  <c r="M137" i="46"/>
  <c r="E137" i="46"/>
  <c r="E136" i="46"/>
  <c r="M135" i="46"/>
  <c r="E135" i="46"/>
  <c r="M134" i="46"/>
  <c r="E134" i="46"/>
  <c r="M133" i="46"/>
  <c r="E133" i="46"/>
  <c r="M132" i="46"/>
  <c r="E132" i="46"/>
  <c r="M131" i="46"/>
  <c r="E131" i="46"/>
  <c r="M130" i="46"/>
  <c r="E130" i="46"/>
  <c r="M129" i="46"/>
  <c r="E129" i="46"/>
  <c r="E128" i="46"/>
  <c r="M127" i="46"/>
  <c r="E127" i="46"/>
  <c r="M126" i="46"/>
  <c r="E126" i="46"/>
  <c r="M125" i="46"/>
  <c r="E125" i="46"/>
  <c r="E124" i="46"/>
  <c r="M123" i="46"/>
  <c r="E123" i="46"/>
  <c r="M122" i="46"/>
  <c r="E122" i="46"/>
  <c r="M121" i="46"/>
  <c r="E121" i="46"/>
  <c r="E120" i="46"/>
  <c r="M119" i="46"/>
  <c r="E119" i="46"/>
  <c r="M118" i="46"/>
  <c r="E118" i="46"/>
  <c r="M117" i="46"/>
  <c r="E117" i="46"/>
  <c r="M116" i="46"/>
  <c r="E116" i="46"/>
  <c r="M115" i="46"/>
  <c r="E115" i="46"/>
  <c r="M114" i="46"/>
  <c r="E114" i="46"/>
  <c r="M113" i="46"/>
  <c r="E113" i="46"/>
  <c r="E112" i="46"/>
  <c r="M111" i="46"/>
  <c r="E111" i="46"/>
  <c r="M110" i="46"/>
  <c r="E110" i="46"/>
  <c r="E109" i="46"/>
  <c r="M108" i="46"/>
  <c r="E108" i="46"/>
  <c r="M107" i="46"/>
  <c r="M106" i="46"/>
  <c r="M105" i="46"/>
  <c r="M104" i="46"/>
  <c r="M103" i="46"/>
  <c r="M102" i="46"/>
  <c r="M101" i="46"/>
  <c r="M100" i="46"/>
  <c r="M99" i="46"/>
  <c r="M98" i="46"/>
  <c r="M97" i="46"/>
  <c r="M96" i="46"/>
  <c r="M95" i="46"/>
  <c r="M94" i="46"/>
  <c r="M93" i="46"/>
  <c r="M92" i="46"/>
  <c r="M91" i="46"/>
  <c r="M90" i="46"/>
  <c r="M89" i="46"/>
  <c r="M88" i="46"/>
  <c r="M87" i="46"/>
  <c r="M86" i="46"/>
  <c r="G80" i="46"/>
  <c r="K79" i="46"/>
  <c r="K78" i="46"/>
  <c r="G78" i="46"/>
  <c r="K77" i="46"/>
  <c r="K76" i="46"/>
  <c r="G76" i="46"/>
  <c r="K75" i="46"/>
  <c r="G75" i="46"/>
  <c r="K74" i="46"/>
  <c r="G74" i="46"/>
  <c r="K73" i="46"/>
  <c r="G73" i="46"/>
  <c r="K72" i="46"/>
  <c r="G72" i="46"/>
  <c r="K71" i="46"/>
  <c r="E71" i="46"/>
  <c r="M70" i="46"/>
  <c r="E70" i="46"/>
  <c r="M69" i="46"/>
  <c r="M68" i="46"/>
  <c r="M67" i="46"/>
  <c r="M66" i="46"/>
  <c r="M65" i="46"/>
  <c r="M64" i="46"/>
  <c r="M63" i="46"/>
  <c r="M62" i="46"/>
  <c r="M61" i="46"/>
  <c r="M60" i="46"/>
  <c r="M59" i="46"/>
  <c r="M58" i="46"/>
  <c r="M57" i="46"/>
  <c r="M56" i="46"/>
  <c r="M55" i="46"/>
  <c r="M54" i="46"/>
  <c r="M53" i="46"/>
  <c r="M52" i="46"/>
  <c r="M51" i="46"/>
  <c r="M50" i="46"/>
  <c r="M49" i="46"/>
  <c r="M48" i="46"/>
  <c r="M47" i="46"/>
  <c r="M46" i="46"/>
  <c r="M45" i="46"/>
  <c r="M44" i="46"/>
  <c r="M43" i="46"/>
  <c r="M42" i="46"/>
  <c r="M41" i="46"/>
  <c r="M40" i="46"/>
  <c r="M39" i="46"/>
  <c r="M38" i="46"/>
  <c r="M37" i="46"/>
  <c r="M36" i="46"/>
  <c r="M35" i="46"/>
  <c r="M34" i="46"/>
  <c r="M33" i="46"/>
  <c r="L32" i="46"/>
  <c r="M31" i="46"/>
  <c r="M25" i="46"/>
  <c r="M23" i="46"/>
  <c r="E22" i="46"/>
  <c r="M11" i="46"/>
  <c r="M9" i="46"/>
  <c r="G8" i="46"/>
  <c r="G7" i="46"/>
  <c r="K6" i="46"/>
  <c r="G6" i="46"/>
  <c r="K5" i="46"/>
  <c r="G5" i="46"/>
  <c r="G4" i="46"/>
  <c r="M3" i="46"/>
  <c r="F400" i="46" l="1"/>
  <c r="L132" i="46"/>
  <c r="E350" i="46"/>
  <c r="M467" i="46"/>
  <c r="M311" i="46"/>
  <c r="K273" i="46"/>
  <c r="L106" i="46"/>
  <c r="G168" i="46"/>
  <c r="M336" i="46"/>
  <c r="G340" i="46"/>
  <c r="E372" i="46"/>
  <c r="L542" i="46"/>
  <c r="M197" i="46"/>
  <c r="L216" i="46"/>
  <c r="G487" i="46"/>
  <c r="L248" i="46"/>
  <c r="K251" i="46"/>
  <c r="L326" i="46"/>
  <c r="F390" i="46"/>
  <c r="G416" i="46"/>
  <c r="M491" i="46"/>
  <c r="F184" i="46"/>
  <c r="L235" i="46"/>
  <c r="K285" i="46"/>
  <c r="K302" i="46"/>
  <c r="G317" i="46"/>
  <c r="K357" i="46"/>
  <c r="F463" i="46"/>
  <c r="G151" i="46"/>
  <c r="G184" i="46"/>
  <c r="K243" i="46"/>
  <c r="K283" i="46"/>
  <c r="S283" i="46" s="1"/>
  <c r="L293" i="46"/>
  <c r="K351" i="46"/>
  <c r="E453" i="46"/>
  <c r="M473" i="46"/>
  <c r="L138" i="46"/>
  <c r="G172" i="46"/>
  <c r="K202" i="46"/>
  <c r="L230" i="46"/>
  <c r="K271" i="46"/>
  <c r="L283" i="46"/>
  <c r="L285" i="46"/>
  <c r="L291" i="46"/>
  <c r="E309" i="46"/>
  <c r="G321" i="46"/>
  <c r="G396" i="46"/>
  <c r="E399" i="46"/>
  <c r="G412" i="46"/>
  <c r="F438" i="46"/>
  <c r="K453" i="46"/>
  <c r="E456" i="46"/>
  <c r="M507" i="46"/>
  <c r="E518" i="46"/>
  <c r="L523" i="46"/>
  <c r="L202" i="46"/>
  <c r="G309" i="46"/>
  <c r="M453" i="46"/>
  <c r="F518" i="46"/>
  <c r="L122" i="46"/>
  <c r="K235" i="46"/>
  <c r="S235" i="46" s="1"/>
  <c r="L241" i="46"/>
  <c r="K298" i="46"/>
  <c r="K304" i="46"/>
  <c r="L307" i="46"/>
  <c r="K348" i="46"/>
  <c r="G350" i="46"/>
  <c r="G356" i="46"/>
  <c r="L357" i="46"/>
  <c r="G376" i="46"/>
  <c r="E400" i="46"/>
  <c r="F453" i="46"/>
  <c r="L540" i="46"/>
  <c r="M542" i="46"/>
  <c r="F14" i="46"/>
  <c r="F16" i="46"/>
  <c r="F33" i="46"/>
  <c r="G180" i="46"/>
  <c r="M194" i="46"/>
  <c r="L196" i="46"/>
  <c r="M203" i="46"/>
  <c r="L262" i="46"/>
  <c r="K291" i="46"/>
  <c r="K293" i="46"/>
  <c r="L299" i="46"/>
  <c r="L301" i="46"/>
  <c r="K306" i="46"/>
  <c r="E317" i="46"/>
  <c r="M317" i="46"/>
  <c r="E321" i="46"/>
  <c r="G330" i="46"/>
  <c r="G332" i="46"/>
  <c r="M400" i="46"/>
  <c r="G404" i="46"/>
  <c r="F443" i="46"/>
  <c r="F462" i="46"/>
  <c r="G512" i="46"/>
  <c r="G530" i="46"/>
  <c r="E16" i="46"/>
  <c r="F30" i="46"/>
  <c r="E33" i="46"/>
  <c r="L116" i="46"/>
  <c r="L130" i="46"/>
  <c r="G177" i="46"/>
  <c r="F180" i="46"/>
  <c r="L191" i="46"/>
  <c r="L194" i="46"/>
  <c r="K196" i="46"/>
  <c r="L212" i="46"/>
  <c r="G241" i="46"/>
  <c r="M241" i="46"/>
  <c r="L243" i="46"/>
  <c r="G247" i="46"/>
  <c r="L251" i="46"/>
  <c r="K262" i="46"/>
  <c r="L271" i="46"/>
  <c r="L273" i="46"/>
  <c r="K299" i="46"/>
  <c r="K301" i="46"/>
  <c r="M307" i="46"/>
  <c r="L317" i="46"/>
  <c r="M321" i="46"/>
  <c r="L331" i="46"/>
  <c r="M346" i="46"/>
  <c r="G358" i="46"/>
  <c r="G372" i="46"/>
  <c r="G390" i="46"/>
  <c r="F399" i="46"/>
  <c r="G453" i="46"/>
  <c r="E462" i="46"/>
  <c r="F512" i="46"/>
  <c r="G536" i="46"/>
  <c r="E188" i="46"/>
  <c r="F188" i="46"/>
  <c r="G188" i="46"/>
  <c r="F197" i="46"/>
  <c r="M227" i="46"/>
  <c r="F313" i="46"/>
  <c r="E313" i="46"/>
  <c r="G313" i="46"/>
  <c r="F413" i="46"/>
  <c r="G413" i="46"/>
  <c r="L466" i="46"/>
  <c r="E493" i="46"/>
  <c r="F493" i="46"/>
  <c r="F62" i="46"/>
  <c r="E65" i="46"/>
  <c r="L97" i="46"/>
  <c r="M124" i="46"/>
  <c r="L124" i="46"/>
  <c r="E185" i="46"/>
  <c r="G185" i="46"/>
  <c r="L190" i="46"/>
  <c r="K259" i="46"/>
  <c r="L259" i="46"/>
  <c r="L264" i="46"/>
  <c r="K345" i="46"/>
  <c r="G355" i="46"/>
  <c r="L368" i="46"/>
  <c r="M368" i="46"/>
  <c r="G411" i="46"/>
  <c r="F503" i="46"/>
  <c r="M504" i="46"/>
  <c r="F17" i="46"/>
  <c r="F20" i="46"/>
  <c r="E23" i="46"/>
  <c r="E37" i="46"/>
  <c r="F49" i="46"/>
  <c r="F65" i="46"/>
  <c r="L108" i="46"/>
  <c r="E176" i="46"/>
  <c r="G176" i="46"/>
  <c r="F203" i="46"/>
  <c r="M223" i="46"/>
  <c r="K226" i="46"/>
  <c r="L226" i="46"/>
  <c r="F232" i="46"/>
  <c r="E232" i="46"/>
  <c r="F255" i="46"/>
  <c r="G255" i="46"/>
  <c r="F263" i="46"/>
  <c r="G263" i="46"/>
  <c r="K264" i="46"/>
  <c r="L279" i="46"/>
  <c r="K281" i="46"/>
  <c r="L281" i="46"/>
  <c r="L287" i="46"/>
  <c r="K289" i="46"/>
  <c r="L289" i="46"/>
  <c r="L295" i="46"/>
  <c r="K297" i="46"/>
  <c r="L297" i="46"/>
  <c r="L303" i="46"/>
  <c r="K305" i="46"/>
  <c r="L305" i="46"/>
  <c r="K327" i="46"/>
  <c r="L327" i="46"/>
  <c r="F344" i="46"/>
  <c r="G344" i="46"/>
  <c r="L352" i="46"/>
  <c r="M352" i="46"/>
  <c r="G433" i="46"/>
  <c r="F433" i="46"/>
  <c r="E503" i="46"/>
  <c r="L533" i="46"/>
  <c r="M533" i="46"/>
  <c r="L546" i="46"/>
  <c r="M546" i="46"/>
  <c r="K300" i="46"/>
  <c r="K308" i="46"/>
  <c r="F311" i="46"/>
  <c r="G311" i="46"/>
  <c r="G381" i="46"/>
  <c r="E384" i="46"/>
  <c r="G384" i="46"/>
  <c r="G548" i="46"/>
  <c r="F548" i="46"/>
  <c r="F46" i="46"/>
  <c r="E49" i="46"/>
  <c r="L114" i="46"/>
  <c r="E189" i="46"/>
  <c r="G189" i="46"/>
  <c r="F223" i="46"/>
  <c r="G223" i="46"/>
  <c r="L246" i="46"/>
  <c r="S246" i="46" s="1"/>
  <c r="L256" i="46"/>
  <c r="K267" i="46"/>
  <c r="L267" i="46"/>
  <c r="E311" i="46"/>
  <c r="L328" i="46"/>
  <c r="F381" i="46"/>
  <c r="E473" i="46"/>
  <c r="E488" i="46"/>
  <c r="F488" i="46"/>
  <c r="M496" i="46"/>
  <c r="F23" i="46"/>
  <c r="F37" i="46"/>
  <c r="F53" i="46"/>
  <c r="F69" i="46"/>
  <c r="E75" i="46"/>
  <c r="E148" i="46"/>
  <c r="F148" i="46"/>
  <c r="G148" i="46"/>
  <c r="F176" i="46"/>
  <c r="F199" i="46"/>
  <c r="G199" i="46"/>
  <c r="L209" i="46"/>
  <c r="M209" i="46"/>
  <c r="K217" i="46"/>
  <c r="L217" i="46"/>
  <c r="L223" i="46"/>
  <c r="E255" i="46"/>
  <c r="E263" i="46"/>
  <c r="K279" i="46"/>
  <c r="K287" i="46"/>
  <c r="K295" i="46"/>
  <c r="K303" i="46"/>
  <c r="L309" i="46"/>
  <c r="M309" i="46"/>
  <c r="K335" i="46"/>
  <c r="L335" i="46"/>
  <c r="L349" i="46"/>
  <c r="K352" i="46"/>
  <c r="M360" i="46"/>
  <c r="L365" i="46"/>
  <c r="M365" i="46"/>
  <c r="M374" i="46"/>
  <c r="L376" i="46"/>
  <c r="M376" i="46"/>
  <c r="F430" i="46"/>
  <c r="E433" i="46"/>
  <c r="K448" i="46"/>
  <c r="K457" i="46"/>
  <c r="S457" i="46" s="1"/>
  <c r="K471" i="46"/>
  <c r="M471" i="46"/>
  <c r="G499" i="46"/>
  <c r="S506" i="46"/>
  <c r="M506" i="46"/>
  <c r="K533" i="46"/>
  <c r="G542" i="46"/>
  <c r="G554" i="46"/>
  <c r="F554" i="46"/>
  <c r="F151" i="46"/>
  <c r="G165" i="46"/>
  <c r="G181" i="46"/>
  <c r="K191" i="46"/>
  <c r="S191" i="46" s="1"/>
  <c r="G209" i="46"/>
  <c r="K212" i="46"/>
  <c r="M213" i="46"/>
  <c r="K230" i="46"/>
  <c r="S230" i="46" s="1"/>
  <c r="E241" i="46"/>
  <c r="K241" i="46"/>
  <c r="E247" i="46"/>
  <c r="K248" i="46"/>
  <c r="S248" i="46" s="1"/>
  <c r="M408" i="46"/>
  <c r="G418" i="46"/>
  <c r="E443" i="46"/>
  <c r="K523" i="46"/>
  <c r="S523" i="46" s="1"/>
  <c r="E536" i="46"/>
  <c r="G399" i="46"/>
  <c r="G400" i="46"/>
  <c r="G462" i="46"/>
  <c r="F214" i="46"/>
  <c r="E214" i="46"/>
  <c r="F246" i="46"/>
  <c r="G246" i="46"/>
  <c r="E246" i="46"/>
  <c r="M257" i="46"/>
  <c r="L257" i="46"/>
  <c r="K257" i="46"/>
  <c r="F260" i="46"/>
  <c r="G260" i="46"/>
  <c r="E260" i="46"/>
  <c r="M265" i="46"/>
  <c r="L265" i="46"/>
  <c r="K265" i="46"/>
  <c r="F268" i="46"/>
  <c r="G268" i="46"/>
  <c r="E268" i="46"/>
  <c r="M275" i="46"/>
  <c r="L275" i="46"/>
  <c r="K275" i="46"/>
  <c r="S275" i="46" s="1"/>
  <c r="M278" i="46"/>
  <c r="K278" i="46"/>
  <c r="F287" i="46"/>
  <c r="G287" i="46"/>
  <c r="E287" i="46"/>
  <c r="F295" i="46"/>
  <c r="G295" i="46"/>
  <c r="E295" i="46"/>
  <c r="F303" i="46"/>
  <c r="G303" i="46"/>
  <c r="E303" i="46"/>
  <c r="L333" i="46"/>
  <c r="K333" i="46"/>
  <c r="M333" i="46"/>
  <c r="M344" i="46"/>
  <c r="K344" i="46"/>
  <c r="M355" i="46"/>
  <c r="L355" i="46"/>
  <c r="F45" i="46"/>
  <c r="E45" i="46"/>
  <c r="F61" i="46"/>
  <c r="E61" i="46"/>
  <c r="M109" i="46"/>
  <c r="W3" i="46"/>
  <c r="K7" i="46"/>
  <c r="L7" i="46"/>
  <c r="F15" i="46"/>
  <c r="F42" i="46"/>
  <c r="F58" i="46"/>
  <c r="G79" i="46"/>
  <c r="M120" i="46"/>
  <c r="L120" i="46"/>
  <c r="M136" i="46"/>
  <c r="L136" i="46"/>
  <c r="K146" i="46"/>
  <c r="F198" i="46"/>
  <c r="F204" i="46"/>
  <c r="E204" i="46"/>
  <c r="F217" i="46"/>
  <c r="G217" i="46"/>
  <c r="E217" i="46"/>
  <c r="M218" i="46"/>
  <c r="L218" i="46"/>
  <c r="K218" i="46"/>
  <c r="F231" i="46"/>
  <c r="G231" i="46"/>
  <c r="E231" i="46"/>
  <c r="M254" i="46"/>
  <c r="L254" i="46"/>
  <c r="K254" i="46"/>
  <c r="F281" i="46"/>
  <c r="G281" i="46"/>
  <c r="E281" i="46"/>
  <c r="F289" i="46"/>
  <c r="G289" i="46"/>
  <c r="E289" i="46"/>
  <c r="F297" i="46"/>
  <c r="G297" i="46"/>
  <c r="E297" i="46"/>
  <c r="F305" i="46"/>
  <c r="G305" i="46"/>
  <c r="E305" i="46"/>
  <c r="E378" i="46"/>
  <c r="G378" i="46"/>
  <c r="E414" i="46"/>
  <c r="G414" i="46"/>
  <c r="F414" i="46"/>
  <c r="G460" i="46"/>
  <c r="E460" i="46"/>
  <c r="E150" i="46"/>
  <c r="G150" i="46"/>
  <c r="F191" i="46"/>
  <c r="G191" i="46"/>
  <c r="E191" i="46"/>
  <c r="L222" i="46"/>
  <c r="K222" i="46"/>
  <c r="M231" i="46"/>
  <c r="L231" i="46"/>
  <c r="K231" i="46"/>
  <c r="F244" i="46"/>
  <c r="G244" i="46"/>
  <c r="E244" i="46"/>
  <c r="M249" i="46"/>
  <c r="L249" i="46"/>
  <c r="K249" i="46"/>
  <c r="F252" i="46"/>
  <c r="G252" i="46"/>
  <c r="E252" i="46"/>
  <c r="F262" i="46"/>
  <c r="G262" i="46"/>
  <c r="E262" i="46"/>
  <c r="F283" i="46"/>
  <c r="G283" i="46"/>
  <c r="E283" i="46"/>
  <c r="F291" i="46"/>
  <c r="G291" i="46"/>
  <c r="E291" i="46"/>
  <c r="F299" i="46"/>
  <c r="G299" i="46"/>
  <c r="E299" i="46"/>
  <c r="F307" i="46"/>
  <c r="G307" i="46"/>
  <c r="E307" i="46"/>
  <c r="K314" i="46"/>
  <c r="M323" i="46"/>
  <c r="L323" i="46"/>
  <c r="K323" i="46"/>
  <c r="M337" i="46"/>
  <c r="K337" i="46"/>
  <c r="M370" i="46"/>
  <c r="L370" i="46"/>
  <c r="F405" i="46"/>
  <c r="G405" i="46"/>
  <c r="G408" i="46"/>
  <c r="F408" i="46"/>
  <c r="E408" i="46"/>
  <c r="G442" i="46"/>
  <c r="F442" i="46"/>
  <c r="E442" i="46"/>
  <c r="E3" i="46"/>
  <c r="F22" i="46"/>
  <c r="K4" i="46"/>
  <c r="F9" i="46"/>
  <c r="M10" i="46"/>
  <c r="M24" i="46"/>
  <c r="E9" i="46"/>
  <c r="M17" i="46"/>
  <c r="F29" i="46"/>
  <c r="F32" i="46"/>
  <c r="E32" i="46"/>
  <c r="G77" i="46"/>
  <c r="M112" i="46"/>
  <c r="L112" i="46"/>
  <c r="M128" i="46"/>
  <c r="L128" i="46"/>
  <c r="E161" i="46"/>
  <c r="G161" i="46"/>
  <c r="F161" i="46"/>
  <c r="L208" i="46"/>
  <c r="K208" i="46"/>
  <c r="F228" i="46"/>
  <c r="E228" i="46"/>
  <c r="F235" i="46"/>
  <c r="G235" i="46"/>
  <c r="E235" i="46"/>
  <c r="M236" i="46"/>
  <c r="L236" i="46"/>
  <c r="K236" i="46"/>
  <c r="L240" i="46"/>
  <c r="K240" i="46"/>
  <c r="M270" i="46"/>
  <c r="K270" i="46"/>
  <c r="F273" i="46"/>
  <c r="G273" i="46"/>
  <c r="E273" i="46"/>
  <c r="M274" i="46"/>
  <c r="K274" i="46"/>
  <c r="M277" i="46"/>
  <c r="L277" i="46"/>
  <c r="K277" i="46"/>
  <c r="F285" i="46"/>
  <c r="G285" i="46"/>
  <c r="E285" i="46"/>
  <c r="F293" i="46"/>
  <c r="G293" i="46"/>
  <c r="E293" i="46"/>
  <c r="F301" i="46"/>
  <c r="G301" i="46"/>
  <c r="E301" i="46"/>
  <c r="M315" i="46"/>
  <c r="L315" i="46"/>
  <c r="M319" i="46"/>
  <c r="L319" i="46"/>
  <c r="F336" i="46"/>
  <c r="G336" i="46"/>
  <c r="G361" i="46"/>
  <c r="M363" i="46"/>
  <c r="L363" i="46"/>
  <c r="G387" i="46"/>
  <c r="G398" i="46"/>
  <c r="F398" i="46"/>
  <c r="F466" i="46"/>
  <c r="G466" i="46"/>
  <c r="G470" i="46"/>
  <c r="F470" i="46"/>
  <c r="E470" i="46"/>
  <c r="K493" i="46"/>
  <c r="G496" i="46"/>
  <c r="F496" i="46"/>
  <c r="M499" i="46"/>
  <c r="M501" i="46"/>
  <c r="K501" i="46"/>
  <c r="F507" i="46"/>
  <c r="G507" i="46"/>
  <c r="M510" i="46"/>
  <c r="M516" i="46"/>
  <c r="G533" i="46"/>
  <c r="E538" i="46"/>
  <c r="G540" i="46"/>
  <c r="E540" i="46"/>
  <c r="G549" i="46"/>
  <c r="F549" i="46"/>
  <c r="G555" i="46"/>
  <c r="F555" i="46"/>
  <c r="F326" i="46"/>
  <c r="G326" i="46"/>
  <c r="L340" i="46"/>
  <c r="K340" i="46"/>
  <c r="F383" i="46"/>
  <c r="G383" i="46"/>
  <c r="E392" i="46"/>
  <c r="G392" i="46"/>
  <c r="F392" i="46"/>
  <c r="E415" i="46"/>
  <c r="G415" i="46"/>
  <c r="G419" i="46"/>
  <c r="G429" i="46"/>
  <c r="F429" i="46"/>
  <c r="G437" i="46"/>
  <c r="E437" i="46"/>
  <c r="F437" i="46"/>
  <c r="E466" i="46"/>
  <c r="L470" i="46"/>
  <c r="G472" i="46"/>
  <c r="E472" i="46"/>
  <c r="F491" i="46"/>
  <c r="M493" i="46"/>
  <c r="M498" i="46"/>
  <c r="K498" i="46"/>
  <c r="G504" i="46"/>
  <c r="F506" i="46"/>
  <c r="E506" i="46"/>
  <c r="K516" i="46"/>
  <c r="L528" i="46"/>
  <c r="E533" i="46"/>
  <c r="G538" i="46"/>
  <c r="E544" i="46"/>
  <c r="G546" i="46"/>
  <c r="E546" i="46"/>
  <c r="E31" i="46"/>
  <c r="F38" i="46"/>
  <c r="E41" i="46"/>
  <c r="F54" i="46"/>
  <c r="E57" i="46"/>
  <c r="L81" i="46"/>
  <c r="L92" i="46"/>
  <c r="L110" i="46"/>
  <c r="L118" i="46"/>
  <c r="L126" i="46"/>
  <c r="L134" i="46"/>
  <c r="F146" i="46"/>
  <c r="F149" i="46"/>
  <c r="G152" i="46"/>
  <c r="K154" i="46"/>
  <c r="F157" i="46"/>
  <c r="F169" i="46"/>
  <c r="F173" i="46"/>
  <c r="E197" i="46"/>
  <c r="K197" i="46"/>
  <c r="S197" i="46" s="1"/>
  <c r="K199" i="46"/>
  <c r="E203" i="46"/>
  <c r="K203" i="46"/>
  <c r="E210" i="46"/>
  <c r="E213" i="46"/>
  <c r="K213" i="46"/>
  <c r="E218" i="46"/>
  <c r="E224" i="46"/>
  <c r="E227" i="46"/>
  <c r="K227" i="46"/>
  <c r="E236" i="46"/>
  <c r="E242" i="46"/>
  <c r="M246" i="46"/>
  <c r="E249" i="46"/>
  <c r="E254" i="46"/>
  <c r="E257" i="46"/>
  <c r="M262" i="46"/>
  <c r="E265" i="46"/>
  <c r="E270" i="46"/>
  <c r="M271" i="46"/>
  <c r="M273" i="46"/>
  <c r="E277" i="46"/>
  <c r="M279" i="46"/>
  <c r="M281" i="46"/>
  <c r="M283" i="46"/>
  <c r="M285" i="46"/>
  <c r="M287" i="46"/>
  <c r="M289" i="46"/>
  <c r="M291" i="46"/>
  <c r="M293" i="46"/>
  <c r="M295" i="46"/>
  <c r="M297" i="46"/>
  <c r="M299" i="46"/>
  <c r="M301" i="46"/>
  <c r="M303" i="46"/>
  <c r="M305" i="46"/>
  <c r="K310" i="46"/>
  <c r="K311" i="46"/>
  <c r="S311" i="46" s="1"/>
  <c r="K312" i="46"/>
  <c r="L313" i="46"/>
  <c r="E315" i="46"/>
  <c r="E319" i="46"/>
  <c r="F325" i="46"/>
  <c r="G325" i="46"/>
  <c r="E326" i="46"/>
  <c r="L332" i="46"/>
  <c r="K332" i="46"/>
  <c r="L338" i="46"/>
  <c r="M340" i="46"/>
  <c r="M347" i="46"/>
  <c r="L347" i="46"/>
  <c r="M350" i="46"/>
  <c r="L350" i="46"/>
  <c r="G366" i="46"/>
  <c r="E366" i="46"/>
  <c r="G368" i="46"/>
  <c r="G374" i="46"/>
  <c r="E383" i="46"/>
  <c r="G389" i="46"/>
  <c r="L392" i="46"/>
  <c r="M392" i="46"/>
  <c r="F415" i="46"/>
  <c r="F426" i="46"/>
  <c r="E429" i="46"/>
  <c r="K444" i="46"/>
  <c r="K470" i="46"/>
  <c r="S470" i="46" s="1"/>
  <c r="M476" i="46"/>
  <c r="K476" i="46"/>
  <c r="M488" i="46"/>
  <c r="E491" i="46"/>
  <c r="F504" i="46"/>
  <c r="M509" i="46"/>
  <c r="K509" i="46"/>
  <c r="M521" i="46"/>
  <c r="L521" i="46"/>
  <c r="K521" i="46"/>
  <c r="G526" i="46"/>
  <c r="K528" i="46"/>
  <c r="G544" i="46"/>
  <c r="G551" i="46"/>
  <c r="F551" i="46"/>
  <c r="K553" i="46"/>
  <c r="M553" i="46"/>
  <c r="L553" i="46"/>
  <c r="G564" i="46"/>
  <c r="F564" i="46"/>
  <c r="E17" i="46"/>
  <c r="F21" i="46"/>
  <c r="F28" i="46"/>
  <c r="E30" i="46"/>
  <c r="F31" i="46"/>
  <c r="F34" i="46"/>
  <c r="F41" i="46"/>
  <c r="F50" i="46"/>
  <c r="E53" i="46"/>
  <c r="F57" i="46"/>
  <c r="F66" i="46"/>
  <c r="E69" i="46"/>
  <c r="L87" i="46"/>
  <c r="L99" i="46"/>
  <c r="G146" i="46"/>
  <c r="G149" i="46"/>
  <c r="G157" i="46"/>
  <c r="G160" i="46"/>
  <c r="F165" i="46"/>
  <c r="G169" i="46"/>
  <c r="F172" i="46"/>
  <c r="G173" i="46"/>
  <c r="F177" i="46"/>
  <c r="F181" i="46"/>
  <c r="F185" i="46"/>
  <c r="K190" i="46"/>
  <c r="S190" i="46" s="1"/>
  <c r="K194" i="46"/>
  <c r="G197" i="46"/>
  <c r="L197" i="46"/>
  <c r="E199" i="46"/>
  <c r="L199" i="46"/>
  <c r="G203" i="46"/>
  <c r="L203" i="46"/>
  <c r="E209" i="46"/>
  <c r="K209" i="46"/>
  <c r="G213" i="46"/>
  <c r="L213" i="46"/>
  <c r="K216" i="46"/>
  <c r="S216" i="46" s="1"/>
  <c r="E223" i="46"/>
  <c r="K223" i="46"/>
  <c r="G227" i="46"/>
  <c r="L227" i="46"/>
  <c r="G249" i="46"/>
  <c r="S251" i="46"/>
  <c r="G254" i="46"/>
  <c r="G257" i="46"/>
  <c r="G265" i="46"/>
  <c r="G270" i="46"/>
  <c r="G277" i="46"/>
  <c r="L311" i="46"/>
  <c r="M313" i="46"/>
  <c r="G315" i="46"/>
  <c r="G319" i="46"/>
  <c r="F323" i="46"/>
  <c r="G323" i="46"/>
  <c r="E323" i="46"/>
  <c r="F328" i="46"/>
  <c r="G328" i="46"/>
  <c r="L341" i="46"/>
  <c r="K341" i="46"/>
  <c r="M358" i="46"/>
  <c r="L358" i="46"/>
  <c r="G363" i="46"/>
  <c r="E363" i="46"/>
  <c r="M366" i="46"/>
  <c r="L379" i="46"/>
  <c r="M379" i="46"/>
  <c r="G407" i="46"/>
  <c r="F407" i="46"/>
  <c r="E407" i="46"/>
  <c r="F421" i="46"/>
  <c r="E484" i="46"/>
  <c r="G484" i="46"/>
  <c r="E514" i="46"/>
  <c r="F514" i="46"/>
  <c r="E520" i="46"/>
  <c r="F520" i="46"/>
  <c r="L522" i="46"/>
  <c r="F524" i="46"/>
  <c r="G524" i="46"/>
  <c r="K536" i="46"/>
  <c r="M536" i="46"/>
  <c r="L536" i="46"/>
  <c r="M349" i="46"/>
  <c r="M357" i="46"/>
  <c r="S357" i="46" s="1"/>
  <c r="G370" i="46"/>
  <c r="L372" i="46"/>
  <c r="F382" i="46"/>
  <c r="E391" i="46"/>
  <c r="G397" i="46"/>
  <c r="G403" i="46"/>
  <c r="G425" i="46"/>
  <c r="F425" i="46"/>
  <c r="G434" i="46"/>
  <c r="F434" i="46"/>
  <c r="K449" i="46"/>
  <c r="G476" i="46"/>
  <c r="E481" i="46"/>
  <c r="F498" i="46"/>
  <c r="G509" i="46"/>
  <c r="M512" i="46"/>
  <c r="F516" i="46"/>
  <c r="K518" i="46"/>
  <c r="M529" i="46"/>
  <c r="E534" i="46"/>
  <c r="L538" i="46"/>
  <c r="M544" i="46"/>
  <c r="L321" i="46"/>
  <c r="E330" i="46"/>
  <c r="K343" i="46"/>
  <c r="G353" i="46"/>
  <c r="E355" i="46"/>
  <c r="E358" i="46"/>
  <c r="K360" i="46"/>
  <c r="G364" i="46"/>
  <c r="K365" i="46"/>
  <c r="E370" i="46"/>
  <c r="M372" i="46"/>
  <c r="L374" i="46"/>
  <c r="E376" i="46"/>
  <c r="M378" i="46"/>
  <c r="G382" i="46"/>
  <c r="F384" i="46"/>
  <c r="M384" i="46"/>
  <c r="G388" i="46"/>
  <c r="F391" i="46"/>
  <c r="G395" i="46"/>
  <c r="F397" i="46"/>
  <c r="G406" i="46"/>
  <c r="E416" i="46"/>
  <c r="G420" i="46"/>
  <c r="F422" i="46"/>
  <c r="E425" i="46"/>
  <c r="G441" i="46"/>
  <c r="F441" i="46"/>
  <c r="G444" i="46"/>
  <c r="E444" i="46"/>
  <c r="G456" i="46"/>
  <c r="K456" i="46"/>
  <c r="K461" i="46"/>
  <c r="G473" i="46"/>
  <c r="K473" i="46"/>
  <c r="E476" i="46"/>
  <c r="K479" i="46"/>
  <c r="F481" i="46"/>
  <c r="K484" i="46"/>
  <c r="K491" i="46"/>
  <c r="E498" i="46"/>
  <c r="F501" i="46"/>
  <c r="K503" i="46"/>
  <c r="E509" i="46"/>
  <c r="F510" i="46"/>
  <c r="M514" i="46"/>
  <c r="E516" i="46"/>
  <c r="M518" i="46"/>
  <c r="M520" i="46"/>
  <c r="K529" i="46"/>
  <c r="S529" i="46" s="1"/>
  <c r="G534" i="46"/>
  <c r="K538" i="46"/>
  <c r="M540" i="46"/>
  <c r="E542" i="46"/>
  <c r="L544" i="46"/>
  <c r="F550" i="46"/>
  <c r="K552" i="46"/>
  <c r="S552" i="46" s="1"/>
  <c r="M552" i="46"/>
  <c r="E162" i="46"/>
  <c r="F162" i="46"/>
  <c r="E170" i="46"/>
  <c r="F170" i="46"/>
  <c r="E179" i="46"/>
  <c r="G179" i="46"/>
  <c r="E182" i="46"/>
  <c r="G182" i="46"/>
  <c r="F182" i="46"/>
  <c r="L195" i="46"/>
  <c r="K195" i="46"/>
  <c r="F233" i="46"/>
  <c r="G233" i="46"/>
  <c r="E233" i="46"/>
  <c r="F264" i="46"/>
  <c r="G264" i="46"/>
  <c r="L272" i="46"/>
  <c r="M272" i="46"/>
  <c r="E25" i="46"/>
  <c r="E36" i="46"/>
  <c r="E40" i="46"/>
  <c r="E44" i="46"/>
  <c r="E52" i="46"/>
  <c r="E64" i="46"/>
  <c r="L96" i="46"/>
  <c r="L101" i="46"/>
  <c r="F144" i="46"/>
  <c r="F145" i="46"/>
  <c r="F154" i="46"/>
  <c r="F156" i="46"/>
  <c r="M195" i="46"/>
  <c r="L204" i="46"/>
  <c r="K204" i="46"/>
  <c r="F225" i="46"/>
  <c r="G225" i="46"/>
  <c r="M234" i="46"/>
  <c r="L234" i="46"/>
  <c r="F237" i="46"/>
  <c r="G237" i="46"/>
  <c r="E237" i="46"/>
  <c r="F238" i="46"/>
  <c r="E238" i="46"/>
  <c r="M245" i="46"/>
  <c r="L245" i="46"/>
  <c r="F251" i="46"/>
  <c r="G251" i="46"/>
  <c r="L255" i="46"/>
  <c r="K255" i="46"/>
  <c r="M258" i="46"/>
  <c r="L258" i="46"/>
  <c r="M261" i="46"/>
  <c r="L261" i="46"/>
  <c r="E264" i="46"/>
  <c r="F267" i="46"/>
  <c r="G267" i="46"/>
  <c r="F271" i="46"/>
  <c r="G271" i="46"/>
  <c r="K272" i="46"/>
  <c r="F278" i="46"/>
  <c r="E278" i="46"/>
  <c r="F279" i="46"/>
  <c r="G279" i="46"/>
  <c r="L192" i="46"/>
  <c r="K192" i="46"/>
  <c r="F201" i="46"/>
  <c r="G201" i="46"/>
  <c r="E201" i="46"/>
  <c r="F202" i="46"/>
  <c r="S206" i="46"/>
  <c r="M206" i="46"/>
  <c r="L206" i="46"/>
  <c r="M207" i="46"/>
  <c r="L207" i="46"/>
  <c r="L210" i="46"/>
  <c r="K210" i="46"/>
  <c r="F215" i="46"/>
  <c r="G215" i="46"/>
  <c r="F216" i="46"/>
  <c r="M221" i="46"/>
  <c r="L221" i="46"/>
  <c r="F229" i="46"/>
  <c r="G229" i="46"/>
  <c r="F230" i="46"/>
  <c r="F234" i="46"/>
  <c r="E234" i="46"/>
  <c r="F240" i="46"/>
  <c r="F245" i="46"/>
  <c r="G245" i="46"/>
  <c r="E245" i="46"/>
  <c r="L252" i="46"/>
  <c r="K252" i="46"/>
  <c r="F258" i="46"/>
  <c r="G258" i="46"/>
  <c r="E258" i="46"/>
  <c r="F261" i="46"/>
  <c r="G261" i="46"/>
  <c r="E261" i="46"/>
  <c r="L268" i="46"/>
  <c r="K268" i="46"/>
  <c r="L6" i="46"/>
  <c r="E10" i="46"/>
  <c r="M13" i="46"/>
  <c r="E18" i="46"/>
  <c r="M19" i="46"/>
  <c r="E24" i="46"/>
  <c r="M27" i="46"/>
  <c r="E48" i="46"/>
  <c r="E56" i="46"/>
  <c r="E60" i="46"/>
  <c r="F71" i="46"/>
  <c r="F147" i="46"/>
  <c r="G170" i="46"/>
  <c r="E183" i="46"/>
  <c r="G183" i="46"/>
  <c r="E186" i="46"/>
  <c r="G186" i="46"/>
  <c r="F186" i="46"/>
  <c r="M192" i="46"/>
  <c r="F193" i="46"/>
  <c r="G193" i="46"/>
  <c r="S212" i="46"/>
  <c r="E215" i="46"/>
  <c r="E216" i="46"/>
  <c r="F226" i="46"/>
  <c r="F10" i="46"/>
  <c r="F11" i="46"/>
  <c r="M14" i="46"/>
  <c r="M15" i="46"/>
  <c r="F18" i="46"/>
  <c r="E19" i="46"/>
  <c r="M21" i="46"/>
  <c r="F25" i="46"/>
  <c r="M28" i="46"/>
  <c r="M29" i="46"/>
  <c r="F36" i="46"/>
  <c r="E39" i="46"/>
  <c r="F44" i="46"/>
  <c r="E47" i="46"/>
  <c r="F48" i="46"/>
  <c r="F52" i="46"/>
  <c r="E55" i="46"/>
  <c r="F56" i="46"/>
  <c r="F64" i="46"/>
  <c r="F68" i="46"/>
  <c r="E73" i="46"/>
  <c r="M76" i="46"/>
  <c r="M78" i="46"/>
  <c r="M79" i="46"/>
  <c r="L88" i="46"/>
  <c r="L91" i="46"/>
  <c r="L98" i="46"/>
  <c r="L100" i="46"/>
  <c r="L107" i="46"/>
  <c r="L111" i="46"/>
  <c r="L117" i="46"/>
  <c r="L121" i="46"/>
  <c r="L125" i="46"/>
  <c r="L131" i="46"/>
  <c r="L133" i="46"/>
  <c r="L137" i="46"/>
  <c r="G144" i="46"/>
  <c r="G145" i="46"/>
  <c r="G147" i="46"/>
  <c r="K150" i="46"/>
  <c r="F153" i="46"/>
  <c r="G154" i="46"/>
  <c r="F155" i="46"/>
  <c r="G156" i="46"/>
  <c r="E163" i="46"/>
  <c r="G163" i="46"/>
  <c r="G164" i="46"/>
  <c r="E166" i="46"/>
  <c r="F166" i="46"/>
  <c r="E174" i="46"/>
  <c r="G174" i="46"/>
  <c r="F174" i="46"/>
  <c r="F195" i="46"/>
  <c r="G195" i="46"/>
  <c r="E195" i="46"/>
  <c r="F208" i="46"/>
  <c r="M215" i="46"/>
  <c r="L215" i="46"/>
  <c r="F221" i="46"/>
  <c r="G221" i="46"/>
  <c r="F222" i="46"/>
  <c r="E225" i="46"/>
  <c r="M229" i="46"/>
  <c r="L229" i="46"/>
  <c r="M238" i="46"/>
  <c r="L238" i="46"/>
  <c r="L242" i="46"/>
  <c r="K242" i="46"/>
  <c r="L244" i="46"/>
  <c r="K244" i="46"/>
  <c r="K245" i="46"/>
  <c r="F250" i="46"/>
  <c r="G250" i="46"/>
  <c r="E250" i="46"/>
  <c r="E251" i="46"/>
  <c r="F253" i="46"/>
  <c r="G253" i="46"/>
  <c r="E253" i="46"/>
  <c r="M255" i="46"/>
  <c r="F256" i="46"/>
  <c r="G256" i="46"/>
  <c r="K258" i="46"/>
  <c r="L260" i="46"/>
  <c r="K260" i="46"/>
  <c r="K261" i="46"/>
  <c r="F266" i="46"/>
  <c r="G266" i="46"/>
  <c r="E266" i="46"/>
  <c r="E267" i="46"/>
  <c r="F269" i="46"/>
  <c r="G269" i="46"/>
  <c r="E269" i="46"/>
  <c r="E271" i="46"/>
  <c r="L276" i="46"/>
  <c r="M276" i="46"/>
  <c r="G278" i="46"/>
  <c r="E279" i="46"/>
  <c r="E159" i="46"/>
  <c r="G159" i="46"/>
  <c r="E167" i="46"/>
  <c r="G167" i="46"/>
  <c r="M220" i="46"/>
  <c r="L220" i="46"/>
  <c r="L224" i="46"/>
  <c r="K224" i="46"/>
  <c r="F239" i="46"/>
  <c r="G239" i="46"/>
  <c r="F248" i="46"/>
  <c r="G248" i="46"/>
  <c r="E11" i="46"/>
  <c r="M12" i="46"/>
  <c r="M18" i="46"/>
  <c r="M26" i="46"/>
  <c r="E68" i="46"/>
  <c r="E74" i="46"/>
  <c r="F84" i="46"/>
  <c r="L86" i="46"/>
  <c r="L89" i="46"/>
  <c r="L94" i="46"/>
  <c r="L103" i="46"/>
  <c r="G162" i="46"/>
  <c r="F164" i="46"/>
  <c r="F179" i="46"/>
  <c r="L205" i="46"/>
  <c r="K205" i="46"/>
  <c r="K207" i="46"/>
  <c r="F211" i="46"/>
  <c r="G211" i="46"/>
  <c r="F212" i="46"/>
  <c r="L219" i="46"/>
  <c r="K219" i="46"/>
  <c r="K220" i="46"/>
  <c r="M224" i="46"/>
  <c r="K3" i="46"/>
  <c r="L5" i="46"/>
  <c r="E12" i="46"/>
  <c r="E13" i="46"/>
  <c r="M20" i="46"/>
  <c r="F24" i="46"/>
  <c r="E26" i="46"/>
  <c r="E27" i="46"/>
  <c r="E35" i="46"/>
  <c r="F40" i="46"/>
  <c r="E43" i="46"/>
  <c r="E51" i="46"/>
  <c r="E59" i="46"/>
  <c r="F60" i="46"/>
  <c r="E63" i="46"/>
  <c r="E67" i="46"/>
  <c r="M77" i="46"/>
  <c r="L85" i="46"/>
  <c r="L105" i="46"/>
  <c r="L109" i="46"/>
  <c r="L113" i="46"/>
  <c r="L115" i="46"/>
  <c r="L119" i="46"/>
  <c r="L123" i="46"/>
  <c r="L127" i="46"/>
  <c r="L129" i="46"/>
  <c r="L135" i="46"/>
  <c r="L139" i="46"/>
  <c r="G143" i="46"/>
  <c r="E158" i="46"/>
  <c r="F158" i="46"/>
  <c r="E171" i="46"/>
  <c r="G171" i="46"/>
  <c r="F183" i="46"/>
  <c r="E187" i="46"/>
  <c r="G187" i="46"/>
  <c r="F190" i="46"/>
  <c r="E193" i="46"/>
  <c r="F196" i="46"/>
  <c r="M198" i="46"/>
  <c r="L198" i="46"/>
  <c r="L200" i="46"/>
  <c r="K200" i="46"/>
  <c r="L201" i="46"/>
  <c r="K201" i="46"/>
  <c r="M204" i="46"/>
  <c r="M205" i="46"/>
  <c r="F207" i="46"/>
  <c r="G207" i="46"/>
  <c r="E211" i="46"/>
  <c r="E212" i="46"/>
  <c r="E226" i="46"/>
  <c r="L232" i="46"/>
  <c r="K232" i="46"/>
  <c r="L233" i="46"/>
  <c r="K233" i="46"/>
  <c r="K234" i="46"/>
  <c r="M239" i="46"/>
  <c r="L239" i="46"/>
  <c r="F3" i="46"/>
  <c r="V3" i="46"/>
  <c r="C10" i="48" s="1"/>
  <c r="G10" i="48" s="1"/>
  <c r="L4" i="46"/>
  <c r="S5" i="46"/>
  <c r="M8" i="46"/>
  <c r="F12" i="46"/>
  <c r="F13" i="46"/>
  <c r="E14" i="46"/>
  <c r="E15" i="46"/>
  <c r="M16" i="46"/>
  <c r="F19" i="46"/>
  <c r="E20" i="46"/>
  <c r="E21" i="46"/>
  <c r="M22" i="46"/>
  <c r="F26" i="46"/>
  <c r="F27" i="46"/>
  <c r="E28" i="46"/>
  <c r="E29" i="46"/>
  <c r="M30" i="46"/>
  <c r="M32" i="46"/>
  <c r="E34" i="46"/>
  <c r="F35" i="46"/>
  <c r="E38" i="46"/>
  <c r="F39" i="46"/>
  <c r="E42" i="46"/>
  <c r="F43" i="46"/>
  <c r="E46" i="46"/>
  <c r="F47" i="46"/>
  <c r="E50" i="46"/>
  <c r="F51" i="46"/>
  <c r="E54" i="46"/>
  <c r="F55" i="46"/>
  <c r="E58" i="46"/>
  <c r="F59" i="46"/>
  <c r="E62" i="46"/>
  <c r="F63" i="46"/>
  <c r="E66" i="46"/>
  <c r="F67" i="46"/>
  <c r="F70" i="46"/>
  <c r="E72" i="46"/>
  <c r="E76" i="46"/>
  <c r="E77" i="46"/>
  <c r="E78" i="46"/>
  <c r="S79" i="46"/>
  <c r="L90" i="46"/>
  <c r="L93" i="46"/>
  <c r="L95" i="46"/>
  <c r="L102" i="46"/>
  <c r="L104" i="46"/>
  <c r="F150" i="46"/>
  <c r="F152" i="46"/>
  <c r="G153" i="46"/>
  <c r="G155" i="46"/>
  <c r="G158" i="46"/>
  <c r="F160" i="46"/>
  <c r="F163" i="46"/>
  <c r="G166" i="46"/>
  <c r="F168" i="46"/>
  <c r="F171" i="46"/>
  <c r="E175" i="46"/>
  <c r="G175" i="46"/>
  <c r="E178" i="46"/>
  <c r="G178" i="46"/>
  <c r="F178" i="46"/>
  <c r="F187" i="46"/>
  <c r="M193" i="46"/>
  <c r="L193" i="46"/>
  <c r="K198" i="46"/>
  <c r="M200" i="46"/>
  <c r="M201" i="46"/>
  <c r="F205" i="46"/>
  <c r="G205" i="46"/>
  <c r="E205" i="46"/>
  <c r="F206" i="46"/>
  <c r="E206" i="46"/>
  <c r="E207" i="46"/>
  <c r="E208" i="46"/>
  <c r="M211" i="46"/>
  <c r="L211" i="46"/>
  <c r="L214" i="46"/>
  <c r="K214" i="46"/>
  <c r="K215" i="46"/>
  <c r="F219" i="46"/>
  <c r="G219" i="46"/>
  <c r="E219" i="46"/>
  <c r="F220" i="46"/>
  <c r="E220" i="46"/>
  <c r="E221" i="46"/>
  <c r="E222" i="46"/>
  <c r="M225" i="46"/>
  <c r="L225" i="46"/>
  <c r="L228" i="46"/>
  <c r="K228" i="46"/>
  <c r="K229" i="46"/>
  <c r="M232" i="46"/>
  <c r="M233" i="46"/>
  <c r="L237" i="46"/>
  <c r="K237" i="46"/>
  <c r="K238" i="46"/>
  <c r="K239" i="46"/>
  <c r="M242" i="46"/>
  <c r="F243" i="46"/>
  <c r="G243" i="46"/>
  <c r="M244" i="46"/>
  <c r="L247" i="46"/>
  <c r="K247" i="46"/>
  <c r="M250" i="46"/>
  <c r="L250" i="46"/>
  <c r="M253" i="46"/>
  <c r="L253" i="46"/>
  <c r="E256" i="46"/>
  <c r="F259" i="46"/>
  <c r="G259" i="46"/>
  <c r="M260" i="46"/>
  <c r="L263" i="46"/>
  <c r="K263" i="46"/>
  <c r="S266" i="46"/>
  <c r="M266" i="46"/>
  <c r="L266" i="46"/>
  <c r="M269" i="46"/>
  <c r="L269" i="46"/>
  <c r="F274" i="46"/>
  <c r="E274" i="46"/>
  <c r="F275" i="46"/>
  <c r="G275" i="46"/>
  <c r="K276" i="46"/>
  <c r="M190" i="46"/>
  <c r="M191" i="46"/>
  <c r="M196" i="46"/>
  <c r="M199" i="46"/>
  <c r="M202" i="46"/>
  <c r="M208" i="46"/>
  <c r="M212" i="46"/>
  <c r="M216" i="46"/>
  <c r="M217" i="46"/>
  <c r="M222" i="46"/>
  <c r="M226" i="46"/>
  <c r="M230" i="46"/>
  <c r="M235" i="46"/>
  <c r="M240" i="46"/>
  <c r="M243" i="46"/>
  <c r="M248" i="46"/>
  <c r="M251" i="46"/>
  <c r="M256" i="46"/>
  <c r="M259" i="46"/>
  <c r="M264" i="46"/>
  <c r="M267" i="46"/>
  <c r="L270" i="46"/>
  <c r="F272" i="46"/>
  <c r="E272" i="46"/>
  <c r="S273" i="46"/>
  <c r="L274" i="46"/>
  <c r="F276" i="46"/>
  <c r="E276" i="46"/>
  <c r="L278" i="46"/>
  <c r="F280" i="46"/>
  <c r="G280" i="46"/>
  <c r="E280" i="46"/>
  <c r="F282" i="46"/>
  <c r="G282" i="46"/>
  <c r="E282" i="46"/>
  <c r="F284" i="46"/>
  <c r="G284" i="46"/>
  <c r="E284" i="46"/>
  <c r="F286" i="46"/>
  <c r="G286" i="46"/>
  <c r="E286" i="46"/>
  <c r="F288" i="46"/>
  <c r="G288" i="46"/>
  <c r="E288" i="46"/>
  <c r="F290" i="46"/>
  <c r="G290" i="46"/>
  <c r="E290" i="46"/>
  <c r="F292" i="46"/>
  <c r="G292" i="46"/>
  <c r="E292" i="46"/>
  <c r="F294" i="46"/>
  <c r="G294" i="46"/>
  <c r="E294" i="46"/>
  <c r="F296" i="46"/>
  <c r="G296" i="46"/>
  <c r="E296" i="46"/>
  <c r="F298" i="46"/>
  <c r="G298" i="46"/>
  <c r="E298" i="46"/>
  <c r="F300" i="46"/>
  <c r="G300" i="46"/>
  <c r="E300" i="46"/>
  <c r="S280" i="46"/>
  <c r="M280" i="46"/>
  <c r="L280" i="46"/>
  <c r="M282" i="46"/>
  <c r="L282" i="46"/>
  <c r="M284" i="46"/>
  <c r="L284" i="46"/>
  <c r="S286" i="46"/>
  <c r="M286" i="46"/>
  <c r="L286" i="46"/>
  <c r="M288" i="46"/>
  <c r="L288" i="46"/>
  <c r="M290" i="46"/>
  <c r="L290" i="46"/>
  <c r="M292" i="46"/>
  <c r="L292" i="46"/>
  <c r="M294" i="46"/>
  <c r="L294" i="46"/>
  <c r="M296" i="46"/>
  <c r="L296" i="46"/>
  <c r="K316" i="46"/>
  <c r="S316" i="46" s="1"/>
  <c r="K318" i="46"/>
  <c r="K320" i="46"/>
  <c r="S320" i="46" s="1"/>
  <c r="K322" i="46"/>
  <c r="K324" i="46"/>
  <c r="F327" i="46"/>
  <c r="G327" i="46"/>
  <c r="K329" i="46"/>
  <c r="K330" i="46"/>
  <c r="K334" i="46"/>
  <c r="G338" i="46"/>
  <c r="K339" i="46"/>
  <c r="M342" i="46"/>
  <c r="E348" i="46"/>
  <c r="G352" i="46"/>
  <c r="G360" i="46"/>
  <c r="G369" i="46"/>
  <c r="E369" i="46"/>
  <c r="M371" i="46"/>
  <c r="L371" i="46"/>
  <c r="G377" i="46"/>
  <c r="E377" i="46"/>
  <c r="M386" i="46"/>
  <c r="G394" i="46"/>
  <c r="F394" i="46"/>
  <c r="E394" i="46"/>
  <c r="G401" i="46"/>
  <c r="F401" i="46"/>
  <c r="E401" i="46"/>
  <c r="G424" i="46"/>
  <c r="F424" i="46"/>
  <c r="E424" i="46"/>
  <c r="G440" i="46"/>
  <c r="F440" i="46"/>
  <c r="E440" i="46"/>
  <c r="G446" i="46"/>
  <c r="F446" i="46"/>
  <c r="L455" i="46"/>
  <c r="M455" i="46"/>
  <c r="K455" i="46"/>
  <c r="G461" i="46"/>
  <c r="F461" i="46"/>
  <c r="E461" i="46"/>
  <c r="L464" i="46"/>
  <c r="K464" i="46"/>
  <c r="E490" i="46"/>
  <c r="G490" i="46"/>
  <c r="F490" i="46"/>
  <c r="M532" i="46"/>
  <c r="L532" i="46"/>
  <c r="K532" i="46"/>
  <c r="G560" i="46"/>
  <c r="F560" i="46"/>
  <c r="E560" i="46"/>
  <c r="L298" i="46"/>
  <c r="S298" i="46" s="1"/>
  <c r="L300" i="46"/>
  <c r="E302" i="46"/>
  <c r="L302" i="46"/>
  <c r="S302" i="46" s="1"/>
  <c r="E304" i="46"/>
  <c r="L304" i="46"/>
  <c r="S304" i="46" s="1"/>
  <c r="E306" i="46"/>
  <c r="L306" i="46"/>
  <c r="E308" i="46"/>
  <c r="L308" i="46"/>
  <c r="E310" i="46"/>
  <c r="L310" i="46"/>
  <c r="E312" i="46"/>
  <c r="L312" i="46"/>
  <c r="S312" i="46" s="1"/>
  <c r="E314" i="46"/>
  <c r="L314" i="46"/>
  <c r="E316" i="46"/>
  <c r="L316" i="46"/>
  <c r="E318" i="46"/>
  <c r="L318" i="46"/>
  <c r="E320" i="46"/>
  <c r="L320" i="46"/>
  <c r="E322" i="46"/>
  <c r="L322" i="46"/>
  <c r="E324" i="46"/>
  <c r="L324" i="46"/>
  <c r="M325" i="46"/>
  <c r="E327" i="46"/>
  <c r="F329" i="46"/>
  <c r="G329" i="46"/>
  <c r="L330" i="46"/>
  <c r="L337" i="46"/>
  <c r="K338" i="46"/>
  <c r="L339" i="46"/>
  <c r="K342" i="46"/>
  <c r="G346" i="46"/>
  <c r="K347" i="46"/>
  <c r="G348" i="46"/>
  <c r="E349" i="46"/>
  <c r="K350" i="46"/>
  <c r="M351" i="46"/>
  <c r="E352" i="46"/>
  <c r="G354" i="46"/>
  <c r="E354" i="46"/>
  <c r="G359" i="46"/>
  <c r="E359" i="46"/>
  <c r="E360" i="46"/>
  <c r="G362" i="46"/>
  <c r="E362" i="46"/>
  <c r="G367" i="46"/>
  <c r="E367" i="46"/>
  <c r="M369" i="46"/>
  <c r="L369" i="46"/>
  <c r="K371" i="46"/>
  <c r="G375" i="46"/>
  <c r="E375" i="46"/>
  <c r="M377" i="46"/>
  <c r="L377" i="46"/>
  <c r="G386" i="46"/>
  <c r="F386" i="46"/>
  <c r="L394" i="46"/>
  <c r="M394" i="46"/>
  <c r="G402" i="46"/>
  <c r="F402" i="46"/>
  <c r="E402" i="46"/>
  <c r="G409" i="46"/>
  <c r="F409" i="46"/>
  <c r="E409" i="46"/>
  <c r="G436" i="46"/>
  <c r="F436" i="46"/>
  <c r="E436" i="46"/>
  <c r="L465" i="46"/>
  <c r="M465" i="46"/>
  <c r="K465" i="46"/>
  <c r="K474" i="46"/>
  <c r="M474" i="46"/>
  <c r="F477" i="46"/>
  <c r="G477" i="46"/>
  <c r="E477" i="46"/>
  <c r="M481" i="46"/>
  <c r="K481" i="46"/>
  <c r="L530" i="46"/>
  <c r="K530" i="46"/>
  <c r="M530" i="46"/>
  <c r="G553" i="46"/>
  <c r="F553" i="46"/>
  <c r="G556" i="46"/>
  <c r="F556" i="46"/>
  <c r="E556" i="46"/>
  <c r="S289" i="46"/>
  <c r="S291" i="46"/>
  <c r="M298" i="46"/>
  <c r="S299" i="46"/>
  <c r="M300" i="46"/>
  <c r="G302" i="46"/>
  <c r="M302" i="46"/>
  <c r="G304" i="46"/>
  <c r="M304" i="46"/>
  <c r="G306" i="46"/>
  <c r="M306" i="46"/>
  <c r="K307" i="46"/>
  <c r="S307" i="46" s="1"/>
  <c r="G308" i="46"/>
  <c r="M308" i="46"/>
  <c r="K309" i="46"/>
  <c r="G310" i="46"/>
  <c r="M310" i="46"/>
  <c r="G312" i="46"/>
  <c r="M312" i="46"/>
  <c r="K313" i="46"/>
  <c r="S313" i="46" s="1"/>
  <c r="G314" i="46"/>
  <c r="M314" i="46"/>
  <c r="K315" i="46"/>
  <c r="G316" i="46"/>
  <c r="M316" i="46"/>
  <c r="K317" i="46"/>
  <c r="S317" i="46" s="1"/>
  <c r="G318" i="46"/>
  <c r="M318" i="46"/>
  <c r="K319" i="46"/>
  <c r="G320" i="46"/>
  <c r="M320" i="46"/>
  <c r="K321" i="46"/>
  <c r="G322" i="46"/>
  <c r="M322" i="46"/>
  <c r="G324" i="46"/>
  <c r="M324" i="46"/>
  <c r="K325" i="46"/>
  <c r="K326" i="46"/>
  <c r="M327" i="46"/>
  <c r="M330" i="46"/>
  <c r="F334" i="46"/>
  <c r="G334" i="46"/>
  <c r="S335" i="46"/>
  <c r="M335" i="46"/>
  <c r="S336" i="46"/>
  <c r="L336" i="46"/>
  <c r="M339" i="46"/>
  <c r="L342" i="46"/>
  <c r="L345" i="46"/>
  <c r="K346" i="46"/>
  <c r="L348" i="46"/>
  <c r="G349" i="46"/>
  <c r="S354" i="46"/>
  <c r="M354" i="46"/>
  <c r="L354" i="46"/>
  <c r="L356" i="46"/>
  <c r="K356" i="46"/>
  <c r="M359" i="46"/>
  <c r="L359" i="46"/>
  <c r="M362" i="46"/>
  <c r="L362" i="46"/>
  <c r="L364" i="46"/>
  <c r="K364" i="46"/>
  <c r="M367" i="46"/>
  <c r="L367" i="46"/>
  <c r="K369" i="46"/>
  <c r="G373" i="46"/>
  <c r="E373" i="46"/>
  <c r="M375" i="46"/>
  <c r="L375" i="46"/>
  <c r="K377" i="46"/>
  <c r="G379" i="46"/>
  <c r="G380" i="46"/>
  <c r="E380" i="46"/>
  <c r="E386" i="46"/>
  <c r="L402" i="46"/>
  <c r="M402" i="46"/>
  <c r="G410" i="46"/>
  <c r="F410" i="46"/>
  <c r="E410" i="46"/>
  <c r="G432" i="46"/>
  <c r="F432" i="46"/>
  <c r="E432" i="46"/>
  <c r="G445" i="46"/>
  <c r="F445" i="46"/>
  <c r="K447" i="46"/>
  <c r="L447" i="46"/>
  <c r="F457" i="46"/>
  <c r="G457" i="46"/>
  <c r="E457" i="46"/>
  <c r="L458" i="46"/>
  <c r="K458" i="46"/>
  <c r="E467" i="46"/>
  <c r="G467" i="46"/>
  <c r="F467" i="46"/>
  <c r="K477" i="46"/>
  <c r="M477" i="46"/>
  <c r="E489" i="46"/>
  <c r="G489" i="46"/>
  <c r="F489" i="46"/>
  <c r="F492" i="46"/>
  <c r="E492" i="46"/>
  <c r="G492" i="46"/>
  <c r="G508" i="46"/>
  <c r="F508" i="46"/>
  <c r="E508" i="46"/>
  <c r="G552" i="46"/>
  <c r="F552" i="46"/>
  <c r="S322" i="46"/>
  <c r="K328" i="46"/>
  <c r="S329" i="46"/>
  <c r="M329" i="46"/>
  <c r="K331" i="46"/>
  <c r="M334" i="46"/>
  <c r="F342" i="46"/>
  <c r="G342" i="46"/>
  <c r="M343" i="46"/>
  <c r="L344" i="46"/>
  <c r="G351" i="46"/>
  <c r="L353" i="46"/>
  <c r="K353" i="46"/>
  <c r="G357" i="46"/>
  <c r="L361" i="46"/>
  <c r="K361" i="46"/>
  <c r="G365" i="46"/>
  <c r="G371" i="46"/>
  <c r="E371" i="46"/>
  <c r="M373" i="46"/>
  <c r="L373" i="46"/>
  <c r="L380" i="46"/>
  <c r="M380" i="46"/>
  <c r="G385" i="46"/>
  <c r="F385" i="46"/>
  <c r="G393" i="46"/>
  <c r="F393" i="46"/>
  <c r="E393" i="46"/>
  <c r="G417" i="46"/>
  <c r="F417" i="46"/>
  <c r="E417" i="46"/>
  <c r="G428" i="46"/>
  <c r="F428" i="46"/>
  <c r="E428" i="46"/>
  <c r="G450" i="46"/>
  <c r="F450" i="46"/>
  <c r="L454" i="46"/>
  <c r="K454" i="46"/>
  <c r="F464" i="46"/>
  <c r="G464" i="46"/>
  <c r="E464" i="46"/>
  <c r="M478" i="46"/>
  <c r="K478" i="46"/>
  <c r="F480" i="46"/>
  <c r="G480" i="46"/>
  <c r="E480" i="46"/>
  <c r="M502" i="46"/>
  <c r="K502" i="46"/>
  <c r="M517" i="46"/>
  <c r="K517" i="46"/>
  <c r="F522" i="46"/>
  <c r="G522" i="46"/>
  <c r="M524" i="46"/>
  <c r="L524" i="46"/>
  <c r="K524" i="46"/>
  <c r="G535" i="46"/>
  <c r="E535" i="46"/>
  <c r="M537" i="46"/>
  <c r="L537" i="46"/>
  <c r="K537" i="46"/>
  <c r="M543" i="46"/>
  <c r="L543" i="46"/>
  <c r="K543" i="46"/>
  <c r="G449" i="46"/>
  <c r="F449" i="46"/>
  <c r="L452" i="46"/>
  <c r="E454" i="46"/>
  <c r="G455" i="46"/>
  <c r="G458" i="46"/>
  <c r="L459" i="46"/>
  <c r="K459" i="46"/>
  <c r="G465" i="46"/>
  <c r="F468" i="46"/>
  <c r="L468" i="46"/>
  <c r="K468" i="46"/>
  <c r="L469" i="46"/>
  <c r="E471" i="46"/>
  <c r="E474" i="46"/>
  <c r="G475" i="46"/>
  <c r="M475" i="46"/>
  <c r="G478" i="46"/>
  <c r="K482" i="46"/>
  <c r="F485" i="46"/>
  <c r="K485" i="46"/>
  <c r="M494" i="46"/>
  <c r="K494" i="46"/>
  <c r="F497" i="46"/>
  <c r="E497" i="46"/>
  <c r="G497" i="46"/>
  <c r="G511" i="46"/>
  <c r="F511" i="46"/>
  <c r="E511" i="46"/>
  <c r="M525" i="46"/>
  <c r="L525" i="46"/>
  <c r="M535" i="46"/>
  <c r="L535" i="46"/>
  <c r="K535" i="46"/>
  <c r="G541" i="46"/>
  <c r="E541" i="46"/>
  <c r="G547" i="46"/>
  <c r="E547" i="46"/>
  <c r="K548" i="46"/>
  <c r="L548" i="46"/>
  <c r="K550" i="46"/>
  <c r="L550" i="46"/>
  <c r="E387" i="46"/>
  <c r="E388" i="46"/>
  <c r="M388" i="46"/>
  <c r="E395" i="46"/>
  <c r="E396" i="46"/>
  <c r="M396" i="46"/>
  <c r="E403" i="46"/>
  <c r="E404" i="46"/>
  <c r="M404" i="46"/>
  <c r="E411" i="46"/>
  <c r="E412" i="46"/>
  <c r="E418" i="46"/>
  <c r="E419" i="46"/>
  <c r="E420" i="46"/>
  <c r="E423" i="46"/>
  <c r="E427" i="46"/>
  <c r="E431" i="46"/>
  <c r="E435" i="46"/>
  <c r="E439" i="46"/>
  <c r="L446" i="46"/>
  <c r="G448" i="46"/>
  <c r="F448" i="46"/>
  <c r="K452" i="46"/>
  <c r="F454" i="46"/>
  <c r="E455" i="46"/>
  <c r="E458" i="46"/>
  <c r="E459" i="46"/>
  <c r="M459" i="46"/>
  <c r="K462" i="46"/>
  <c r="L463" i="46"/>
  <c r="K463" i="46"/>
  <c r="S463" i="46" s="1"/>
  <c r="E465" i="46"/>
  <c r="E468" i="46"/>
  <c r="G469" i="46"/>
  <c r="K469" i="46"/>
  <c r="S469" i="46" s="1"/>
  <c r="F471" i="46"/>
  <c r="M472" i="46"/>
  <c r="F474" i="46"/>
  <c r="E475" i="46"/>
  <c r="K475" i="46"/>
  <c r="E478" i="46"/>
  <c r="E479" i="46"/>
  <c r="E482" i="46"/>
  <c r="M482" i="46"/>
  <c r="G483" i="46"/>
  <c r="M483" i="46"/>
  <c r="E485" i="46"/>
  <c r="M485" i="46"/>
  <c r="G486" i="46"/>
  <c r="K486" i="46"/>
  <c r="K487" i="46"/>
  <c r="M492" i="46"/>
  <c r="K492" i="46"/>
  <c r="G495" i="46"/>
  <c r="F495" i="46"/>
  <c r="E495" i="46"/>
  <c r="M497" i="46"/>
  <c r="K497" i="46"/>
  <c r="M500" i="46"/>
  <c r="K500" i="46"/>
  <c r="F505" i="46"/>
  <c r="E505" i="46"/>
  <c r="G505" i="46"/>
  <c r="M511" i="46"/>
  <c r="F517" i="46"/>
  <c r="E517" i="46"/>
  <c r="K525" i="46"/>
  <c r="L527" i="46"/>
  <c r="K527" i="46"/>
  <c r="L531" i="46"/>
  <c r="K531" i="46"/>
  <c r="M531" i="46"/>
  <c r="G539" i="46"/>
  <c r="E539" i="46"/>
  <c r="M541" i="46"/>
  <c r="L541" i="46"/>
  <c r="K541" i="46"/>
  <c r="G558" i="46"/>
  <c r="F558" i="46"/>
  <c r="G561" i="46"/>
  <c r="F561" i="46"/>
  <c r="F562" i="46"/>
  <c r="F568" i="46"/>
  <c r="E353" i="46"/>
  <c r="K355" i="46"/>
  <c r="E356" i="46"/>
  <c r="K358" i="46"/>
  <c r="E361" i="46"/>
  <c r="K363" i="46"/>
  <c r="E364" i="46"/>
  <c r="K366" i="46"/>
  <c r="K368" i="46"/>
  <c r="K370" i="46"/>
  <c r="K372" i="46"/>
  <c r="K374" i="46"/>
  <c r="K376" i="46"/>
  <c r="K378" i="46"/>
  <c r="E381" i="46"/>
  <c r="E382" i="46"/>
  <c r="M382" i="46"/>
  <c r="F387" i="46"/>
  <c r="F388" i="46"/>
  <c r="E389" i="46"/>
  <c r="E390" i="46"/>
  <c r="M390" i="46"/>
  <c r="F395" i="46"/>
  <c r="F396" i="46"/>
  <c r="E397" i="46"/>
  <c r="E398" i="46"/>
  <c r="M398" i="46"/>
  <c r="F403" i="46"/>
  <c r="F404" i="46"/>
  <c r="E405" i="46"/>
  <c r="E406" i="46"/>
  <c r="M406" i="46"/>
  <c r="F411" i="46"/>
  <c r="F412" i="46"/>
  <c r="E413" i="46"/>
  <c r="F418" i="46"/>
  <c r="F419" i="46"/>
  <c r="F420" i="46"/>
  <c r="E421" i="46"/>
  <c r="E422" i="46"/>
  <c r="F423" i="46"/>
  <c r="E426" i="46"/>
  <c r="F427" i="46"/>
  <c r="E430" i="46"/>
  <c r="F431" i="46"/>
  <c r="E434" i="46"/>
  <c r="F435" i="46"/>
  <c r="E438" i="46"/>
  <c r="F439" i="46"/>
  <c r="L441" i="46"/>
  <c r="L442" i="46"/>
  <c r="L443" i="46"/>
  <c r="L444" i="46"/>
  <c r="L445" i="46"/>
  <c r="S445" i="46" s="1"/>
  <c r="G447" i="46"/>
  <c r="F447" i="46"/>
  <c r="L449" i="46"/>
  <c r="G454" i="46"/>
  <c r="F455" i="46"/>
  <c r="L457" i="46"/>
  <c r="M457" i="46"/>
  <c r="F458" i="46"/>
  <c r="F459" i="46"/>
  <c r="F460" i="46"/>
  <c r="L460" i="46"/>
  <c r="K460" i="46"/>
  <c r="L461" i="46"/>
  <c r="E463" i="46"/>
  <c r="M463" i="46"/>
  <c r="F465" i="46"/>
  <c r="K466" i="46"/>
  <c r="L467" i="46"/>
  <c r="K467" i="46"/>
  <c r="G468" i="46"/>
  <c r="E469" i="46"/>
  <c r="M469" i="46"/>
  <c r="G471" i="46"/>
  <c r="F472" i="46"/>
  <c r="K472" i="46"/>
  <c r="G474" i="46"/>
  <c r="F475" i="46"/>
  <c r="F478" i="46"/>
  <c r="F479" i="46"/>
  <c r="M480" i="46"/>
  <c r="F482" i="46"/>
  <c r="E483" i="46"/>
  <c r="K483" i="46"/>
  <c r="G485" i="46"/>
  <c r="E486" i="46"/>
  <c r="M486" i="46"/>
  <c r="E487" i="46"/>
  <c r="M487" i="46"/>
  <c r="G488" i="46"/>
  <c r="K488" i="46"/>
  <c r="K489" i="46"/>
  <c r="M495" i="46"/>
  <c r="F502" i="46"/>
  <c r="E502" i="46"/>
  <c r="G502" i="46"/>
  <c r="M505" i="46"/>
  <c r="K505" i="46"/>
  <c r="K511" i="46"/>
  <c r="G513" i="46"/>
  <c r="F513" i="46"/>
  <c r="F515" i="46"/>
  <c r="E515" i="46"/>
  <c r="G517" i="46"/>
  <c r="M519" i="46"/>
  <c r="K519" i="46"/>
  <c r="M527" i="46"/>
  <c r="F528" i="46"/>
  <c r="G528" i="46"/>
  <c r="E528" i="46"/>
  <c r="G537" i="46"/>
  <c r="E537" i="46"/>
  <c r="M539" i="46"/>
  <c r="L539" i="46"/>
  <c r="K539" i="46"/>
  <c r="G543" i="46"/>
  <c r="E543" i="46"/>
  <c r="S545" i="46"/>
  <c r="M545" i="46"/>
  <c r="L545" i="46"/>
  <c r="K549" i="46"/>
  <c r="L549" i="46"/>
  <c r="K551" i="46"/>
  <c r="M551" i="46"/>
  <c r="L551" i="46"/>
  <c r="E558" i="46"/>
  <c r="E561" i="46"/>
  <c r="G566" i="46"/>
  <c r="F566" i="46"/>
  <c r="M490" i="46"/>
  <c r="K490" i="46"/>
  <c r="F494" i="46"/>
  <c r="E494" i="46"/>
  <c r="F500" i="46"/>
  <c r="E500" i="46"/>
  <c r="S508" i="46"/>
  <c r="M508" i="46"/>
  <c r="S513" i="46"/>
  <c r="M513" i="46"/>
  <c r="M515" i="46"/>
  <c r="K515" i="46"/>
  <c r="F519" i="46"/>
  <c r="E519" i="46"/>
  <c r="L526" i="46"/>
  <c r="K526" i="46"/>
  <c r="F532" i="46"/>
  <c r="G532" i="46"/>
  <c r="L534" i="46"/>
  <c r="K534" i="46"/>
  <c r="G545" i="46"/>
  <c r="E545" i="46"/>
  <c r="M547" i="46"/>
  <c r="L547" i="46"/>
  <c r="G557" i="46"/>
  <c r="F557" i="46"/>
  <c r="E557" i="46"/>
  <c r="G559" i="46"/>
  <c r="F559" i="46"/>
  <c r="G491" i="46"/>
  <c r="G493" i="46"/>
  <c r="G501" i="46"/>
  <c r="G503" i="46"/>
  <c r="G506" i="46"/>
  <c r="G514" i="46"/>
  <c r="G516" i="46"/>
  <c r="G518" i="46"/>
  <c r="G520" i="46"/>
  <c r="M522" i="46"/>
  <c r="M523" i="46"/>
  <c r="M528" i="46"/>
  <c r="E496" i="46"/>
  <c r="K496" i="46"/>
  <c r="S496" i="46" s="1"/>
  <c r="E499" i="46"/>
  <c r="K499" i="46"/>
  <c r="E504" i="46"/>
  <c r="K504" i="46"/>
  <c r="E507" i="46"/>
  <c r="K507" i="46"/>
  <c r="E510" i="46"/>
  <c r="K510" i="46"/>
  <c r="E512" i="46"/>
  <c r="K512" i="46"/>
  <c r="E530" i="46"/>
  <c r="K542" i="46"/>
  <c r="K544" i="46"/>
  <c r="K546" i="46"/>
  <c r="S546" i="46" s="1"/>
  <c r="L552" i="46"/>
  <c r="E554" i="46"/>
  <c r="E555" i="46"/>
  <c r="F563" i="46"/>
  <c r="F565" i="46"/>
  <c r="F567" i="46"/>
  <c r="F4" i="46"/>
  <c r="F6" i="46"/>
  <c r="F7" i="46"/>
  <c r="F5" i="46"/>
  <c r="F8" i="46"/>
  <c r="G3" i="46"/>
  <c r="L3" i="46"/>
  <c r="M4" i="46"/>
  <c r="M5" i="46"/>
  <c r="M6" i="46"/>
  <c r="M7" i="46"/>
  <c r="L9" i="46"/>
  <c r="K9" i="46"/>
  <c r="L11" i="46"/>
  <c r="K11" i="46"/>
  <c r="L13" i="46"/>
  <c r="K13" i="46"/>
  <c r="L15" i="46"/>
  <c r="K15" i="46"/>
  <c r="L17" i="46"/>
  <c r="K17" i="46"/>
  <c r="L19" i="46"/>
  <c r="K19" i="46"/>
  <c r="L21" i="46"/>
  <c r="K21" i="46"/>
  <c r="L23" i="46"/>
  <c r="K23" i="46"/>
  <c r="L25" i="46"/>
  <c r="K25" i="46"/>
  <c r="L27" i="46"/>
  <c r="K27" i="46"/>
  <c r="L29" i="46"/>
  <c r="K29" i="46"/>
  <c r="L31" i="46"/>
  <c r="K31" i="46"/>
  <c r="E4" i="46"/>
  <c r="E5" i="46"/>
  <c r="E6" i="46"/>
  <c r="E7" i="46"/>
  <c r="E8" i="46"/>
  <c r="L8" i="46"/>
  <c r="K8" i="46"/>
  <c r="S8" i="46" s="1"/>
  <c r="L10" i="46"/>
  <c r="K10" i="46"/>
  <c r="L12" i="46"/>
  <c r="K12" i="46"/>
  <c r="S12" i="46" s="1"/>
  <c r="L14" i="46"/>
  <c r="K14" i="46"/>
  <c r="L16" i="46"/>
  <c r="K16" i="46"/>
  <c r="L18" i="46"/>
  <c r="K18" i="46"/>
  <c r="S18" i="46" s="1"/>
  <c r="L20" i="46"/>
  <c r="K20" i="46"/>
  <c r="L22" i="46"/>
  <c r="K22" i="46"/>
  <c r="L24" i="46"/>
  <c r="K24" i="46"/>
  <c r="L26" i="46"/>
  <c r="K26" i="46"/>
  <c r="L28" i="46"/>
  <c r="K28" i="46"/>
  <c r="L30" i="46"/>
  <c r="K30" i="46"/>
  <c r="E79" i="46"/>
  <c r="E80" i="46"/>
  <c r="M80" i="46"/>
  <c r="K80" i="46"/>
  <c r="S80" i="46" s="1"/>
  <c r="F82" i="46"/>
  <c r="E83" i="46"/>
  <c r="G83" i="46"/>
  <c r="L83" i="46"/>
  <c r="M84" i="46"/>
  <c r="K84" i="46"/>
  <c r="F86" i="46"/>
  <c r="E90" i="46"/>
  <c r="G90" i="46"/>
  <c r="F90" i="46"/>
  <c r="E94" i="46"/>
  <c r="G94" i="46"/>
  <c r="F94" i="46"/>
  <c r="E98" i="46"/>
  <c r="G98" i="46"/>
  <c r="F98" i="46"/>
  <c r="E102" i="46"/>
  <c r="G102" i="46"/>
  <c r="F102" i="46"/>
  <c r="E106" i="46"/>
  <c r="G106" i="46"/>
  <c r="F106" i="46"/>
  <c r="G9" i="46"/>
  <c r="G10" i="46"/>
  <c r="G11" i="46"/>
  <c r="G12" i="46"/>
  <c r="G13" i="46"/>
  <c r="G14" i="46"/>
  <c r="G15" i="46"/>
  <c r="G16" i="46"/>
  <c r="G17" i="46"/>
  <c r="G18" i="46"/>
  <c r="G19" i="46"/>
  <c r="G20" i="46"/>
  <c r="G21" i="46"/>
  <c r="G22" i="46"/>
  <c r="G23" i="46"/>
  <c r="G24" i="46"/>
  <c r="G25" i="46"/>
  <c r="G26" i="46"/>
  <c r="G27" i="46"/>
  <c r="G28" i="46"/>
  <c r="G29" i="46"/>
  <c r="G30" i="46"/>
  <c r="G31" i="46"/>
  <c r="G32" i="46"/>
  <c r="K32" i="46"/>
  <c r="G33" i="46"/>
  <c r="K33" i="46"/>
  <c r="G34" i="46"/>
  <c r="K34" i="46"/>
  <c r="G35" i="46"/>
  <c r="K35" i="46"/>
  <c r="G36" i="46"/>
  <c r="K36" i="46"/>
  <c r="G37" i="46"/>
  <c r="K37" i="46"/>
  <c r="G38" i="46"/>
  <c r="K38" i="46"/>
  <c r="G39" i="46"/>
  <c r="K39" i="46"/>
  <c r="G40" i="46"/>
  <c r="K40" i="46"/>
  <c r="G41" i="46"/>
  <c r="K41" i="46"/>
  <c r="G42" i="46"/>
  <c r="K42" i="46"/>
  <c r="G43" i="46"/>
  <c r="K43" i="46"/>
  <c r="G44" i="46"/>
  <c r="K44" i="46"/>
  <c r="G45" i="46"/>
  <c r="K45" i="46"/>
  <c r="G46" i="46"/>
  <c r="K46" i="46"/>
  <c r="G47" i="46"/>
  <c r="K47" i="46"/>
  <c r="G48" i="46"/>
  <c r="K48" i="46"/>
  <c r="G49" i="46"/>
  <c r="K49" i="46"/>
  <c r="G50" i="46"/>
  <c r="K50" i="46"/>
  <c r="G51" i="46"/>
  <c r="K51" i="46"/>
  <c r="G52" i="46"/>
  <c r="K52" i="46"/>
  <c r="G53" i="46"/>
  <c r="K53" i="46"/>
  <c r="G54" i="46"/>
  <c r="K54" i="46"/>
  <c r="G55" i="46"/>
  <c r="K55" i="46"/>
  <c r="G56" i="46"/>
  <c r="K56" i="46"/>
  <c r="G57" i="46"/>
  <c r="K57" i="46"/>
  <c r="G58" i="46"/>
  <c r="K58" i="46"/>
  <c r="G59" i="46"/>
  <c r="K59" i="46"/>
  <c r="G60" i="46"/>
  <c r="K60" i="46"/>
  <c r="G61" i="46"/>
  <c r="K61" i="46"/>
  <c r="G62" i="46"/>
  <c r="K62" i="46"/>
  <c r="G63" i="46"/>
  <c r="K63" i="46"/>
  <c r="G64" i="46"/>
  <c r="K64" i="46"/>
  <c r="G65" i="46"/>
  <c r="K65" i="46"/>
  <c r="G66" i="46"/>
  <c r="K66" i="46"/>
  <c r="G67" i="46"/>
  <c r="K67" i="46"/>
  <c r="G68" i="46"/>
  <c r="K68" i="46"/>
  <c r="G69" i="46"/>
  <c r="K69" i="46"/>
  <c r="G70" i="46"/>
  <c r="K70" i="46"/>
  <c r="G71" i="46"/>
  <c r="L71" i="46"/>
  <c r="F72" i="46"/>
  <c r="L72" i="46"/>
  <c r="F73" i="46"/>
  <c r="L73" i="46"/>
  <c r="F74" i="46"/>
  <c r="L74" i="46"/>
  <c r="F75" i="46"/>
  <c r="L75" i="46"/>
  <c r="F76" i="46"/>
  <c r="L76" i="46"/>
  <c r="F77" i="46"/>
  <c r="L77" i="46"/>
  <c r="F78" i="46"/>
  <c r="L78" i="46"/>
  <c r="F79" i="46"/>
  <c r="L79" i="46"/>
  <c r="F80" i="46"/>
  <c r="L80" i="46"/>
  <c r="M81" i="46"/>
  <c r="K81" i="46"/>
  <c r="S81" i="46" s="1"/>
  <c r="F83" i="46"/>
  <c r="E84" i="46"/>
  <c r="G84" i="46"/>
  <c r="L84" i="46"/>
  <c r="S84" i="46"/>
  <c r="M85" i="46"/>
  <c r="K85" i="46"/>
  <c r="E89" i="46"/>
  <c r="G89" i="46"/>
  <c r="F89" i="46"/>
  <c r="E93" i="46"/>
  <c r="G93" i="46"/>
  <c r="F93" i="46"/>
  <c r="E97" i="46"/>
  <c r="G97" i="46"/>
  <c r="F97" i="46"/>
  <c r="E101" i="46"/>
  <c r="G101" i="46"/>
  <c r="F101" i="46"/>
  <c r="E105" i="46"/>
  <c r="G105" i="46"/>
  <c r="F105" i="46"/>
  <c r="L33" i="46"/>
  <c r="L34" i="46"/>
  <c r="L35" i="46"/>
  <c r="L36" i="46"/>
  <c r="L37" i="46"/>
  <c r="L38" i="46"/>
  <c r="L39" i="46"/>
  <c r="L40" i="46"/>
  <c r="L41" i="46"/>
  <c r="L42" i="46"/>
  <c r="L43" i="46"/>
  <c r="L44" i="46"/>
  <c r="L45" i="46"/>
  <c r="L46" i="46"/>
  <c r="L47" i="46"/>
  <c r="L48" i="46"/>
  <c r="L49" i="46"/>
  <c r="L50" i="46"/>
  <c r="L51" i="46"/>
  <c r="L52" i="46"/>
  <c r="L53" i="46"/>
  <c r="L54" i="46"/>
  <c r="L55" i="46"/>
  <c r="L56" i="46"/>
  <c r="L57" i="46"/>
  <c r="L58" i="46"/>
  <c r="L59" i="46"/>
  <c r="L60" i="46"/>
  <c r="L61" i="46"/>
  <c r="L62" i="46"/>
  <c r="L63" i="46"/>
  <c r="L64" i="46"/>
  <c r="L65" i="46"/>
  <c r="L66" i="46"/>
  <c r="L67" i="46"/>
  <c r="L68" i="46"/>
  <c r="L69" i="46"/>
  <c r="L70" i="46"/>
  <c r="M71" i="46"/>
  <c r="M72" i="46"/>
  <c r="M73" i="46"/>
  <c r="M74" i="46"/>
  <c r="M75" i="46"/>
  <c r="E81" i="46"/>
  <c r="G81" i="46"/>
  <c r="M82" i="46"/>
  <c r="K82" i="46"/>
  <c r="E85" i="46"/>
  <c r="G85" i="46"/>
  <c r="E88" i="46"/>
  <c r="G88" i="46"/>
  <c r="F88" i="46"/>
  <c r="E92" i="46"/>
  <c r="G92" i="46"/>
  <c r="F92" i="46"/>
  <c r="E96" i="46"/>
  <c r="G96" i="46"/>
  <c r="F96" i="46"/>
  <c r="E100" i="46"/>
  <c r="G100" i="46"/>
  <c r="F100" i="46"/>
  <c r="E104" i="46"/>
  <c r="G104" i="46"/>
  <c r="F104" i="46"/>
  <c r="F81" i="46"/>
  <c r="E82" i="46"/>
  <c r="G82" i="46"/>
  <c r="L82" i="46"/>
  <c r="M83" i="46"/>
  <c r="K83" i="46"/>
  <c r="F85" i="46"/>
  <c r="E86" i="46"/>
  <c r="G86" i="46"/>
  <c r="E87" i="46"/>
  <c r="G87" i="46"/>
  <c r="F87" i="46"/>
  <c r="E91" i="46"/>
  <c r="G91" i="46"/>
  <c r="F91" i="46"/>
  <c r="E95" i="46"/>
  <c r="G95" i="46"/>
  <c r="F95" i="46"/>
  <c r="E99" i="46"/>
  <c r="G99" i="46"/>
  <c r="F99" i="46"/>
  <c r="E103" i="46"/>
  <c r="G103" i="46"/>
  <c r="F103" i="46"/>
  <c r="E107" i="46"/>
  <c r="G107" i="46"/>
  <c r="F107" i="46"/>
  <c r="F108" i="46"/>
  <c r="F109" i="46"/>
  <c r="F110" i="46"/>
  <c r="F111" i="46"/>
  <c r="F112" i="46"/>
  <c r="F113" i="46"/>
  <c r="F114" i="46"/>
  <c r="F115" i="46"/>
  <c r="F116" i="46"/>
  <c r="F117" i="46"/>
  <c r="F118" i="46"/>
  <c r="F119" i="46"/>
  <c r="F120" i="46"/>
  <c r="F121" i="46"/>
  <c r="F122" i="46"/>
  <c r="F123" i="46"/>
  <c r="F124" i="46"/>
  <c r="F125" i="46"/>
  <c r="F126" i="46"/>
  <c r="F127" i="46"/>
  <c r="F128" i="46"/>
  <c r="F129" i="46"/>
  <c r="F130" i="46"/>
  <c r="F131" i="46"/>
  <c r="F132" i="46"/>
  <c r="F133" i="46"/>
  <c r="F134" i="46"/>
  <c r="F135" i="46"/>
  <c r="F136" i="46"/>
  <c r="F137" i="46"/>
  <c r="F138" i="46"/>
  <c r="F139" i="46"/>
  <c r="F140" i="46"/>
  <c r="F141" i="46"/>
  <c r="F142" i="46"/>
  <c r="M145" i="46"/>
  <c r="L145" i="46"/>
  <c r="M149" i="46"/>
  <c r="L149" i="46"/>
  <c r="M153" i="46"/>
  <c r="L153" i="46"/>
  <c r="K157" i="46"/>
  <c r="M157" i="46"/>
  <c r="L157" i="46"/>
  <c r="K158" i="46"/>
  <c r="M158" i="46"/>
  <c r="L158" i="46"/>
  <c r="K159" i="46"/>
  <c r="M159" i="46"/>
  <c r="L159" i="46"/>
  <c r="K160" i="46"/>
  <c r="M160" i="46"/>
  <c r="L160" i="46"/>
  <c r="K161" i="46"/>
  <c r="M161" i="46"/>
  <c r="L161" i="46"/>
  <c r="K162" i="46"/>
  <c r="M162" i="46"/>
  <c r="L162" i="46"/>
  <c r="K86" i="46"/>
  <c r="K87" i="46"/>
  <c r="K88" i="46"/>
  <c r="K89" i="46"/>
  <c r="K90" i="46"/>
  <c r="K91" i="46"/>
  <c r="K92" i="46"/>
  <c r="K93" i="46"/>
  <c r="K94" i="46"/>
  <c r="K95" i="46"/>
  <c r="K96" i="46"/>
  <c r="K97" i="46"/>
  <c r="K98" i="46"/>
  <c r="K99" i="46"/>
  <c r="K100" i="46"/>
  <c r="K101" i="46"/>
  <c r="K102" i="46"/>
  <c r="K103" i="46"/>
  <c r="K104" i="46"/>
  <c r="K105" i="46"/>
  <c r="K106" i="46"/>
  <c r="K107" i="46"/>
  <c r="G108" i="46"/>
  <c r="K108" i="46"/>
  <c r="G109" i="46"/>
  <c r="K109" i="46"/>
  <c r="G110" i="46"/>
  <c r="K110" i="46"/>
  <c r="G111" i="46"/>
  <c r="K111" i="46"/>
  <c r="G112" i="46"/>
  <c r="K112" i="46"/>
  <c r="G113" i="46"/>
  <c r="K113" i="46"/>
  <c r="G114" i="46"/>
  <c r="K114" i="46"/>
  <c r="G115" i="46"/>
  <c r="K115" i="46"/>
  <c r="G116" i="46"/>
  <c r="K116" i="46"/>
  <c r="G117" i="46"/>
  <c r="K117" i="46"/>
  <c r="G118" i="46"/>
  <c r="K118" i="46"/>
  <c r="G119" i="46"/>
  <c r="K119" i="46"/>
  <c r="G120" i="46"/>
  <c r="K120" i="46"/>
  <c r="G121" i="46"/>
  <c r="K121" i="46"/>
  <c r="G122" i="46"/>
  <c r="K122" i="46"/>
  <c r="G123" i="46"/>
  <c r="K123" i="46"/>
  <c r="G124" i="46"/>
  <c r="K124" i="46"/>
  <c r="G125" i="46"/>
  <c r="K125" i="46"/>
  <c r="G126" i="46"/>
  <c r="K126" i="46"/>
  <c r="G127" i="46"/>
  <c r="K127" i="46"/>
  <c r="G128" i="46"/>
  <c r="K128" i="46"/>
  <c r="G129" i="46"/>
  <c r="K129" i="46"/>
  <c r="G130" i="46"/>
  <c r="K130" i="46"/>
  <c r="G131" i="46"/>
  <c r="K131" i="46"/>
  <c r="G132" i="46"/>
  <c r="K132" i="46"/>
  <c r="G133" i="46"/>
  <c r="K133" i="46"/>
  <c r="G134" i="46"/>
  <c r="K134" i="46"/>
  <c r="G135" i="46"/>
  <c r="K135" i="46"/>
  <c r="G136" i="46"/>
  <c r="K136" i="46"/>
  <c r="G137" i="46"/>
  <c r="K137" i="46"/>
  <c r="G138" i="46"/>
  <c r="K138" i="46"/>
  <c r="G139" i="46"/>
  <c r="K139" i="46"/>
  <c r="G140" i="46"/>
  <c r="K140" i="46"/>
  <c r="G141" i="46"/>
  <c r="K141" i="46"/>
  <c r="G142" i="46"/>
  <c r="K142" i="46"/>
  <c r="M144" i="46"/>
  <c r="L144" i="46"/>
  <c r="K145" i="46"/>
  <c r="M148" i="46"/>
  <c r="L148" i="46"/>
  <c r="K149" i="46"/>
  <c r="M152" i="46"/>
  <c r="L152" i="46"/>
  <c r="K153" i="46"/>
  <c r="M156" i="46"/>
  <c r="L156" i="46"/>
  <c r="S267" i="46"/>
  <c r="L140" i="46"/>
  <c r="L141" i="46"/>
  <c r="L142" i="46"/>
  <c r="M143" i="46"/>
  <c r="L143" i="46"/>
  <c r="M147" i="46"/>
  <c r="L147" i="46"/>
  <c r="M151" i="46"/>
  <c r="L151" i="46"/>
  <c r="K152" i="46"/>
  <c r="M155" i="46"/>
  <c r="L155" i="46"/>
  <c r="K156" i="46"/>
  <c r="F143" i="46"/>
  <c r="K143" i="46"/>
  <c r="M146" i="46"/>
  <c r="L146" i="46"/>
  <c r="K147" i="46"/>
  <c r="M150" i="46"/>
  <c r="L150" i="46"/>
  <c r="K151" i="46"/>
  <c r="S151" i="46" s="1"/>
  <c r="M154" i="46"/>
  <c r="L154" i="46"/>
  <c r="K155" i="46"/>
  <c r="L163" i="46"/>
  <c r="L164" i="46"/>
  <c r="L165" i="46"/>
  <c r="L166" i="46"/>
  <c r="L167" i="46"/>
  <c r="L168" i="46"/>
  <c r="L169" i="46"/>
  <c r="L170" i="46"/>
  <c r="L171" i="46"/>
  <c r="L172" i="46"/>
  <c r="L173" i="46"/>
  <c r="L174" i="46"/>
  <c r="L175" i="46"/>
  <c r="L176" i="46"/>
  <c r="L177" i="46"/>
  <c r="L178" i="46"/>
  <c r="L179" i="46"/>
  <c r="L180" i="46"/>
  <c r="L181" i="46"/>
  <c r="L182" i="46"/>
  <c r="L183" i="46"/>
  <c r="L184" i="46"/>
  <c r="L185" i="46"/>
  <c r="L186" i="46"/>
  <c r="L187" i="46"/>
  <c r="L188" i="46"/>
  <c r="L189" i="46"/>
  <c r="E190" i="46"/>
  <c r="E192" i="46"/>
  <c r="E194" i="46"/>
  <c r="E196" i="46"/>
  <c r="E198" i="46"/>
  <c r="E200" i="46"/>
  <c r="E202" i="46"/>
  <c r="M163" i="46"/>
  <c r="M164" i="46"/>
  <c r="M165" i="46"/>
  <c r="M166" i="46"/>
  <c r="M167" i="46"/>
  <c r="M168" i="46"/>
  <c r="M169" i="46"/>
  <c r="M170" i="46"/>
  <c r="M171" i="46"/>
  <c r="M172" i="46"/>
  <c r="M173" i="46"/>
  <c r="M174" i="46"/>
  <c r="M175" i="46"/>
  <c r="M176" i="46"/>
  <c r="M177" i="46"/>
  <c r="M178" i="46"/>
  <c r="M179" i="46"/>
  <c r="M180" i="46"/>
  <c r="M181" i="46"/>
  <c r="M182" i="46"/>
  <c r="M183" i="46"/>
  <c r="M184" i="46"/>
  <c r="M185" i="46"/>
  <c r="M186" i="46"/>
  <c r="M187" i="46"/>
  <c r="M188" i="46"/>
  <c r="M189" i="46"/>
  <c r="G190" i="46"/>
  <c r="G192" i="46"/>
  <c r="G194" i="46"/>
  <c r="G196" i="46"/>
  <c r="G198" i="46"/>
  <c r="G200" i="46"/>
  <c r="G202" i="46"/>
  <c r="G204" i="46"/>
  <c r="G206" i="46"/>
  <c r="G208" i="46"/>
  <c r="G210" i="46"/>
  <c r="G212" i="46"/>
  <c r="G214" i="46"/>
  <c r="G216" i="46"/>
  <c r="G218" i="46"/>
  <c r="G220" i="46"/>
  <c r="G222" i="46"/>
  <c r="G224" i="46"/>
  <c r="G226" i="46"/>
  <c r="G228" i="46"/>
  <c r="G230" i="46"/>
  <c r="G232" i="46"/>
  <c r="G234" i="46"/>
  <c r="G236" i="46"/>
  <c r="G238" i="46"/>
  <c r="G240" i="46"/>
  <c r="G242" i="46"/>
  <c r="S271" i="46"/>
  <c r="S293" i="46"/>
  <c r="S165" i="46"/>
  <c r="S168" i="46"/>
  <c r="S171" i="46"/>
  <c r="S178" i="46"/>
  <c r="K189" i="46"/>
  <c r="S189" i="46" s="1"/>
  <c r="S276" i="46"/>
  <c r="S300" i="46"/>
  <c r="S306" i="46"/>
  <c r="F347" i="46"/>
  <c r="E331" i="46"/>
  <c r="E333" i="46"/>
  <c r="E335" i="46"/>
  <c r="E337" i="46"/>
  <c r="E339" i="46"/>
  <c r="E341" i="46"/>
  <c r="E343" i="46"/>
  <c r="E345" i="46"/>
  <c r="E347" i="46"/>
  <c r="G331" i="46"/>
  <c r="G333" i="46"/>
  <c r="G335" i="46"/>
  <c r="G337" i="46"/>
  <c r="G339" i="46"/>
  <c r="G341" i="46"/>
  <c r="G343" i="46"/>
  <c r="G345" i="46"/>
  <c r="G347" i="46"/>
  <c r="E332" i="46"/>
  <c r="E334" i="46"/>
  <c r="E336" i="46"/>
  <c r="E338" i="46"/>
  <c r="E340" i="46"/>
  <c r="E342" i="46"/>
  <c r="E344" i="46"/>
  <c r="E346" i="46"/>
  <c r="L414" i="46"/>
  <c r="K414" i="46"/>
  <c r="M414" i="46"/>
  <c r="L418" i="46"/>
  <c r="K418" i="46"/>
  <c r="M418" i="46"/>
  <c r="F348" i="46"/>
  <c r="F349" i="46"/>
  <c r="F350" i="46"/>
  <c r="F351" i="46"/>
  <c r="F352" i="46"/>
  <c r="F353" i="46"/>
  <c r="F354" i="46"/>
  <c r="F355" i="46"/>
  <c r="F356" i="46"/>
  <c r="F357" i="46"/>
  <c r="F358" i="46"/>
  <c r="F359" i="46"/>
  <c r="F360" i="46"/>
  <c r="F361" i="46"/>
  <c r="F362" i="46"/>
  <c r="F363" i="46"/>
  <c r="F364" i="46"/>
  <c r="F365" i="46"/>
  <c r="F366" i="46"/>
  <c r="F367" i="46"/>
  <c r="F368" i="46"/>
  <c r="F369" i="46"/>
  <c r="F370" i="46"/>
  <c r="F371" i="46"/>
  <c r="F372" i="46"/>
  <c r="F373" i="46"/>
  <c r="F374" i="46"/>
  <c r="F375" i="46"/>
  <c r="F376" i="46"/>
  <c r="F377" i="46"/>
  <c r="F378" i="46"/>
  <c r="F379" i="46"/>
  <c r="F380" i="46"/>
  <c r="S380" i="46"/>
  <c r="K381" i="46"/>
  <c r="K383" i="46"/>
  <c r="K385" i="46"/>
  <c r="K387" i="46"/>
  <c r="K389" i="46"/>
  <c r="K391" i="46"/>
  <c r="K393" i="46"/>
  <c r="K395" i="46"/>
  <c r="K397" i="46"/>
  <c r="K399" i="46"/>
  <c r="K401" i="46"/>
  <c r="K403" i="46"/>
  <c r="K405" i="46"/>
  <c r="K407" i="46"/>
  <c r="K409" i="46"/>
  <c r="L410" i="46"/>
  <c r="M410" i="46"/>
  <c r="L411" i="46"/>
  <c r="K411" i="46"/>
  <c r="M411" i="46"/>
  <c r="L415" i="46"/>
  <c r="K415" i="46"/>
  <c r="M415" i="46"/>
  <c r="L419" i="46"/>
  <c r="K419" i="46"/>
  <c r="M419" i="46"/>
  <c r="K423" i="46"/>
  <c r="M423" i="46"/>
  <c r="L423" i="46"/>
  <c r="M381" i="46"/>
  <c r="M383" i="46"/>
  <c r="M385" i="46"/>
  <c r="M387" i="46"/>
  <c r="M389" i="46"/>
  <c r="M391" i="46"/>
  <c r="M393" i="46"/>
  <c r="M395" i="46"/>
  <c r="M397" i="46"/>
  <c r="M399" i="46"/>
  <c r="M401" i="46"/>
  <c r="M403" i="46"/>
  <c r="M405" i="46"/>
  <c r="M407" i="46"/>
  <c r="M409" i="46"/>
  <c r="K410" i="46"/>
  <c r="S410" i="46" s="1"/>
  <c r="L412" i="46"/>
  <c r="K412" i="46"/>
  <c r="M412" i="46"/>
  <c r="L416" i="46"/>
  <c r="K416" i="46"/>
  <c r="M416" i="46"/>
  <c r="L420" i="46"/>
  <c r="K420" i="46"/>
  <c r="S420" i="46" s="1"/>
  <c r="M420" i="46"/>
  <c r="K422" i="46"/>
  <c r="M422" i="46"/>
  <c r="L422" i="46"/>
  <c r="K382" i="46"/>
  <c r="K384" i="46"/>
  <c r="K386" i="46"/>
  <c r="K388" i="46"/>
  <c r="K390" i="46"/>
  <c r="K392" i="46"/>
  <c r="K394" i="46"/>
  <c r="K396" i="46"/>
  <c r="K398" i="46"/>
  <c r="K400" i="46"/>
  <c r="K402" i="46"/>
  <c r="K404" i="46"/>
  <c r="K406" i="46"/>
  <c r="K408" i="46"/>
  <c r="L413" i="46"/>
  <c r="K413" i="46"/>
  <c r="M413" i="46"/>
  <c r="L417" i="46"/>
  <c r="K417" i="46"/>
  <c r="M417" i="46"/>
  <c r="K421" i="46"/>
  <c r="M421" i="46"/>
  <c r="L421" i="46"/>
  <c r="S425" i="46"/>
  <c r="S427" i="46"/>
  <c r="S430" i="46"/>
  <c r="S433" i="46"/>
  <c r="S435" i="46"/>
  <c r="K450" i="46"/>
  <c r="M450" i="46"/>
  <c r="E445" i="46"/>
  <c r="E446" i="46"/>
  <c r="E447" i="46"/>
  <c r="E448" i="46"/>
  <c r="E449" i="46"/>
  <c r="E450" i="46"/>
  <c r="L450" i="46"/>
  <c r="K451" i="46"/>
  <c r="M451" i="46"/>
  <c r="S456" i="46"/>
  <c r="L424" i="46"/>
  <c r="S424" i="46" s="1"/>
  <c r="L425" i="46"/>
  <c r="L426" i="46"/>
  <c r="L427" i="46"/>
  <c r="L428" i="46"/>
  <c r="S428" i="46" s="1"/>
  <c r="L429" i="46"/>
  <c r="L430" i="46"/>
  <c r="L431" i="46"/>
  <c r="L432" i="46"/>
  <c r="L433" i="46"/>
  <c r="L434" i="46"/>
  <c r="L435" i="46"/>
  <c r="L436" i="46"/>
  <c r="S436" i="46" s="1"/>
  <c r="L437" i="46"/>
  <c r="L438" i="46"/>
  <c r="L439" i="46"/>
  <c r="L440" i="46"/>
  <c r="S440" i="46" s="1"/>
  <c r="G451" i="46"/>
  <c r="E451" i="46"/>
  <c r="M424" i="46"/>
  <c r="M425" i="46"/>
  <c r="M426" i="46"/>
  <c r="M427" i="46"/>
  <c r="M428" i="46"/>
  <c r="M429" i="46"/>
  <c r="M430" i="46"/>
  <c r="M431" i="46"/>
  <c r="M432" i="46"/>
  <c r="M433" i="46"/>
  <c r="M434" i="46"/>
  <c r="M435" i="46"/>
  <c r="M436" i="46"/>
  <c r="M437" i="46"/>
  <c r="M438" i="46"/>
  <c r="M439" i="46"/>
  <c r="M440" i="46"/>
  <c r="M441" i="46"/>
  <c r="M442" i="46"/>
  <c r="M443" i="46"/>
  <c r="M444" i="46"/>
  <c r="S444" i="46"/>
  <c r="M445" i="46"/>
  <c r="M446" i="46"/>
  <c r="M447" i="46"/>
  <c r="M448" i="46"/>
  <c r="S448" i="46"/>
  <c r="M449" i="46"/>
  <c r="F451" i="46"/>
  <c r="S451" i="46"/>
  <c r="G452" i="46"/>
  <c r="E452" i="46"/>
  <c r="S453" i="46"/>
  <c r="M452" i="46"/>
  <c r="M454" i="46"/>
  <c r="M456" i="46"/>
  <c r="M458" i="46"/>
  <c r="M460" i="46"/>
  <c r="M462" i="46"/>
  <c r="M464" i="46"/>
  <c r="M466" i="46"/>
  <c r="M468" i="46"/>
  <c r="M470" i="46"/>
  <c r="S538" i="46"/>
  <c r="S542" i="46"/>
  <c r="L471" i="46"/>
  <c r="L472" i="46"/>
  <c r="L473" i="46"/>
  <c r="S473" i="46" s="1"/>
  <c r="L474" i="46"/>
  <c r="L475" i="46"/>
  <c r="L476" i="46"/>
  <c r="L477" i="46"/>
  <c r="L478" i="46"/>
  <c r="L479" i="46"/>
  <c r="L480" i="46"/>
  <c r="L481" i="46"/>
  <c r="L482" i="46"/>
  <c r="L483" i="46"/>
  <c r="L484" i="46"/>
  <c r="L485" i="46"/>
  <c r="L486" i="46"/>
  <c r="L487" i="46"/>
  <c r="L488" i="46"/>
  <c r="L489" i="46"/>
  <c r="L490" i="46"/>
  <c r="L491" i="46"/>
  <c r="L492" i="46"/>
  <c r="L493" i="46"/>
  <c r="L494" i="46"/>
  <c r="L495" i="46"/>
  <c r="L496" i="46"/>
  <c r="L497" i="46"/>
  <c r="L498" i="46"/>
  <c r="L499" i="46"/>
  <c r="L500" i="46"/>
  <c r="L501" i="46"/>
  <c r="L502" i="46"/>
  <c r="L503" i="46"/>
  <c r="L504" i="46"/>
  <c r="L505" i="46"/>
  <c r="L506" i="46"/>
  <c r="L507" i="46"/>
  <c r="L508" i="46"/>
  <c r="L509" i="46"/>
  <c r="L510" i="46"/>
  <c r="L511" i="46"/>
  <c r="L512" i="46"/>
  <c r="L513" i="46"/>
  <c r="L514" i="46"/>
  <c r="S514" i="46" s="1"/>
  <c r="L515" i="46"/>
  <c r="L516" i="46"/>
  <c r="L517" i="46"/>
  <c r="L518" i="46"/>
  <c r="L519" i="46"/>
  <c r="L520" i="46"/>
  <c r="S520" i="46" s="1"/>
  <c r="E521" i="46"/>
  <c r="E523" i="46"/>
  <c r="E525" i="46"/>
  <c r="E527" i="46"/>
  <c r="E529" i="46"/>
  <c r="E531" i="46"/>
  <c r="G521" i="46"/>
  <c r="G523" i="46"/>
  <c r="G525" i="46"/>
  <c r="G527" i="46"/>
  <c r="G529" i="46"/>
  <c r="G531" i="46"/>
  <c r="K557" i="46"/>
  <c r="L557" i="46"/>
  <c r="M557" i="46"/>
  <c r="E522" i="46"/>
  <c r="E524" i="46"/>
  <c r="E526" i="46"/>
  <c r="S543" i="46"/>
  <c r="K555" i="46"/>
  <c r="L555" i="46"/>
  <c r="M555" i="46"/>
  <c r="F533" i="46"/>
  <c r="F534" i="46"/>
  <c r="F535" i="46"/>
  <c r="F536" i="46"/>
  <c r="F537" i="46"/>
  <c r="F538" i="46"/>
  <c r="F539" i="46"/>
  <c r="F540" i="46"/>
  <c r="F541" i="46"/>
  <c r="F542" i="46"/>
  <c r="F543" i="46"/>
  <c r="F544" i="46"/>
  <c r="F545" i="46"/>
  <c r="F546" i="46"/>
  <c r="F547" i="46"/>
  <c r="M548" i="46"/>
  <c r="M549" i="46"/>
  <c r="M550" i="46"/>
  <c r="K558" i="46"/>
  <c r="M558" i="46"/>
  <c r="L558" i="46"/>
  <c r="K559" i="46"/>
  <c r="M559" i="46"/>
  <c r="L559" i="46"/>
  <c r="K560" i="46"/>
  <c r="M560" i="46"/>
  <c r="L560" i="46"/>
  <c r="K561" i="46"/>
  <c r="M561" i="46"/>
  <c r="L561" i="46"/>
  <c r="K554" i="46"/>
  <c r="S554" i="46" s="1"/>
  <c r="L554" i="46"/>
  <c r="K556" i="46"/>
  <c r="L556" i="46"/>
  <c r="E548" i="46"/>
  <c r="E549" i="46"/>
  <c r="E550" i="46"/>
  <c r="E551" i="46"/>
  <c r="E552" i="46"/>
  <c r="E553" i="46"/>
  <c r="M554" i="46"/>
  <c r="M556" i="46"/>
  <c r="L562" i="46"/>
  <c r="L563" i="46"/>
  <c r="L564" i="46"/>
  <c r="L565" i="46"/>
  <c r="L566" i="46"/>
  <c r="L567" i="46"/>
  <c r="L568" i="46"/>
  <c r="E562" i="46"/>
  <c r="M562" i="46"/>
  <c r="E563" i="46"/>
  <c r="M563" i="46"/>
  <c r="E564" i="46"/>
  <c r="M564" i="46"/>
  <c r="E565" i="46"/>
  <c r="M565" i="46"/>
  <c r="E566" i="46"/>
  <c r="M566" i="46"/>
  <c r="E567" i="46"/>
  <c r="M567" i="46"/>
  <c r="E568" i="46"/>
  <c r="M568" i="46"/>
  <c r="S563" i="46"/>
  <c r="S564" i="46"/>
  <c r="S567" i="46"/>
  <c r="S568" i="46"/>
  <c r="S519" i="46" l="1"/>
  <c r="S362" i="46"/>
  <c r="S194" i="46"/>
  <c r="S287" i="46"/>
  <c r="S305" i="46"/>
  <c r="S297" i="46"/>
  <c r="S243" i="46"/>
  <c r="S196" i="46"/>
  <c r="S301" i="46"/>
  <c r="S241" i="46"/>
  <c r="S285" i="46"/>
  <c r="S553" i="46"/>
  <c r="S512" i="46"/>
  <c r="S484" i="46"/>
  <c r="S476" i="46"/>
  <c r="S472" i="46"/>
  <c r="S149" i="46"/>
  <c r="S78" i="46"/>
  <c r="S352" i="46"/>
  <c r="S392" i="46"/>
  <c r="S188" i="46"/>
  <c r="S184" i="46"/>
  <c r="S180" i="46"/>
  <c r="S474" i="46"/>
  <c r="S466" i="46"/>
  <c r="S343" i="46"/>
  <c r="S421" i="46"/>
  <c r="S348" i="46"/>
  <c r="S202" i="46"/>
  <c r="S102" i="46"/>
  <c r="S517" i="46"/>
  <c r="S505" i="46"/>
  <c r="S489" i="46"/>
  <c r="S485" i="46"/>
  <c r="S185" i="46"/>
  <c r="S181" i="46"/>
  <c r="S177" i="46"/>
  <c r="S173" i="46"/>
  <c r="S169" i="46"/>
  <c r="S3" i="46"/>
  <c r="S504" i="46"/>
  <c r="S346" i="46"/>
  <c r="S217" i="46"/>
  <c r="S262" i="46"/>
  <c r="S339" i="46"/>
  <c r="S222" i="46"/>
  <c r="S333" i="46"/>
  <c r="S443" i="46"/>
  <c r="S146" i="46"/>
  <c r="S6" i="46"/>
  <c r="S199" i="46"/>
  <c r="S208" i="46"/>
  <c r="S507" i="46"/>
  <c r="S394" i="46"/>
  <c r="S540" i="46"/>
  <c r="S461" i="46"/>
  <c r="S449" i="46"/>
  <c r="S371" i="46"/>
  <c r="S475" i="46"/>
  <c r="S501" i="46"/>
  <c r="S493" i="46"/>
  <c r="S187" i="46"/>
  <c r="S183" i="46"/>
  <c r="S179" i="46"/>
  <c r="S175" i="46"/>
  <c r="S167" i="46"/>
  <c r="S163" i="46"/>
  <c r="S144" i="46"/>
  <c r="S32" i="46"/>
  <c r="S460" i="46"/>
  <c r="S310" i="46"/>
  <c r="S232" i="46"/>
  <c r="S323" i="46"/>
  <c r="S249" i="46"/>
  <c r="S254" i="46"/>
  <c r="S265" i="46"/>
  <c r="S257" i="46"/>
  <c r="S349" i="46"/>
  <c r="S295" i="46"/>
  <c r="S281" i="46"/>
  <c r="S264" i="46"/>
  <c r="S226" i="46"/>
  <c r="S365" i="46"/>
  <c r="S223" i="46"/>
  <c r="S259" i="46"/>
  <c r="S549" i="46"/>
  <c r="S446" i="46"/>
  <c r="S447" i="46"/>
  <c r="S350" i="46"/>
  <c r="S464" i="46"/>
  <c r="S220" i="46"/>
  <c r="S536" i="46"/>
  <c r="S522" i="46"/>
  <c r="S516" i="46"/>
  <c r="S315" i="46"/>
  <c r="S534" i="46"/>
  <c r="S551" i="46"/>
  <c r="S537" i="46"/>
  <c r="S524" i="46"/>
  <c r="S319" i="46"/>
  <c r="S269" i="46"/>
  <c r="S252" i="46"/>
  <c r="S366" i="46"/>
  <c r="S498" i="46"/>
  <c r="S277" i="46"/>
  <c r="S412" i="46"/>
  <c r="S462" i="46"/>
  <c r="S344" i="46"/>
  <c r="S321" i="46"/>
  <c r="S337" i="46"/>
  <c r="S270" i="46"/>
  <c r="S238" i="46"/>
  <c r="S521" i="46"/>
  <c r="S303" i="46"/>
  <c r="S279" i="46"/>
  <c r="S314" i="46"/>
  <c r="S511" i="46"/>
  <c r="S471" i="46"/>
  <c r="S370" i="46"/>
  <c r="S355" i="46"/>
  <c r="S345" i="46"/>
  <c r="S327" i="46"/>
  <c r="S209" i="46"/>
  <c r="S334" i="46"/>
  <c r="S236" i="46"/>
  <c r="S533" i="46"/>
  <c r="S256" i="46"/>
  <c r="S486" i="46"/>
  <c r="S432" i="46"/>
  <c r="S411" i="46"/>
  <c r="S423" i="46"/>
  <c r="S376" i="46"/>
  <c r="S368" i="46"/>
  <c r="S172" i="46"/>
  <c r="S164" i="46"/>
  <c r="S136" i="46"/>
  <c r="S126" i="46"/>
  <c r="S114" i="46"/>
  <c r="S544" i="46"/>
  <c r="S358" i="46"/>
  <c r="S525" i="46"/>
  <c r="S373" i="46"/>
  <c r="S309" i="46"/>
  <c r="S308" i="46"/>
  <c r="S274" i="46"/>
  <c r="S247" i="46"/>
  <c r="S228" i="46"/>
  <c r="S272" i="46"/>
  <c r="S195" i="46"/>
  <c r="S360" i="46"/>
  <c r="S340" i="46"/>
  <c r="S154" i="46"/>
  <c r="S76" i="46"/>
  <c r="S27" i="46"/>
  <c r="S23" i="46"/>
  <c r="S19" i="46"/>
  <c r="S15" i="46"/>
  <c r="S11" i="46"/>
  <c r="S539" i="46"/>
  <c r="S527" i="46"/>
  <c r="S361" i="46"/>
  <c r="S465" i="46"/>
  <c r="S347" i="46"/>
  <c r="S338" i="46"/>
  <c r="S532" i="46"/>
  <c r="S324" i="46"/>
  <c r="S294" i="46"/>
  <c r="S263" i="46"/>
  <c r="S258" i="46"/>
  <c r="S245" i="46"/>
  <c r="S192" i="46"/>
  <c r="S351" i="46"/>
  <c r="S332" i="46"/>
  <c r="S227" i="46"/>
  <c r="S203" i="46"/>
  <c r="S528" i="46"/>
  <c r="S557" i="46"/>
  <c r="S4" i="46"/>
  <c r="S200" i="46"/>
  <c r="S500" i="46"/>
  <c r="S492" i="46"/>
  <c r="S488" i="46"/>
  <c r="S480" i="46"/>
  <c r="S442" i="46"/>
  <c r="S379" i="46"/>
  <c r="S59" i="46"/>
  <c r="S43" i="46"/>
  <c r="S374" i="46"/>
  <c r="S483" i="46"/>
  <c r="S278" i="46"/>
  <c r="C10" i="36"/>
  <c r="G10" i="36" s="1"/>
  <c r="C10" i="42"/>
  <c r="C10" i="40"/>
  <c r="C10" i="39"/>
  <c r="C10" i="41"/>
  <c r="C10" i="37"/>
  <c r="S233" i="46"/>
  <c r="S201" i="46"/>
  <c r="S205" i="46"/>
  <c r="S224" i="46"/>
  <c r="S260" i="46"/>
  <c r="S341" i="46"/>
  <c r="S213" i="46"/>
  <c r="S240" i="46"/>
  <c r="S218" i="46"/>
  <c r="S407" i="46"/>
  <c r="S403" i="46"/>
  <c r="S399" i="46"/>
  <c r="S395" i="46"/>
  <c r="S391" i="46"/>
  <c r="S387" i="46"/>
  <c r="S383" i="46"/>
  <c r="S121" i="46"/>
  <c r="S113" i="46"/>
  <c r="S69" i="46"/>
  <c r="S57" i="46"/>
  <c r="S53" i="46"/>
  <c r="S49" i="46"/>
  <c r="S45" i="46"/>
  <c r="S7" i="46"/>
  <c r="S499" i="46"/>
  <c r="S547" i="46"/>
  <c r="S526" i="46"/>
  <c r="S372" i="46"/>
  <c r="S375" i="46"/>
  <c r="S369" i="46"/>
  <c r="S364" i="46"/>
  <c r="S359" i="46"/>
  <c r="S296" i="46"/>
  <c r="S292" i="46"/>
  <c r="S288" i="46"/>
  <c r="S250" i="46"/>
  <c r="S495" i="46"/>
  <c r="S491" i="46"/>
  <c r="S479" i="46"/>
  <c r="S458" i="46"/>
  <c r="S518" i="46"/>
  <c r="S510" i="46"/>
  <c r="S490" i="46"/>
  <c r="S439" i="46"/>
  <c r="S431" i="46"/>
  <c r="S402" i="46"/>
  <c r="S404" i="46"/>
  <c r="S400" i="46"/>
  <c r="S396" i="46"/>
  <c r="S388" i="46"/>
  <c r="S384" i="46"/>
  <c r="S414" i="46"/>
  <c r="S150" i="46"/>
  <c r="S153" i="46"/>
  <c r="S145" i="46"/>
  <c r="S77" i="46"/>
  <c r="S73" i="46"/>
  <c r="S74" i="46"/>
  <c r="S28" i="46"/>
  <c r="S24" i="46"/>
  <c r="S20" i="46"/>
  <c r="S16" i="46"/>
  <c r="S31" i="46"/>
  <c r="S441" i="46"/>
  <c r="S363" i="46"/>
  <c r="S550" i="46"/>
  <c r="S548" i="46"/>
  <c r="S535" i="46"/>
  <c r="S468" i="46"/>
  <c r="S377" i="46"/>
  <c r="S367" i="46"/>
  <c r="S356" i="46"/>
  <c r="S290" i="46"/>
  <c r="S282" i="46"/>
  <c r="S253" i="46"/>
  <c r="S198" i="46"/>
  <c r="S261" i="46"/>
  <c r="S255" i="46"/>
  <c r="S204" i="46"/>
  <c r="S503" i="46"/>
  <c r="S509" i="46"/>
  <c r="S231" i="46"/>
  <c r="S284" i="46"/>
  <c r="S130" i="46"/>
  <c r="S120" i="46"/>
  <c r="S112" i="46"/>
  <c r="S97" i="46"/>
  <c r="S555" i="46"/>
  <c r="S515" i="46"/>
  <c r="S434" i="46"/>
  <c r="S405" i="46"/>
  <c r="S397" i="46"/>
  <c r="S381" i="46"/>
  <c r="S378" i="46"/>
  <c r="S160" i="46"/>
  <c r="S96" i="46"/>
  <c r="S104" i="46"/>
  <c r="S100" i="46"/>
  <c r="S92" i="46"/>
  <c r="S88" i="46"/>
  <c r="S72" i="46"/>
  <c r="S52" i="46"/>
  <c r="S325" i="46"/>
  <c r="S193" i="46"/>
  <c r="S207" i="46"/>
  <c r="S132" i="46"/>
  <c r="S122" i="46"/>
  <c r="S116" i="46"/>
  <c r="S110" i="46"/>
  <c r="S105" i="46"/>
  <c r="S89" i="46"/>
  <c r="S225" i="46"/>
  <c r="S487" i="46"/>
  <c r="S438" i="46"/>
  <c r="S426" i="46"/>
  <c r="S409" i="46"/>
  <c r="S401" i="46"/>
  <c r="S393" i="46"/>
  <c r="S385" i="46"/>
  <c r="S502" i="46"/>
  <c r="S482" i="46"/>
  <c r="S478" i="46"/>
  <c r="S437" i="46"/>
  <c r="S429" i="46"/>
  <c r="S417" i="46"/>
  <c r="S408" i="46"/>
  <c r="S418" i="46"/>
  <c r="S182" i="46"/>
  <c r="S174" i="46"/>
  <c r="S170" i="46"/>
  <c r="S166" i="46"/>
  <c r="S115" i="46"/>
  <c r="S103" i="46"/>
  <c r="S91" i="46"/>
  <c r="S162" i="46"/>
  <c r="S158" i="46"/>
  <c r="S139" i="46"/>
  <c r="S137" i="46"/>
  <c r="S135" i="46"/>
  <c r="S133" i="46"/>
  <c r="S131" i="46"/>
  <c r="S129" i="46"/>
  <c r="S127" i="46"/>
  <c r="S125" i="46"/>
  <c r="S123" i="46"/>
  <c r="S119" i="46"/>
  <c r="S117" i="46"/>
  <c r="S111" i="46"/>
  <c r="S109" i="46"/>
  <c r="S107" i="46"/>
  <c r="S99" i="46"/>
  <c r="S95" i="46"/>
  <c r="S87" i="46"/>
  <c r="S83" i="46"/>
  <c r="S75" i="46"/>
  <c r="S71" i="46"/>
  <c r="S467" i="46"/>
  <c r="S541" i="46"/>
  <c r="S531" i="46"/>
  <c r="S331" i="46"/>
  <c r="S328" i="46"/>
  <c r="S342" i="46"/>
  <c r="S237" i="46"/>
  <c r="S229" i="46"/>
  <c r="S244" i="46"/>
  <c r="S242" i="46"/>
  <c r="S215" i="46"/>
  <c r="S210" i="46"/>
  <c r="S234" i="46"/>
  <c r="S176" i="46"/>
  <c r="S138" i="46"/>
  <c r="S134" i="46"/>
  <c r="S128" i="46"/>
  <c r="S124" i="46"/>
  <c r="S118" i="46"/>
  <c r="S108" i="46"/>
  <c r="S101" i="46"/>
  <c r="S93" i="46"/>
  <c r="S565" i="46"/>
  <c r="S497" i="46"/>
  <c r="S481" i="46"/>
  <c r="S477" i="46"/>
  <c r="S419" i="46"/>
  <c r="S406" i="46"/>
  <c r="S398" i="46"/>
  <c r="S390" i="46"/>
  <c r="S386" i="46"/>
  <c r="S382" i="46"/>
  <c r="S155" i="46"/>
  <c r="S152" i="46"/>
  <c r="S161" i="46"/>
  <c r="S157" i="46"/>
  <c r="S159" i="46"/>
  <c r="S106" i="46"/>
  <c r="S98" i="46"/>
  <c r="S94" i="46"/>
  <c r="S90" i="46"/>
  <c r="S86" i="46"/>
  <c r="S85" i="46"/>
  <c r="S62" i="46"/>
  <c r="S30" i="46"/>
  <c r="S26" i="46"/>
  <c r="S22" i="46"/>
  <c r="S14" i="46"/>
  <c r="S10" i="46"/>
  <c r="S29" i="46"/>
  <c r="S25" i="46"/>
  <c r="S21" i="46"/>
  <c r="S17" i="46"/>
  <c r="S13" i="46"/>
  <c r="S9" i="46"/>
  <c r="S452" i="46"/>
  <c r="S494" i="46"/>
  <c r="S459" i="46"/>
  <c r="S454" i="46"/>
  <c r="S353" i="46"/>
  <c r="S326" i="46"/>
  <c r="S530" i="46"/>
  <c r="S455" i="46"/>
  <c r="S330" i="46"/>
  <c r="S318" i="46"/>
  <c r="S214" i="46"/>
  <c r="S211" i="46"/>
  <c r="S239" i="46"/>
  <c r="S219" i="46"/>
  <c r="S268" i="46"/>
  <c r="S221" i="46"/>
  <c r="S566" i="46"/>
  <c r="S562" i="46"/>
  <c r="S186" i="46"/>
  <c r="S556" i="46"/>
  <c r="S413" i="46"/>
  <c r="S416" i="46"/>
  <c r="S156" i="46"/>
  <c r="S143" i="46"/>
  <c r="S82" i="46"/>
  <c r="S70" i="46"/>
  <c r="S68" i="46"/>
  <c r="S66" i="46"/>
  <c r="S64" i="46"/>
  <c r="S60" i="46"/>
  <c r="S58" i="46"/>
  <c r="S56" i="46"/>
  <c r="S54" i="46"/>
  <c r="S50" i="46"/>
  <c r="S48" i="46"/>
  <c r="S46" i="46"/>
  <c r="S44" i="46"/>
  <c r="S42" i="46"/>
  <c r="S40" i="46"/>
  <c r="S38" i="46"/>
  <c r="S36" i="46"/>
  <c r="S34" i="46"/>
  <c r="S561" i="46"/>
  <c r="S560" i="46"/>
  <c r="S559" i="46"/>
  <c r="S558" i="46"/>
  <c r="S141" i="46"/>
  <c r="S415" i="46"/>
  <c r="S148" i="46"/>
  <c r="S67" i="46"/>
  <c r="S65" i="46"/>
  <c r="S63" i="46"/>
  <c r="S61" i="46"/>
  <c r="S55" i="46"/>
  <c r="S51" i="46"/>
  <c r="S47" i="46"/>
  <c r="S41" i="46"/>
  <c r="S39" i="46"/>
  <c r="S37" i="46"/>
  <c r="S35" i="46"/>
  <c r="S33" i="46"/>
  <c r="S450" i="46"/>
  <c r="S422" i="46"/>
  <c r="S389" i="46"/>
  <c r="S147" i="46"/>
  <c r="S142" i="46"/>
  <c r="S140" i="46"/>
  <c r="H29" i="41" l="1"/>
  <c r="K29" i="41" s="1"/>
  <c r="O29" i="41"/>
  <c r="P29" i="41"/>
  <c r="AC29" i="48" s="1"/>
  <c r="H29" i="42"/>
  <c r="K29" i="42" s="1"/>
  <c r="O29" i="42"/>
  <c r="P29" i="42"/>
  <c r="Z29" i="48" s="1"/>
  <c r="H29" i="40"/>
  <c r="K29" i="40" s="1"/>
  <c r="L29" i="40" s="1"/>
  <c r="O29" i="40"/>
  <c r="P29" i="40"/>
  <c r="AB29" i="48" s="1"/>
  <c r="O29" i="39"/>
  <c r="P29" i="39"/>
  <c r="Y29" i="48" s="1"/>
  <c r="H29" i="39"/>
  <c r="K29" i="39" s="1"/>
  <c r="M29" i="39" s="1"/>
  <c r="O29" i="36"/>
  <c r="H29" i="36"/>
  <c r="K29" i="36" s="1"/>
  <c r="L29" i="36" s="1"/>
  <c r="K29" i="37"/>
  <c r="L29" i="37" s="1"/>
  <c r="O29" i="37"/>
  <c r="P29" i="37"/>
  <c r="AA29" i="48" s="1"/>
  <c r="U29" i="48" s="1"/>
  <c r="V29" i="48" l="1"/>
  <c r="AF29" i="48" s="1"/>
  <c r="W29" i="48"/>
  <c r="M29" i="36"/>
  <c r="L29" i="39"/>
  <c r="L29" i="42"/>
  <c r="M29" i="42"/>
  <c r="M29" i="40"/>
  <c r="L29" i="41"/>
  <c r="M29" i="41"/>
  <c r="M29" i="37"/>
  <c r="H26" i="41" l="1"/>
  <c r="K26" i="41" s="1"/>
  <c r="M26" i="41" s="1"/>
  <c r="H27" i="41"/>
  <c r="K27" i="41" s="1"/>
  <c r="H28" i="41"/>
  <c r="K28" i="41" s="1"/>
  <c r="M28" i="41" s="1"/>
  <c r="H26" i="42"/>
  <c r="K26" i="42" s="1"/>
  <c r="M26" i="42" s="1"/>
  <c r="H27" i="42"/>
  <c r="K27" i="42" s="1"/>
  <c r="H28" i="42"/>
  <c r="K28" i="42" s="1"/>
  <c r="M28" i="42" s="1"/>
  <c r="H26" i="40"/>
  <c r="K26" i="40" s="1"/>
  <c r="H27" i="40"/>
  <c r="K27" i="40" s="1"/>
  <c r="H28" i="40"/>
  <c r="K28" i="40" s="1"/>
  <c r="M28" i="40" s="1"/>
  <c r="H26" i="39"/>
  <c r="K26" i="39" s="1"/>
  <c r="M26" i="39" s="1"/>
  <c r="H27" i="39"/>
  <c r="K27" i="39" s="1"/>
  <c r="L27" i="39" s="1"/>
  <c r="H28" i="39"/>
  <c r="K28" i="39" s="1"/>
  <c r="O26" i="41"/>
  <c r="P26" i="41"/>
  <c r="AC26" i="48" s="1"/>
  <c r="O27" i="41"/>
  <c r="P27" i="41"/>
  <c r="AC27" i="48" s="1"/>
  <c r="O28" i="41"/>
  <c r="P28" i="41"/>
  <c r="AC28" i="48" s="1"/>
  <c r="O26" i="42"/>
  <c r="P26" i="42"/>
  <c r="Z26" i="48" s="1"/>
  <c r="O27" i="42"/>
  <c r="P27" i="42"/>
  <c r="Z27" i="48" s="1"/>
  <c r="O28" i="42"/>
  <c r="P28" i="42"/>
  <c r="Z28" i="48" s="1"/>
  <c r="W28" i="48" s="1"/>
  <c r="O26" i="40"/>
  <c r="P26" i="40"/>
  <c r="AB26" i="48" s="1"/>
  <c r="O27" i="40"/>
  <c r="P27" i="40"/>
  <c r="AB27" i="48" s="1"/>
  <c r="O28" i="40"/>
  <c r="P28" i="40"/>
  <c r="AB28" i="48" s="1"/>
  <c r="O26" i="39"/>
  <c r="P26" i="39"/>
  <c r="Y26" i="48" s="1"/>
  <c r="V26" i="48" s="1"/>
  <c r="O27" i="39"/>
  <c r="P27" i="39"/>
  <c r="Y27" i="48" s="1"/>
  <c r="O28" i="39"/>
  <c r="P28" i="39"/>
  <c r="Y28" i="48" s="1"/>
  <c r="O26" i="37"/>
  <c r="P26" i="37"/>
  <c r="AA26" i="48" s="1"/>
  <c r="O27" i="37"/>
  <c r="P27" i="37"/>
  <c r="AA27" i="48" s="1"/>
  <c r="O28" i="37"/>
  <c r="P28" i="37"/>
  <c r="AA28" i="48" s="1"/>
  <c r="H26" i="37"/>
  <c r="K26" i="37" s="1"/>
  <c r="H27" i="37"/>
  <c r="K27" i="37" s="1"/>
  <c r="H28" i="37"/>
  <c r="K28" i="37" s="1"/>
  <c r="M28" i="37" s="1"/>
  <c r="P26" i="36"/>
  <c r="X26" i="48" s="1"/>
  <c r="U26" i="48" s="1"/>
  <c r="P27" i="36"/>
  <c r="X27" i="48" s="1"/>
  <c r="P28" i="36"/>
  <c r="X28" i="48" s="1"/>
  <c r="U28" i="48" s="1"/>
  <c r="O26" i="36"/>
  <c r="O27" i="36"/>
  <c r="O28" i="36"/>
  <c r="H26" i="36"/>
  <c r="H27" i="36"/>
  <c r="K27" i="36" s="1"/>
  <c r="H28" i="36"/>
  <c r="K28" i="36" s="1"/>
  <c r="V28" i="48" l="1"/>
  <c r="W26" i="48"/>
  <c r="AF28" i="48"/>
  <c r="U27" i="48"/>
  <c r="AF26" i="48"/>
  <c r="V27" i="48"/>
  <c r="W27" i="48"/>
  <c r="K26" i="36"/>
  <c r="L26" i="36" s="1"/>
  <c r="L28" i="37"/>
  <c r="L28" i="36"/>
  <c r="M28" i="36"/>
  <c r="L27" i="36"/>
  <c r="M27" i="36"/>
  <c r="L26" i="41"/>
  <c r="L27" i="40"/>
  <c r="M27" i="40"/>
  <c r="M26" i="40"/>
  <c r="L26" i="40"/>
  <c r="L27" i="37"/>
  <c r="M27" i="37"/>
  <c r="M26" i="37"/>
  <c r="L26" i="37"/>
  <c r="L27" i="41"/>
  <c r="M27" i="41"/>
  <c r="L28" i="41"/>
  <c r="M27" i="42"/>
  <c r="L27" i="42"/>
  <c r="L26" i="42"/>
  <c r="L28" i="42"/>
  <c r="L28" i="40"/>
  <c r="M28" i="39"/>
  <c r="L28" i="39"/>
  <c r="M27" i="39"/>
  <c r="L26" i="39"/>
  <c r="M26" i="36" l="1"/>
  <c r="AF27" i="48"/>
  <c r="D3" i="8"/>
  <c r="I7" i="48" s="1"/>
  <c r="N33" i="8"/>
  <c r="R31" i="8"/>
  <c r="O7" i="48" l="1"/>
  <c r="K7" i="48"/>
  <c r="H6" i="44"/>
  <c r="H7" i="44"/>
  <c r="E11" i="44"/>
  <c r="E12" i="44"/>
  <c r="C12" i="8"/>
  <c r="D12" i="8" s="1"/>
  <c r="L7" i="48" l="1"/>
  <c r="M7" i="48"/>
  <c r="O19" i="40"/>
  <c r="Q18" i="41"/>
  <c r="Q18" i="42"/>
  <c r="Q18" i="40"/>
  <c r="Q18" i="39"/>
  <c r="Q18" i="37"/>
  <c r="Q18" i="36"/>
  <c r="Q30" i="36" s="1"/>
  <c r="Q9" i="41"/>
  <c r="Q9" i="42"/>
  <c r="Q9" i="40"/>
  <c r="Q9" i="39"/>
  <c r="E9" i="41"/>
  <c r="E9" i="42"/>
  <c r="E9" i="40"/>
  <c r="E9" i="39"/>
  <c r="C11" i="41"/>
  <c r="G11" i="41" s="1"/>
  <c r="C11" i="42"/>
  <c r="G11" i="42" s="1"/>
  <c r="C11" i="40"/>
  <c r="G11" i="40" s="1"/>
  <c r="C11" i="39"/>
  <c r="G11" i="39" s="1"/>
  <c r="Q9" i="37"/>
  <c r="E9" i="37"/>
  <c r="C11" i="37"/>
  <c r="G11" i="37" s="1"/>
  <c r="C11" i="36"/>
  <c r="G11" i="36" s="1"/>
  <c r="Q30" i="37" l="1"/>
  <c r="Q30" i="41"/>
  <c r="Q30" i="39"/>
  <c r="Q30" i="42"/>
  <c r="Q30" i="40"/>
  <c r="E20" i="8" l="1"/>
  <c r="B15" i="5"/>
  <c r="F15" i="5" s="1"/>
  <c r="D11" i="48" s="1"/>
  <c r="D18" i="5"/>
  <c r="D19" i="5"/>
  <c r="D17" i="5"/>
  <c r="D11" i="41" l="1"/>
  <c r="D11" i="37"/>
  <c r="D11" i="40"/>
  <c r="D11" i="36"/>
  <c r="D11" i="42"/>
  <c r="D11" i="39"/>
  <c r="K5" i="28"/>
  <c r="J5" i="28"/>
  <c r="I20" i="35"/>
  <c r="J20" i="35" s="1"/>
  <c r="I19" i="35"/>
  <c r="J19" i="35" s="1"/>
  <c r="L19" i="35" s="1"/>
  <c r="I5" i="35"/>
  <c r="J5" i="35" s="1"/>
  <c r="I20" i="34"/>
  <c r="J20" i="34" s="1"/>
  <c r="I19" i="34"/>
  <c r="J19" i="34" s="1"/>
  <c r="I5" i="34"/>
  <c r="J5" i="34" s="1"/>
  <c r="I20" i="18"/>
  <c r="J20" i="18" s="1"/>
  <c r="I19" i="18"/>
  <c r="J19" i="18" s="1"/>
  <c r="K19" i="18" s="1"/>
  <c r="I5" i="18"/>
  <c r="J5" i="18" s="1"/>
  <c r="C18" i="17"/>
  <c r="D6" i="17"/>
  <c r="D5" i="17"/>
  <c r="D4" i="17"/>
  <c r="S42" i="41"/>
  <c r="Q42" i="41"/>
  <c r="P42" i="41"/>
  <c r="J42" i="41"/>
  <c r="H39" i="41"/>
  <c r="H38" i="41"/>
  <c r="H37" i="41"/>
  <c r="S30" i="41"/>
  <c r="H25" i="41"/>
  <c r="H22" i="41"/>
  <c r="H21" i="41"/>
  <c r="P20" i="41"/>
  <c r="AC20" i="48" s="1"/>
  <c r="O20" i="41"/>
  <c r="C20" i="41"/>
  <c r="H20" i="41" s="1"/>
  <c r="K20" i="41" s="1"/>
  <c r="L20" i="41" s="1"/>
  <c r="P19" i="41"/>
  <c r="AC19" i="48" s="1"/>
  <c r="O19" i="41"/>
  <c r="H19" i="41"/>
  <c r="K19" i="41" s="1"/>
  <c r="L19" i="41" s="1"/>
  <c r="H18" i="41"/>
  <c r="H17" i="41"/>
  <c r="I16" i="41"/>
  <c r="H16" i="41"/>
  <c r="H15" i="41"/>
  <c r="H9" i="41"/>
  <c r="H7" i="41"/>
  <c r="S42" i="42"/>
  <c r="Q42" i="42"/>
  <c r="P42" i="42"/>
  <c r="J42" i="42"/>
  <c r="H39" i="42"/>
  <c r="H38" i="42"/>
  <c r="H37" i="42"/>
  <c r="S30" i="42"/>
  <c r="H25" i="42"/>
  <c r="H22" i="42"/>
  <c r="H21" i="42"/>
  <c r="P20" i="42"/>
  <c r="Z20" i="48" s="1"/>
  <c r="W20" i="48" s="1"/>
  <c r="O20" i="42"/>
  <c r="C20" i="42"/>
  <c r="H20" i="42" s="1"/>
  <c r="K20" i="42" s="1"/>
  <c r="L20" i="42" s="1"/>
  <c r="P19" i="42"/>
  <c r="Z19" i="48" s="1"/>
  <c r="W19" i="48" s="1"/>
  <c r="O19" i="42"/>
  <c r="H19" i="42"/>
  <c r="K19" i="42" s="1"/>
  <c r="H18" i="42"/>
  <c r="H17" i="42"/>
  <c r="I16" i="42"/>
  <c r="P16" i="42" s="1"/>
  <c r="Z16" i="48" s="1"/>
  <c r="H16" i="42"/>
  <c r="H15" i="42"/>
  <c r="H9" i="42"/>
  <c r="H7" i="42"/>
  <c r="S42" i="40"/>
  <c r="Q42" i="40"/>
  <c r="P42" i="40"/>
  <c r="J42" i="40"/>
  <c r="H39" i="40"/>
  <c r="H38" i="40"/>
  <c r="H37" i="40"/>
  <c r="S30" i="40"/>
  <c r="H25" i="40"/>
  <c r="H22" i="40"/>
  <c r="H21" i="40"/>
  <c r="P20" i="40"/>
  <c r="AB20" i="48" s="1"/>
  <c r="O20" i="40"/>
  <c r="C20" i="40"/>
  <c r="H20" i="40" s="1"/>
  <c r="K20" i="40" s="1"/>
  <c r="L20" i="40" s="1"/>
  <c r="P19" i="40"/>
  <c r="AB19" i="48" s="1"/>
  <c r="H19" i="40"/>
  <c r="K19" i="40" s="1"/>
  <c r="M19" i="40" s="1"/>
  <c r="H18" i="40"/>
  <c r="H17" i="40"/>
  <c r="I16" i="40"/>
  <c r="H16" i="40"/>
  <c r="I15" i="40"/>
  <c r="P15" i="40" s="1"/>
  <c r="AB15" i="48" s="1"/>
  <c r="H15" i="40"/>
  <c r="H9" i="40"/>
  <c r="H7" i="40"/>
  <c r="S42" i="39"/>
  <c r="Q42" i="39"/>
  <c r="P42" i="39"/>
  <c r="J42" i="39"/>
  <c r="H39" i="39"/>
  <c r="H38" i="39"/>
  <c r="H37" i="39"/>
  <c r="S30" i="39"/>
  <c r="H25" i="39"/>
  <c r="H22" i="39"/>
  <c r="H21" i="39"/>
  <c r="P20" i="39"/>
  <c r="Y20" i="48" s="1"/>
  <c r="V20" i="48" s="1"/>
  <c r="O20" i="39"/>
  <c r="C20" i="39"/>
  <c r="H20" i="39" s="1"/>
  <c r="K20" i="39" s="1"/>
  <c r="P19" i="39"/>
  <c r="Y19" i="48" s="1"/>
  <c r="V19" i="48" s="1"/>
  <c r="O19" i="39"/>
  <c r="H19" i="39"/>
  <c r="K19" i="39" s="1"/>
  <c r="L19" i="39" s="1"/>
  <c r="H18" i="39"/>
  <c r="H17" i="39"/>
  <c r="I16" i="39"/>
  <c r="P16" i="39" s="1"/>
  <c r="Y16" i="48" s="1"/>
  <c r="H16" i="39"/>
  <c r="I15" i="39"/>
  <c r="O15" i="39" s="1"/>
  <c r="H15" i="39"/>
  <c r="H9" i="39"/>
  <c r="H7" i="39"/>
  <c r="S42" i="37"/>
  <c r="Q42" i="37"/>
  <c r="P42" i="37"/>
  <c r="J42" i="37"/>
  <c r="H39" i="37"/>
  <c r="H38" i="37"/>
  <c r="H37" i="37"/>
  <c r="S30" i="37"/>
  <c r="H25" i="37"/>
  <c r="H22" i="37"/>
  <c r="H21" i="37"/>
  <c r="P20" i="37"/>
  <c r="AA20" i="48" s="1"/>
  <c r="O20" i="37"/>
  <c r="C20" i="37"/>
  <c r="H20" i="37" s="1"/>
  <c r="K20" i="37" s="1"/>
  <c r="M20" i="37" s="1"/>
  <c r="P19" i="37"/>
  <c r="AA19" i="48" s="1"/>
  <c r="O19" i="37"/>
  <c r="H19" i="37"/>
  <c r="K19" i="37" s="1"/>
  <c r="H18" i="37"/>
  <c r="H17" i="37"/>
  <c r="I16" i="37"/>
  <c r="P16" i="37" s="1"/>
  <c r="AA16" i="48" s="1"/>
  <c r="H16" i="37"/>
  <c r="H15" i="37"/>
  <c r="H9" i="37"/>
  <c r="H7" i="37"/>
  <c r="S42" i="36"/>
  <c r="Q42" i="36"/>
  <c r="P42" i="36"/>
  <c r="J42" i="36"/>
  <c r="H39" i="36"/>
  <c r="H38" i="36"/>
  <c r="S30" i="36"/>
  <c r="H25" i="36"/>
  <c r="H22" i="36"/>
  <c r="H21" i="36"/>
  <c r="P20" i="36"/>
  <c r="X20" i="48" s="1"/>
  <c r="O20" i="36"/>
  <c r="C20" i="36"/>
  <c r="H20" i="36" s="1"/>
  <c r="K20" i="36" s="1"/>
  <c r="L20" i="36" s="1"/>
  <c r="P19" i="36"/>
  <c r="X19" i="48" s="1"/>
  <c r="O19" i="36"/>
  <c r="H19" i="36"/>
  <c r="K19" i="36" s="1"/>
  <c r="M19" i="36" s="1"/>
  <c r="H18" i="36"/>
  <c r="H17" i="36"/>
  <c r="I16" i="36"/>
  <c r="O16" i="36" s="1"/>
  <c r="H16" i="36"/>
  <c r="H15" i="36"/>
  <c r="H9" i="36"/>
  <c r="H7" i="36"/>
  <c r="P45" i="8"/>
  <c r="I4" i="8" s="1"/>
  <c r="H17" i="35" s="1"/>
  <c r="O45" i="8"/>
  <c r="F4" i="8" s="1"/>
  <c r="H17" i="34" s="1"/>
  <c r="N45" i="8"/>
  <c r="R44" i="8"/>
  <c r="R43" i="8"/>
  <c r="B31" i="8"/>
  <c r="P27" i="8"/>
  <c r="O27" i="8"/>
  <c r="N27" i="8"/>
  <c r="C7" i="8" s="1"/>
  <c r="B27" i="8"/>
  <c r="B28" i="8" s="1"/>
  <c r="T26" i="8"/>
  <c r="S26" i="8"/>
  <c r="R26" i="8"/>
  <c r="T25" i="8"/>
  <c r="S25" i="8"/>
  <c r="R25" i="8"/>
  <c r="P21" i="8"/>
  <c r="O21" i="8"/>
  <c r="N21" i="8"/>
  <c r="E21" i="8"/>
  <c r="T20" i="8"/>
  <c r="S20" i="8"/>
  <c r="R20" i="8"/>
  <c r="T19" i="8"/>
  <c r="S19" i="8"/>
  <c r="R19" i="8"/>
  <c r="K13" i="8"/>
  <c r="I9" i="41" s="1"/>
  <c r="I21" i="41" s="1"/>
  <c r="J13" i="8"/>
  <c r="I9" i="42" s="1"/>
  <c r="I21" i="42" s="1"/>
  <c r="H13" i="8"/>
  <c r="I9" i="40" s="1"/>
  <c r="P9" i="40" s="1"/>
  <c r="AB9" i="48" s="1"/>
  <c r="G13" i="8"/>
  <c r="I9" i="39" s="1"/>
  <c r="P9" i="39" s="1"/>
  <c r="Y9" i="48" s="1"/>
  <c r="E13" i="8"/>
  <c r="I9" i="37" s="1"/>
  <c r="P9" i="37" s="1"/>
  <c r="AA9" i="48" s="1"/>
  <c r="D13" i="8"/>
  <c r="K7" i="8"/>
  <c r="J7" i="8"/>
  <c r="I7" i="8"/>
  <c r="H7" i="8"/>
  <c r="G7" i="8"/>
  <c r="E7" i="8"/>
  <c r="I10" i="37" s="1"/>
  <c r="D7" i="8"/>
  <c r="I10" i="48" s="1"/>
  <c r="E4" i="8"/>
  <c r="I15" i="37" s="1"/>
  <c r="D4" i="8"/>
  <c r="E27" i="5"/>
  <c r="B7" i="5" s="1"/>
  <c r="E26" i="5"/>
  <c r="B4" i="5" s="1"/>
  <c r="D4" i="5" s="1"/>
  <c r="D18" i="48" s="1"/>
  <c r="B14" i="5"/>
  <c r="F14" i="5" s="1"/>
  <c r="B13" i="5"/>
  <c r="D6" i="5"/>
  <c r="B6" i="5"/>
  <c r="F2" i="5"/>
  <c r="G2" i="5" s="1"/>
  <c r="D9" i="48"/>
  <c r="K11" i="4"/>
  <c r="K10" i="4"/>
  <c r="K9" i="4"/>
  <c r="M9" i="4" s="1"/>
  <c r="E9" i="4"/>
  <c r="K8" i="4"/>
  <c r="M8" i="4" s="1"/>
  <c r="E8" i="4"/>
  <c r="U19" i="48" l="1"/>
  <c r="AF19" i="48" s="1"/>
  <c r="C23" i="5"/>
  <c r="U20" i="48"/>
  <c r="AF20" i="48" s="1"/>
  <c r="I15" i="36"/>
  <c r="P15" i="36" s="1"/>
  <c r="X15" i="48" s="1"/>
  <c r="I15" i="48"/>
  <c r="N27" i="48"/>
  <c r="N26" i="48"/>
  <c r="N16" i="48"/>
  <c r="N7" i="48"/>
  <c r="N29" i="48"/>
  <c r="N28" i="48"/>
  <c r="N20" i="48"/>
  <c r="N19" i="48"/>
  <c r="V9" i="48"/>
  <c r="I9" i="36"/>
  <c r="P9" i="36" s="1"/>
  <c r="X9" i="48" s="1"/>
  <c r="I9" i="48"/>
  <c r="I38" i="48"/>
  <c r="I37" i="48"/>
  <c r="I11" i="48"/>
  <c r="I25" i="48"/>
  <c r="I21" i="48"/>
  <c r="J10" i="48"/>
  <c r="M26" i="18"/>
  <c r="M27" i="34"/>
  <c r="M26" i="35"/>
  <c r="M27" i="18"/>
  <c r="M27" i="35"/>
  <c r="M25" i="35"/>
  <c r="M25" i="34"/>
  <c r="M26" i="34"/>
  <c r="M25" i="18"/>
  <c r="M28" i="35"/>
  <c r="M28" i="34"/>
  <c r="M28" i="18"/>
  <c r="H6" i="18"/>
  <c r="M10" i="4"/>
  <c r="H11" i="18"/>
  <c r="H9" i="18"/>
  <c r="I6" i="18"/>
  <c r="J6" i="18" s="1"/>
  <c r="K6" i="18" s="1"/>
  <c r="H11" i="35"/>
  <c r="H6" i="35"/>
  <c r="H9" i="35"/>
  <c r="K16" i="37"/>
  <c r="M16" i="37" s="1"/>
  <c r="I25" i="39"/>
  <c r="O25" i="39" s="1"/>
  <c r="N29" i="39"/>
  <c r="N29" i="36"/>
  <c r="N29" i="37"/>
  <c r="N29" i="40"/>
  <c r="N29" i="41"/>
  <c r="N27" i="36"/>
  <c r="N29" i="42"/>
  <c r="N28" i="36"/>
  <c r="N26" i="36"/>
  <c r="N28" i="42"/>
  <c r="N26" i="37"/>
  <c r="N26" i="41"/>
  <c r="N26" i="40"/>
  <c r="N28" i="39"/>
  <c r="N28" i="37"/>
  <c r="N26" i="42"/>
  <c r="N27" i="39"/>
  <c r="N27" i="40"/>
  <c r="N27" i="37"/>
  <c r="N27" i="42"/>
  <c r="N28" i="41"/>
  <c r="N28" i="40"/>
  <c r="N27" i="41"/>
  <c r="N26" i="39"/>
  <c r="F7" i="8"/>
  <c r="D26" i="8"/>
  <c r="C4" i="8"/>
  <c r="H17" i="18" s="1"/>
  <c r="O16" i="37"/>
  <c r="M19" i="41"/>
  <c r="N19" i="41" s="1"/>
  <c r="L19" i="42"/>
  <c r="M19" i="42"/>
  <c r="L19" i="40"/>
  <c r="N19" i="40" s="1"/>
  <c r="L19" i="36"/>
  <c r="N19" i="36" s="1"/>
  <c r="M20" i="36"/>
  <c r="N20" i="36" s="1"/>
  <c r="O16" i="42"/>
  <c r="L19" i="34"/>
  <c r="K19" i="35"/>
  <c r="M19" i="35" s="1"/>
  <c r="P16" i="40"/>
  <c r="AB16" i="48" s="1"/>
  <c r="V16" i="48" s="1"/>
  <c r="O16" i="40"/>
  <c r="I13" i="8"/>
  <c r="K16" i="40"/>
  <c r="M16" i="40" s="1"/>
  <c r="L19" i="18"/>
  <c r="M19" i="18" s="1"/>
  <c r="K19" i="34"/>
  <c r="K16" i="42"/>
  <c r="L16" i="42" s="1"/>
  <c r="K16" i="41"/>
  <c r="D18" i="42"/>
  <c r="D18" i="41"/>
  <c r="D18" i="39"/>
  <c r="D18" i="40"/>
  <c r="D18" i="37"/>
  <c r="D18" i="36"/>
  <c r="B3" i="5"/>
  <c r="D3" i="5" s="1"/>
  <c r="H4" i="5"/>
  <c r="B23" i="5"/>
  <c r="D9" i="41"/>
  <c r="D9" i="40"/>
  <c r="D9" i="37"/>
  <c r="O9" i="37" s="1"/>
  <c r="D9" i="42"/>
  <c r="D9" i="39"/>
  <c r="O9" i="36"/>
  <c r="F13" i="5"/>
  <c r="O15" i="37"/>
  <c r="P15" i="37"/>
  <c r="AA15" i="48" s="1"/>
  <c r="I25" i="37"/>
  <c r="O25" i="37" s="1"/>
  <c r="I11" i="37"/>
  <c r="J11" i="37" s="1"/>
  <c r="N11" i="37" s="1"/>
  <c r="M19" i="37"/>
  <c r="L19" i="37"/>
  <c r="L20" i="39"/>
  <c r="M20" i="39"/>
  <c r="I25" i="42"/>
  <c r="P25" i="42" s="1"/>
  <c r="Z25" i="48" s="1"/>
  <c r="I10" i="42"/>
  <c r="R12" i="8"/>
  <c r="N14" i="8"/>
  <c r="C13" i="8"/>
  <c r="F13" i="8" s="1"/>
  <c r="H21" i="34" s="1"/>
  <c r="I10" i="36"/>
  <c r="P16" i="36"/>
  <c r="X16" i="48" s="1"/>
  <c r="U16" i="48" s="1"/>
  <c r="G3" i="8"/>
  <c r="I25" i="41"/>
  <c r="P25" i="41" s="1"/>
  <c r="AC25" i="48" s="1"/>
  <c r="I10" i="41"/>
  <c r="G8" i="8"/>
  <c r="I15" i="18"/>
  <c r="J15" i="18" s="1"/>
  <c r="L15" i="18" s="1"/>
  <c r="M19" i="39"/>
  <c r="N19" i="39" s="1"/>
  <c r="M20" i="42"/>
  <c r="N20" i="42" s="1"/>
  <c r="L5" i="18"/>
  <c r="K5" i="18"/>
  <c r="L5" i="34"/>
  <c r="K5" i="34"/>
  <c r="L5" i="35"/>
  <c r="K5" i="35"/>
  <c r="I15" i="42"/>
  <c r="D6" i="8"/>
  <c r="I25" i="40"/>
  <c r="O25" i="40" s="1"/>
  <c r="I10" i="40"/>
  <c r="I38" i="40" s="1"/>
  <c r="I7" i="36"/>
  <c r="I15" i="34"/>
  <c r="J15" i="34" s="1"/>
  <c r="K15" i="34" s="1"/>
  <c r="E8" i="8"/>
  <c r="H3" i="8"/>
  <c r="D8" i="8"/>
  <c r="R13" i="8"/>
  <c r="K16" i="36"/>
  <c r="L20" i="37"/>
  <c r="N20" i="37" s="1"/>
  <c r="I10" i="39"/>
  <c r="I37" i="39" s="1"/>
  <c r="O16" i="39"/>
  <c r="K16" i="39"/>
  <c r="M20" i="40"/>
  <c r="N20" i="40" s="1"/>
  <c r="O16" i="41"/>
  <c r="P16" i="41"/>
  <c r="AC16" i="48" s="1"/>
  <c r="W16" i="48" s="1"/>
  <c r="M20" i="41"/>
  <c r="N20" i="41" s="1"/>
  <c r="K20" i="18"/>
  <c r="K20" i="34"/>
  <c r="J15" i="35"/>
  <c r="K15" i="35" s="1"/>
  <c r="K20" i="35"/>
  <c r="L20" i="18"/>
  <c r="L20" i="34"/>
  <c r="L20" i="35"/>
  <c r="I21" i="40"/>
  <c r="P21" i="40" s="1"/>
  <c r="AB21" i="48" s="1"/>
  <c r="I21" i="39"/>
  <c r="O21" i="39" s="1"/>
  <c r="K15" i="37"/>
  <c r="L15" i="37" s="1"/>
  <c r="I38" i="37"/>
  <c r="O38" i="37" s="1"/>
  <c r="I22" i="41"/>
  <c r="P21" i="41"/>
  <c r="AC21" i="48" s="1"/>
  <c r="O21" i="41"/>
  <c r="K21" i="41"/>
  <c r="K9" i="41"/>
  <c r="P9" i="41"/>
  <c r="AC9" i="48" s="1"/>
  <c r="I22" i="42"/>
  <c r="P21" i="42"/>
  <c r="Z21" i="48" s="1"/>
  <c r="O21" i="42"/>
  <c r="K21" i="42"/>
  <c r="K9" i="42"/>
  <c r="P9" i="42"/>
  <c r="Z9" i="48" s="1"/>
  <c r="K15" i="40"/>
  <c r="O15" i="40"/>
  <c r="K9" i="40"/>
  <c r="K15" i="39"/>
  <c r="P15" i="39"/>
  <c r="Y15" i="48" s="1"/>
  <c r="V15" i="48" s="1"/>
  <c r="P25" i="39"/>
  <c r="Y25" i="48" s="1"/>
  <c r="K9" i="39"/>
  <c r="K9" i="37"/>
  <c r="I37" i="37"/>
  <c r="O37" i="37" s="1"/>
  <c r="I21" i="37"/>
  <c r="K15" i="36"/>
  <c r="O15" i="36"/>
  <c r="I17" i="34"/>
  <c r="J17" i="34" s="1"/>
  <c r="K17" i="34" s="1"/>
  <c r="I6" i="35"/>
  <c r="J6" i="35" s="1"/>
  <c r="Q43" i="40"/>
  <c r="Q43" i="42"/>
  <c r="Q43" i="39"/>
  <c r="Q43" i="41"/>
  <c r="Q43" i="36"/>
  <c r="Q43" i="37"/>
  <c r="K9" i="36" l="1"/>
  <c r="M9" i="36" s="1"/>
  <c r="D10" i="36"/>
  <c r="D10" i="48"/>
  <c r="O10" i="48" s="1"/>
  <c r="P21" i="48"/>
  <c r="O21" i="48"/>
  <c r="K21" i="48"/>
  <c r="I22" i="48"/>
  <c r="O38" i="48"/>
  <c r="K38" i="48"/>
  <c r="U9" i="48"/>
  <c r="W9" i="48"/>
  <c r="W21" i="48"/>
  <c r="AF16" i="48"/>
  <c r="O9" i="39"/>
  <c r="O9" i="42" s="1"/>
  <c r="K25" i="48"/>
  <c r="P25" i="48"/>
  <c r="O25" i="48"/>
  <c r="P15" i="48"/>
  <c r="O15" i="48"/>
  <c r="K15" i="48"/>
  <c r="D1" i="8"/>
  <c r="I39" i="48"/>
  <c r="J11" i="48"/>
  <c r="N11" i="48" s="1"/>
  <c r="O11" i="48"/>
  <c r="U15" i="48"/>
  <c r="W25" i="48"/>
  <c r="N10" i="48"/>
  <c r="O37" i="48"/>
  <c r="K37" i="48"/>
  <c r="P9" i="48"/>
  <c r="K9" i="48"/>
  <c r="O9" i="48"/>
  <c r="H24" i="18"/>
  <c r="O11" i="37"/>
  <c r="H10" i="18"/>
  <c r="H22" i="18"/>
  <c r="H8" i="18"/>
  <c r="I8" i="18" s="1"/>
  <c r="H12" i="18"/>
  <c r="H13" i="18" s="1"/>
  <c r="I13" i="18" s="1"/>
  <c r="J13" i="18" s="1"/>
  <c r="H21" i="18"/>
  <c r="L16" i="40"/>
  <c r="N16" i="40" s="1"/>
  <c r="H22" i="35"/>
  <c r="H12" i="35"/>
  <c r="I12" i="35" s="1"/>
  <c r="J12" i="35" s="1"/>
  <c r="H8" i="35"/>
  <c r="M29" i="35" s="1"/>
  <c r="H10" i="35"/>
  <c r="H21" i="35"/>
  <c r="I21" i="35" s="1"/>
  <c r="L16" i="37"/>
  <c r="N16" i="37" s="1"/>
  <c r="N19" i="42"/>
  <c r="H11" i="34"/>
  <c r="H24" i="34" s="1"/>
  <c r="H6" i="34"/>
  <c r="I6" i="34" s="1"/>
  <c r="J6" i="34" s="1"/>
  <c r="L6" i="34" s="1"/>
  <c r="H9" i="34"/>
  <c r="I9" i="34" s="1"/>
  <c r="J9" i="34" s="1"/>
  <c r="K9" i="34" s="1"/>
  <c r="H24" i="35"/>
  <c r="I24" i="35" s="1"/>
  <c r="J24" i="35" s="1"/>
  <c r="K24" i="35" s="1"/>
  <c r="M19" i="34"/>
  <c r="M20" i="34"/>
  <c r="K15" i="18"/>
  <c r="L15" i="34"/>
  <c r="I9" i="35"/>
  <c r="J9" i="35" s="1"/>
  <c r="K9" i="35" s="1"/>
  <c r="M16" i="42"/>
  <c r="N16" i="42" s="1"/>
  <c r="P25" i="40"/>
  <c r="AB25" i="48" s="1"/>
  <c r="V25" i="48" s="1"/>
  <c r="I21" i="36"/>
  <c r="P21" i="36" s="1"/>
  <c r="X21" i="48" s="1"/>
  <c r="K25" i="39"/>
  <c r="M25" i="39" s="1"/>
  <c r="I17" i="18"/>
  <c r="J17" i="18" s="1"/>
  <c r="M5" i="34"/>
  <c r="C8" i="8"/>
  <c r="C3" i="8"/>
  <c r="C26" i="8" s="1"/>
  <c r="M5" i="35"/>
  <c r="N19" i="37"/>
  <c r="O10" i="36"/>
  <c r="K21" i="40"/>
  <c r="L21" i="40" s="1"/>
  <c r="O9" i="40"/>
  <c r="O9" i="41" s="1"/>
  <c r="N20" i="39"/>
  <c r="L15" i="35"/>
  <c r="M15" i="35" s="1"/>
  <c r="K25" i="41"/>
  <c r="M25" i="41" s="1"/>
  <c r="L17" i="34"/>
  <c r="M17" i="34" s="1"/>
  <c r="P25" i="37"/>
  <c r="AA25" i="48" s="1"/>
  <c r="P21" i="39"/>
  <c r="Y21" i="48" s="1"/>
  <c r="V21" i="48" s="1"/>
  <c r="K25" i="40"/>
  <c r="M25" i="40" s="1"/>
  <c r="K25" i="37"/>
  <c r="L25" i="37" s="1"/>
  <c r="O25" i="42"/>
  <c r="K21" i="39"/>
  <c r="M21" i="39" s="1"/>
  <c r="O25" i="41"/>
  <c r="K25" i="42"/>
  <c r="L25" i="42" s="1"/>
  <c r="R32" i="8"/>
  <c r="L16" i="41"/>
  <c r="M16" i="41"/>
  <c r="M15" i="37"/>
  <c r="N15" i="37" s="1"/>
  <c r="I22" i="39"/>
  <c r="O22" i="39" s="1"/>
  <c r="I17" i="35"/>
  <c r="J17" i="35" s="1"/>
  <c r="M20" i="35"/>
  <c r="M5" i="18"/>
  <c r="M20" i="18"/>
  <c r="L9" i="36"/>
  <c r="N9" i="36" s="1"/>
  <c r="I25" i="36"/>
  <c r="K25" i="36" s="1"/>
  <c r="I38" i="42"/>
  <c r="I11" i="42"/>
  <c r="I37" i="42"/>
  <c r="K37" i="42" s="1"/>
  <c r="O21" i="40"/>
  <c r="I22" i="40"/>
  <c r="P22" i="40" s="1"/>
  <c r="AB22" i="48" s="1"/>
  <c r="D9" i="8"/>
  <c r="D10" i="8"/>
  <c r="G10" i="8"/>
  <c r="I18" i="39" s="1"/>
  <c r="G9" i="8"/>
  <c r="I17" i="39" s="1"/>
  <c r="K38" i="37"/>
  <c r="K7" i="36"/>
  <c r="O7" i="36"/>
  <c r="P14" i="33"/>
  <c r="M15" i="34"/>
  <c r="M16" i="39"/>
  <c r="L16" i="39"/>
  <c r="O14" i="8"/>
  <c r="S13" i="8"/>
  <c r="H8" i="8"/>
  <c r="S12" i="8"/>
  <c r="O15" i="42"/>
  <c r="P15" i="42"/>
  <c r="Z15" i="48" s="1"/>
  <c r="K15" i="42"/>
  <c r="I11" i="41"/>
  <c r="I38" i="41"/>
  <c r="I37" i="41"/>
  <c r="M16" i="36"/>
  <c r="L16" i="36"/>
  <c r="E10" i="8"/>
  <c r="I18" i="37" s="1"/>
  <c r="E9" i="8"/>
  <c r="I17" i="37" s="1"/>
  <c r="I37" i="40"/>
  <c r="I11" i="40"/>
  <c r="I38" i="36"/>
  <c r="I39" i="36" s="1"/>
  <c r="I11" i="36"/>
  <c r="I37" i="36"/>
  <c r="I38" i="39"/>
  <c r="I11" i="39"/>
  <c r="I7" i="37"/>
  <c r="E6" i="8"/>
  <c r="E26" i="8"/>
  <c r="T13" i="8"/>
  <c r="J8" i="8"/>
  <c r="J3" i="8"/>
  <c r="G26" i="8"/>
  <c r="G6" i="8"/>
  <c r="I7" i="39"/>
  <c r="D10" i="39"/>
  <c r="O10" i="39" s="1"/>
  <c r="D10" i="41"/>
  <c r="O10" i="41" s="1"/>
  <c r="D10" i="42"/>
  <c r="O10" i="42" s="1"/>
  <c r="D10" i="40"/>
  <c r="O10" i="40" s="1"/>
  <c r="D10" i="37"/>
  <c r="O10" i="37" s="1"/>
  <c r="G10" i="41"/>
  <c r="J10" i="41" s="1"/>
  <c r="J10" i="36"/>
  <c r="G10" i="42"/>
  <c r="J10" i="42" s="1"/>
  <c r="G10" i="37"/>
  <c r="J10" i="37" s="1"/>
  <c r="J30" i="37" s="1"/>
  <c r="G10" i="40"/>
  <c r="J10" i="40" s="1"/>
  <c r="G10" i="39"/>
  <c r="J10" i="39" s="1"/>
  <c r="P22" i="41"/>
  <c r="AC22" i="48" s="1"/>
  <c r="O22" i="41"/>
  <c r="K22" i="41"/>
  <c r="M21" i="41"/>
  <c r="L21" i="41"/>
  <c r="L9" i="41"/>
  <c r="M9" i="41"/>
  <c r="L9" i="42"/>
  <c r="M9" i="42"/>
  <c r="P22" i="42"/>
  <c r="Z22" i="48" s="1"/>
  <c r="W22" i="48" s="1"/>
  <c r="O22" i="42"/>
  <c r="K22" i="42"/>
  <c r="M21" i="42"/>
  <c r="L21" i="42"/>
  <c r="O38" i="40"/>
  <c r="M9" i="40"/>
  <c r="L9" i="40"/>
  <c r="K38" i="40"/>
  <c r="M15" i="40"/>
  <c r="L15" i="40"/>
  <c r="O37" i="39"/>
  <c r="K37" i="39"/>
  <c r="M15" i="39"/>
  <c r="L15" i="39"/>
  <c r="M9" i="39"/>
  <c r="L9" i="39"/>
  <c r="I22" i="37"/>
  <c r="O21" i="37"/>
  <c r="K21" i="37"/>
  <c r="P21" i="37"/>
  <c r="AA21" i="48" s="1"/>
  <c r="L9" i="37"/>
  <c r="M9" i="37"/>
  <c r="K37" i="37"/>
  <c r="L15" i="36"/>
  <c r="M15" i="36"/>
  <c r="K6" i="35"/>
  <c r="L6" i="35"/>
  <c r="K6" i="34"/>
  <c r="L6" i="18"/>
  <c r="M6" i="18" s="1"/>
  <c r="M15" i="18"/>
  <c r="L24" i="35" l="1"/>
  <c r="M24" i="35" s="1"/>
  <c r="J30" i="48"/>
  <c r="J43" i="48" s="1"/>
  <c r="M21" i="40"/>
  <c r="I22" i="36"/>
  <c r="E17" i="8"/>
  <c r="M37" i="48"/>
  <c r="L37" i="48"/>
  <c r="I18" i="36"/>
  <c r="I18" i="48"/>
  <c r="M15" i="48"/>
  <c r="L15" i="48"/>
  <c r="N15" i="48"/>
  <c r="P22" i="48"/>
  <c r="O22" i="48"/>
  <c r="K22" i="48"/>
  <c r="I17" i="36"/>
  <c r="K17" i="36" s="1"/>
  <c r="I17" i="48"/>
  <c r="U21" i="48"/>
  <c r="AF21" i="48" s="1"/>
  <c r="L9" i="48"/>
  <c r="M9" i="48"/>
  <c r="AF9" i="48"/>
  <c r="M21" i="48"/>
  <c r="L21" i="48"/>
  <c r="N21" i="48" s="1"/>
  <c r="O39" i="48"/>
  <c r="O42" i="48" s="1"/>
  <c r="K39" i="48"/>
  <c r="M25" i="48"/>
  <c r="L25" i="48"/>
  <c r="N25" i="48" s="1"/>
  <c r="M38" i="48"/>
  <c r="L38" i="48"/>
  <c r="L9" i="34"/>
  <c r="M9" i="34" s="1"/>
  <c r="L12" i="35"/>
  <c r="K12" i="35"/>
  <c r="L13" i="18"/>
  <c r="K13" i="18"/>
  <c r="L25" i="39"/>
  <c r="N25" i="39" s="1"/>
  <c r="L9" i="35"/>
  <c r="I39" i="37"/>
  <c r="K39" i="37" s="1"/>
  <c r="K42" i="37" s="1"/>
  <c r="E1" i="8"/>
  <c r="F1" i="8" s="1"/>
  <c r="I24" i="34"/>
  <c r="J24" i="34" s="1"/>
  <c r="H23" i="35"/>
  <c r="I23" i="35" s="1"/>
  <c r="J23" i="35" s="1"/>
  <c r="K23" i="35" s="1"/>
  <c r="H13" i="35"/>
  <c r="I13" i="35" s="1"/>
  <c r="J13" i="35" s="1"/>
  <c r="H23" i="18"/>
  <c r="H22" i="34"/>
  <c r="H12" i="34"/>
  <c r="H13" i="34" s="1"/>
  <c r="I13" i="34" s="1"/>
  <c r="J13" i="34" s="1"/>
  <c r="H10" i="34"/>
  <c r="H8" i="34"/>
  <c r="I22" i="35"/>
  <c r="J22" i="35" s="1"/>
  <c r="O21" i="36"/>
  <c r="K21" i="36"/>
  <c r="L21" i="36" s="1"/>
  <c r="I8" i="35"/>
  <c r="J8" i="35" s="1"/>
  <c r="K8" i="35" s="1"/>
  <c r="C6" i="8"/>
  <c r="D17" i="8"/>
  <c r="L17" i="18"/>
  <c r="K17" i="18"/>
  <c r="I11" i="35"/>
  <c r="J11" i="35" s="1"/>
  <c r="O37" i="42"/>
  <c r="L25" i="40"/>
  <c r="N25" i="40" s="1"/>
  <c r="N21" i="40"/>
  <c r="K22" i="40"/>
  <c r="M22" i="40" s="1"/>
  <c r="K22" i="39"/>
  <c r="M22" i="39" s="1"/>
  <c r="P22" i="39"/>
  <c r="Y22" i="48" s="1"/>
  <c r="V22" i="48" s="1"/>
  <c r="L21" i="39"/>
  <c r="N21" i="39" s="1"/>
  <c r="P25" i="36"/>
  <c r="X25" i="48" s="1"/>
  <c r="U25" i="48" s="1"/>
  <c r="AF25" i="48" s="1"/>
  <c r="O22" i="40"/>
  <c r="N16" i="39"/>
  <c r="L25" i="41"/>
  <c r="N25" i="41" s="1"/>
  <c r="N9" i="41"/>
  <c r="N16" i="41"/>
  <c r="M25" i="37"/>
  <c r="N25" i="37" s="1"/>
  <c r="N9" i="37"/>
  <c r="O25" i="36"/>
  <c r="M25" i="42"/>
  <c r="N25" i="42" s="1"/>
  <c r="N9" i="39"/>
  <c r="K17" i="35"/>
  <c r="L17" i="35"/>
  <c r="N15" i="36"/>
  <c r="N16" i="36"/>
  <c r="P18" i="39"/>
  <c r="Y18" i="48" s="1"/>
  <c r="K18" i="39"/>
  <c r="J11" i="42"/>
  <c r="N11" i="42" s="1"/>
  <c r="O11" i="42"/>
  <c r="M9" i="35"/>
  <c r="P15" i="33"/>
  <c r="I39" i="39"/>
  <c r="J10" i="8"/>
  <c r="I18" i="42" s="1"/>
  <c r="J9" i="8"/>
  <c r="I17" i="42" s="1"/>
  <c r="K38" i="39"/>
  <c r="O38" i="39"/>
  <c r="O37" i="36"/>
  <c r="K37" i="36"/>
  <c r="O37" i="40"/>
  <c r="K37" i="40"/>
  <c r="J11" i="41"/>
  <c r="N11" i="41" s="1"/>
  <c r="O11" i="41"/>
  <c r="S31" i="8"/>
  <c r="O33" i="8"/>
  <c r="S32" i="8"/>
  <c r="M7" i="36"/>
  <c r="L7" i="36"/>
  <c r="K18" i="36"/>
  <c r="O38" i="42"/>
  <c r="K38" i="42"/>
  <c r="O7" i="39"/>
  <c r="K7" i="39"/>
  <c r="J11" i="39"/>
  <c r="N11" i="39" s="1"/>
  <c r="O11" i="39"/>
  <c r="C10" i="8"/>
  <c r="C9" i="8"/>
  <c r="Q14" i="33"/>
  <c r="J11" i="36"/>
  <c r="N11" i="36" s="1"/>
  <c r="O11" i="36"/>
  <c r="K17" i="37"/>
  <c r="O17" i="37"/>
  <c r="P17" i="37"/>
  <c r="AA17" i="48" s="1"/>
  <c r="M15" i="42"/>
  <c r="L15" i="42"/>
  <c r="I7" i="40"/>
  <c r="H6" i="8"/>
  <c r="H26" i="8"/>
  <c r="T12" i="8"/>
  <c r="P14" i="8"/>
  <c r="K8" i="8"/>
  <c r="K3" i="8"/>
  <c r="P17" i="36"/>
  <c r="X17" i="48" s="1"/>
  <c r="I7" i="42"/>
  <c r="J4" i="8"/>
  <c r="J6" i="8" s="1"/>
  <c r="J11" i="40"/>
  <c r="N11" i="40" s="1"/>
  <c r="O11" i="40"/>
  <c r="K38" i="41"/>
  <c r="O38" i="41"/>
  <c r="N15" i="39"/>
  <c r="N9" i="40"/>
  <c r="N21" i="41"/>
  <c r="I11" i="34"/>
  <c r="J11" i="34" s="1"/>
  <c r="T32" i="8"/>
  <c r="O7" i="37"/>
  <c r="K7" i="37"/>
  <c r="C27" i="8"/>
  <c r="E16" i="8"/>
  <c r="O38" i="36"/>
  <c r="K38" i="36"/>
  <c r="P18" i="37"/>
  <c r="AA18" i="48" s="1"/>
  <c r="K18" i="37"/>
  <c r="O18" i="37"/>
  <c r="I9" i="18"/>
  <c r="J9" i="18" s="1"/>
  <c r="I10" i="18"/>
  <c r="J10" i="18" s="1"/>
  <c r="K37" i="41"/>
  <c r="O37" i="41"/>
  <c r="H10" i="8"/>
  <c r="I18" i="40" s="1"/>
  <c r="H9" i="8"/>
  <c r="I17" i="40" s="1"/>
  <c r="F8" i="8"/>
  <c r="F10" i="8" s="1"/>
  <c r="F3" i="8"/>
  <c r="G17" i="8" s="1"/>
  <c r="M38" i="37"/>
  <c r="L38" i="37"/>
  <c r="P17" i="39"/>
  <c r="Y17" i="48" s="1"/>
  <c r="O17" i="39"/>
  <c r="K17" i="39"/>
  <c r="N10" i="40"/>
  <c r="N10" i="42"/>
  <c r="N10" i="39"/>
  <c r="N10" i="36"/>
  <c r="N10" i="37"/>
  <c r="J43" i="37"/>
  <c r="N10" i="41"/>
  <c r="N21" i="42"/>
  <c r="N9" i="42"/>
  <c r="N15" i="40"/>
  <c r="M22" i="41"/>
  <c r="L22" i="41"/>
  <c r="M22" i="42"/>
  <c r="L22" i="42"/>
  <c r="M37" i="42"/>
  <c r="L37" i="42"/>
  <c r="M38" i="40"/>
  <c r="L38" i="40"/>
  <c r="M37" i="39"/>
  <c r="L37" i="39"/>
  <c r="M37" i="37"/>
  <c r="L37" i="37"/>
  <c r="P22" i="37"/>
  <c r="AA22" i="48" s="1"/>
  <c r="O22" i="37"/>
  <c r="K22" i="37"/>
  <c r="L21" i="37"/>
  <c r="M21" i="37"/>
  <c r="P22" i="36"/>
  <c r="X22" i="48" s="1"/>
  <c r="O22" i="36"/>
  <c r="K22" i="36"/>
  <c r="L25" i="36"/>
  <c r="M25" i="36"/>
  <c r="M12" i="35"/>
  <c r="M6" i="35"/>
  <c r="J21" i="35"/>
  <c r="I10" i="35"/>
  <c r="J10" i="35" s="1"/>
  <c r="M6" i="34"/>
  <c r="N45" i="49" l="1"/>
  <c r="B5" i="53" s="1"/>
  <c r="P18" i="36"/>
  <c r="X18" i="48" s="1"/>
  <c r="N38" i="48"/>
  <c r="N9" i="48"/>
  <c r="O17" i="36"/>
  <c r="O18" i="36"/>
  <c r="O18" i="39" s="1"/>
  <c r="O39" i="37"/>
  <c r="O42" i="37" s="1"/>
  <c r="N37" i="48"/>
  <c r="Y30" i="48"/>
  <c r="P17" i="48"/>
  <c r="O17" i="48"/>
  <c r="K17" i="48"/>
  <c r="U22" i="48"/>
  <c r="AF22" i="48" s="1"/>
  <c r="U17" i="48"/>
  <c r="X30" i="48"/>
  <c r="K42" i="48"/>
  <c r="M39" i="48"/>
  <c r="M42" i="48" s="1"/>
  <c r="L39" i="48"/>
  <c r="L42" i="48" s="1"/>
  <c r="P18" i="48"/>
  <c r="K18" i="48"/>
  <c r="O18" i="48"/>
  <c r="AA30" i="48"/>
  <c r="U18" i="48"/>
  <c r="M22" i="48"/>
  <c r="L22" i="48"/>
  <c r="N22" i="48" s="1"/>
  <c r="P30" i="36"/>
  <c r="S14" i="33" s="1"/>
  <c r="J30" i="41"/>
  <c r="J43" i="41" s="1"/>
  <c r="L23" i="35"/>
  <c r="M23" i="35" s="1"/>
  <c r="L13" i="35"/>
  <c r="K13" i="35"/>
  <c r="M13" i="35" s="1"/>
  <c r="L13" i="34"/>
  <c r="K13" i="34"/>
  <c r="J30" i="36"/>
  <c r="J43" i="36" s="1"/>
  <c r="J30" i="42"/>
  <c r="J43" i="42" s="1"/>
  <c r="H18" i="18"/>
  <c r="I18" i="18" s="1"/>
  <c r="J18" i="18" s="1"/>
  <c r="M13" i="18"/>
  <c r="H23" i="34"/>
  <c r="D16" i="8"/>
  <c r="L8" i="35"/>
  <c r="M8" i="35" s="1"/>
  <c r="M21" i="36"/>
  <c r="P30" i="39"/>
  <c r="S15" i="33" s="1"/>
  <c r="K30" i="36"/>
  <c r="O30" i="36"/>
  <c r="L22" i="39"/>
  <c r="N22" i="39" s="1"/>
  <c r="J30" i="39"/>
  <c r="J43" i="39" s="1"/>
  <c r="K30" i="37"/>
  <c r="K30" i="39"/>
  <c r="M17" i="18"/>
  <c r="J30" i="40"/>
  <c r="J43" i="40" s="1"/>
  <c r="P30" i="37"/>
  <c r="O30" i="37"/>
  <c r="O30" i="39"/>
  <c r="K11" i="35"/>
  <c r="L11" i="35"/>
  <c r="L22" i="40"/>
  <c r="N22" i="40" s="1"/>
  <c r="N15" i="42"/>
  <c r="N21" i="37"/>
  <c r="O18" i="42"/>
  <c r="N38" i="37"/>
  <c r="O18" i="40"/>
  <c r="N22" i="41"/>
  <c r="M17" i="35"/>
  <c r="P16" i="33"/>
  <c r="P18" i="33" s="1"/>
  <c r="I39" i="42"/>
  <c r="N25" i="36"/>
  <c r="M17" i="39"/>
  <c r="L17" i="39"/>
  <c r="P18" i="40"/>
  <c r="AB18" i="48" s="1"/>
  <c r="V18" i="48" s="1"/>
  <c r="K18" i="40"/>
  <c r="I21" i="18"/>
  <c r="J21" i="18" s="1"/>
  <c r="L18" i="37"/>
  <c r="M18" i="37"/>
  <c r="M38" i="41"/>
  <c r="L38" i="41"/>
  <c r="M17" i="36"/>
  <c r="L17" i="36"/>
  <c r="I23" i="18"/>
  <c r="J23" i="18" s="1"/>
  <c r="I12" i="18"/>
  <c r="J12" i="18" s="1"/>
  <c r="I8" i="8"/>
  <c r="I3" i="8"/>
  <c r="Q15" i="33"/>
  <c r="I39" i="40"/>
  <c r="M38" i="42"/>
  <c r="L38" i="42"/>
  <c r="I23" i="34"/>
  <c r="J23" i="34" s="1"/>
  <c r="I12" i="34"/>
  <c r="J12" i="34" s="1"/>
  <c r="L38" i="39"/>
  <c r="M38" i="39"/>
  <c r="F26" i="8"/>
  <c r="F27" i="8" s="1"/>
  <c r="F6" i="8"/>
  <c r="L9" i="18"/>
  <c r="K9" i="18"/>
  <c r="M7" i="37"/>
  <c r="L7" i="37"/>
  <c r="K11" i="34"/>
  <c r="L11" i="34"/>
  <c r="H17" i="8"/>
  <c r="M37" i="36"/>
  <c r="L37" i="36"/>
  <c r="K17" i="42"/>
  <c r="O17" i="42"/>
  <c r="P17" i="42"/>
  <c r="Z17" i="48" s="1"/>
  <c r="L18" i="39"/>
  <c r="M18" i="39"/>
  <c r="F9" i="8"/>
  <c r="H18" i="34" s="1"/>
  <c r="M37" i="41"/>
  <c r="L37" i="41"/>
  <c r="O39" i="36"/>
  <c r="O42" i="36" s="1"/>
  <c r="K39" i="36"/>
  <c r="K42" i="36" s="1"/>
  <c r="R14" i="33"/>
  <c r="D18" i="8"/>
  <c r="L24" i="34"/>
  <c r="K24" i="34"/>
  <c r="L39" i="37"/>
  <c r="L42" i="37" s="1"/>
  <c r="M39" i="37"/>
  <c r="M42" i="37" s="1"/>
  <c r="O7" i="42"/>
  <c r="K7" i="42"/>
  <c r="J8" i="18"/>
  <c r="M29" i="18"/>
  <c r="I7" i="41"/>
  <c r="K4" i="8"/>
  <c r="I15" i="41" s="1"/>
  <c r="T31" i="8"/>
  <c r="P33" i="8"/>
  <c r="O7" i="40"/>
  <c r="K7" i="40"/>
  <c r="E18" i="8"/>
  <c r="M7" i="39"/>
  <c r="L7" i="39"/>
  <c r="M18" i="36"/>
  <c r="L18" i="36"/>
  <c r="K18" i="42"/>
  <c r="P18" i="42"/>
  <c r="Z18" i="48" s="1"/>
  <c r="P17" i="40"/>
  <c r="O17" i="40"/>
  <c r="K17" i="40"/>
  <c r="K10" i="18"/>
  <c r="L10" i="18"/>
  <c r="M38" i="36"/>
  <c r="L38" i="36"/>
  <c r="K9" i="8"/>
  <c r="I17" i="41" s="1"/>
  <c r="K10" i="8"/>
  <c r="I18" i="41" s="1"/>
  <c r="M17" i="37"/>
  <c r="L17" i="37"/>
  <c r="I8" i="34"/>
  <c r="J8" i="34" s="1"/>
  <c r="M29" i="34"/>
  <c r="M37" i="40"/>
  <c r="L37" i="40"/>
  <c r="O39" i="39"/>
  <c r="O42" i="39" s="1"/>
  <c r="K39" i="39"/>
  <c r="I24" i="18"/>
  <c r="J24" i="18" s="1"/>
  <c r="I11" i="18"/>
  <c r="J11" i="18" s="1"/>
  <c r="N21" i="36"/>
  <c r="N22" i="42"/>
  <c r="N37" i="42"/>
  <c r="N38" i="40"/>
  <c r="N37" i="39"/>
  <c r="M22" i="37"/>
  <c r="L22" i="37"/>
  <c r="N37" i="37"/>
  <c r="L22" i="36"/>
  <c r="M22" i="36"/>
  <c r="L10" i="35"/>
  <c r="K10" i="35"/>
  <c r="K21" i="35"/>
  <c r="L21" i="35"/>
  <c r="L22" i="35"/>
  <c r="K22" i="35"/>
  <c r="O43" i="37" l="1"/>
  <c r="M14" i="33" s="1"/>
  <c r="U30" i="48"/>
  <c r="P43" i="36"/>
  <c r="P30" i="48"/>
  <c r="P43" i="48" s="1"/>
  <c r="P30" i="40"/>
  <c r="T15" i="33" s="1"/>
  <c r="AB17" i="48"/>
  <c r="Z30" i="48"/>
  <c r="X43" i="48" s="1"/>
  <c r="N39" i="48"/>
  <c r="N42" i="48" s="1"/>
  <c r="M17" i="48"/>
  <c r="L17" i="48"/>
  <c r="K30" i="48"/>
  <c r="K43" i="48" s="1"/>
  <c r="L18" i="48"/>
  <c r="M18" i="48"/>
  <c r="N18" i="48" s="1"/>
  <c r="O30" i="48"/>
  <c r="O43" i="48" s="1"/>
  <c r="P43" i="37"/>
  <c r="T14" i="33"/>
  <c r="M13" i="34"/>
  <c r="M30" i="39"/>
  <c r="L30" i="36"/>
  <c r="M30" i="36"/>
  <c r="K30" i="40"/>
  <c r="K30" i="42"/>
  <c r="L30" i="39"/>
  <c r="O30" i="40"/>
  <c r="O30" i="42"/>
  <c r="L30" i="37"/>
  <c r="L43" i="37" s="1"/>
  <c r="H18" i="8"/>
  <c r="G16" i="8"/>
  <c r="H16" i="8"/>
  <c r="P30" i="42"/>
  <c r="S16" i="33" s="1"/>
  <c r="M30" i="37"/>
  <c r="M43" i="37" s="1"/>
  <c r="M11" i="35"/>
  <c r="N38" i="41"/>
  <c r="N38" i="42"/>
  <c r="N38" i="39"/>
  <c r="O43" i="39"/>
  <c r="L15" i="33" s="1"/>
  <c r="M24" i="34"/>
  <c r="N18" i="36"/>
  <c r="P43" i="39"/>
  <c r="N18" i="37"/>
  <c r="N17" i="39"/>
  <c r="N37" i="40"/>
  <c r="N7" i="39"/>
  <c r="M11" i="34"/>
  <c r="M9" i="18"/>
  <c r="O43" i="36"/>
  <c r="L14" i="33" s="1"/>
  <c r="N14" i="33" s="1"/>
  <c r="K43" i="36"/>
  <c r="M39" i="39"/>
  <c r="M42" i="39" s="1"/>
  <c r="K42" i="39"/>
  <c r="K43" i="39" s="1"/>
  <c r="L39" i="39"/>
  <c r="P18" i="41"/>
  <c r="AC18" i="48" s="1"/>
  <c r="W18" i="48" s="1"/>
  <c r="AF18" i="48" s="1"/>
  <c r="K18" i="41"/>
  <c r="O18" i="41"/>
  <c r="L18" i="18"/>
  <c r="K18" i="18"/>
  <c r="O15" i="41"/>
  <c r="P15" i="41"/>
  <c r="K15" i="41"/>
  <c r="K8" i="18"/>
  <c r="L8" i="18"/>
  <c r="I21" i="34"/>
  <c r="J21" i="34" s="1"/>
  <c r="I10" i="34"/>
  <c r="J10" i="34" s="1"/>
  <c r="L21" i="18"/>
  <c r="K21" i="18"/>
  <c r="O39" i="42"/>
  <c r="O42" i="42" s="1"/>
  <c r="K39" i="42"/>
  <c r="L8" i="34"/>
  <c r="K8" i="34"/>
  <c r="K17" i="41"/>
  <c r="O17" i="41"/>
  <c r="P17" i="41"/>
  <c r="AC17" i="48" s="1"/>
  <c r="W17" i="48" s="1"/>
  <c r="L18" i="42"/>
  <c r="M18" i="42"/>
  <c r="K6" i="8"/>
  <c r="L7" i="42"/>
  <c r="M7" i="42"/>
  <c r="K12" i="34"/>
  <c r="L12" i="34"/>
  <c r="K12" i="18"/>
  <c r="L12" i="18"/>
  <c r="L11" i="18"/>
  <c r="K11" i="18"/>
  <c r="M10" i="18"/>
  <c r="O7" i="41"/>
  <c r="K7" i="41"/>
  <c r="L39" i="36"/>
  <c r="M39" i="36"/>
  <c r="M42" i="36" s="1"/>
  <c r="N37" i="41"/>
  <c r="I18" i="34"/>
  <c r="J18" i="34" s="1"/>
  <c r="M17" i="42"/>
  <c r="L17" i="42"/>
  <c r="I22" i="34"/>
  <c r="J22" i="34" s="1"/>
  <c r="R15" i="33"/>
  <c r="G18" i="8"/>
  <c r="I6" i="8"/>
  <c r="I26" i="8"/>
  <c r="I27" i="8" s="1"/>
  <c r="C30" i="8" s="1"/>
  <c r="L23" i="18"/>
  <c r="K23" i="18"/>
  <c r="I22" i="18"/>
  <c r="J22" i="18" s="1"/>
  <c r="M18" i="40"/>
  <c r="L18" i="40"/>
  <c r="M22" i="35"/>
  <c r="K24" i="18"/>
  <c r="L24" i="18"/>
  <c r="N17" i="37"/>
  <c r="N38" i="36"/>
  <c r="M17" i="40"/>
  <c r="L17" i="40"/>
  <c r="L7" i="40"/>
  <c r="M7" i="40"/>
  <c r="N39" i="37"/>
  <c r="N42" i="37" s="1"/>
  <c r="N18" i="39"/>
  <c r="N37" i="36"/>
  <c r="L23" i="34"/>
  <c r="K23" i="34"/>
  <c r="K39" i="40"/>
  <c r="O39" i="40"/>
  <c r="O42" i="40" s="1"/>
  <c r="I10" i="8"/>
  <c r="I9" i="8"/>
  <c r="N17" i="36"/>
  <c r="N22" i="37"/>
  <c r="K43" i="37"/>
  <c r="F14" i="33"/>
  <c r="N22" i="36"/>
  <c r="M21" i="35"/>
  <c r="M10" i="35"/>
  <c r="L30" i="48" l="1"/>
  <c r="L43" i="48" s="1"/>
  <c r="P43" i="40"/>
  <c r="AB30" i="48"/>
  <c r="V17" i="48"/>
  <c r="V30" i="48" s="1"/>
  <c r="P30" i="41"/>
  <c r="T16" i="33" s="1"/>
  <c r="AC15" i="48"/>
  <c r="N17" i="48"/>
  <c r="N30" i="48" s="1"/>
  <c r="N43" i="48" s="1"/>
  <c r="M30" i="48"/>
  <c r="M43" i="48" s="1"/>
  <c r="H18" i="35"/>
  <c r="I18" i="35" s="1"/>
  <c r="J18" i="35" s="1"/>
  <c r="J16" i="8"/>
  <c r="C23" i="8"/>
  <c r="U14" i="33"/>
  <c r="J30" i="34"/>
  <c r="M30" i="40"/>
  <c r="N30" i="36"/>
  <c r="L30" i="40"/>
  <c r="M30" i="42"/>
  <c r="J30" i="18"/>
  <c r="K30" i="41"/>
  <c r="L30" i="42"/>
  <c r="N30" i="39"/>
  <c r="C14" i="33"/>
  <c r="N30" i="37"/>
  <c r="N43" i="37" s="1"/>
  <c r="J14" i="33" s="1"/>
  <c r="O30" i="41"/>
  <c r="K16" i="8"/>
  <c r="M23" i="34"/>
  <c r="M8" i="18"/>
  <c r="M21" i="18"/>
  <c r="B15" i="33"/>
  <c r="M43" i="39"/>
  <c r="O43" i="40"/>
  <c r="M15" i="33" s="1"/>
  <c r="N15" i="33" s="1"/>
  <c r="O43" i="42"/>
  <c r="L16" i="33" s="1"/>
  <c r="L18" i="33" s="1"/>
  <c r="B14" i="33"/>
  <c r="M23" i="18"/>
  <c r="M8" i="34"/>
  <c r="M43" i="36"/>
  <c r="U15" i="33"/>
  <c r="N18" i="40"/>
  <c r="M12" i="18"/>
  <c r="M18" i="18"/>
  <c r="M12" i="34"/>
  <c r="N39" i="36"/>
  <c r="N42" i="36" s="1"/>
  <c r="K42" i="40"/>
  <c r="K43" i="40" s="1"/>
  <c r="M39" i="40"/>
  <c r="M42" i="40" s="1"/>
  <c r="L39" i="40"/>
  <c r="N7" i="40"/>
  <c r="K22" i="18"/>
  <c r="L22" i="18"/>
  <c r="L30" i="18" s="1"/>
  <c r="N7" i="42"/>
  <c r="P43" i="42"/>
  <c r="N17" i="42"/>
  <c r="K18" i="34"/>
  <c r="L18" i="34"/>
  <c r="L7" i="41"/>
  <c r="M7" i="41"/>
  <c r="K18" i="8"/>
  <c r="Q16" i="33"/>
  <c r="Q18" i="33" s="1"/>
  <c r="I39" i="41"/>
  <c r="R16" i="33"/>
  <c r="R18" i="33" s="1"/>
  <c r="J18" i="8"/>
  <c r="L22" i="34"/>
  <c r="K22" i="34"/>
  <c r="L42" i="36"/>
  <c r="L10" i="34"/>
  <c r="K10" i="34"/>
  <c r="M18" i="41"/>
  <c r="L18" i="41"/>
  <c r="N39" i="39"/>
  <c r="N42" i="39" s="1"/>
  <c r="L42" i="39"/>
  <c r="N17" i="40"/>
  <c r="M24" i="18"/>
  <c r="M11" i="18"/>
  <c r="N18" i="42"/>
  <c r="L17" i="41"/>
  <c r="M17" i="41"/>
  <c r="L39" i="42"/>
  <c r="L42" i="42" s="1"/>
  <c r="K42" i="42"/>
  <c r="M39" i="42"/>
  <c r="M42" i="42" s="1"/>
  <c r="L21" i="34"/>
  <c r="K21" i="34"/>
  <c r="M15" i="41"/>
  <c r="L15" i="41"/>
  <c r="AF17" i="48" l="1"/>
  <c r="AC30" i="48"/>
  <c r="AA43" i="48" s="1"/>
  <c r="W15" i="48"/>
  <c r="W30" i="48" s="1"/>
  <c r="C15" i="33"/>
  <c r="D15" i="33" s="1"/>
  <c r="L30" i="34"/>
  <c r="K30" i="34"/>
  <c r="L31" i="18"/>
  <c r="B5" i="33" s="1"/>
  <c r="N30" i="42"/>
  <c r="N30" i="40"/>
  <c r="D14" i="33"/>
  <c r="L31" i="34"/>
  <c r="B6" i="33" s="1"/>
  <c r="M30" i="41"/>
  <c r="K30" i="18"/>
  <c r="J30" i="35"/>
  <c r="L30" i="41"/>
  <c r="M43" i="40"/>
  <c r="L17" i="33"/>
  <c r="N43" i="36"/>
  <c r="I14" i="33" s="1"/>
  <c r="K14" i="33" s="1"/>
  <c r="O14" i="33" s="1"/>
  <c r="N43" i="39"/>
  <c r="I15" i="33" s="1"/>
  <c r="M22" i="34"/>
  <c r="N17" i="41"/>
  <c r="M43" i="42"/>
  <c r="M10" i="34"/>
  <c r="E14" i="33"/>
  <c r="L43" i="36"/>
  <c r="O39" i="41"/>
  <c r="O42" i="41" s="1"/>
  <c r="O43" i="41" s="1"/>
  <c r="M16" i="33" s="1"/>
  <c r="K39" i="41"/>
  <c r="M22" i="18"/>
  <c r="M30" i="18" s="1"/>
  <c r="C5" i="33" s="1"/>
  <c r="N15" i="41"/>
  <c r="N39" i="42"/>
  <c r="N42" i="42" s="1"/>
  <c r="N7" i="41"/>
  <c r="P43" i="41"/>
  <c r="U16" i="33"/>
  <c r="N18" i="41"/>
  <c r="S17" i="33"/>
  <c r="S18" i="33"/>
  <c r="L19" i="33" s="1"/>
  <c r="M21" i="34"/>
  <c r="K43" i="42"/>
  <c r="E16" i="33"/>
  <c r="L43" i="39"/>
  <c r="E15" i="33"/>
  <c r="B16" i="33"/>
  <c r="M18" i="34"/>
  <c r="K18" i="35"/>
  <c r="K30" i="35" s="1"/>
  <c r="L18" i="35"/>
  <c r="L30" i="35" s="1"/>
  <c r="L43" i="42"/>
  <c r="L42" i="40"/>
  <c r="L43" i="40" s="1"/>
  <c r="N39" i="40"/>
  <c r="N42" i="40" s="1"/>
  <c r="U43" i="48" l="1"/>
  <c r="AF15" i="48"/>
  <c r="L31" i="35"/>
  <c r="B7" i="33" s="1"/>
  <c r="B8" i="33" s="1"/>
  <c r="N30" i="41"/>
  <c r="N43" i="42"/>
  <c r="I16" i="33" s="1"/>
  <c r="I18" i="33" s="1"/>
  <c r="N43" i="40"/>
  <c r="J15" i="33" s="1"/>
  <c r="K15" i="33" s="1"/>
  <c r="B17" i="33"/>
  <c r="B18" i="33"/>
  <c r="B20" i="33" s="1"/>
  <c r="L39" i="41"/>
  <c r="L42" i="41" s="1"/>
  <c r="L43" i="41" s="1"/>
  <c r="M39" i="41"/>
  <c r="M42" i="41" s="1"/>
  <c r="M43" i="41" s="1"/>
  <c r="K42" i="41"/>
  <c r="M18" i="33"/>
  <c r="N16" i="33"/>
  <c r="M17" i="33"/>
  <c r="M18" i="35"/>
  <c r="M30" i="35" s="1"/>
  <c r="C7" i="33" s="1"/>
  <c r="U18" i="33"/>
  <c r="U17" i="33"/>
  <c r="T18" i="33"/>
  <c r="T17" i="33"/>
  <c r="E17" i="33"/>
  <c r="E18" i="33"/>
  <c r="E20" i="33" s="1"/>
  <c r="G14" i="33"/>
  <c r="F15" i="33"/>
  <c r="C16" i="33"/>
  <c r="M30" i="34"/>
  <c r="C6" i="33" s="1"/>
  <c r="I17" i="33" l="1"/>
  <c r="N39" i="41"/>
  <c r="N42" i="41" s="1"/>
  <c r="N43" i="41" s="1"/>
  <c r="J16" i="33" s="1"/>
  <c r="C8" i="33"/>
  <c r="O15" i="33"/>
  <c r="N18" i="33"/>
  <c r="N19" i="33" s="1"/>
  <c r="N17" i="33"/>
  <c r="D16" i="33"/>
  <c r="C18" i="33"/>
  <c r="C17" i="33"/>
  <c r="H14" i="33"/>
  <c r="M19" i="33"/>
  <c r="G15" i="33"/>
  <c r="H15" i="33" s="1"/>
  <c r="F16" i="33"/>
  <c r="G16" i="33" s="1"/>
  <c r="K43" i="41"/>
  <c r="H16" i="33" l="1"/>
  <c r="H17" i="33" s="1"/>
  <c r="G18" i="33"/>
  <c r="G20" i="33" s="1"/>
  <c r="C20" i="33"/>
  <c r="F18" i="33"/>
  <c r="F20" i="33" s="1"/>
  <c r="D17" i="33"/>
  <c r="D18" i="33"/>
  <c r="G17" i="33"/>
  <c r="K16" i="33"/>
  <c r="J18" i="33"/>
  <c r="J17" i="33"/>
  <c r="F17" i="33"/>
  <c r="H18" i="33" l="1"/>
  <c r="H20" i="33" s="1"/>
  <c r="N20" i="33"/>
  <c r="D20" i="33"/>
  <c r="O16" i="33"/>
  <c r="K17" i="33"/>
  <c r="K18" i="33"/>
  <c r="M20" i="33"/>
  <c r="O17" i="33" l="1"/>
  <c r="O18" i="33"/>
  <c r="L20" i="3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ASingleton</author>
  </authors>
  <commentList>
    <comment ref="I3" authorId="0" shapeId="0" xr:uid="{00000000-0006-0000-0000-000001000000}">
      <text>
        <r>
          <rPr>
            <b/>
            <sz val="9"/>
            <color indexed="81"/>
            <rFont val="Tahoma"/>
            <family val="2"/>
          </rPr>
          <t>ASingleton:</t>
        </r>
        <r>
          <rPr>
            <sz val="9"/>
            <color indexed="81"/>
            <rFont val="Tahoma"/>
            <family val="2"/>
          </rPr>
          <t xml:space="preserve">
changed formula</t>
        </r>
      </text>
    </comment>
    <comment ref="O3" authorId="0" shapeId="0" xr:uid="{00000000-0006-0000-0000-000002000000}">
      <text>
        <r>
          <rPr>
            <b/>
            <sz val="9"/>
            <color indexed="81"/>
            <rFont val="Tahoma"/>
            <family val="2"/>
          </rPr>
          <t>ASingleton:</t>
        </r>
        <r>
          <rPr>
            <sz val="9"/>
            <color indexed="81"/>
            <rFont val="Tahoma"/>
            <family val="2"/>
          </rPr>
          <t xml:space="preserve">
Changed equation since over 2 weeks is better off as a monthly rental instead of weekly.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ASingleton</author>
    <author>Katie Stout</author>
  </authors>
  <commentList>
    <comment ref="C10" authorId="0" shapeId="0" xr:uid="{00000000-0006-0000-0400-000001000000}">
      <text>
        <r>
          <rPr>
            <b/>
            <sz val="9"/>
            <color indexed="81"/>
            <rFont val="Tahoma"/>
            <family val="2"/>
          </rPr>
          <t>ASingleton:</t>
        </r>
        <r>
          <rPr>
            <sz val="9"/>
            <color indexed="81"/>
            <rFont val="Tahoma"/>
            <family val="2"/>
          </rPr>
          <t xml:space="preserve">
I had update the source of this value to be based on the new T&amp;M costs. I replaced the controlelrs NSPS acreage tab in this file. Please fix in other files.</t>
        </r>
      </text>
    </comment>
    <comment ref="C29" authorId="0" shapeId="0" xr:uid="{00000000-0006-0000-0400-000002000000}">
      <text>
        <r>
          <rPr>
            <b/>
            <sz val="9"/>
            <color indexed="81"/>
            <rFont val="Tahoma"/>
            <family val="2"/>
          </rPr>
          <t>ASingleton:</t>
        </r>
        <r>
          <rPr>
            <sz val="9"/>
            <color indexed="81"/>
            <rFont val="Tahoma"/>
            <family val="2"/>
          </rPr>
          <t xml:space="preserve">
Lets use 15 hours in year 1 and then 5 hours in year 2 and 3. </t>
        </r>
      </text>
    </comment>
    <comment ref="B31" authorId="1" shapeId="0" xr:uid="{00000000-0006-0000-0400-000003000000}">
      <text>
        <r>
          <rPr>
            <b/>
            <sz val="9"/>
            <color indexed="81"/>
            <rFont val="Tahoma"/>
            <family val="2"/>
          </rPr>
          <t>Katie Stout:</t>
        </r>
        <r>
          <rPr>
            <sz val="9"/>
            <color indexed="81"/>
            <rFont val="Tahoma"/>
            <family val="2"/>
          </rPr>
          <t xml:space="preserve">
doublecheck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JShweky</author>
  </authors>
  <commentList>
    <comment ref="B8" authorId="0" shapeId="0" xr:uid="{00000000-0006-0000-0500-000001000000}">
      <text>
        <r>
          <rPr>
            <b/>
            <sz val="9"/>
            <color indexed="81"/>
            <rFont val="Tahoma"/>
            <family val="2"/>
          </rPr>
          <t>JShweky:</t>
        </r>
        <r>
          <rPr>
            <sz val="9"/>
            <color indexed="81"/>
            <rFont val="Tahoma"/>
            <family val="2"/>
          </rPr>
          <t xml:space="preserve">
These differ from the table in rows L27:S31 because these numbers include greenfields while the table doesn't</t>
        </r>
      </text>
    </comment>
    <comment ref="F10" authorId="0" shapeId="0" xr:uid="{00000000-0006-0000-0500-000002000000}">
      <text>
        <r>
          <rPr>
            <b/>
            <sz val="9"/>
            <color indexed="81"/>
            <rFont val="Tahoma"/>
            <family val="2"/>
          </rPr>
          <t>JShweky:</t>
        </r>
        <r>
          <rPr>
            <sz val="9"/>
            <color indexed="81"/>
            <rFont val="Tahoma"/>
            <family val="2"/>
          </rPr>
          <t xml:space="preserve">
For yr 2, took the difference between year 1&amp;2 reporting but not controlling; for yr 3, differnce was negative so made 0</t>
        </r>
      </text>
    </comment>
    <comment ref="G10" authorId="0" shapeId="0" xr:uid="{00000000-0006-0000-0500-000003000000}">
      <text>
        <r>
          <rPr>
            <b/>
            <sz val="9"/>
            <color indexed="81"/>
            <rFont val="Tahoma"/>
            <family val="2"/>
          </rPr>
          <t>JShweky:</t>
        </r>
        <r>
          <rPr>
            <sz val="9"/>
            <color indexed="81"/>
            <rFont val="Tahoma"/>
            <family val="2"/>
          </rPr>
          <t xml:space="preserve">
For yr 2, took the difference between year 1&amp;2 reporting but not controlling; for yr 3, differnce was negative so made 0</t>
        </r>
      </text>
    </comment>
    <comment ref="H10" authorId="0" shapeId="0" xr:uid="{00000000-0006-0000-0500-000004000000}">
      <text>
        <r>
          <rPr>
            <b/>
            <sz val="9"/>
            <color indexed="81"/>
            <rFont val="Tahoma"/>
            <family val="2"/>
          </rPr>
          <t>JShweky:</t>
        </r>
        <r>
          <rPr>
            <sz val="9"/>
            <color indexed="81"/>
            <rFont val="Tahoma"/>
            <family val="2"/>
          </rPr>
          <t xml:space="preserve">
For yr 2, took the difference between year 1&amp;2 reporting but not controlling; for yr 3, differnce was negative so made 0</t>
        </r>
      </text>
    </comment>
    <comment ref="I10" authorId="0" shapeId="0" xr:uid="{00000000-0006-0000-0500-000005000000}">
      <text>
        <r>
          <rPr>
            <b/>
            <sz val="9"/>
            <color indexed="81"/>
            <rFont val="Tahoma"/>
            <family val="2"/>
          </rPr>
          <t>JShweky:</t>
        </r>
        <r>
          <rPr>
            <sz val="9"/>
            <color indexed="81"/>
            <rFont val="Tahoma"/>
            <family val="2"/>
          </rPr>
          <t xml:space="preserve">
made 0 in tables</t>
        </r>
      </text>
    </comment>
    <comment ref="M10" authorId="0" shapeId="0" xr:uid="{00000000-0006-0000-0500-000006000000}">
      <text>
        <r>
          <rPr>
            <b/>
            <sz val="9"/>
            <color indexed="81"/>
            <rFont val="Tahoma"/>
            <family val="2"/>
          </rPr>
          <t>JShweky:</t>
        </r>
        <r>
          <rPr>
            <sz val="9"/>
            <color indexed="81"/>
            <rFont val="Tahoma"/>
            <family val="2"/>
          </rPr>
          <t xml:space="preserve">
This table only includes Mod so separate table for Greenfields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JShweky</author>
    <author>ASingleton</author>
    <author>Katie Stout</author>
  </authors>
  <commentList>
    <comment ref="A2" authorId="0" shapeId="0" xr:uid="{00000000-0006-0000-0300-000001000000}">
      <text>
        <r>
          <rPr>
            <b/>
            <sz val="9"/>
            <color indexed="81"/>
            <rFont val="Tahoma"/>
            <family val="2"/>
          </rPr>
          <t>JShweky:</t>
        </r>
        <r>
          <rPr>
            <sz val="9"/>
            <color indexed="81"/>
            <rFont val="Tahoma"/>
            <family val="2"/>
          </rPr>
          <t xml:space="preserve">
may potentially require periodic testing (3-5 yrs?) which would affect cell D2</t>
        </r>
      </text>
    </comment>
    <comment ref="A3" authorId="0" shapeId="0" xr:uid="{00000000-0006-0000-0300-000002000000}">
      <text>
        <r>
          <rPr>
            <b/>
            <sz val="9"/>
            <color indexed="81"/>
            <rFont val="Tahoma"/>
            <family val="2"/>
          </rPr>
          <t>JShweky:</t>
        </r>
        <r>
          <rPr>
            <sz val="9"/>
            <color indexed="81"/>
            <rFont val="Tahoma"/>
            <family val="2"/>
          </rPr>
          <t xml:space="preserve">
Why didn't this cost go in the NSPS tables? Is this part of the 28 technical hours for Tier 1?</t>
        </r>
      </text>
    </comment>
    <comment ref="A7" authorId="1" shapeId="0" xr:uid="{00000000-0006-0000-0300-000003000000}">
      <text>
        <r>
          <rPr>
            <b/>
            <sz val="9"/>
            <color indexed="81"/>
            <rFont val="Tahoma"/>
            <family val="2"/>
          </rPr>
          <t>ASingleton:</t>
        </r>
        <r>
          <rPr>
            <sz val="9"/>
            <color indexed="81"/>
            <rFont val="Tahoma"/>
            <family val="2"/>
          </rPr>
          <t xml:space="preserve">
4 occurances per year</t>
        </r>
      </text>
    </comment>
    <comment ref="A8" authorId="1" shapeId="0" xr:uid="{00000000-0006-0000-0300-000004000000}">
      <text>
        <r>
          <rPr>
            <b/>
            <sz val="9"/>
            <color indexed="81"/>
            <rFont val="Tahoma"/>
            <family val="2"/>
          </rPr>
          <t>ASingleton:</t>
        </r>
        <r>
          <rPr>
            <sz val="9"/>
            <color indexed="81"/>
            <rFont val="Tahoma"/>
            <family val="2"/>
          </rPr>
          <t xml:space="preserve">
4 occurances per year</t>
        </r>
      </text>
    </comment>
    <comment ref="A9" authorId="1" shapeId="0" xr:uid="{00000000-0006-0000-0300-000005000000}">
      <text>
        <r>
          <rPr>
            <b/>
            <sz val="9"/>
            <color indexed="81"/>
            <rFont val="Tahoma"/>
            <family val="2"/>
          </rPr>
          <t>ASingleton:</t>
        </r>
        <r>
          <rPr>
            <sz val="9"/>
            <color indexed="81"/>
            <rFont val="Tahoma"/>
            <family val="2"/>
          </rPr>
          <t xml:space="preserve">
4 occurances per year</t>
        </r>
      </text>
    </comment>
    <comment ref="A10" authorId="1" shapeId="0" xr:uid="{00000000-0006-0000-0300-000006000000}">
      <text>
        <r>
          <rPr>
            <b/>
            <sz val="9"/>
            <color indexed="81"/>
            <rFont val="Tahoma"/>
            <family val="2"/>
          </rPr>
          <t>ASingleton:</t>
        </r>
        <r>
          <rPr>
            <sz val="9"/>
            <color indexed="81"/>
            <rFont val="Tahoma"/>
            <family val="2"/>
          </rPr>
          <t xml:space="preserve">
4 occurances per year</t>
        </r>
      </text>
    </comment>
    <comment ref="A12" authorId="1" shapeId="0" xr:uid="{00000000-0006-0000-0300-000007000000}">
      <text>
        <r>
          <rPr>
            <b/>
            <sz val="9"/>
            <color indexed="81"/>
            <rFont val="Tahoma"/>
            <family val="2"/>
          </rPr>
          <t>ASingleton:</t>
        </r>
        <r>
          <rPr>
            <sz val="9"/>
            <color indexed="81"/>
            <rFont val="Tahoma"/>
            <family val="2"/>
          </rPr>
          <t xml:space="preserve">
Only at 25% of sites that do not have a data logger, 4 occurances per year. Estimated based on 25% of total acreage.</t>
        </r>
      </text>
    </comment>
    <comment ref="A29" authorId="2" shapeId="0" xr:uid="{00000000-0006-0000-0300-000008000000}">
      <text>
        <r>
          <rPr>
            <b/>
            <sz val="9"/>
            <color indexed="81"/>
            <rFont val="Tahoma"/>
            <family val="2"/>
          </rPr>
          <t>Katie Stout:</t>
        </r>
        <r>
          <rPr>
            <sz val="9"/>
            <color indexed="81"/>
            <rFont val="Tahoma"/>
            <family val="2"/>
          </rPr>
          <t xml:space="preserve">
update</t>
        </r>
      </text>
    </comment>
  </commentList>
</comments>
</file>

<file path=xl/sharedStrings.xml><?xml version="1.0" encoding="utf-8"?>
<sst xmlns="http://schemas.openxmlformats.org/spreadsheetml/2006/main" count="6067" uniqueCount="1460">
  <si>
    <t>Acreage from query 13c Acreage of Controllers NSPS Model and Inventory 2025</t>
  </si>
  <si>
    <t>25-foot Traverse</t>
  </si>
  <si>
    <t>30 meter pattern</t>
  </si>
  <si>
    <t>RunID</t>
  </si>
  <si>
    <t>Landfill_ID</t>
  </si>
  <si>
    <t>Annual_Acreage</t>
  </si>
  <si>
    <t>25f Hours Per Monitoring Occurance</t>
  </si>
  <si>
    <t>25f Days Per Monitoring Occurance</t>
  </si>
  <si>
    <t>25f Weeks per monitoring Occurance</t>
  </si>
  <si>
    <t>25f Months per monitoring Occurance</t>
  </si>
  <si>
    <t>25f Labor per year (4 occurances per year)</t>
  </si>
  <si>
    <t>25f Equipment Rental per year (4 occurances per year)</t>
  </si>
  <si>
    <t>30m Hours Per Monitoring Occurance</t>
  </si>
  <si>
    <t>30m Days Per Monitoring Occurance</t>
  </si>
  <si>
    <t>30m Weeks per monitoring Occurance</t>
  </si>
  <si>
    <t>30m Months per monitoring Occurance</t>
  </si>
  <si>
    <t>30m Labor per year (4 occurances per year)</t>
  </si>
  <si>
    <t>30m Equipment Rental per year (4 occurances per year)</t>
  </si>
  <si>
    <t xml:space="preserve">SCAQMD: Surface Maintenance per year (4 occurances per year) </t>
  </si>
  <si>
    <t>Calibration and Hydrogen Fuel for TrimbleFID (Annual Costs)</t>
  </si>
  <si>
    <t>Initial Performance Tests</t>
  </si>
  <si>
    <t>TOTAL T&amp;M for Controllers at 30-meter pattern</t>
  </si>
  <si>
    <t>average hours</t>
  </si>
  <si>
    <t>count</t>
  </si>
  <si>
    <t>average acres</t>
  </si>
  <si>
    <t>524982</t>
  </si>
  <si>
    <t>option 13</t>
  </si>
  <si>
    <t>523747</t>
  </si>
  <si>
    <t>525255</t>
  </si>
  <si>
    <t>525149</t>
  </si>
  <si>
    <t>527676</t>
  </si>
  <si>
    <t>527938</t>
  </si>
  <si>
    <t>523175</t>
  </si>
  <si>
    <t>523507</t>
  </si>
  <si>
    <t>525950</t>
  </si>
  <si>
    <t>523979</t>
  </si>
  <si>
    <t>528469</t>
  </si>
  <si>
    <t>524679</t>
  </si>
  <si>
    <t>525382</t>
  </si>
  <si>
    <t>522275</t>
  </si>
  <si>
    <t>525122</t>
  </si>
  <si>
    <t>526417</t>
  </si>
  <si>
    <t>527419</t>
  </si>
  <si>
    <t>525877</t>
  </si>
  <si>
    <t>527237</t>
  </si>
  <si>
    <t>525995</t>
  </si>
  <si>
    <t>522267</t>
  </si>
  <si>
    <t>524984</t>
  </si>
  <si>
    <t>525361</t>
  </si>
  <si>
    <t>525946</t>
  </si>
  <si>
    <t>525947</t>
  </si>
  <si>
    <t>524623</t>
  </si>
  <si>
    <t>527937</t>
  </si>
  <si>
    <t>524052</t>
  </si>
  <si>
    <t>524136</t>
  </si>
  <si>
    <t>527936</t>
  </si>
  <si>
    <t>528072</t>
  </si>
  <si>
    <t>529918</t>
  </si>
  <si>
    <t>523499</t>
  </si>
  <si>
    <t>527427</t>
  </si>
  <si>
    <t>526337</t>
  </si>
  <si>
    <t>526650</t>
  </si>
  <si>
    <t>525131</t>
  </si>
  <si>
    <t>524394</t>
  </si>
  <si>
    <t>525172</t>
  </si>
  <si>
    <t>524985</t>
  </si>
  <si>
    <t>530259</t>
  </si>
  <si>
    <t>266</t>
  </si>
  <si>
    <t>524866</t>
  </si>
  <si>
    <t>524620</t>
  </si>
  <si>
    <t>525134</t>
  </si>
  <si>
    <t>528470</t>
  </si>
  <si>
    <t>528699</t>
  </si>
  <si>
    <t>524948</t>
  </si>
  <si>
    <t>525140</t>
  </si>
  <si>
    <t>527241</t>
  </si>
  <si>
    <t>551457</t>
  </si>
  <si>
    <t>523188</t>
  </si>
  <si>
    <t>528397</t>
  </si>
  <si>
    <t>523383</t>
  </si>
  <si>
    <t>525265</t>
  </si>
  <si>
    <t>530321</t>
  </si>
  <si>
    <t>NSPS8</t>
  </si>
  <si>
    <t>523731</t>
  </si>
  <si>
    <t>527840</t>
  </si>
  <si>
    <t>535899</t>
  </si>
  <si>
    <t>524842</t>
  </si>
  <si>
    <t>524824</t>
  </si>
  <si>
    <t>525185</t>
  </si>
  <si>
    <t>523469</t>
  </si>
  <si>
    <t>523482</t>
  </si>
  <si>
    <t>525804</t>
  </si>
  <si>
    <t>525136</t>
  </si>
  <si>
    <t>522273</t>
  </si>
  <si>
    <t>525158</t>
  </si>
  <si>
    <t>525795</t>
  </si>
  <si>
    <t>NSPS7</t>
  </si>
  <si>
    <t>525965</t>
  </si>
  <si>
    <t>523369</t>
  </si>
  <si>
    <t>523375</t>
  </si>
  <si>
    <t>524621</t>
  </si>
  <si>
    <t>526246</t>
  </si>
  <si>
    <t>NSPS3</t>
  </si>
  <si>
    <t>524491</t>
  </si>
  <si>
    <t>N-AZ-3</t>
  </si>
  <si>
    <t>525166</t>
  </si>
  <si>
    <t>524950</t>
  </si>
  <si>
    <t>NSPS1</t>
  </si>
  <si>
    <t>524864</t>
  </si>
  <si>
    <t>526803</t>
  </si>
  <si>
    <t>523749</t>
  </si>
  <si>
    <t>525152</t>
  </si>
  <si>
    <t>NSPS6</t>
  </si>
  <si>
    <t>522526</t>
  </si>
  <si>
    <t>524918</t>
  </si>
  <si>
    <t>523067</t>
  </si>
  <si>
    <t>215</t>
  </si>
  <si>
    <t>524820</t>
  </si>
  <si>
    <t>526626</t>
  </si>
  <si>
    <t>525184</t>
  </si>
  <si>
    <t>524843</t>
  </si>
  <si>
    <t>524870</t>
  </si>
  <si>
    <t>524935</t>
  </si>
  <si>
    <t>525168</t>
  </si>
  <si>
    <t>525269</t>
  </si>
  <si>
    <t>523401</t>
  </si>
  <si>
    <t>528315</t>
  </si>
  <si>
    <t>523054</t>
  </si>
  <si>
    <t>522258</t>
  </si>
  <si>
    <t>526220</t>
  </si>
  <si>
    <t>527713</t>
  </si>
  <si>
    <t>526812</t>
  </si>
  <si>
    <t>522814</t>
  </si>
  <si>
    <t>534897</t>
  </si>
  <si>
    <t>530152</t>
  </si>
  <si>
    <t>NSPS12</t>
  </si>
  <si>
    <t>523270</t>
  </si>
  <si>
    <t>NSPS11</t>
  </si>
  <si>
    <t>542897</t>
  </si>
  <si>
    <t>524968</t>
  </si>
  <si>
    <t>523062</t>
  </si>
  <si>
    <t>525799</t>
  </si>
  <si>
    <t>7</t>
  </si>
  <si>
    <t>541917</t>
  </si>
  <si>
    <t>523060</t>
  </si>
  <si>
    <t>523990</t>
  </si>
  <si>
    <t>526642</t>
  </si>
  <si>
    <t>525055</t>
  </si>
  <si>
    <t>Table 1.A.  Annual Respondent Burden and Cost of Recordkeeping and Reporting Requirements for the Standards of Performance</t>
  </si>
  <si>
    <t>All</t>
  </si>
  <si>
    <t>Public</t>
  </si>
  <si>
    <t>Private</t>
  </si>
  <si>
    <t>for Publically-Owned Municipal Solid Waste Landfills - Subpart XXX - Year 1</t>
  </si>
  <si>
    <t>Yr1</t>
  </si>
  <si>
    <t>Yr2</t>
  </si>
  <si>
    <t>Yr3</t>
  </si>
  <si>
    <t>Burden Item</t>
  </si>
  <si>
    <r>
      <t>(A) Respondent Hours per Occurrence</t>
    </r>
    <r>
      <rPr>
        <vertAlign val="superscript"/>
        <sz val="7"/>
        <rFont val="Arial"/>
        <family val="2"/>
      </rPr>
      <t>a</t>
    </r>
  </si>
  <si>
    <t>(B1)
Annualized Non-Labor Capital Costs Per Occurrence</t>
  </si>
  <si>
    <t>(B2)
Annual Non-Labor O&amp;M Costs Per Occurrence</t>
  </si>
  <si>
    <t>(C) 
Number of Occurrences Per Respondent Per Year</t>
  </si>
  <si>
    <t>(D) 
Civil Engineer Technician Hours per Respondent Per Year
 (A X C)</t>
  </si>
  <si>
    <t>(E) Technical Hours per Respondent Per Year
 (A X C)</t>
  </si>
  <si>
    <t>(F) 
Number of Respondents Per Year</t>
  </si>
  <si>
    <t>(G) 
Civil Engineer Technician per Year @ $49.85</t>
  </si>
  <si>
    <t>(H) Technical Hours per Year @ $86.46 
(E X F)</t>
  </si>
  <si>
    <t>(I)         Clerical Hours per Year @ $30.28 
(H X 0.1)</t>
  </si>
  <si>
    <t>(J)       Management Hours per Year @ $109.43 
(H X .05)</t>
  </si>
  <si>
    <r>
      <t xml:space="preserve">(K)  Total Labor Costs Per Year </t>
    </r>
    <r>
      <rPr>
        <vertAlign val="superscript"/>
        <sz val="7"/>
        <rFont val="Arial"/>
        <family val="2"/>
      </rPr>
      <t>b</t>
    </r>
  </si>
  <si>
    <t>(L) Total Annualized Non-Labor Capital and O&amp;M Costs Per Year ((B1+B2) x Cx F)</t>
  </si>
  <si>
    <r>
      <t>(M) Total Number of Responses per Year (C X F)</t>
    </r>
    <r>
      <rPr>
        <vertAlign val="superscript"/>
        <sz val="7"/>
        <rFont val="Arial"/>
        <family val="2"/>
      </rPr>
      <t>c</t>
    </r>
  </si>
  <si>
    <t>(N) Capital/Start-up Costs per occurence</t>
  </si>
  <si>
    <t>Footnotes</t>
  </si>
  <si>
    <t>Annualized Capital/start-up O&amp;M</t>
  </si>
  <si>
    <t>1. Applications</t>
  </si>
  <si>
    <t>na</t>
  </si>
  <si>
    <t>2. Surveys and Studies</t>
  </si>
  <si>
    <t>3. Reporting Requirements</t>
  </si>
  <si>
    <t xml:space="preserve">    A.  Read and Understand Rule Requirements</t>
  </si>
  <si>
    <t>d</t>
  </si>
  <si>
    <t xml:space="preserve">    B.  Required Activities</t>
  </si>
  <si>
    <t>ARS check</t>
  </si>
  <si>
    <t xml:space="preserve">           1.   Initial performance test report </t>
  </si>
  <si>
    <t>e, f</t>
  </si>
  <si>
    <t xml:space="preserve">           2.   Surface methane monitoring quarterly </t>
  </si>
  <si>
    <t>a, g</t>
  </si>
  <si>
    <t xml:space="preserve">           3.   Wellhead monitoring monthly</t>
  </si>
  <si>
    <t xml:space="preserve">    C.  Create Information </t>
  </si>
  <si>
    <t>Included in 3B</t>
  </si>
  <si>
    <t xml:space="preserve">    D.  Gather Information</t>
  </si>
  <si>
    <t xml:space="preserve">    E.  Report Preparation</t>
  </si>
  <si>
    <t>1. Initial design capacity report</t>
  </si>
  <si>
    <t>h</t>
  </si>
  <si>
    <t>2. Amended design capacity report</t>
  </si>
  <si>
    <t>i</t>
  </si>
  <si>
    <t>3. Report of NMOC rate (Tier 1)</t>
  </si>
  <si>
    <t>j</t>
  </si>
  <si>
    <t>4. Report of NMOC rate (Tier 2)</t>
  </si>
  <si>
    <t>j, k</t>
  </si>
  <si>
    <t>5. Landfill Closure Report</t>
  </si>
  <si>
    <t>l</t>
  </si>
  <si>
    <t>6. Equipment Removal Report</t>
  </si>
  <si>
    <t>l,m</t>
  </si>
  <si>
    <t>7. Collection and Control System Design Plan</t>
  </si>
  <si>
    <t>f</t>
  </si>
  <si>
    <t>8. Revised design plan</t>
  </si>
  <si>
    <t>n</t>
  </si>
  <si>
    <t>9. Initial Performance Test</t>
  </si>
  <si>
    <t>10. Compliance Report</t>
  </si>
  <si>
    <t>11. Annual Report</t>
  </si>
  <si>
    <t>o</t>
  </si>
  <si>
    <t>12. Corrective Action Analysis</t>
  </si>
  <si>
    <t>r</t>
  </si>
  <si>
    <t>13. Implementation Timeline</t>
  </si>
  <si>
    <t>14. Root Cause Analysis</t>
  </si>
  <si>
    <t>15. Wet Landfill Monitoring Report</t>
  </si>
  <si>
    <t>s</t>
  </si>
  <si>
    <t>Reporting Subtotal</t>
  </si>
  <si>
    <t>4.  Recordkeeping Requirements</t>
  </si>
  <si>
    <t xml:space="preserve">     A.  Read Instructions</t>
  </si>
  <si>
    <t>Included in 3a</t>
  </si>
  <si>
    <t xml:space="preserve">     B.  Plan Activities</t>
  </si>
  <si>
    <t xml:space="preserve">     C.  Implement Activities</t>
  </si>
  <si>
    <t xml:space="preserve">     D.  Develop Record System</t>
  </si>
  <si>
    <t xml:space="preserve">     E.  Record Information</t>
  </si>
  <si>
    <t>1. Data Compilation and Review (controllers)</t>
  </si>
  <si>
    <t>p</t>
  </si>
  <si>
    <t>2. Recordkeeping and Data Storage (controllers)</t>
  </si>
  <si>
    <t>3. Recordkeeping and Data Storage (others)</t>
  </si>
  <si>
    <t>q</t>
  </si>
  <si>
    <t xml:space="preserve">     E.  Personnel Training</t>
  </si>
  <si>
    <t xml:space="preserve">     F.  Time for Audits</t>
  </si>
  <si>
    <t>Recordkeeping Subtotal</t>
  </si>
  <si>
    <t>Totals</t>
  </si>
  <si>
    <t>FOOTNOTES</t>
  </si>
  <si>
    <t>a</t>
  </si>
  <si>
    <t>We have assumed all respondent hours equals the number of Technical Hours except for surface methane monitoring and wellhead monitoring which fall under Civil Engineer Technician Hours.</t>
  </si>
  <si>
    <t>b</t>
  </si>
  <si>
    <t>This ICR uses mean hourly wage for the following labor categories from the United States Department of Labor, Bureau of Labor Statistics, May 2013, “National Occupational Employment and Wage Estimates United States”:  Managers, All Other for Managerial labor, Civil Engineer for Technical labor, and Office Clerks, General for Clerical labor.  The rates have been increased by 110 percent to account for the benefit packages available to those employed by private industry.</t>
  </si>
  <si>
    <t>c</t>
  </si>
  <si>
    <t>Includes only responses that are submitted as reports.</t>
  </si>
  <si>
    <t>This is a one time requirement for new respondents. We have assumed that each new respondent will take 40 hours to read instructions as part of their reporting requirements. Based on the regulatory database, 53% of these respondents are private and 47% are public.</t>
  </si>
  <si>
    <t>e</t>
  </si>
  <si>
    <t>Based on the annualized capital costs for method 25 or 25C over 15 years, which is the expected lifetime of the flare or other destruction device. Other capital costs related to flare station monitoring include a thermocouple, flowmeter and data recorder. The costs for these equipment purchases were provided based on industry comment on the ICR renewal 1557.09 burden. These capital/start-up costs were also annualized over 15 years, since this is a one-time requirement. In addition, the industry comments also reported an annual O&amp;M cost for these equipment in the most recent ICR renewal, and these costs were incorporated here.</t>
  </si>
  <si>
    <t>Assumes 84 controlled landfill during the first year of this ICR period. 36% of which are public and 64% of which are private. This is a one-time requirement.</t>
  </si>
  <si>
    <t>g</t>
  </si>
  <si>
    <r>
      <t xml:space="preserve">Assumes 84 controlled landfill during the first year of this ICR period. For surface monitoring: The average acreage of controlled sites is estimated to be </t>
    </r>
    <r>
      <rPr>
        <b/>
        <sz val="6.5"/>
        <color rgb="FFFF0000"/>
        <rFont val="Arial"/>
        <family val="2"/>
      </rPr>
      <t>174</t>
    </r>
    <r>
      <rPr>
        <sz val="6.5"/>
        <color rgb="FFFF0000"/>
        <rFont val="Arial"/>
        <family val="2"/>
      </rPr>
      <t xml:space="preserve"> acres (44 labor hours @ 0.25 hours per acre) under the final </t>
    </r>
    <r>
      <rPr>
        <sz val="6.5"/>
        <rFont val="Arial"/>
        <family val="2"/>
      </rPr>
      <t>2.5/34 option. We assumed weekly equipment rental costs at $600/week, and one week per occurrence. In addition, the landfill will need to purchase calibration gases and hydrogen fuel to operate the surface monitoring equipment. 36% of which are public and 64% of which are private.  For wellhead monitoring: The estimated burden was based on industry consultation of $2000 per month during the most recent ICR renewal for subpart WWW (ICR# 1557.09), or approximately 40 hours of technician labor time. The burden provided did not breakdown labor vs. non-labor costs, therefore we have not incorporated equipment rental costs in this estimate. We did however include costs for calibration gases for the wellhead equipment. Cost of re-monitoring for exceedances of surface monitoring or wellhead monitoring are not included because the rule does not require remonitoring unless an exceedance is found. Landfills can minimize the number of exceedances found by ensuring the GCCS is well-operated and the surface is well sealed.</t>
    </r>
  </si>
  <si>
    <t>Based on the regulatory database, there are 9 greenfields and modified landfills with design capacity less than 2.5 million megagrams by mass or 2.5 million cubic meters by volume and thus will complete the initial design capacity report in the first year of this ICR. This is a one-time requirement.  Based on the regulatory database, 11% of these respondents are private and 89% are public.</t>
  </si>
  <si>
    <t>Assumes no landfills will submit an amended design capacity report.</t>
  </si>
  <si>
    <t>We have assumed that 50 percent of uncontrolled landfills with use Tier 1 calculations annually and 50 percent will use Tier 2 calculations once every 5 years for their NMOC reports.  Of the landfills estimated to remain uncontrolled in the regulatory database 64% are public and 36% are private.</t>
  </si>
  <si>
    <t>k</t>
  </si>
  <si>
    <r>
      <t xml:space="preserve">Based on the annualized capital costs for conducting a method 25, </t>
    </r>
    <r>
      <rPr>
        <sz val="6.5"/>
        <color rgb="FFFF0000"/>
        <rFont val="Arial"/>
        <family val="2"/>
      </rPr>
      <t>method 25A</t>
    </r>
    <r>
      <rPr>
        <sz val="6.5"/>
        <rFont val="Arial"/>
        <family val="2"/>
      </rPr>
      <t xml:space="preserve"> or 25C over 5 years, since a Tier 2 test must be repeated every 5 years. Labor burden is assigned once every 5 years.</t>
    </r>
  </si>
  <si>
    <r>
      <t xml:space="preserve">We have assumed that no controlled landfill will close or remove equipment during this ICR period. </t>
    </r>
    <r>
      <rPr>
        <b/>
        <sz val="6.5"/>
        <color rgb="FFFF0000"/>
        <rFont val="Arial"/>
        <family val="2"/>
      </rPr>
      <t>None of the greenfields or modified sources are predicted to close during this ICR period.</t>
    </r>
  </si>
  <si>
    <t>m</t>
  </si>
  <si>
    <t xml:space="preserve">Equipment Removal Report requires inclusion of 3 successive NMOC rates using Tier 2 calculations to demonstrate landfill is below the NMOC threshold. </t>
  </si>
  <si>
    <t xml:space="preserve">We have assumed that 10% of controlled landfill will revise their design plan. </t>
  </si>
  <si>
    <t>Assumes 84 controlled landfill during the first year of this ICR period. 36% of which are public and 64% of which are private. The estimated burden was based on industry consultation of $5000 per year for compliance reporting (see comment on recent ICR renewal for subpart WWW, ICR# 1557.09). Since this estimate included an assumption of a semi-annual report to satisfy the requirements of the landfills NESHAP, we adjusted this estimate by half to account for the single report required by this NSPS, or $2500, which is approximately 27 technical hours per occurance.</t>
  </si>
  <si>
    <t>Assumes 84 controlled landfill during the first year of this ICR period. 36% of which are public and 64% of which are private. The estimated burden was based on industry consultation of $1000 per month for recordkeeping and data storage per month and $500 for data compilation and review per month (see comment on recent ICR renewal for subpart WWW, ICR# 1557.09). This is approximately 5 technical hours per occurance for data compilation and review and 11  hours for recordkeeping and data storage.</t>
  </si>
  <si>
    <t>Number of occurrences is based on the total number of landfills that are subject to the standard but not controlling. Based on the regulatory database, 31% of these respondents are private and 69% are public. These records are much more simplistic for these sources than landfills controlling emissions.</t>
  </si>
  <si>
    <t>It is unknown how many landfills will be required to conduct a root cause analysis, corrective action analysis, or implementation timeline. These items are not required by the rule for controlling landfills. A root cause analysis is only required if the landfill has an exceedance of the wellhead parameter is identified and cannot be corrected within 15 days. If the exceedance cannot be corrected within 60 days the owner or operator must also conduct a corrective action analysis and develop and implementation schedule. These items must only be submitted for approval if the corrective action will take longer than 120 days to correct. Landfills can minimize the number of exceedances found by ensuring the GCCS is well-operated.  For the purposes of estimating ICR burden, one of the landfills subject to controls will have at least one wellhead exceedance that takes longer than 60 days to correct.</t>
  </si>
  <si>
    <t xml:space="preserve">The initial wet landfill report will take some additional time to prepare as it will contain historical records, when available. Subsequent year reports will only require reporting of the data for the reporting year. The report is required for all landfills affected by this rule based on size if they have added liquids or recirculated leachate in the last 10 years. </t>
  </si>
  <si>
    <t>SUMMARY</t>
  </si>
  <si>
    <t>AGENCY</t>
  </si>
  <si>
    <t>3- year period</t>
  </si>
  <si>
    <t>Hours</t>
  </si>
  <si>
    <t>Costs (labor + travel)</t>
  </si>
  <si>
    <t>Year 1</t>
  </si>
  <si>
    <t>Year 2</t>
  </si>
  <si>
    <t>Year 3</t>
  </si>
  <si>
    <t>Overall Average Annual Estimates</t>
  </si>
  <si>
    <t>Breakdown of Pub/Priv for data check</t>
  </si>
  <si>
    <t>REPORTING</t>
  </si>
  <si>
    <t>RECORDKEEPING</t>
  </si>
  <si>
    <t>Total Hours</t>
  </si>
  <si>
    <t>Costs</t>
  </si>
  <si>
    <t>Public Annual Burden Hours</t>
  </si>
  <si>
    <t>Private Annual Burden Hours</t>
  </si>
  <si>
    <t>Total Annual Burden Hours</t>
  </si>
  <si>
    <t>Annual Burden Hours</t>
  </si>
  <si>
    <t>Public Labor Cost</t>
  </si>
  <si>
    <t>Private Labor Cost</t>
  </si>
  <si>
    <t>Total Labor Cost</t>
  </si>
  <si>
    <t>Annualized Capital/Start-up and O&amp;M</t>
  </si>
  <si>
    <t>Labor and capital/O&amp;M costs</t>
  </si>
  <si>
    <t>Number of Public Respondents (Facilities)</t>
  </si>
  <si>
    <t>Number of Private Respondents (Facilities)</t>
  </si>
  <si>
    <t>Number of Respondents (Facilities)</t>
  </si>
  <si>
    <t>Public responses</t>
  </si>
  <si>
    <t>Private responses</t>
  </si>
  <si>
    <t>Number of Responses</t>
  </si>
  <si>
    <t>Total</t>
  </si>
  <si>
    <t>Cost per Response</t>
  </si>
  <si>
    <t>Burden Hours per Response</t>
  </si>
  <si>
    <t>Total Burden hours per response</t>
  </si>
  <si>
    <t>Table 1A:  Annual Respondent Burden and Cost: Privately-Owned Municipal Solid Waste Landfills - NSPS for Municipal Solid Waste Landfills (40 CFR Part 60, Subpart XXX) (Renewal)</t>
  </si>
  <si>
    <t>(A) 
Person Hours per Occurrence</t>
  </si>
  <si>
    <t>(B) 
Number of Occurrences Per Respondent Per Year</t>
  </si>
  <si>
    <t>(C) 
Technical Person-Hours per Respondent Per Year
 (A x B)</t>
  </si>
  <si>
    <r>
      <t xml:space="preserve">(D) 
Average Number of Respondents Per Year </t>
    </r>
    <r>
      <rPr>
        <vertAlign val="superscript"/>
        <sz val="10"/>
        <rFont val="Times New Roman"/>
        <family val="1"/>
      </rPr>
      <t>a</t>
    </r>
  </si>
  <si>
    <t>(E) 
Civil Engineer Technician Hours per Year (C x D)</t>
  </si>
  <si>
    <t>(F) 
Civil Engineer Hours per Year 
(C x D)</t>
  </si>
  <si>
    <t>(G)       Management Person-Hours per Year (F x .05)</t>
  </si>
  <si>
    <t>(H)         Clerical Person-Hours per Year (F x 0.1)</t>
  </si>
  <si>
    <r>
      <t xml:space="preserve">(I)  
Total Labor Costs Per Year </t>
    </r>
    <r>
      <rPr>
        <vertAlign val="superscript"/>
        <sz val="10"/>
        <rFont val="Times New Roman"/>
        <family val="1"/>
      </rPr>
      <t>b</t>
    </r>
  </si>
  <si>
    <t>(J1)
Annualized Non-Labor Capital Costs Per Occurrence</t>
  </si>
  <si>
    <t>(J2)
Annual Non-Labor O&amp;M Costs Per Occurrence</t>
  </si>
  <si>
    <t>(L) 
Total Annualized Non-Labor Capital and O&amp;M Costs Per Year ((J1+J2) x B x D)</t>
  </si>
  <si>
    <t>(M) 
Total Number of Responses per Year (B x D)c</t>
  </si>
  <si>
    <t>(N) 
Capital/Start-up Costs per occurrence</t>
  </si>
  <si>
    <t>NA</t>
  </si>
  <si>
    <t>Labor</t>
  </si>
  <si>
    <t>Category</t>
  </si>
  <si>
    <t>Rates</t>
  </si>
  <si>
    <t>Occupation Code</t>
  </si>
  <si>
    <t>Management</t>
  </si>
  <si>
    <t>A.  Read and Understand Rule Requirements</t>
  </si>
  <si>
    <t>Technical - Civil Engineer</t>
  </si>
  <si>
    <t>17-2051</t>
  </si>
  <si>
    <t xml:space="preserve">1.   Existing Sources </t>
  </si>
  <si>
    <t>Technical - Civil Engineering Technician</t>
  </si>
  <si>
    <t>17-3022</t>
  </si>
  <si>
    <t xml:space="preserve">2.   New sources </t>
  </si>
  <si>
    <t>Clerical</t>
  </si>
  <si>
    <t>43-9061</t>
  </si>
  <si>
    <t>B.  Required Activities</t>
  </si>
  <si>
    <t xml:space="preserve">1.   Initial performance test report </t>
  </si>
  <si>
    <t xml:space="preserve">2.   Surface methane monitoring quarterly </t>
  </si>
  <si>
    <t>3.   Wellhead monitoring monthly</t>
  </si>
  <si>
    <t xml:space="preserve">C.  Create Information </t>
  </si>
  <si>
    <t>D.  Gather Information</t>
  </si>
  <si>
    <t>E.  Report Preparation</t>
  </si>
  <si>
    <t>i, j</t>
  </si>
  <si>
    <t>d, k</t>
  </si>
  <si>
    <t>8. Revised C&amp;C System design plan</t>
  </si>
  <si>
    <t>Subtotal for Reporting Requirements</t>
  </si>
  <si>
    <t>A.  Read Instructions</t>
  </si>
  <si>
    <t>Included in 3A</t>
  </si>
  <si>
    <t>B.  Plan Activities</t>
  </si>
  <si>
    <t>C.  Implement Activities</t>
  </si>
  <si>
    <t>D.  Develop Record System</t>
  </si>
  <si>
    <t>E.  Record Information</t>
  </si>
  <si>
    <t>E.  Personnel Training</t>
  </si>
  <si>
    <t>F.  Time for Audits</t>
  </si>
  <si>
    <t>Subtotal for Recordkeeping Requirements</t>
  </si>
  <si>
    <t>Total Labor Burden and Costs (rounded)</t>
  </si>
  <si>
    <t>Total Capital and O&amp;M Cost (rounded)</t>
  </si>
  <si>
    <t>Grand Total (rounded)</t>
  </si>
  <si>
    <t>Assumptions:</t>
  </si>
  <si>
    <t>We estimate that, over the three-year period of this ICR, an average of 8 respondents per year (5 privately-owned and 3 publicly-owned) will need to install controls, perform the initial performance test, and submit an initial performance test report. We assume that each respondent will take 12 hours to attend the test, review the report (written by the testing company), and submit the report. Based on the regulatory database, 64% of these respondents are private and 36% are public.</t>
  </si>
  <si>
    <t>The initial design capacity report applies to new landfills with a design capacity smaller than 2.5 million Mg. We assume that all new landfills will have a design capacity exceeding 2.5 million Mg. Therefore, this one-time requirement will not apply to new landfills. We assume that the existing NSPS landfills with design capacity less than 2.5 million Mg have submitted this report, and are therefore exempt from this requirement.</t>
  </si>
  <si>
    <t>We assume that no landfills currently subject to Subpart XXX will submit an amended design capacity report during the three-year period of this ICR.</t>
  </si>
  <si>
    <t>We estimate that, over the three-year period of this ICR, an average of 29 respondents per year (10 privately-owned and 19 publicly-owned) will submit Tier 1 reports and another 29 respondents will submit Tier 2 reports. We assume that 50 percent of uncontrolled landfills will use Tier 1 calculations annually and 50 percent will use Tier 2 calculations once every 5 years for their NMOC reports.  Of the landfills estimated to remain uncontrolled in the regulatory database 64% are public and 36% are private.</t>
  </si>
  <si>
    <t>We have assumed that no controlled landfill will close or remove equipment during this ICR period. None of the greenfields or modified sources are predicted to close during this ICR period.</t>
  </si>
  <si>
    <t>Prior to installing a collection and control system, a landfill is required to submit a Collection and Control System Design Plan for approval. This requirement applies only to landfills controlling under the revised 34 Mg/yr requirement. This requirement does not apply to landfills that are "legacy" controllers (i.e. those landfills already subject to controls under the original 50 Mg/yr requirement).</t>
  </si>
  <si>
    <t>We have assumed that 10% of  landfills installing a collection and control system will revise their design plan. We estimate that, over the three-year period of this ICR, an average of 8 respondents per year (5 privately-owned and 3 publicly-owned) will submit a Collection and Control System Design Plan. This results in submittal of 0.8 C&amp;C System Design Plan revisions per year (5 x 0.1 + 3 x 0.1 = 0.8 revisions/year).</t>
  </si>
  <si>
    <t xml:space="preserve">We assume that, during the three-year period of this ICR, an average of one privately-owned landfill per year and one publicly-owned landfill per year will be required to conduct a root cause analysis, corrective action analysis, and implementation timeline. These items are not required by the rule for controlling landfills. A root cause analysis is only required if the landfill has an exceedance of a wellhead parameter that is identified and cannot be corrected within 15 days. If the exceedance cannot be corrected within 60 days the owner or operator must also conduct a corrective action analysis and develop and implementation schedule. These items must only be submitted for approval if the corrective action will take longer than 120 days to correct. </t>
  </si>
  <si>
    <t xml:space="preserve">The respondents subject to this recordkeeping requirement (0) have a reporting requirement but are not required to control. </t>
  </si>
  <si>
    <t>Totals have been rounded to 3 significant figures. Figures may not add exactly due to rounding.</t>
  </si>
  <si>
    <t>Table 1B:  Annual Respondent Burden and Cost: Publicly-Owned Municipal Solid Waste Landfills - NSPS for Municipal Solid Waste Landfills (40 CFR Part 60, Subpart XXX) (Renewal)</t>
  </si>
  <si>
    <r>
      <t xml:space="preserve">(D) 
 Average Number of Respondents Per Year </t>
    </r>
    <r>
      <rPr>
        <vertAlign val="superscript"/>
        <sz val="10"/>
        <rFont val="Times New Roman"/>
        <family val="1"/>
      </rPr>
      <t>a</t>
    </r>
  </si>
  <si>
    <r>
      <t>(M) 
Total Number of Responses per Year (B x D)</t>
    </r>
    <r>
      <rPr>
        <vertAlign val="superscript"/>
        <sz val="10"/>
        <rFont val="Times New Roman"/>
        <family val="1"/>
      </rPr>
      <t>c</t>
    </r>
  </si>
  <si>
    <t>Totals for 1A + 1B</t>
  </si>
  <si>
    <t>$ Labor</t>
  </si>
  <si>
    <t>$ Capital/O&amp;M</t>
  </si>
  <si>
    <t>$ Grand</t>
  </si>
  <si>
    <t>Table 1C:  Universe of Existing, Modified and Greenfield Landfills Subject to NSPS for Municipal Solid Waste Landfills (40 CFR Part 60, Subpart XXX) (Renewal)</t>
  </si>
  <si>
    <t>NSPS only (new/modified after July 2014)</t>
  </si>
  <si>
    <t>Number of Respondents</t>
  </si>
  <si>
    <t>Sector</t>
  </si>
  <si>
    <t>% Respondents</t>
  </si>
  <si>
    <t>3-Year Average Number Respondents</t>
  </si>
  <si>
    <t>This ICR assumes all existing sources need to re-familiarize with the rule each year, at 4 hours per source, and new sources need to read and understand the rule, at 40 hours for each new greenfield source.</t>
  </si>
  <si>
    <t>One time requirement. The initial year burden reflects that most state plans or federal plans have not yet taken effect. Requirement applies only to landfills that are not "legacy" controllers, i.e. those controlling under the revised more stringent 34 Mg/yr requirement not those already subject to controls under the original 50 Mg/yr requirement.</t>
  </si>
  <si>
    <t>Total number of controllers each year must conduct SEM, recurring requirement. New greenfield sources would not be expected to trigger these requirements.</t>
  </si>
  <si>
    <t>Total number of controllers each year must conduct wellhead, recurring requirement.</t>
  </si>
  <si>
    <t>These are landfills that are smaller than 2.5 million Mg. This ICR assumes new landfills will be large in size so 0 respondents; also a one-time requirement. This ICR assume most of the NSPS sites would be legacy controllers during this reporting period. Legacy controllers are exempt from this requirement.</t>
  </si>
  <si>
    <t>Landfills filing an amended design capacity report under the EG will became subject to XXX.</t>
  </si>
  <si>
    <t>Includes reporters at open landfills that do not meet control thresholds but meet the size thresholds of 2.5 million Mg. Of these, 50% assumed to do Tier 1 and 50% assumed to do Tier 2 calculations. Closed landfills do not have to continue submitting the annual NMOC report.</t>
  </si>
  <si>
    <t>Only applies to EG sources. No NSPS sources would close in this period.</t>
  </si>
  <si>
    <t>Assume 0 equipment removed during the ICR period.</t>
  </si>
  <si>
    <t>The initial year burden reflects that most state plans or federal plans have not yet taken effect. Requirement applies only to landfills that are not "legacy" controllers, i.e. those controlling under the revised more stringent 34 Mg/yr requirement not those already subject to controls under the original 50 Mg/yr requirement.</t>
  </si>
  <si>
    <t>10% of controllers will prepare revised GCCS.</t>
  </si>
  <si>
    <t>Includes all controlling landfills.</t>
  </si>
  <si>
    <t xml:space="preserve">Only landfills with leachate recirc or RDD that have capacity &gt;2.5 million Mg must file this report. </t>
  </si>
  <si>
    <t xml:space="preserve">Those that have at least one report but do not control. </t>
  </si>
  <si>
    <t>Table 2: Average Annual EPA Burden and Cost –  NSPS for Municipal Solid Waste Landfills (40 CFR Part 60, Subpart XXX) (Renewal)</t>
  </si>
  <si>
    <t>(A)
EPA hours per occurrence</t>
  </si>
  <si>
    <t>(B)
Number of occurrences per plant per year</t>
  </si>
  <si>
    <t>(C)
EPA person-hours per plant per year (C=AxB)</t>
  </si>
  <si>
    <r>
      <t xml:space="preserve">(D)
Plants per year </t>
    </r>
    <r>
      <rPr>
        <vertAlign val="superscript"/>
        <sz val="10"/>
        <rFont val="Times New Roman"/>
        <family val="1"/>
      </rPr>
      <t>a</t>
    </r>
  </si>
  <si>
    <t>(E)
Technical hours per year (CxD)</t>
  </si>
  <si>
    <t>(F)
Management hours per year (F=Ex0.05)</t>
  </si>
  <si>
    <t>(G)
Clerical hours per year (G=Ex0.1)</t>
  </si>
  <si>
    <r>
      <t xml:space="preserve">(H) 
Costs, $ </t>
    </r>
    <r>
      <rPr>
        <vertAlign val="superscript"/>
        <sz val="10"/>
        <rFont val="Times New Roman"/>
        <family val="1"/>
      </rPr>
      <t>b</t>
    </r>
  </si>
  <si>
    <t>1.</t>
  </si>
  <si>
    <t>Read and understand rule requirements (10 EPA Regions)</t>
  </si>
  <si>
    <t>Labor Rates</t>
  </si>
  <si>
    <t>2.</t>
  </si>
  <si>
    <t>Enter and update information into agency recordkeeping system</t>
  </si>
  <si>
    <t>3.</t>
  </si>
  <si>
    <t>Required activities</t>
  </si>
  <si>
    <t>Technical</t>
  </si>
  <si>
    <t>A.</t>
  </si>
  <si>
    <t>Observe initial performance test</t>
  </si>
  <si>
    <t>B.</t>
  </si>
  <si>
    <t xml:space="preserve">Observe surface methane monitoring quarterly </t>
  </si>
  <si>
    <t>C.</t>
  </si>
  <si>
    <t>Review operating parameters</t>
  </si>
  <si>
    <t>D.</t>
  </si>
  <si>
    <t>Review continuous parameter monitoring</t>
  </si>
  <si>
    <t>E.</t>
  </si>
  <si>
    <t>Review notification of performance test</t>
  </si>
  <si>
    <t>4</t>
  </si>
  <si>
    <t>Excess Emissions Enforcement Activities</t>
  </si>
  <si>
    <t>5.</t>
  </si>
  <si>
    <t>Reporting requirements</t>
  </si>
  <si>
    <t>Review initial design capacity report</t>
  </si>
  <si>
    <t>Review amended design capacity report</t>
  </si>
  <si>
    <t>Review annual NMOC emission rate report</t>
  </si>
  <si>
    <t>Review landfill closure report</t>
  </si>
  <si>
    <t>Review equipment removal report</t>
  </si>
  <si>
    <t>F.</t>
  </si>
  <si>
    <t>Review Collection and Control System Design Plan</t>
  </si>
  <si>
    <t>e, l</t>
  </si>
  <si>
    <t>G.</t>
  </si>
  <si>
    <t>Review Revised Collection and Control System Design Plan</t>
  </si>
  <si>
    <t>H.</t>
  </si>
  <si>
    <t>Review Initial Performance Test Report</t>
  </si>
  <si>
    <t>I.</t>
  </si>
  <si>
    <t>Review Annual Report</t>
  </si>
  <si>
    <t>J.</t>
  </si>
  <si>
    <t>Review Corrective Action Analysis</t>
  </si>
  <si>
    <t>K.</t>
  </si>
  <si>
    <t>Review Implementation Timeline</t>
  </si>
  <si>
    <t>L.</t>
  </si>
  <si>
    <t>Review Root Cause Analysis</t>
  </si>
  <si>
    <t>M.</t>
  </si>
  <si>
    <t>Wet Landfills Monitoring Report</t>
  </si>
  <si>
    <t>7.</t>
  </si>
  <si>
    <t>Travel Expenses for Tests Attended</t>
  </si>
  <si>
    <t>3 days * ($118 hotel + $58 meals/incidentals) + ($600 round trip) = $1128 per trip</t>
  </si>
  <si>
    <t>TOTAL (Rounded)</t>
  </si>
  <si>
    <t>The number of plants per year is the number of EPA Regions (10 regions). We assume one EPA employee at each Region offices familiarizes with the rule each year.</t>
  </si>
  <si>
    <t>The number of plants per year is based on the total number of landfills that are subject to the standard as well as the number of sources that fall below the thresholds of the standard.</t>
  </si>
  <si>
    <t xml:space="preserve">The number of plants is based on the average number of landfills per year expected to install controls, perform the initial performance test, begin monitoring operating parameters, and submit an initial performance test report during the three-year period of this ICR. </t>
  </si>
  <si>
    <t>The number of plants per year is based on the assumption that of the landfills that do the initial performance test, 10% of them will have exceedances and need enforcement.</t>
  </si>
  <si>
    <t xml:space="preserve">We assume that no landfills currently subject to Subpart XXX will have modifications requiring the submittal of an amended design capacity report during the three-year period of this ICR. </t>
  </si>
  <si>
    <t xml:space="preserve">The number of plants is the number of uncontrolled landfills that use Tier 1 or Tier 2 calculations for their NMOC reports. We estimate that, over the three-year period of this ICR, an average of 58 respondents per year will submit Tier 1 or Tier 2 reports. </t>
  </si>
  <si>
    <t xml:space="preserve">We assume that no controlled landfill will close or remove equipment during the three-year period of this ICR. </t>
  </si>
  <si>
    <t>We estimate that an average of 8 landfills per year will submit a Collection and Control System Design Plan for approval during the three-year period of this ICR. This requirement applies only to landfills controlling under the revised 34 Mg/yr requirement. This requirement does not apply to landfills that are "legacy" controllers ( i.e. those landfills already subject to controls under the original 50 Mg/yr requirement).</t>
  </si>
  <si>
    <t>We assume that 10 percent of respondents submitting a collection and control system design plan will submit a revised design plan to account for changes to the landfill or the GCCS as allowed for in 60.767(h).</t>
  </si>
  <si>
    <t>Number of plants is based on the assumption that one public and one private landfill subject to controls will have at least one wellhead exceedance that takes longer than 60 days to correct.</t>
  </si>
  <si>
    <t>We assume that, during the three-year period of this ICR, 15 privately-owned landfills and 17 publicly-owned landfills will be required to file this report each year.</t>
  </si>
  <si>
    <t>Capital/Startup vs. Operation and Maintenance (O&amp;M) Costs</t>
  </si>
  <si>
    <t>(A)</t>
  </si>
  <si>
    <t>(B)</t>
  </si>
  <si>
    <t>(C)</t>
  </si>
  <si>
    <t>(D)</t>
  </si>
  <si>
    <t>(E)</t>
  </si>
  <si>
    <t>(F)</t>
  </si>
  <si>
    <t>(G)</t>
  </si>
  <si>
    <t>(H)</t>
  </si>
  <si>
    <t>Continuous Monitoring Device</t>
  </si>
  <si>
    <t>Capital/Startup Cost for One Respondent</t>
  </si>
  <si>
    <t>Annualized Capital/Startup Cost for One Respondent</t>
  </si>
  <si>
    <t>Average Number of Respondents per Year</t>
  </si>
  <si>
    <t>Total Annualized Capital / Startup Cost, (C x D) per Year</t>
  </si>
  <si>
    <t>Annual O&amp;M Costs for One Respondent</t>
  </si>
  <si>
    <t>Number of Respondents with O&amp;M</t>
  </si>
  <si>
    <t>Total O&amp;M 
(F x G)</t>
  </si>
  <si>
    <r>
      <t xml:space="preserve">Method 25 or 25C testing costs for initial performance test </t>
    </r>
    <r>
      <rPr>
        <vertAlign val="superscript"/>
        <sz val="10"/>
        <rFont val="Times New Roman"/>
        <family val="1"/>
      </rPr>
      <t>a</t>
    </r>
  </si>
  <si>
    <r>
      <t xml:space="preserve">Sampling probe and Method 25 or 25C testing costs for Tier 2 test </t>
    </r>
    <r>
      <rPr>
        <vertAlign val="superscript"/>
        <sz val="10"/>
        <rFont val="Times New Roman"/>
        <family val="1"/>
      </rPr>
      <t>b</t>
    </r>
  </si>
  <si>
    <r>
      <t xml:space="preserve">Method 21 Surface Emission Monitor </t>
    </r>
    <r>
      <rPr>
        <vertAlign val="superscript"/>
        <sz val="10"/>
        <rFont val="Times New Roman"/>
        <family val="1"/>
      </rPr>
      <t>c</t>
    </r>
  </si>
  <si>
    <r>
      <t xml:space="preserve">Portable Wellhead Monitor </t>
    </r>
    <r>
      <rPr>
        <vertAlign val="superscript"/>
        <sz val="10"/>
        <rFont val="Times New Roman"/>
        <family val="1"/>
      </rPr>
      <t>d</t>
    </r>
  </si>
  <si>
    <r>
      <t xml:space="preserve">Flow Meter </t>
    </r>
    <r>
      <rPr>
        <vertAlign val="superscript"/>
        <sz val="10"/>
        <rFont val="Times New Roman"/>
        <family val="1"/>
      </rPr>
      <t>e, f</t>
    </r>
  </si>
  <si>
    <r>
      <t xml:space="preserve">Thermocouple </t>
    </r>
    <r>
      <rPr>
        <vertAlign val="superscript"/>
        <sz val="10"/>
        <rFont val="Times New Roman"/>
        <family val="1"/>
      </rPr>
      <t>e, f</t>
    </r>
  </si>
  <si>
    <r>
      <t xml:space="preserve">Data Recorder </t>
    </r>
    <r>
      <rPr>
        <vertAlign val="superscript"/>
        <sz val="10"/>
        <rFont val="Times New Roman"/>
        <family val="1"/>
      </rPr>
      <t>e, f</t>
    </r>
  </si>
  <si>
    <r>
      <rPr>
        <vertAlign val="superscript"/>
        <sz val="10"/>
        <rFont val="Times New Roman"/>
        <family val="1"/>
      </rPr>
      <t>a</t>
    </r>
    <r>
      <rPr>
        <sz val="10"/>
        <rFont val="Times New Roman"/>
        <family val="1"/>
      </rPr>
      <t xml:space="preserve"> This requirement applies only to new landfills requiring controls and existing landfills that are not "legacy" controllers, i.e. those controlling under the revised more stringent 34 Mg/yr requirement and not those already subject to controls under the original 50 Mg/yr requirement. Annualized cost is figured for method 25 or 25C test at 7% over 15 years, which is the expected lifetime of the flare or other destruction device. </t>
    </r>
  </si>
  <si>
    <r>
      <rPr>
        <vertAlign val="superscript"/>
        <sz val="10"/>
        <rFont val="Times New Roman"/>
        <family val="1"/>
      </rPr>
      <t>b</t>
    </r>
    <r>
      <rPr>
        <sz val="10"/>
        <rFont val="Times New Roman"/>
        <family val="1"/>
      </rPr>
      <t xml:space="preserve"> Tier 2 testing is done by operating landfills that do not meet control thresholds but meet the size thresholds of 2.5 million Mg. Of these 58 landfills, 50% assumed to do Tier 1 testing and 50% assumed to do Tier 2 testing. Since a Tier 2 test must be repeated every 5 years, annualized capital cost is based on the cost for conducting a method 25, method 25A or 25C test, figured at 7% over 5 years. </t>
    </r>
  </si>
  <si>
    <r>
      <rPr>
        <vertAlign val="superscript"/>
        <sz val="10"/>
        <rFont val="Times New Roman"/>
        <family val="1"/>
      </rPr>
      <t>c</t>
    </r>
    <r>
      <rPr>
        <sz val="10"/>
        <rFont val="Times New Roman"/>
        <family val="1"/>
      </rPr>
      <t xml:space="preserve"> All controlled landfills must conduct quarterly surface emissions testing at all penetrations of the cover. We assume weekly equipment rental costs at $600/week, and one week per occurrence. In addition, the landfill will need to purchase calibration gases and hydrogen fuel (at a cost of $103.50 per event) to operate the surface monitoring equipment.</t>
    </r>
  </si>
  <si>
    <r>
      <rPr>
        <vertAlign val="superscript"/>
        <sz val="10"/>
        <rFont val="Times New Roman"/>
        <family val="1"/>
      </rPr>
      <t>d</t>
    </r>
    <r>
      <rPr>
        <sz val="10"/>
        <rFont val="Times New Roman"/>
        <family val="1"/>
      </rPr>
      <t xml:space="preserve"> All controlled landfills must conduct monthly wellhead monitoring.</t>
    </r>
  </si>
  <si>
    <r>
      <rPr>
        <vertAlign val="superscript"/>
        <sz val="10"/>
        <rFont val="Times New Roman"/>
        <family val="1"/>
      </rPr>
      <t>e</t>
    </r>
    <r>
      <rPr>
        <sz val="10"/>
        <rFont val="Times New Roman"/>
        <family val="1"/>
      </rPr>
      <t xml:space="preserve"> Sources required to install a control system purchase and install this equipment prior to their initial performance test. All sources operating controls maintain this equipment annually. Annualized cost is figured at 7% over 15 years.</t>
    </r>
  </si>
  <si>
    <r>
      <rPr>
        <vertAlign val="superscript"/>
        <sz val="10"/>
        <rFont val="Times New Roman"/>
        <family val="1"/>
      </rPr>
      <t xml:space="preserve">f </t>
    </r>
    <r>
      <rPr>
        <sz val="10"/>
        <rFont val="Times New Roman"/>
        <family val="1"/>
      </rPr>
      <t xml:space="preserve"> All sources operating controls maintain the flow meter, thermocouple, and data recorder annually at a cost of $1,000.</t>
    </r>
  </si>
  <si>
    <t>Respondents That Submit Reports</t>
  </si>
  <si>
    <t>Respondents That Do Not Submit Any Reports</t>
  </si>
  <si>
    <t>Year</t>
  </si>
  <si>
    <r>
      <t xml:space="preserve">Number of New Respondents </t>
    </r>
    <r>
      <rPr>
        <vertAlign val="superscript"/>
        <sz val="10"/>
        <rFont val="Times New Roman"/>
        <family val="1"/>
      </rPr>
      <t>a</t>
    </r>
  </si>
  <si>
    <r>
      <t xml:space="preserve">Number of Existing Respondents </t>
    </r>
    <r>
      <rPr>
        <vertAlign val="superscript"/>
        <sz val="10"/>
        <rFont val="Times New Roman"/>
        <family val="1"/>
      </rPr>
      <t>b</t>
    </r>
  </si>
  <si>
    <t>Number of Existing Respondents that keep records but do not submit reports</t>
  </si>
  <si>
    <t>Number of Existing Respondents That Are Also New Respondents</t>
  </si>
  <si>
    <t>Number of Respondents
(E=A+B+C-D)</t>
  </si>
  <si>
    <t>Average</t>
  </si>
  <si>
    <r>
      <t>a</t>
    </r>
    <r>
      <rPr>
        <sz val="10"/>
        <rFont val="Times New Roman"/>
        <family val="1"/>
      </rPr>
      <t xml:space="preserve"> Based on the data sources used to support the 2016 NSPS rulemaking, there were 14 new landfill over an 8-year period (2 new landfills per year) and 123 modified landfills over a 5-year period (25 modified landfills per year).  </t>
    </r>
  </si>
  <si>
    <t>Total Annual Number of Responses</t>
  </si>
  <si>
    <t>(A)
Information Collection Activity</t>
  </si>
  <si>
    <t>(B1) 
Number of Privately-owned Respondents</t>
  </si>
  <si>
    <t>(B2)
Number of Publicly-owned Respondents</t>
  </si>
  <si>
    <t>(C)
Number of Responses per Respondent</t>
  </si>
  <si>
    <t>(D)
Number of Existing Respondents That Keep Records But Do Not Submit Reports</t>
  </si>
  <si>
    <t>(E)
Total Responses
E=(B1+B2)xC+D</t>
  </si>
  <si>
    <t xml:space="preserve">Initial performance test report </t>
  </si>
  <si>
    <t>Initial design capacity report</t>
  </si>
  <si>
    <t>Amended design capacity report</t>
  </si>
  <si>
    <t>Report of NMOC rate (Tier 1)</t>
  </si>
  <si>
    <t>Report of NMOC rate (Tier 2)</t>
  </si>
  <si>
    <t>Landfill Closure Report</t>
  </si>
  <si>
    <t>Equipment Removal Report</t>
  </si>
  <si>
    <t>Collection and Control System Design Plan</t>
  </si>
  <si>
    <t>Revised C&amp;C System design plan</t>
  </si>
  <si>
    <t>Annual Report</t>
  </si>
  <si>
    <t>Corrective Action Analysis</t>
  </si>
  <si>
    <t>Implementation Timeline</t>
  </si>
  <si>
    <t>Root Cause Analysis</t>
  </si>
  <si>
    <t>Wet Landfill Monitoring Report</t>
  </si>
  <si>
    <t>Hours/response</t>
  </si>
  <si>
    <t>From Controllers and Reporters NSPS 051116.xlsx</t>
  </si>
  <si>
    <t>Note for katie</t>
  </si>
  <si>
    <t>Mod&amp;green</t>
  </si>
  <si>
    <t>Read Instructions (one time burden when landfill first becomes subject)</t>
  </si>
  <si>
    <t>Initial Design Capacity Reporters (these are &lt;2.5 million Mg)</t>
  </si>
  <si>
    <t>Wet LF report</t>
  </si>
  <si>
    <t># of landfills reporting/Total # of respondents</t>
  </si>
  <si>
    <t>Mod</t>
  </si>
  <si>
    <t># of facilities controlling</t>
  </si>
  <si>
    <t># reporting NMOC but not controlling</t>
  </si>
  <si>
    <t># of facilities conducting Tier 1 test</t>
  </si>
  <si>
    <t># of facilities conducting a tier 2 test</t>
  </si>
  <si>
    <t>Katie see note about how to treat negatives in year 3</t>
  </si>
  <si>
    <t>All landfills with capacity &gt;=2.5 million-Mod:</t>
  </si>
  <si>
    <t>Amended design capacity</t>
  </si>
  <si>
    <t>Ownership</t>
  </si>
  <si>
    <t>%</t>
  </si>
  <si>
    <t>from: reporters not controllers</t>
  </si>
  <si>
    <t>Mods only are controlling…</t>
  </si>
  <si>
    <t>Performance Tests (one time requirement)</t>
  </si>
  <si>
    <t>Footnote q percentage for records</t>
  </si>
  <si>
    <t>Reading percentage (footnote q)</t>
  </si>
  <si>
    <t>All landfill with capacity &gt;2.5 million-Green</t>
  </si>
  <si>
    <t>Records percentage (not sure what footnote)</t>
  </si>
  <si>
    <t>Total # of respondents</t>
  </si>
  <si>
    <t>Average # of respondents over three year period:</t>
  </si>
  <si>
    <t>Controllers</t>
  </si>
  <si>
    <t>Mods</t>
  </si>
  <si>
    <r>
      <rPr>
        <sz val="11"/>
        <color rgb="FFFF0000"/>
        <rFont val="Calibri"/>
        <family val="2"/>
        <scheme val="minor"/>
      </rPr>
      <t>NMOC Reporters</t>
    </r>
    <r>
      <rPr>
        <sz val="11"/>
        <color theme="1"/>
        <rFont val="Calibri"/>
        <family val="2"/>
        <scheme val="minor"/>
      </rPr>
      <t xml:space="preserve"> not Controlling:</t>
    </r>
  </si>
  <si>
    <t>Average # of respondents over three year period w/ design capacity threshold at least 2.5 million Mg:</t>
  </si>
  <si>
    <t>All greenfields that are open by the ICR year are reporters not controllers in the ICR years (all controllers are mods in these years)</t>
  </si>
  <si>
    <t>Design capacity reporters (&lt;2.5 million Mg)</t>
  </si>
  <si>
    <t>from: New Des Capacity reports 051116</t>
  </si>
  <si>
    <t>Several of the testing and monitoring requirements require labor to complete the activities in addition to capital expenses for purchasing the monitoring equipment. This analysis assumes that a Civil Engineer or Civil Engineer Technician completes the testing and monitoring requirements of the proposed amendments. The mean hourly wage for these professions is presented in Table 2. The latest wage data are from May 2011, however wages have remained flat and the Employment Cost Index does not show any increase in wages between May 2011 and December 2012. The wage rates were adjusted to include benefits and office overhead related expenses in these professions.</t>
  </si>
  <si>
    <t>Table 2: Labor Rates used in Testing and Monitoring Cost Analysis</t>
  </si>
  <si>
    <t>2011 Data</t>
  </si>
  <si>
    <t>2013 Data</t>
  </si>
  <si>
    <t>Occupation</t>
  </si>
  <si>
    <t>Unloaded National Mean Wage Rate[1]</t>
  </si>
  <si>
    <t>Adjustment Factor</t>
  </si>
  <si>
    <t>Loaded Wage Rate</t>
  </si>
  <si>
    <t>Civil Engineer</t>
  </si>
  <si>
    <t>41.17 + 110%(41.17)</t>
  </si>
  <si>
    <t>11-9199</t>
  </si>
  <si>
    <t>Managers, All Other</t>
  </si>
  <si>
    <t>52.11 + 110%(52.11)</t>
  </si>
  <si>
    <t>Civil Engineering Technician</t>
  </si>
  <si>
    <t>23.74 + 110%(23.74)</t>
  </si>
  <si>
    <t>http://www.bls.gov/oes/current/oes_nat.htm#17-0000 (May 2013)</t>
  </si>
  <si>
    <t>Office Clerks, General</t>
  </si>
  <si>
    <t>14.42 + 110%(14.42)</t>
  </si>
  <si>
    <t>[1] US Bureau of Labor and Statistics. May 2013 Occupational Employment Statistics. http:/stat.bls.gov/oes/home.htm</t>
  </si>
  <si>
    <t>http://www.bls.gov/oes/2013/may/oes_nat.htm#17-0000</t>
  </si>
  <si>
    <t>FY 2015 Per Diem Rates - Effective October 1, 2014</t>
  </si>
  <si>
    <t>ID</t>
  </si>
  <si>
    <t>STATE</t>
  </si>
  <si>
    <t>DESTINATION</t>
  </si>
  <si>
    <t>COUNTY / LOCATION DEFINED</t>
  </si>
  <si>
    <t>SEASON BEGIN</t>
  </si>
  <si>
    <t>SEASON END</t>
  </si>
  <si>
    <t>FY2015 Lodging Rate</t>
  </si>
  <si>
    <t>FY2015 M&amp;IE</t>
  </si>
  <si>
    <t>Standard CONUS rate applies to all counties not specifically listed. Cities not listed may be located in a listed county.</t>
  </si>
  <si>
    <t>Avg Lodging Rate</t>
  </si>
  <si>
    <t>Avg M&amp;I</t>
  </si>
  <si>
    <t>AL</t>
  </si>
  <si>
    <t>Birmingham</t>
  </si>
  <si>
    <t>Jefferson / Shelby</t>
  </si>
  <si>
    <t/>
  </si>
  <si>
    <t>http://www.gsa.gov/portal/category/100120</t>
  </si>
  <si>
    <t>Gulf Shores</t>
  </si>
  <si>
    <t>Baldwin</t>
  </si>
  <si>
    <t>October 1</t>
  </si>
  <si>
    <t>February 28</t>
  </si>
  <si>
    <t>March 1</t>
  </si>
  <si>
    <t>July 31</t>
  </si>
  <si>
    <t>August 1</t>
  </si>
  <si>
    <t>September 30</t>
  </si>
  <si>
    <t>Huntsville</t>
  </si>
  <si>
    <t>Madison / Limestone</t>
  </si>
  <si>
    <t>Mobile</t>
  </si>
  <si>
    <t>December 31</t>
  </si>
  <si>
    <t>January 1</t>
  </si>
  <si>
    <t>AR</t>
  </si>
  <si>
    <t>Hot Springs</t>
  </si>
  <si>
    <t>Garland</t>
  </si>
  <si>
    <t>Little Rock</t>
  </si>
  <si>
    <t>Pulaski</t>
  </si>
  <si>
    <t>AZ</t>
  </si>
  <si>
    <t>Grand Canyon / Flagstaff</t>
  </si>
  <si>
    <t>Coconino / Yavapai less the city of Sedona</t>
  </si>
  <si>
    <t>Kayenta</t>
  </si>
  <si>
    <t>Navajo</t>
  </si>
  <si>
    <t>Phoenix / Scottsdale</t>
  </si>
  <si>
    <t>Maricopa</t>
  </si>
  <si>
    <t>March 31</t>
  </si>
  <si>
    <t>April 1</t>
  </si>
  <si>
    <t>May 31</t>
  </si>
  <si>
    <t>June 1</t>
  </si>
  <si>
    <t>August 31</t>
  </si>
  <si>
    <t>September 1</t>
  </si>
  <si>
    <t>Sedona</t>
  </si>
  <si>
    <t>City Limits of Sedona</t>
  </si>
  <si>
    <t>Tucson</t>
  </si>
  <si>
    <t>Pima</t>
  </si>
  <si>
    <t>January 31</t>
  </si>
  <si>
    <t>February 1</t>
  </si>
  <si>
    <t>CA</t>
  </si>
  <si>
    <t>Antioch / Brentwood / Concord</t>
  </si>
  <si>
    <t>Contra Costa</t>
  </si>
  <si>
    <t>Bakersfield / Ridgecrest</t>
  </si>
  <si>
    <t>Kern</t>
  </si>
  <si>
    <t>Barstow / Ontario / Victorville</t>
  </si>
  <si>
    <t>San Bernardino</t>
  </si>
  <si>
    <t>Death Valley</t>
  </si>
  <si>
    <t xml:space="preserve">Inyo </t>
  </si>
  <si>
    <t>Eureka / Arcata / McKinleyville</t>
  </si>
  <si>
    <t>Humboldt</t>
  </si>
  <si>
    <t>June 30</t>
  </si>
  <si>
    <t>July 1</t>
  </si>
  <si>
    <t>Fresno</t>
  </si>
  <si>
    <t>Los Angeles</t>
  </si>
  <si>
    <t>Los Angeles / Orange / Ventura / Edwards AFB less the city of Santa Monica</t>
  </si>
  <si>
    <t>Mammoth Lakes</t>
  </si>
  <si>
    <t>Mono</t>
  </si>
  <si>
    <t>November 30</t>
  </si>
  <si>
    <t>December 1</t>
  </si>
  <si>
    <t>Mill Valley / San Rafael / Novato</t>
  </si>
  <si>
    <t>Marin</t>
  </si>
  <si>
    <t>Modesto</t>
  </si>
  <si>
    <t>Stanislaus</t>
  </si>
  <si>
    <t>Monterey</t>
  </si>
  <si>
    <t>Napa</t>
  </si>
  <si>
    <t>Oakhurst</t>
  </si>
  <si>
    <t xml:space="preserve">Madera </t>
  </si>
  <si>
    <t>Oakland</t>
  </si>
  <si>
    <t>Alameda</t>
  </si>
  <si>
    <t>Palm Springs</t>
  </si>
  <si>
    <t>Riverside</t>
  </si>
  <si>
    <t>Point Arena / Gualala</t>
  </si>
  <si>
    <t>Mendocino</t>
  </si>
  <si>
    <t>Redding</t>
  </si>
  <si>
    <t>Shasta</t>
  </si>
  <si>
    <t>Sacramento</t>
  </si>
  <si>
    <t>San Diego</t>
  </si>
  <si>
    <t>San Francisco</t>
  </si>
  <si>
    <t>October 31</t>
  </si>
  <si>
    <t>November 1</t>
  </si>
  <si>
    <t>San Luis Obispo</t>
  </si>
  <si>
    <t>San Mateo / Foster City / Belmont</t>
  </si>
  <si>
    <t>San Mateo</t>
  </si>
  <si>
    <t>Santa Barbara</t>
  </si>
  <si>
    <t>Santa Cruz</t>
  </si>
  <si>
    <t xml:space="preserve">Santa Monica </t>
  </si>
  <si>
    <t>City limits of Santa Monica</t>
  </si>
  <si>
    <t>Santa Rosa</t>
  </si>
  <si>
    <t>Sonoma</t>
  </si>
  <si>
    <t>South Lake Tahoe</t>
  </si>
  <si>
    <t>El Dorado</t>
  </si>
  <si>
    <t xml:space="preserve">Stockton </t>
  </si>
  <si>
    <t>San Joaquin</t>
  </si>
  <si>
    <t>Sunnyvale / Palo Alto / San Jose</t>
  </si>
  <si>
    <t>Santa Clara</t>
  </si>
  <si>
    <t>Tahoe City</t>
  </si>
  <si>
    <t>Placer</t>
  </si>
  <si>
    <t>Truckee</t>
  </si>
  <si>
    <t xml:space="preserve">Nevada </t>
  </si>
  <si>
    <t>Visalia / Lemoore</t>
  </si>
  <si>
    <t>Tulare / Kings</t>
  </si>
  <si>
    <t>West Sacramento / Davis</t>
  </si>
  <si>
    <t>Yolo</t>
  </si>
  <si>
    <t>Yosemite National Park</t>
  </si>
  <si>
    <t>Mariposa</t>
  </si>
  <si>
    <t>CO</t>
  </si>
  <si>
    <t>Aspen</t>
  </si>
  <si>
    <t>Pitkin</t>
  </si>
  <si>
    <t>Boulder / Broomfield</t>
  </si>
  <si>
    <t>Colorado Springs</t>
  </si>
  <si>
    <t>El Paso</t>
  </si>
  <si>
    <t>Cortez</t>
  </si>
  <si>
    <t>Montezuma</t>
  </si>
  <si>
    <t>Crested Butte / Gunnison</t>
  </si>
  <si>
    <t>Gunnison</t>
  </si>
  <si>
    <t>Denver / Aurora</t>
  </si>
  <si>
    <t>Denver / Adams / Arapahoe / Jefferson</t>
  </si>
  <si>
    <t xml:space="preserve">Douglas </t>
  </si>
  <si>
    <t>Douglas</t>
  </si>
  <si>
    <t>Durango</t>
  </si>
  <si>
    <t>La Plata</t>
  </si>
  <si>
    <t>Fort Collins / Loveland</t>
  </si>
  <si>
    <t>Larimer</t>
  </si>
  <si>
    <t>Montrose</t>
  </si>
  <si>
    <t>Silverthorne / Breckenridge</t>
  </si>
  <si>
    <t>Summit</t>
  </si>
  <si>
    <t>Steamboat Springs</t>
  </si>
  <si>
    <t>Routt</t>
  </si>
  <si>
    <t>Telluride</t>
  </si>
  <si>
    <t>San Miguel</t>
  </si>
  <si>
    <t>Vail</t>
  </si>
  <si>
    <t>Eagle</t>
  </si>
  <si>
    <t>CT</t>
  </si>
  <si>
    <t>Bridgeport / Danbury</t>
  </si>
  <si>
    <t>Fairfield</t>
  </si>
  <si>
    <t>Cromwell / Old Saybrook</t>
  </si>
  <si>
    <t>Middlesex</t>
  </si>
  <si>
    <t>Hartford</t>
  </si>
  <si>
    <t>New Haven</t>
  </si>
  <si>
    <t>New London / Groton</t>
  </si>
  <si>
    <t>New London</t>
  </si>
  <si>
    <t>DC</t>
  </si>
  <si>
    <t>District of Columbia</t>
  </si>
  <si>
    <t>Washington DC (also the cities of Alexandria, Falls Church and Fairfax, and the counties of Arlington and Fairfax, in Virginia; and the counties of Montgomery and Prince George's in Maryland)</t>
  </si>
  <si>
    <t>DE</t>
  </si>
  <si>
    <t>Dover</t>
  </si>
  <si>
    <t>Kent</t>
  </si>
  <si>
    <t>April 30</t>
  </si>
  <si>
    <t>May 1</t>
  </si>
  <si>
    <t>Lewes</t>
  </si>
  <si>
    <t>Sussex</t>
  </si>
  <si>
    <t>Wilmington</t>
  </si>
  <si>
    <t>New Castle</t>
  </si>
  <si>
    <t>FL</t>
  </si>
  <si>
    <t>Boca Raton / Delray Beach / Jupiter</t>
  </si>
  <si>
    <t>Palm Beach / Hendry</t>
  </si>
  <si>
    <t>Bradenton</t>
  </si>
  <si>
    <t>Manatee</t>
  </si>
  <si>
    <t>Cocoa Beach</t>
  </si>
  <si>
    <t>Brevard</t>
  </si>
  <si>
    <t>Daytona Beach</t>
  </si>
  <si>
    <t>Volusia</t>
  </si>
  <si>
    <t>Fort Lauderdale</t>
  </si>
  <si>
    <t>Broward</t>
  </si>
  <si>
    <t>Fort Myers</t>
  </si>
  <si>
    <t>Lee</t>
  </si>
  <si>
    <t>Fort Walton Beach / De Funiak Springs</t>
  </si>
  <si>
    <t>Okaloosa / Walton</t>
  </si>
  <si>
    <t>Gainesville</t>
  </si>
  <si>
    <t>Alachua</t>
  </si>
  <si>
    <t>Gulf Breeze</t>
  </si>
  <si>
    <t>Key West</t>
  </si>
  <si>
    <t>Monroe</t>
  </si>
  <si>
    <t>Miami</t>
  </si>
  <si>
    <t>Miami-Dade</t>
  </si>
  <si>
    <t>Naples</t>
  </si>
  <si>
    <t>Collier</t>
  </si>
  <si>
    <t>Orlando</t>
  </si>
  <si>
    <t>Orange</t>
  </si>
  <si>
    <t>Panama City</t>
  </si>
  <si>
    <t>Bay</t>
  </si>
  <si>
    <t xml:space="preserve">Pensacola </t>
  </si>
  <si>
    <t>Escambia</t>
  </si>
  <si>
    <t>Punta Gorda</t>
  </si>
  <si>
    <t>Charlotte</t>
  </si>
  <si>
    <t>Sarasota</t>
  </si>
  <si>
    <t>Sebring</t>
  </si>
  <si>
    <t>Highlands</t>
  </si>
  <si>
    <t>St. Augustine</t>
  </si>
  <si>
    <t>St. Johns</t>
  </si>
  <si>
    <t>Stuart</t>
  </si>
  <si>
    <t>Martin</t>
  </si>
  <si>
    <t>Tallahassee</t>
  </si>
  <si>
    <t>Leon</t>
  </si>
  <si>
    <t>Tampa / St. Petersburg</t>
  </si>
  <si>
    <t>Pinellas / Hillsborough</t>
  </si>
  <si>
    <t>Vero Beach</t>
  </si>
  <si>
    <t>Indian River</t>
  </si>
  <si>
    <t>GA</t>
  </si>
  <si>
    <t>Athens</t>
  </si>
  <si>
    <t>Clarke</t>
  </si>
  <si>
    <t>Atlanta</t>
  </si>
  <si>
    <t>Fulton / Dekalb / Cobb</t>
  </si>
  <si>
    <t>Augusta</t>
  </si>
  <si>
    <t>Richmond</t>
  </si>
  <si>
    <t>Jekyll Island / Brunswick</t>
  </si>
  <si>
    <t>Glynn</t>
  </si>
  <si>
    <t>Savannah</t>
  </si>
  <si>
    <t>Chatham</t>
  </si>
  <si>
    <t>IA</t>
  </si>
  <si>
    <t>Cedar Rapids</t>
  </si>
  <si>
    <t>Linn</t>
  </si>
  <si>
    <t>Dallas</t>
  </si>
  <si>
    <t>Des Moines</t>
  </si>
  <si>
    <t>Polk</t>
  </si>
  <si>
    <t>Bonner's Ferry / Sandpoint</t>
  </si>
  <si>
    <t>Bonner / Boundary / Shoshone</t>
  </si>
  <si>
    <t>Coeur d'Alene</t>
  </si>
  <si>
    <t>Kootenai</t>
  </si>
  <si>
    <t>Driggs / Idaho Falls</t>
  </si>
  <si>
    <t>Bonneville / Fremont / Teton</t>
  </si>
  <si>
    <t>Sun Valley / Ketchum</t>
  </si>
  <si>
    <t>Blaine / Elmore</t>
  </si>
  <si>
    <t>IL</t>
  </si>
  <si>
    <t>Bolingbrook / Romeoville / Lemont</t>
  </si>
  <si>
    <t>Will</t>
  </si>
  <si>
    <t>Chicago</t>
  </si>
  <si>
    <t>Cook / Lake</t>
  </si>
  <si>
    <t>O'Fallon / Fairview Heights / Collinsville</t>
  </si>
  <si>
    <t>Bond / Calhoun / Clinton / Jersey / Macoupin / Madison / Monroe / St. Clair</t>
  </si>
  <si>
    <t>Oak Brook Terrace</t>
  </si>
  <si>
    <t>Dupage</t>
  </si>
  <si>
    <t xml:space="preserve">Springfield </t>
  </si>
  <si>
    <t>Sangamon</t>
  </si>
  <si>
    <t>IN</t>
  </si>
  <si>
    <t xml:space="preserve">Bloomington </t>
  </si>
  <si>
    <t>Ft. Wayne</t>
  </si>
  <si>
    <t>Allen</t>
  </si>
  <si>
    <t>Hammond / Munster / Merrillville</t>
  </si>
  <si>
    <t>Lake</t>
  </si>
  <si>
    <t>Indianapolis / Carmel</t>
  </si>
  <si>
    <t>Marion / Hamilton</t>
  </si>
  <si>
    <t>Lafayette / West Lafayette</t>
  </si>
  <si>
    <t>Tippecanoe</t>
  </si>
  <si>
    <t>South Bend</t>
  </si>
  <si>
    <t>St. Joseph</t>
  </si>
  <si>
    <t>KS</t>
  </si>
  <si>
    <t>Kansas City / Overland Park</t>
  </si>
  <si>
    <t>Wyandotte / Johnson / Leavenworth</t>
  </si>
  <si>
    <t>Wichita</t>
  </si>
  <si>
    <t>Sedgwick</t>
  </si>
  <si>
    <t>KY</t>
  </si>
  <si>
    <t>Boone</t>
  </si>
  <si>
    <t>Kenton</t>
  </si>
  <si>
    <t>Lexington</t>
  </si>
  <si>
    <t>Fayette</t>
  </si>
  <si>
    <t>Louisville</t>
  </si>
  <si>
    <t>Jefferson</t>
  </si>
  <si>
    <t>LA</t>
  </si>
  <si>
    <t>Alexandria / Leesville / Natchitoches</t>
  </si>
  <si>
    <t>Allen / Jefferson Davis / Natchitoches / Rapides / Vernon Parishes</t>
  </si>
  <si>
    <t>Baton Rouge</t>
  </si>
  <si>
    <t>East Baton Rouge Parish</t>
  </si>
  <si>
    <t>Covington / Slidell</t>
  </si>
  <si>
    <t>St. Tammany Parish</t>
  </si>
  <si>
    <t>New Orleans</t>
  </si>
  <si>
    <t>Orleans / St. Bernard / Jefferson / Plaquemine Parishes</t>
  </si>
  <si>
    <t>MA</t>
  </si>
  <si>
    <t>Andover</t>
  </si>
  <si>
    <t>Essex</t>
  </si>
  <si>
    <t>Boston / Cambridge</t>
  </si>
  <si>
    <t>Suffolk, city of Cambridge</t>
  </si>
  <si>
    <t>Burlington / Woburn</t>
  </si>
  <si>
    <t>Middlesex less the city of Cambridge</t>
  </si>
  <si>
    <t>Falmouth</t>
  </si>
  <si>
    <t>City limits of Falmouth</t>
  </si>
  <si>
    <t>Hyannis</t>
  </si>
  <si>
    <t>Barnstable less the city of Falmouth</t>
  </si>
  <si>
    <t>Martha's Vineyard</t>
  </si>
  <si>
    <t>Dukes</t>
  </si>
  <si>
    <t>Nantucket</t>
  </si>
  <si>
    <t>Northampton</t>
  </si>
  <si>
    <t>Hampshire</t>
  </si>
  <si>
    <t>Pittsfield</t>
  </si>
  <si>
    <t>Berkshire</t>
  </si>
  <si>
    <t>Plymouth / Taunton / New Bedford</t>
  </si>
  <si>
    <t>Plymouth / Bristol</t>
  </si>
  <si>
    <t>Quincy</t>
  </si>
  <si>
    <t>Norfolk</t>
  </si>
  <si>
    <t>Springfield</t>
  </si>
  <si>
    <t>Hampden</t>
  </si>
  <si>
    <t>Worcester</t>
  </si>
  <si>
    <t>MD</t>
  </si>
  <si>
    <t>Aberdeen / Bel Air / Belcamp</t>
  </si>
  <si>
    <t>Harford</t>
  </si>
  <si>
    <t>Annapolis</t>
  </si>
  <si>
    <t>Anne Arundel</t>
  </si>
  <si>
    <t>Baltimore County</t>
  </si>
  <si>
    <t>Baltimore</t>
  </si>
  <si>
    <t>Baltimore City</t>
  </si>
  <si>
    <t>Cambridge / St. Michaels</t>
  </si>
  <si>
    <t>Dorchester / Talbot</t>
  </si>
  <si>
    <t>Centreville</t>
  </si>
  <si>
    <t>Queen Anne</t>
  </si>
  <si>
    <t>Columbia</t>
  </si>
  <si>
    <t>Howard</t>
  </si>
  <si>
    <t>Frederick</t>
  </si>
  <si>
    <t>Lexington Park / Leonardtown / Lusby</t>
  </si>
  <si>
    <t>St. Mary's / Calvert</t>
  </si>
  <si>
    <t>Ocean City</t>
  </si>
  <si>
    <t>ME</t>
  </si>
  <si>
    <t>Bar Harbor</t>
  </si>
  <si>
    <t>Hancock</t>
  </si>
  <si>
    <t>Kennebunk / Kittery / Sanford</t>
  </si>
  <si>
    <t xml:space="preserve">York </t>
  </si>
  <si>
    <t>Portland</t>
  </si>
  <si>
    <t>Cumberland / Sagadahoc</t>
  </si>
  <si>
    <t>Rockport</t>
  </si>
  <si>
    <t>Knox</t>
  </si>
  <si>
    <t>MI</t>
  </si>
  <si>
    <t>Ann Arbor</t>
  </si>
  <si>
    <t>Washtenaw</t>
  </si>
  <si>
    <t>Benton Harbor / St. Joseph / Stevensville</t>
  </si>
  <si>
    <t xml:space="preserve">Berrien </t>
  </si>
  <si>
    <t>Detroit</t>
  </si>
  <si>
    <t>Wayne</t>
  </si>
  <si>
    <t>East Lansing / Lansing</t>
  </si>
  <si>
    <t>Ingham / Eaton</t>
  </si>
  <si>
    <t>Grand Rapids</t>
  </si>
  <si>
    <t>Holland</t>
  </si>
  <si>
    <t>Ottawa</t>
  </si>
  <si>
    <t xml:space="preserve">Kalamazoo / Battle Creek </t>
  </si>
  <si>
    <t>Kalamazoo / Calhoun</t>
  </si>
  <si>
    <t>Mackinac Island</t>
  </si>
  <si>
    <t>Mackinac</t>
  </si>
  <si>
    <t>Midland</t>
  </si>
  <si>
    <t>Muskegon</t>
  </si>
  <si>
    <t>Petoskey</t>
  </si>
  <si>
    <t>Emmet</t>
  </si>
  <si>
    <t xml:space="preserve">Pontiac / Auburn Hills </t>
  </si>
  <si>
    <t>South Haven</t>
  </si>
  <si>
    <t>Van Buren</t>
  </si>
  <si>
    <t>Traverse City / Leland</t>
  </si>
  <si>
    <t>Grand Traverse / Leelanau</t>
  </si>
  <si>
    <t>MN</t>
  </si>
  <si>
    <t>Duluth</t>
  </si>
  <si>
    <t>St. Louis</t>
  </si>
  <si>
    <t>Eagan / Burnsville / Mendota Heights</t>
  </si>
  <si>
    <t>Dakota</t>
  </si>
  <si>
    <t>Minneapolis / St. Paul</t>
  </si>
  <si>
    <t>Hennepin / Ramsey</t>
  </si>
  <si>
    <t>Rochester</t>
  </si>
  <si>
    <t>Olmsted</t>
  </si>
  <si>
    <t>MO</t>
  </si>
  <si>
    <t>Kansas City</t>
  </si>
  <si>
    <t>Jackson / Clay / Cass / Platte</t>
  </si>
  <si>
    <t>St. Louis / St. Louis City / St. Charles / Crawford / Franklin / Jefferson / Lincoln / Warren / Washington</t>
  </si>
  <si>
    <t>MS</t>
  </si>
  <si>
    <t>Hattiesburg</t>
  </si>
  <si>
    <t>Forrest / Lamar</t>
  </si>
  <si>
    <t>Oxford</t>
  </si>
  <si>
    <t>Lafayette</t>
  </si>
  <si>
    <t>Southaven</t>
  </si>
  <si>
    <t>Desoto</t>
  </si>
  <si>
    <t xml:space="preserve">Starkville </t>
  </si>
  <si>
    <t>Oktibbeha</t>
  </si>
  <si>
    <t>MT</t>
  </si>
  <si>
    <t>Big Sky / West Yellowstone</t>
  </si>
  <si>
    <t>Gallatin</t>
  </si>
  <si>
    <t>Butte</t>
  </si>
  <si>
    <t>Silver Bow</t>
  </si>
  <si>
    <t>Glendive / Sidney</t>
  </si>
  <si>
    <t>Dawson / Richland</t>
  </si>
  <si>
    <t>Helena</t>
  </si>
  <si>
    <t>Lewis and Clark</t>
  </si>
  <si>
    <t>Missoula / Polson / Kalispell</t>
  </si>
  <si>
    <t>Missoula / Lake / Flathead</t>
  </si>
  <si>
    <t>NC</t>
  </si>
  <si>
    <t xml:space="preserve">Asheville </t>
  </si>
  <si>
    <t>Buncombe</t>
  </si>
  <si>
    <t>Atlantic Beach / Morehead City</t>
  </si>
  <si>
    <t>Carteret</t>
  </si>
  <si>
    <t>Chapel Hill</t>
  </si>
  <si>
    <t>Mecklenburg</t>
  </si>
  <si>
    <t>Durham</t>
  </si>
  <si>
    <t>Fayetteville</t>
  </si>
  <si>
    <t>Cumberland</t>
  </si>
  <si>
    <t>Greensboro</t>
  </si>
  <si>
    <t>Guilford</t>
  </si>
  <si>
    <t>Kill Devil</t>
  </si>
  <si>
    <t>Dare</t>
  </si>
  <si>
    <t>New Bern / Havelock</t>
  </si>
  <si>
    <t xml:space="preserve">Craven </t>
  </si>
  <si>
    <t>Raleigh</t>
  </si>
  <si>
    <t>Wake</t>
  </si>
  <si>
    <t>New Hanover</t>
  </si>
  <si>
    <t>ND</t>
  </si>
  <si>
    <t>Dickinson / Beulah</t>
  </si>
  <si>
    <t>Stark / Mercer / Billings</t>
  </si>
  <si>
    <t>Minot</t>
  </si>
  <si>
    <t xml:space="preserve">Ward </t>
  </si>
  <si>
    <t>Williston</t>
  </si>
  <si>
    <t>Williams / Mountrail / McKenzie</t>
  </si>
  <si>
    <t>NE</t>
  </si>
  <si>
    <t>Omaha</t>
  </si>
  <si>
    <t>NH</t>
  </si>
  <si>
    <t>Concord</t>
  </si>
  <si>
    <t>Merrimack</t>
  </si>
  <si>
    <t>Conway</t>
  </si>
  <si>
    <t>Caroll</t>
  </si>
  <si>
    <t>Strafford</t>
  </si>
  <si>
    <t>Laconia</t>
  </si>
  <si>
    <t>Belknap</t>
  </si>
  <si>
    <t>Lebanon / Lincoln / West Lebanon</t>
  </si>
  <si>
    <t xml:space="preserve">Grafton / Sullivan </t>
  </si>
  <si>
    <t>Manchester</t>
  </si>
  <si>
    <t>Hillsborough</t>
  </si>
  <si>
    <t>Portsmouth</t>
  </si>
  <si>
    <t>Rockingham</t>
  </si>
  <si>
    <t>NJ</t>
  </si>
  <si>
    <t>Atlantic City / Ocean City / Cape May</t>
  </si>
  <si>
    <t>Atlantic / Cape May</t>
  </si>
  <si>
    <t>Belle Mead</t>
  </si>
  <si>
    <t>Somerset</t>
  </si>
  <si>
    <t>Cherry Hill / Moorestown</t>
  </si>
  <si>
    <t>Camden / Burlington</t>
  </si>
  <si>
    <t>Eatontown / Freehold</t>
  </si>
  <si>
    <t>Monmouth</t>
  </si>
  <si>
    <t>Edison / Piscataway</t>
  </si>
  <si>
    <t xml:space="preserve">Middlesex </t>
  </si>
  <si>
    <t>Flemington</t>
  </si>
  <si>
    <t>Hunterdon</t>
  </si>
  <si>
    <t>Newark</t>
  </si>
  <si>
    <t>Essex / Bergen / Hudson / Passaic</t>
  </si>
  <si>
    <t>Parsippany</t>
  </si>
  <si>
    <t>Morris</t>
  </si>
  <si>
    <t>Princeton / Trenton</t>
  </si>
  <si>
    <t>Mercer</t>
  </si>
  <si>
    <t>Springfield / Cranford / New Providence</t>
  </si>
  <si>
    <t>Union</t>
  </si>
  <si>
    <t>Toms River</t>
  </si>
  <si>
    <t>Ocean</t>
  </si>
  <si>
    <t>NM</t>
  </si>
  <si>
    <t>Carlsbad</t>
  </si>
  <si>
    <t>Eddy</t>
  </si>
  <si>
    <t>Las Cruces</t>
  </si>
  <si>
    <t>Dona Ana</t>
  </si>
  <si>
    <t>Los Alamos</t>
  </si>
  <si>
    <t xml:space="preserve">Los Alamos </t>
  </si>
  <si>
    <t>Santa Fe</t>
  </si>
  <si>
    <t>Taos</t>
  </si>
  <si>
    <t>NV</t>
  </si>
  <si>
    <t>Incline Village / Reno / Sparks</t>
  </si>
  <si>
    <t>Washoe</t>
  </si>
  <si>
    <t>Las Vegas</t>
  </si>
  <si>
    <t>Clark</t>
  </si>
  <si>
    <t>Stateline / Carson City</t>
  </si>
  <si>
    <t>Douglas / Carson City</t>
  </si>
  <si>
    <t>NY</t>
  </si>
  <si>
    <t>Albany</t>
  </si>
  <si>
    <t>Binghamton / Owego</t>
  </si>
  <si>
    <t>Broome / Tioga</t>
  </si>
  <si>
    <t>Buffalo</t>
  </si>
  <si>
    <t>Erie</t>
  </si>
  <si>
    <t>Floral Park / Garden City / Great Neck</t>
  </si>
  <si>
    <t>Nassau</t>
  </si>
  <si>
    <t>Glens Falls</t>
  </si>
  <si>
    <t>Warren</t>
  </si>
  <si>
    <t>Ithaca / Waterloo / Romulus</t>
  </si>
  <si>
    <t>Tompkins / Seneca</t>
  </si>
  <si>
    <t>Kingston</t>
  </si>
  <si>
    <t>Ulster</t>
  </si>
  <si>
    <t>Lake Placid</t>
  </si>
  <si>
    <t>New York City</t>
  </si>
  <si>
    <t>Bronx / Kings / New York / Queens / Richmond</t>
  </si>
  <si>
    <t>Niagara Falls</t>
  </si>
  <si>
    <t>Niagara</t>
  </si>
  <si>
    <t>Nyack / Palisades</t>
  </si>
  <si>
    <t>Rockland</t>
  </si>
  <si>
    <t>Poughkeepsie</t>
  </si>
  <si>
    <t>Dutchess</t>
  </si>
  <si>
    <t>Riverhead / Ronkonkoma / Melville</t>
  </si>
  <si>
    <t>Suffolk</t>
  </si>
  <si>
    <t>Saratoga Springs / Schenectady</t>
  </si>
  <si>
    <t>Saratoga / Schenectady</t>
  </si>
  <si>
    <t>Syracuse / Oswego</t>
  </si>
  <si>
    <t>Onondaga / Oswego</t>
  </si>
  <si>
    <t>Tarrytown / White Plains / New Rochelle</t>
  </si>
  <si>
    <t>Westchester</t>
  </si>
  <si>
    <t xml:space="preserve">Troy </t>
  </si>
  <si>
    <t>Rensselaer</t>
  </si>
  <si>
    <t>Watertown</t>
  </si>
  <si>
    <t>West Point</t>
  </si>
  <si>
    <t>OH</t>
  </si>
  <si>
    <t>Akron</t>
  </si>
  <si>
    <t>Canton</t>
  </si>
  <si>
    <t>Stark</t>
  </si>
  <si>
    <t>Cincinnati</t>
  </si>
  <si>
    <t>Hamilton / Clermont</t>
  </si>
  <si>
    <t>Cleveland</t>
  </si>
  <si>
    <t>Cuyahoga</t>
  </si>
  <si>
    <t>Columbus</t>
  </si>
  <si>
    <t>Franklin</t>
  </si>
  <si>
    <t>Dayton / Fairborn</t>
  </si>
  <si>
    <t>Greene / Darke / Montgomery</t>
  </si>
  <si>
    <t>Hamilton</t>
  </si>
  <si>
    <t>Butler / Warren</t>
  </si>
  <si>
    <t>Medina / Wooster</t>
  </si>
  <si>
    <t>Wayne / Medina</t>
  </si>
  <si>
    <t>Mentor</t>
  </si>
  <si>
    <t>Sandusky / Bellevue</t>
  </si>
  <si>
    <t>Erie /  Huron</t>
  </si>
  <si>
    <t>Youngstown</t>
  </si>
  <si>
    <t>Mahoning / Trumbull</t>
  </si>
  <si>
    <t>OK</t>
  </si>
  <si>
    <t>Enid</t>
  </si>
  <si>
    <t>Garfield</t>
  </si>
  <si>
    <t>Oklahoma City</t>
  </si>
  <si>
    <t>Oklahoma</t>
  </si>
  <si>
    <t>OR</t>
  </si>
  <si>
    <t>Beaverton</t>
  </si>
  <si>
    <t>Washington</t>
  </si>
  <si>
    <t>Bend</t>
  </si>
  <si>
    <t>Deschutes</t>
  </si>
  <si>
    <t>Clackamas</t>
  </si>
  <si>
    <t>Eugene / Florence</t>
  </si>
  <si>
    <t>Lane</t>
  </si>
  <si>
    <t>Lincoln City</t>
  </si>
  <si>
    <t>Lincoln</t>
  </si>
  <si>
    <t>Multnomah</t>
  </si>
  <si>
    <t>Seaside</t>
  </si>
  <si>
    <t>Clatsop</t>
  </si>
  <si>
    <t>PA</t>
  </si>
  <si>
    <t>Allentown / Easton / Bethlehem</t>
  </si>
  <si>
    <t>Lehigh / Northampton</t>
  </si>
  <si>
    <t>Bucks</t>
  </si>
  <si>
    <t>Chester / Radnor / Essington</t>
  </si>
  <si>
    <t>Delaware</t>
  </si>
  <si>
    <t>Gettysburg</t>
  </si>
  <si>
    <t>Adams</t>
  </si>
  <si>
    <t>Harrisburg</t>
  </si>
  <si>
    <t>Dauphin County excluding Hershey</t>
  </si>
  <si>
    <t>Hershey</t>
  </si>
  <si>
    <t>Lancaster</t>
  </si>
  <si>
    <t>Malvern / Frazer / Berwyn</t>
  </si>
  <si>
    <t>Chester</t>
  </si>
  <si>
    <t>Mechanicsburg</t>
  </si>
  <si>
    <t>Montgomery</t>
  </si>
  <si>
    <t>Philadelphia</t>
  </si>
  <si>
    <t>Pittsburgh</t>
  </si>
  <si>
    <t>Allegheny</t>
  </si>
  <si>
    <t>Reading</t>
  </si>
  <si>
    <t>Berks</t>
  </si>
  <si>
    <t>Scranton</t>
  </si>
  <si>
    <t>Lackawanna</t>
  </si>
  <si>
    <t xml:space="preserve">State College </t>
  </si>
  <si>
    <t>Centre</t>
  </si>
  <si>
    <t>RI</t>
  </si>
  <si>
    <t>East Greenwich / Warwick / North Kingstown</t>
  </si>
  <si>
    <t>Kent / Washington</t>
  </si>
  <si>
    <t>Jamestown / Middletown / Newport</t>
  </si>
  <si>
    <t xml:space="preserve">Newport </t>
  </si>
  <si>
    <t>Providence / Bristol</t>
  </si>
  <si>
    <t>SC</t>
  </si>
  <si>
    <t>Aiken</t>
  </si>
  <si>
    <t>Charleston</t>
  </si>
  <si>
    <t>Charleston / Berkeley / Dorchester</t>
  </si>
  <si>
    <t>Richland / Lexington</t>
  </si>
  <si>
    <t>Hilton Head</t>
  </si>
  <si>
    <t>Beaufort</t>
  </si>
  <si>
    <t>Myrtle Beach</t>
  </si>
  <si>
    <t>Horry</t>
  </si>
  <si>
    <t>SD</t>
  </si>
  <si>
    <t>Fall River / Custer</t>
  </si>
  <si>
    <t>Rapid City</t>
  </si>
  <si>
    <t>Pennington</t>
  </si>
  <si>
    <t xml:space="preserve">Sturgis / Spearfish </t>
  </si>
  <si>
    <t>Meade / Butte / Lawrence</t>
  </si>
  <si>
    <t>TN</t>
  </si>
  <si>
    <t>Brentwood / Franklin</t>
  </si>
  <si>
    <t>Williamson</t>
  </si>
  <si>
    <t xml:space="preserve">Chattanooga </t>
  </si>
  <si>
    <t>Knoxville</t>
  </si>
  <si>
    <t>Memphis</t>
  </si>
  <si>
    <t>Shelby</t>
  </si>
  <si>
    <t>Nashville</t>
  </si>
  <si>
    <t>Davidson</t>
  </si>
  <si>
    <t>Oak Ridge</t>
  </si>
  <si>
    <t>Anderson</t>
  </si>
  <si>
    <t>TX</t>
  </si>
  <si>
    <t>Arlington / Fort Worth / Grapevine</t>
  </si>
  <si>
    <t>Tarrant County / City of Grapevine</t>
  </si>
  <si>
    <t>Austin</t>
  </si>
  <si>
    <t>Travis</t>
  </si>
  <si>
    <t>Big Spring</t>
  </si>
  <si>
    <t>College Station</t>
  </si>
  <si>
    <t>Brazos</t>
  </si>
  <si>
    <t>Corpus Christi</t>
  </si>
  <si>
    <t>Nueces</t>
  </si>
  <si>
    <t xml:space="preserve">Dallas </t>
  </si>
  <si>
    <t>Galveston</t>
  </si>
  <si>
    <t>Greenville</t>
  </si>
  <si>
    <t>Hunt County</t>
  </si>
  <si>
    <t>Houston (L.B. Johnson Space Center)</t>
  </si>
  <si>
    <t>Montgomery / Fort Bend / Harris</t>
  </si>
  <si>
    <t>Laredo</t>
  </si>
  <si>
    <t>Webb</t>
  </si>
  <si>
    <t>McAllen</t>
  </si>
  <si>
    <t>Hidalgo</t>
  </si>
  <si>
    <t>Pearsall</t>
  </si>
  <si>
    <t>Frio / Medina / La Salle</t>
  </si>
  <si>
    <t>Plano</t>
  </si>
  <si>
    <t>Collin</t>
  </si>
  <si>
    <t xml:space="preserve">Round Rock </t>
  </si>
  <si>
    <t>San Angelo</t>
  </si>
  <si>
    <t>Tom Green</t>
  </si>
  <si>
    <t>San Antonio</t>
  </si>
  <si>
    <t>Bexar</t>
  </si>
  <si>
    <t>South Padre Island</t>
  </si>
  <si>
    <t>Cameron</t>
  </si>
  <si>
    <t>Waco</t>
  </si>
  <si>
    <t>McLennan</t>
  </si>
  <si>
    <t>UT</t>
  </si>
  <si>
    <t>Moab</t>
  </si>
  <si>
    <t>Grand</t>
  </si>
  <si>
    <t>Park City</t>
  </si>
  <si>
    <t>Provo</t>
  </si>
  <si>
    <t>Utah</t>
  </si>
  <si>
    <t>Salt Lake City</t>
  </si>
  <si>
    <t>Salt Lake / Tooele</t>
  </si>
  <si>
    <t>VA</t>
  </si>
  <si>
    <t>Abingdon</t>
  </si>
  <si>
    <t>Blacksburg</t>
  </si>
  <si>
    <t>Charlottesville</t>
  </si>
  <si>
    <t>City of Charlottesville / Albemarle / Greene</t>
  </si>
  <si>
    <t>Fredericksburg</t>
  </si>
  <si>
    <t>City of Fredericksburg / Spotsylvania / Stafford / Caroline</t>
  </si>
  <si>
    <t>Loudoun</t>
  </si>
  <si>
    <t>Lynchburg</t>
  </si>
  <si>
    <t>Campbell / Lynchburg City</t>
  </si>
  <si>
    <t>Norfolk / Portsmouth</t>
  </si>
  <si>
    <t>Cities of Norfolk / Portsmouth</t>
  </si>
  <si>
    <t>Prince William / Manassas</t>
  </si>
  <si>
    <t>Prince William / City of Manassas</t>
  </si>
  <si>
    <t>City of Richmond</t>
  </si>
  <si>
    <t>Roanoke</t>
  </si>
  <si>
    <t>City limits of Roanoke</t>
  </si>
  <si>
    <t>Virginia Beach</t>
  </si>
  <si>
    <t>City of Virginia Beach</t>
  </si>
  <si>
    <t>Wallops Island</t>
  </si>
  <si>
    <t>Accomack</t>
  </si>
  <si>
    <t xml:space="preserve">Warrenton </t>
  </si>
  <si>
    <t>Fauquier</t>
  </si>
  <si>
    <t>Williamsburg / York</t>
  </si>
  <si>
    <t>James City / York Counties / City of Williamsburg</t>
  </si>
  <si>
    <t>VT</t>
  </si>
  <si>
    <t>Burlington / St. Albans / Middlebury</t>
  </si>
  <si>
    <t>Chittenden / Franklin / Addison</t>
  </si>
  <si>
    <t>Bennington</t>
  </si>
  <si>
    <t>Montpelier</t>
  </si>
  <si>
    <t xml:space="preserve">Stowe </t>
  </si>
  <si>
    <t>Lamoille</t>
  </si>
  <si>
    <t>White River Junction</t>
  </si>
  <si>
    <t>Windsor</t>
  </si>
  <si>
    <t>WA</t>
  </si>
  <si>
    <t>Anacortes / Coupeville / Oak Harbor</t>
  </si>
  <si>
    <t xml:space="preserve">Skagit / Island / San Juan </t>
  </si>
  <si>
    <t>Everett / Lynnwood</t>
  </si>
  <si>
    <t>Snohomish</t>
  </si>
  <si>
    <t>Ocean Shores</t>
  </si>
  <si>
    <t>Grays Harbor</t>
  </si>
  <si>
    <t>Olympia / Tumwater</t>
  </si>
  <si>
    <t>Thurston</t>
  </si>
  <si>
    <t>Port Angeles / Port Townsend</t>
  </si>
  <si>
    <t>Clallam / Jefferson</t>
  </si>
  <si>
    <t>Richland / Pasco</t>
  </si>
  <si>
    <t>Benton / Franklin</t>
  </si>
  <si>
    <t>Seattle</t>
  </si>
  <si>
    <t>King</t>
  </si>
  <si>
    <t>Spokane</t>
  </si>
  <si>
    <t>Tacoma</t>
  </si>
  <si>
    <t>Pierce</t>
  </si>
  <si>
    <t>Vancouver</t>
  </si>
  <si>
    <t>Clark / Cowlitz / Skamania</t>
  </si>
  <si>
    <t>WI</t>
  </si>
  <si>
    <t>Appleton</t>
  </si>
  <si>
    <t>Outagamie</t>
  </si>
  <si>
    <t>Brookfield / Racine</t>
  </si>
  <si>
    <t>Waukesha / Racine</t>
  </si>
  <si>
    <t>Madison</t>
  </si>
  <si>
    <t>Dane</t>
  </si>
  <si>
    <t>Milwaukee</t>
  </si>
  <si>
    <t>Sheboygan</t>
  </si>
  <si>
    <t xml:space="preserve">Sheboygan </t>
  </si>
  <si>
    <t>Sturgeon Bay</t>
  </si>
  <si>
    <t>Door</t>
  </si>
  <si>
    <t>Wisconsin Dells</t>
  </si>
  <si>
    <t>WV</t>
  </si>
  <si>
    <t>Kanawha</t>
  </si>
  <si>
    <t>Morgantown</t>
  </si>
  <si>
    <t>Monongalia</t>
  </si>
  <si>
    <t>Shepherdstown</t>
  </si>
  <si>
    <t>Wheeling</t>
  </si>
  <si>
    <t>Ohio</t>
  </si>
  <si>
    <t>WY</t>
  </si>
  <si>
    <t>Cody</t>
  </si>
  <si>
    <t>Park</t>
  </si>
  <si>
    <t>Evanston / Rock Springs</t>
  </si>
  <si>
    <t>Sweetwater / Uinta</t>
  </si>
  <si>
    <t>Gillette</t>
  </si>
  <si>
    <t>Campbell</t>
  </si>
  <si>
    <t>Jackson / Pinedale</t>
  </si>
  <si>
    <t>Teton / Sublette</t>
  </si>
  <si>
    <t>Agency Labor Rates</t>
  </si>
  <si>
    <t>Raw Rate</t>
  </si>
  <si>
    <t>Loaded rate</t>
  </si>
  <si>
    <t>Managerial</t>
  </si>
  <si>
    <t>(GS-13, Step 5, $40.10+ 60%)</t>
  </si>
  <si>
    <t>(GS-6, Step 3, $16.10 + 60%)</t>
  </si>
  <si>
    <t>(GS-12, Step 1, $29.76+ 60%)</t>
  </si>
  <si>
    <t xml:space="preserve">Source: Office of Personnel Management (OPM), 2016 General Schedule. </t>
  </si>
  <si>
    <t>https://www.opm.gov/policy-data-oversight/pay-leave/salaries-wages/salary-tables/pdf/2016/GS_h.pdf</t>
  </si>
  <si>
    <t>Per Diem Info</t>
  </si>
  <si>
    <t>Hotel</t>
  </si>
  <si>
    <t>Meals</t>
  </si>
  <si>
    <t>Airfare</t>
  </si>
  <si>
    <t>Trip Length</t>
  </si>
  <si>
    <t>Cost per occurrence</t>
  </si>
  <si>
    <t>Reference</t>
  </si>
  <si>
    <t>Annualized cost @ 7%</t>
  </si>
  <si>
    <t>CRF</t>
  </si>
  <si>
    <t>CRF:</t>
  </si>
  <si>
    <t>Annualized cost</t>
  </si>
  <si>
    <t>Annualized labor</t>
  </si>
  <si>
    <t>(Method 25A, EPA Monitoring Cost Tool)</t>
  </si>
  <si>
    <t>15 years @ 7%i</t>
  </si>
  <si>
    <t>NMOC Test - Tier 1</t>
  </si>
  <si>
    <t>labor</t>
  </si>
  <si>
    <t>n/a - annual item</t>
  </si>
  <si>
    <t>NMOC Test - Tier 2</t>
  </si>
  <si>
    <t>labor + (Method 25A, EPA Monitoring Cost Tool)</t>
  </si>
  <si>
    <t>5 years @ 7%i</t>
  </si>
  <si>
    <t>Hours per acre/occurance (25 foot pattern)</t>
  </si>
  <si>
    <t>http://www.arb.ca.gov/regact/2009/landfills09/appf.pdf</t>
  </si>
  <si>
    <t>Hours per acre/occurance (30 meter pattern)</t>
  </si>
  <si>
    <t xml:space="preserve">ratio of 25 feet to 30 meters </t>
  </si>
  <si>
    <t>Quarterly Surface Monitoring (labor only) $/hr</t>
  </si>
  <si>
    <t>http://www.arb.ca.gov/regact/2009/landfills09/appf.pdf plus updates to 2012 labor rates using USBLS</t>
  </si>
  <si>
    <t>Equipment Rental, $/day</t>
  </si>
  <si>
    <t>rental quote from Elkins Earthworks (4/12/16)</t>
  </si>
  <si>
    <t>Equipment Rental, $/week</t>
  </si>
  <si>
    <t>Equipment Rental, $/month</t>
  </si>
  <si>
    <t>Quarterly Improved Surface Maintenance ($/acre)</t>
  </si>
  <si>
    <t>http://www.arb.ca.gov/regact/2009/landfills09/appf.pdf (2008$, did not escalate as factor is presumably part labor and part materials, the portion of each type is unknown and labor costs are relatively flat during this period)</t>
  </si>
  <si>
    <t>Additional costs to transpose hand collected data from quarterly surface monitoring. (Hours per acre/occurance)</t>
  </si>
  <si>
    <t>Surface Monitoring - Calibration Gases (estimate quantity good for one year)</t>
  </si>
  <si>
    <t>105 L of CH4-500ppm/Air 105 L; Zero Air &lt;1 ppm THC 105 L;</t>
  </si>
  <si>
    <t>quote from Pine Environmental + 20% shipping/handling</t>
  </si>
  <si>
    <t>per quarter</t>
  </si>
  <si>
    <t>Hydrogen fuel for TVA (estimate quantity good for one year of monitoring)</t>
  </si>
  <si>
    <t>620 L</t>
  </si>
  <si>
    <t>Wellhead Monitoring - Calibration Gases (estimate quantity good for one year)</t>
  </si>
  <si>
    <t>105 L of oxygen - 4%/N2 and CH4-50%/35%CO2/N2</t>
  </si>
  <si>
    <t>per month</t>
  </si>
  <si>
    <t>Flowmeter</t>
  </si>
  <si>
    <t>Thermocouple</t>
  </si>
  <si>
    <t>Data Recorder</t>
  </si>
  <si>
    <t>Annual O&amp;M</t>
  </si>
  <si>
    <t>@3 DAYS</t>
  </si>
  <si>
    <t>@3 Weeks</t>
  </si>
  <si>
    <t xml:space="preserve">Total Non-labor costs for Surface methane monitoring quarterly </t>
  </si>
  <si>
    <t>Base Rate</t>
  </si>
  <si>
    <t>Overhead</t>
  </si>
  <si>
    <t>Loaded Rate</t>
  </si>
  <si>
    <t>Katie Updated</t>
  </si>
  <si>
    <t>(N) Capital/Start-up Costs per occurrence</t>
  </si>
  <si>
    <t>Assumes 84 controlled landfill during the first year of this ICR period. For surface monitoring: The average acreage of controlled sites is estimated to be 174 acres (44 labor hours @ 0.25 hours per acre) under the final 2.5/34 option. We assumed weekly equipment rental costs at $600/week, and one week per occurrence. In addition, the landfill will need to purchase calibration gases and hydrogen fuel to operate the surface monitoring equipment. 36% of which are public and 64% of which are private.  For wellhead monitoring: The estimated burden was based on industry consultation of $2000 per month during the most recent ICR renewal for subpart WWW (ICR# 1557.09), or approximately 40 hours of technician labor time. The burden provided did not breakdown labor vs. non-labor costs, therefore we have not incorporated equipment rental costs in this estimate. We did however include costs for calibration gases for the wellhead equipment. Cost of re-monitoring for exceedances of surface monitoring or wellhead monitoring are not included because the rule does not require remonitoring unless an exceedance is found. Landfills can minimize the number of exceedances found by ensuring the GCCS is well-operated and the surface is well sealed.</t>
  </si>
  <si>
    <t>Based on the annualized capital costs for conducting a method 25, method 25A or 25C over 5 years, since a Tier 2 test must be repeated every 5 years. Labor burden is assigned once every 5 years.</t>
  </si>
  <si>
    <t>Assumes 84 controlled landfill during the first year of this ICR period. 36% of which are public and 64% of which are private. The estimated burden was based on industry consultation of $5000 per year for compliance reporting (see comment on recent ICR renewal for subpart WWW, ICR# 1557.09). Since this estimate included an assumption of a semi-annual report to satisfy the requirements of the landfills NESHAP, we adjusted this estimate by half to account for the single report required by this NSPS, or $2500, which is approximately 27 technical hours per occurrence.</t>
  </si>
  <si>
    <t>Assumes 84 controlled landfill during the first year of this ICR period. 36% of which are public and 64% of which are private. The estimated burden was based on industry consultation of $1000 per month for recordkeeping and data storage per month and $500 for data compilation and review per month (see comment on recent ICR renewal for subpart WWW, ICR# 1557.09). This is approximately 5 technical hours per occurrence for data compilation and review and 11  hours for recordkeeping and data storage.</t>
  </si>
  <si>
    <t>Table 2.A.  Annual Respondent Burden and Cost of Recordkeeping and Reporting Requirements for the Standards of Performance</t>
  </si>
  <si>
    <t>for Publically-Owned Municipal Solid Waste Landfills - Subpart XXX - Year 2</t>
  </si>
  <si>
    <t>This is a one time requirement for new respondents. We have assumed that each new respondent will take 40 hours to read instructions as part of their reporting requirements. Based on the regulatory database, 70% of these respondents are private and 30% are public.</t>
  </si>
  <si>
    <t>Assumes 7 additional controlled landfills during the second year of this ICR period. 36% of which are public and 64% of which are private. This is a one-time requirement.</t>
  </si>
  <si>
    <t>A total of 91 controlled sites in year 2. For surface monitoring: The average acreage of controlled sites is estimated to be 174 acres (44 labor hours @ 0.25 hours per acre) under the final  2.5/34 option. We assumed weekly equipment rental costs at $350/week, and one week per occurrence. In addition, the landfill will need to purchase calibration gases and hydrogen fuel to operate the surface monitoring equipment. 36% of which are public and 64% of which are private.  For wellhead monitoring: The estimated burden was based on industry consultation of $2000 per month during the most recent ICR renewal for subpart WWW (ICR# 1557.09), or approximately 40 hours of technician labor time. The burden provided did not breakdown labor vs. non-labor costs, therefore we have not incorporated equipment rental costs in this estimate. We did however include costs for calibration gases for the wellhead equipment. Cost of re-monitoring for exceedances of surface monitoring or wellhead monitoring are not included because the rule does not require remonitoring unless an exceedance is found. Landfills can minimize the number of exceedances found by ensuring the GCCS is well-operated and the surface is well sealed.</t>
  </si>
  <si>
    <t>No additional landfills subject to this subpart are estimated to have a design capacity of less than 2.5 million megagrams by mass or 2.5 million cubic meters by volume.</t>
  </si>
  <si>
    <t>We have assumed that 50 percent of uncontrolled landfills with use Tier 1 calculations annually and 50 percent will use Tier 2 calculations once every 5 years for their NMOC reports.  Of the landfills estimated to remain uncontrolled in the regulatory database 58% are public and 42% are private.</t>
  </si>
  <si>
    <t>Assumes 91 controlled landfill during the second year of this ICR period. 36% of which are public and 64% of which are private. The estimated burden was based on industry consultation of $5000 per year for compliance reporting (see comment on recent ICR renewal for subpart WWW, ICR# 1557.09). Since this estimate included an assumption of a semi-annual report to satisfy the requirements of the landfills NESHAP, we adjusted this estimate by half to account for the single report required by this NSPS, or $2500, which is approximately 27 technical hours per occurance.</t>
  </si>
  <si>
    <t>Assumes 91 controlled landfill during the second year of this ICR period. 36% of which are public and 64% of which are private. The estimated burden was based on industry consultation of $1000 per month for recordkeeping and data storage per month and $500 for data compilation and review per month (see comment on recent ICR renewal for subpart WWW, ICR# 1557.09). This is approximately 5 technical hours per occurance for data compilation and review and 11 hours for recordkeeping and data storage.</t>
  </si>
  <si>
    <t>Number of occurrences is based on the total number of landfills that are subject to the standard but not controlling. Based on the regulatory database, 36% of these respondents are private and 64% are public. These records are much more simplistic for these sources than landfills controlling emissions.</t>
  </si>
  <si>
    <t>Table 3.A.  Annual Respondent Burden and Cost of Recordkeeping and Reporting Requirements for the Standards of Performance</t>
  </si>
  <si>
    <t>for Publically-Owned Municipal Solid Waste Landfills - Subpart XXX - Year 3</t>
  </si>
  <si>
    <t xml:space="preserve">This is a one time requirement for new respondents. We have assumed that each new respondent will take 40 hours to read instructions as part of their reporting requirements. </t>
  </si>
  <si>
    <t>Assumes 13 additional controlled landfill during the third year of this ICR period. 38% of which are public and 62% of which are private. This is a one-time requirement.</t>
  </si>
  <si>
    <t>A total of 104 controlled sites in year 3. For surface monitoring: The average acreage of controlled sites is estimated to be 174 acres (44 labor hours @ 0.25 hours per acre) under the final  2.5/34 option. We assumed weekly equipment rental costs at $350/week, and one week per occurrence. In addition, the landfill will need to purchase calibration gases and hydrogen fuel to operate the surface monitoring equipment. 38% of which are public and 62% of which are private.  For wellhead monitoring: The estimated burden was based on industry consultation of $2000 per month during the most recent ICR renewal for subpart WWW (ICR# 1557.09), or approximately 40 hours of technician labor time. The burden provided did not breakdown labor vs. non-labor costs, therefore we have not incorporated equipment rental costs in this estimate. We did however include costs for calibration gases for the wellhead equipment. Cost of re-monitoring for exceedances of surface monitoring or wellhead monitoring are not included because the rule does not require remonitoring unless an exceedance is found. Landfills can minimize the number of exceedances found by ensuring the GCCS is well-operated and the surface is well sealed.</t>
  </si>
  <si>
    <t>We have assumed that 50 percent of uncontrolled landfills with use Tier 1 calculations annually and 50 percent will use Tier 2 calculations once every 5 years for their NMOC reports.  Of the landfills estimated to remain uncontrolled in the regulatory database 61% are public and 39% are private.</t>
  </si>
  <si>
    <t>Assumes 104 controlled landfill during the third year of this ICR period. 38% of which are public and 62% of which are private. The estimated burden was based on industry consultation of $5000 per year for compliance reporting (see comment on recent ICR renewal for subpart WWW, ICR# 1557.09). Since this estimate included an assumption of a semi-annual report to satisfy the requirements of the landfills NESHAP, we adjusted this estimate by half to account for the single report required by this NSPS, or $2500, which is approximately 27 technical hours per occurance.</t>
  </si>
  <si>
    <t>Assumes 104 controlled landfill during the third year of this ICR period. 38% of which are public and 62% of which are private. The estimated burden was based on industry consultation of $1000 per month for recordkeeping and data storage per month and $500 for data compilation and review per month (see comment on recent ICR renewal for subpart WWW, ICR# 1557.09). This is approximately 5 technical hours per occurance for data compilation and review and 11 hours for recordkeeping and data storage.</t>
  </si>
  <si>
    <t>Table 1.B.  Annual Respondent Burden and Cost of Recordkeeping and Reporting Requirements for the Standards of Performance</t>
  </si>
  <si>
    <t>for Privately-Owned Municipal Solid Waste Landfills - Subpart XXX - Year 1</t>
  </si>
  <si>
    <t>Assumes 84 controlled landfill during the first year of this ICR period. For surface monitoring: The average acreage of controlled sites is estimated to be 174 acres (44 labor hours @ 0.25 hours per acre) under the final  2.5/34 option. We assumed weekly equipment rental costs at $600/week, and one week per occurrence. In addition, the landfill will need to purchase calibration gases and hydrogen fuel to operate the surface monitoring equipment. 36% of which are public and 64% of which are private.  For wellhead monitoring: The estimated burden was based on industry consultation of $2000 per month during the most recent ICR renewal for subpart WWW (ICR# 1557.09), or approximately 40 hours of technician labor time. The burden provided did not breakdown labor vs. non-labor costs, therefore we have not incorporated equipment rental costs in this estimate. We did however include costs for calibration gases for the wellhead equipment. Cost of re-monitoring for exceedances of surface monitoring or wellhead monitoring are not included because the rule does not require remonitoring unless an exceedance is found. Landfills can minimize the number of exceedances found by ensuring the GCCS is well-operated and the surface is well sealed.</t>
  </si>
  <si>
    <t>Table 2.B.  Annual Respondent Burden and Cost of Recordkeeping and Reporting Requirements for the Standards of Performance</t>
  </si>
  <si>
    <t>for Privately-Owned Municipal Solid Waste Landfills - Subpart XXX - Year 2</t>
  </si>
  <si>
    <t>Table 3.B.  Annual Respondent Burden and Cost of Recordkeeping and Reporting Requirements for the Standards of Performance</t>
  </si>
  <si>
    <t>for Privately-Owned Municipal Solid Waste Landfills - Subpart XXX - Year 3</t>
  </si>
  <si>
    <t>Table 1.C.  Annual Federal Government Burden and Cost of Recordkeeping and Reporting</t>
  </si>
  <si>
    <t>for Municipal Solid Waste Landfills - Subpart XXX - Year 1</t>
  </si>
  <si>
    <t>EPA hours per occurrence (A)</t>
  </si>
  <si>
    <t>Number of occurrences per year (B)</t>
  </si>
  <si>
    <t>EPA hours per occurrence per year (C=AxB)</t>
  </si>
  <si>
    <t>Technical hours per year (D=C)</t>
  </si>
  <si>
    <t>Management hours per year (E=Dx0.05)</t>
  </si>
  <si>
    <t>Clerical hours per year (F=Dx0.1)</t>
  </si>
  <si>
    <r>
      <t xml:space="preserve">(H) Costs, $ </t>
    </r>
    <r>
      <rPr>
        <vertAlign val="superscript"/>
        <sz val="10"/>
        <rFont val="Arial"/>
        <family val="2"/>
      </rPr>
      <t>k</t>
    </r>
  </si>
  <si>
    <t>Read and understand rule requirements</t>
  </si>
  <si>
    <t>c, d</t>
  </si>
  <si>
    <t>5</t>
  </si>
  <si>
    <t>Notification requirements</t>
  </si>
  <si>
    <t>6.</t>
  </si>
  <si>
    <t>Review Initial Performance Test</t>
  </si>
  <si>
    <t>TOTAL BURDEN AND COST (SALARY)</t>
  </si>
  <si>
    <t>TOTAL ANNUAL HOURS</t>
  </si>
  <si>
    <t>a Number of occurrences is the number of EPA Regions (10 regions). This is a one-time occurence that is only incurred during the first year of compliance.</t>
  </si>
  <si>
    <t>b Number of occurrences is based on the total number of landfills that are subject to the standard as well as the number of sources that fall below the thresholds of the standard.</t>
  </si>
  <si>
    <t xml:space="preserve">c Number of occurrences is based on the assumption that EPA personnel will observe 20% of the landfills where initial performance tests and surface methane monitoring that occur. Cost to conduct surface methane monitoring includes time for monitor rental for agency as well as agency labor, which is $1,014 per occurrence based on the size of the landfills expected to install controls beginning in year 2020. </t>
  </si>
  <si>
    <t>d Number of occurrences is based on the estimated number of controlled landfills expected to come online or modify by 2017.  This is a one-time occurence that is only incurred during the first year of compliance.</t>
  </si>
  <si>
    <t>e Number of occurrences is based on the estimated number of controlled landfills expected to come online or modify by 2017.</t>
  </si>
  <si>
    <t>f Number of occurrences is based on the assumption that of the landfills that test, 10% of them will have exceedances and need enforcement.</t>
  </si>
  <si>
    <t xml:space="preserve">g Assumes no landfills during this ICR period will have modifications. </t>
  </si>
  <si>
    <t>h Based on the regulatory database, there are 9 greenfields and modified landfills with design capacity less than 2.5 million megagrams by mass or 2.5 million cubic meters by volume and thus will complete the initial design capacity report in the first year of this ICR. This is a one-time requirement. Assumes no landfills will submit an amended design capacity report.</t>
  </si>
  <si>
    <t xml:space="preserve">i Number of occurrences is the number of uncontrolled landfills that use Tier 1 or Tier 2 calculations for their NMOC reports. </t>
  </si>
  <si>
    <t>j We have assumed that no controlled landfill will close or remove equipment during this ICR period.</t>
  </si>
  <si>
    <t>k Assumes 10 percent of respondents submitting a design plan will submit a revised design plan to account for changes to the landfill or the GCCS as allowed for in 60.767(h).</t>
  </si>
  <si>
    <t>l Assumes the following labor rates: $64.16  per hour for Management labor; $47.62 per hour for Technical labor, and $25.76 per hour for Clerical labor. These rates are from the Office of Personnel Management (OPM), 2016 General Schedule, which excludes locality rates of pay.  The rates have been increased by 60 percent to account for the benefit packages available to government employees. These rates can be obtained from the OPM web site, https://www.opm.gov/policy-data-oversight/pay-leave/salaries-wages/2016/general-schedule/</t>
  </si>
  <si>
    <t>m Total cost is based on the number of trips taken by EPA to observe performance tests in year 1 (3.A. &amp; 3.B.) multiplied by $1128 per trip.  The source for hotel and meals/incidental costs is based on FY' 15 per diem rates, averaged across all locations in the United States.  Airfares are estimated based on experience from other rulemakings. See: http://www.gsa.gov/portal/category/100120</t>
  </si>
  <si>
    <t>n Number of occurrences is based on the assumption that one public and one private landfill subject to controls will have at least one wellhead exceedance that takes longer than 60 days to correct.</t>
  </si>
  <si>
    <t>o While this data is being collected to inform future standards, it is assumed the agency will briefly review each report submitted by the landfills during the reporting year. Since the initial year reports include historical data, when available, the review of the report in the intial year will take additional time than subsequent year reports.</t>
  </si>
  <si>
    <t>Table 2.C.  Annual Federal Government Burden and Cost of Recordkeeping and Reporting</t>
  </si>
  <si>
    <t>for Municipal Solid Waste Landfills - Subpart XXX - Year 2</t>
  </si>
  <si>
    <r>
      <t>c Number of occurrences is based on the assumption that EPA personnel will observe 20% of the landfills where initial performance tests and surface methane monitoring that occur. Cost to conduct surface methane monitoring includes time for monitor rental for agency as well as agency labor, which is $</t>
    </r>
    <r>
      <rPr>
        <b/>
        <sz val="8"/>
        <rFont val="Arial"/>
        <family val="2"/>
      </rPr>
      <t xml:space="preserve">1,014 </t>
    </r>
    <r>
      <rPr>
        <sz val="8"/>
        <rFont val="Arial"/>
        <family val="2"/>
      </rPr>
      <t xml:space="preserve">per occurrence based on the size of the landfills expected to install controls beginning in year 2020. </t>
    </r>
  </si>
  <si>
    <t>d Number of occurrences is based on the estimated number of controlled landfills expected to come online or modify by 2018.  This is a one-time occurence that is only incurred during the first year of compliance.</t>
  </si>
  <si>
    <t>e Number of occurrences is based on the estimated number of controlled landfills expected to come online or modify by 2018.</t>
  </si>
  <si>
    <t>h No additional landfills subject to this subpart are estimated to have a design capacity of less than 2.5 million megagrams by mass or 2.5 million cubic meters by volume. Assumes no landfills will submit an amended design capacity report.</t>
  </si>
  <si>
    <t>Table 3.C.  Annual Federal Government Burden and Cost of Recordkeeping and Reporting</t>
  </si>
  <si>
    <t>for Municipal Solid Waste Landfills - Subpart XXX - Year 3</t>
  </si>
  <si>
    <t>a Number of occurrences is the number of EPA Regions (10 regions). This is a one-time occurrence that is only incurred during the first year of compliance.</t>
  </si>
  <si>
    <t>d Number of occurrences is based on the estimated number of controlled landfills expected to come online or modify by 2019.  This is a one-time occurrence that is only incurred during the first year of compliance.</t>
  </si>
  <si>
    <t>e Number of occurrences is based on the estimated number of controlled landfills expected to come online or modify by 2019.</t>
  </si>
  <si>
    <t>h No additional landfills subject to this subpart are estimated to have a design capacity of less than 2.5 million megagrams by mass or 2.5 million cubic meters by volume.</t>
  </si>
  <si>
    <t>o While this data is being collected to inform future standards, it is assumed the agency will briefly review each report submitted by the landfills during the reporting year. Since the initial year reports include historical data, when available, the review of the report in the initial year will take additional time than subsequent year reports.</t>
  </si>
  <si>
    <t>ICR Summary Information</t>
  </si>
  <si>
    <t>Total Estimated Burden Hours</t>
  </si>
  <si>
    <t>Total Estimated Costs</t>
  </si>
  <si>
    <t>Annualized Capital O&amp;M</t>
  </si>
  <si>
    <t>Form Number</t>
  </si>
  <si>
    <t>Not Applicable</t>
  </si>
  <si>
    <t>Hours per Response</t>
  </si>
  <si>
    <t>https://www.bls.gov/oes/current/oes_nat.htm</t>
  </si>
  <si>
    <t>This ICR uses mean hourly wage for the following labor categories from the United States Department of Labor, Bureau of Labor Statistics, May 2023, “National Occupational Employment and Wage Estimates United States” for employees at privately-owned landfills:  Managers, All Other for Managerial Labor, Civil Engineers, Civil Engineer Technicians, and Office Clerks, General for Clerical Labor.  The rates have been increased by 110 percent to account for varying industry wage rates and the additional overhead business costs of employing workers beyond their wages and benefits, including business expenses associated with hiring, training, and equipping their employees.</t>
  </si>
  <si>
    <t>Year 2025</t>
  </si>
  <si>
    <t>Year 2026</t>
  </si>
  <si>
    <t>Year 2027</t>
  </si>
  <si>
    <r>
      <rPr>
        <vertAlign val="superscript"/>
        <sz val="10"/>
        <rFont val="Times New Roman"/>
        <family val="1"/>
      </rPr>
      <t>b</t>
    </r>
    <r>
      <rPr>
        <sz val="10"/>
        <rFont val="Times New Roman"/>
        <family val="1"/>
      </rPr>
      <t xml:space="preserve"> The 'Number of Existing Respondents' in year 3 (217) of the previous ICR (2498.04) has been incremented by 27 modified and new sources (217 + 27 = 244) to reflect the number of existing respondents in Year 1 of this ICR.</t>
    </r>
  </si>
  <si>
    <t>We assume that an average of 271 respondents will be subject to this rule, and that 2 new sources and 25 modified sources will become subject to the rule each year over the three-year period of the ICR.</t>
  </si>
  <si>
    <t xml:space="preserve">We have assumed that each existing respondent will take 4 hours to read instructions as part of their reporting requirements. We estimate that, over the three-year period of this ICR, an average of 2 new respondents per year (1 privately-owned and 1 publicly-owned) will need to familiarize with the requirements of the rule. We have assumed that each new respondent will take 40 hours to read instructions as part of their reporting requirements. </t>
  </si>
  <si>
    <t>For surface monitoring, the average acreage of controlled sites is estimated to be 174 acres and we estimate monitoring labor at 0.25 hours per acre for a total of 44 labor hours (174 acres x 0.25 hr/acre = 43.5 hours, rounded to 44) per monitoring event.  For wellhead monitoring, the estimated burden was based on industry consultation of $2000 per month during the most recent ICR renewal for subpart WWW (ICR# 1557.09), or approximately 40 hours of technician labor time. Cost of re-monitoring for exceedances of surface monitoring or wellhead monitoring are not included because the rule does not require re-monitoring unless an exceedance is found. Landfills can minimize the number of exceedances found by ensuring the GCCS is well-operated and the surface is well sealed.</t>
  </si>
  <si>
    <t>All controlled landfills are required to submit an annual report. The estimated burden was based on industry consultation of $5000 per year for compliance reporting (see comment on recent ICR renewal for subpart WWW, ICR# 1557.09). Since this estimate included an assumption of a semi-annual report to satisfy the requirements of the landfills NESHAP, we adjusted this estimate by half to account for the single report required by this NSPS, or $2500, which is approximately 27 technical hours per occurrence.</t>
  </si>
  <si>
    <t>Landfills with a design capacity equal to or greater than 2.5 million megagrams and 2.5 million cubic meters that have employed leachate recirculation or added liquids based on a Research, Development, and Demonstration permit must file this report.</t>
  </si>
  <si>
    <t>The estimated burden was based on industry consultation of $1000 per month for recordkeeping and data storage per month and $500 for data compilation and review per month (see comment on recent ICR renewal for subpart WWW, ICR# 1557.09). This is approximately 5 technical hours per occurrence for data compilation and review and 11  hours for recordkeeping and data storage.</t>
  </si>
  <si>
    <t>This cost is based on the average hourly labor rate as follows: Managerial $76.91 (GS-13, Step 5, $48.07 + 60%); Technical $57.07 (GS-12, Step 1, $35.67 + 60%); and Clerical $30.88 (GS-6, Step 3, $19.30+ 60%). This ICR assumes that Managerial hours are 5 percent of Technical hours, and Clerical hours are 10 percent of Technical hours. These rates are from the Office of Personnel Management (OPM), 2024 General Schedule, which excludes locality, rates of pay. The rates have been increased by 60 percent to account for the benefit packages available to government employees.</t>
  </si>
  <si>
    <t xml:space="preserve">The number of observations of initial performance tests and surface methane monitoring per year is based on the assumption that EPA personnel will observe 20% of the landfills where initial performance tests (8 per year)and surface methane monitoring (271 per year) occur. </t>
  </si>
  <si>
    <t xml:space="preserve">All controlled landfills are required to submit an annual report. We estimate that, over the three-year period of this ICR, an average of 271 respondents per year operating controlled landfills will need to submit this report. </t>
  </si>
  <si>
    <t>3 days * ($164 hotel + $81 meals/incidentals) + ($600 round trip) = $1335 per trip</t>
  </si>
  <si>
    <t>Total cost is based on the number of trips taken by EPA to observe performance tests in year 1 (3.A. &amp; 3.B.) multiplied by $1335 per trip.  The source for hotel and meals/incidental costs is based on FY'25 per diem rates, averaged across all locations in the United States.  Airfares are estimated based on experience from other rulemakings. See: https://www.gsa.gov/travel/plan-a-trip/per-diem-rates/per-diem-files#Per-diem-rates</t>
  </si>
  <si>
    <t>This ICR uses mean hourly wage for the following labor categories from the United States Department of Labor, Bureau of Labor Statistics, May 2023, “National Occupational Employment and Wage Estimates United States” for employees at privately-owned landfills:  Managers, All Other for Managerial Labor, Civil Engineers, Civil Engineer Technicians, and Office Clerks, General for Clerical Labor.  The rates have been increased by 110 percent to account for varying industry wage rates and the additional overhead business costs of employing workers beyond their wages and benefits, including business expenses associated with hiring, training, and equipping their employees. We assume that publicly-owned landfills will be operated and managed by private contractors.</t>
  </si>
  <si>
    <t>Totals (Rounded)</t>
  </si>
  <si>
    <t>Grand Total (Rounded)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</si>
</sst>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0.00000"/>
    <numFmt numFmtId="165" formatCode="&quot;$&quot;#,##0"/>
    <numFmt numFmtId="166" formatCode="&quot;$&quot;#,##0.00"/>
    <numFmt numFmtId="167" formatCode="General_)"/>
    <numFmt numFmtId="168" formatCode="_(* #,##0_);_(* \(#,##0\);_(* &quot;-&quot;??_);_(@_)"/>
    <numFmt numFmtId="169" formatCode="_(&quot;$&quot;* #,##0_);_(&quot;$&quot;* \(#,##0\);_(&quot;$&quot;* &quot;-&quot;??_);_(@_)"/>
    <numFmt numFmtId="170" formatCode="mmmm\ d"/>
    <numFmt numFmtId="171" formatCode="&quot;$&quot;\ #,##0"/>
    <numFmt numFmtId="172" formatCode="_(* #,##0.0_);_(* \(#,##0.0\);_(* &quot;-&quot;??_);_(@_)"/>
    <numFmt numFmtId="173" formatCode="#,##0.0"/>
    <numFmt numFmtId="174" formatCode="0.0"/>
  </numFmts>
  <fonts count="66" x14ac:knownFonts="1">
    <font>
      <sz val="11"/>
      <color theme="1"/>
      <name val="Calibri"/>
      <family val="2"/>
      <scheme val="minor"/>
    </font>
    <font>
      <sz val="11"/>
      <color rgb="FF006100"/>
      <name val="Calibri"/>
      <family val="2"/>
      <scheme val="minor"/>
    </font>
    <font>
      <sz val="11"/>
      <color rgb="FF9C6500"/>
      <name val="Calibri"/>
      <family val="2"/>
      <scheme val="minor"/>
    </font>
    <font>
      <sz val="9"/>
      <color theme="1"/>
      <name val="Courier New"/>
      <family val="3"/>
    </font>
    <font>
      <sz val="8"/>
      <name val="Arial"/>
      <family val="2"/>
    </font>
    <font>
      <sz val="10"/>
      <name val="Arial"/>
      <family val="2"/>
    </font>
    <font>
      <sz val="10"/>
      <name val="MS Sans Serif"/>
      <family val="2"/>
    </font>
    <font>
      <sz val="11"/>
      <color theme="1"/>
      <name val="Arial"/>
      <family val="2"/>
    </font>
    <font>
      <sz val="10"/>
      <color indexed="8"/>
      <name val="Arial"/>
      <family val="2"/>
    </font>
    <font>
      <sz val="11"/>
      <color indexed="8"/>
      <name val="Calibri"/>
      <family val="2"/>
    </font>
    <font>
      <b/>
      <i/>
      <sz val="11"/>
      <color theme="1"/>
      <name val="Times New Roman"/>
      <family val="1"/>
    </font>
    <font>
      <sz val="11"/>
      <color theme="1"/>
      <name val="Times New Roman"/>
      <family val="1"/>
    </font>
    <font>
      <b/>
      <sz val="11"/>
      <color rgb="FF4F81BD"/>
      <name val="Times New Roman"/>
      <family val="1"/>
    </font>
    <font>
      <b/>
      <sz val="11"/>
      <color theme="1"/>
      <name val="Times New Roman"/>
      <family val="1"/>
    </font>
    <font>
      <u/>
      <sz val="11"/>
      <color theme="10"/>
      <name val="Calibri"/>
      <family val="2"/>
    </font>
    <font>
      <b/>
      <sz val="9"/>
      <color indexed="81"/>
      <name val="Tahoma"/>
      <family val="2"/>
    </font>
    <font>
      <sz val="9"/>
      <color indexed="81"/>
      <name val="Tahoma"/>
      <family val="2"/>
    </font>
    <font>
      <b/>
      <sz val="10"/>
      <name val="Arial"/>
      <family val="2"/>
    </font>
    <font>
      <b/>
      <sz val="10"/>
      <color indexed="8"/>
      <name val="Arial"/>
      <family val="2"/>
    </font>
    <font>
      <sz val="11"/>
      <color theme="1"/>
      <name val="Tahoma"/>
      <family val="2"/>
    </font>
    <font>
      <sz val="11"/>
      <color theme="1"/>
      <name val="Calibri"/>
      <family val="2"/>
      <scheme val="minor"/>
    </font>
    <font>
      <sz val="6.5"/>
      <name val="Arial"/>
      <family val="2"/>
    </font>
    <font>
      <b/>
      <sz val="8"/>
      <name val="Arial"/>
      <family val="2"/>
    </font>
    <font>
      <b/>
      <sz val="7"/>
      <name val="Arial"/>
      <family val="2"/>
    </font>
    <font>
      <sz val="7"/>
      <name val="Arial"/>
      <family val="2"/>
    </font>
    <font>
      <i/>
      <sz val="7"/>
      <name val="Arial"/>
      <family val="2"/>
    </font>
    <font>
      <sz val="8"/>
      <name val="Helv"/>
    </font>
    <font>
      <sz val="11"/>
      <color rgb="FF000000"/>
      <name val="Calibri"/>
      <family val="2"/>
      <scheme val="minor"/>
    </font>
    <font>
      <b/>
      <sz val="6.5"/>
      <name val="Arial"/>
      <family val="2"/>
    </font>
    <font>
      <vertAlign val="superscript"/>
      <sz val="7"/>
      <name val="Arial"/>
      <family val="2"/>
    </font>
    <font>
      <i/>
      <sz val="8"/>
      <name val="Arial"/>
      <family val="2"/>
    </font>
    <font>
      <sz val="10"/>
      <name val="Arial"/>
      <family val="2"/>
    </font>
    <font>
      <vertAlign val="superscript"/>
      <sz val="10"/>
      <name val="Arial"/>
      <family val="2"/>
    </font>
    <font>
      <sz val="12"/>
      <color theme="1"/>
      <name val="Times New Roman"/>
      <family val="1"/>
    </font>
    <font>
      <sz val="12"/>
      <color rgb="FF000000"/>
      <name val="Times New Roman"/>
      <family val="1"/>
    </font>
    <font>
      <b/>
      <sz val="12"/>
      <name val="Arial"/>
      <family val="2"/>
    </font>
    <font>
      <sz val="11"/>
      <color rgb="FF9C0006"/>
      <name val="Calibri"/>
      <family val="2"/>
      <scheme val="minor"/>
    </font>
    <font>
      <b/>
      <sz val="11"/>
      <color rgb="FFFA7D00"/>
      <name val="Calibri"/>
      <family val="2"/>
      <scheme val="minor"/>
    </font>
    <font>
      <b/>
      <sz val="11"/>
      <color theme="1"/>
      <name val="Calibri"/>
      <family val="2"/>
      <scheme val="minor"/>
    </font>
    <font>
      <u/>
      <sz val="11"/>
      <color theme="1"/>
      <name val="Calibri"/>
      <family val="2"/>
      <scheme val="minor"/>
    </font>
    <font>
      <b/>
      <sz val="11"/>
      <color rgb="FF000000"/>
      <name val="Times New Roman"/>
      <family val="1"/>
    </font>
    <font>
      <sz val="11"/>
      <color rgb="FF000000"/>
      <name val="Times New Roman"/>
      <family val="1"/>
    </font>
    <font>
      <sz val="10"/>
      <name val="Microsoft Sans Serif"/>
      <family val="2"/>
    </font>
    <font>
      <sz val="8"/>
      <name val="Microsoft Sans Serif"/>
      <family val="2"/>
    </font>
    <font>
      <sz val="11"/>
      <color rgb="FF00B050"/>
      <name val="Calibri"/>
      <family val="2"/>
      <scheme val="minor"/>
    </font>
    <font>
      <b/>
      <sz val="8"/>
      <color rgb="FFFF0000"/>
      <name val="Arial"/>
      <family val="2"/>
    </font>
    <font>
      <b/>
      <sz val="10"/>
      <color rgb="FFFF0000"/>
      <name val="Arial"/>
      <family val="2"/>
    </font>
    <font>
      <sz val="10"/>
      <color rgb="FFFF0000"/>
      <name val="Arial"/>
      <family val="2"/>
    </font>
    <font>
      <sz val="6.5"/>
      <color theme="1"/>
      <name val="Arial"/>
      <family val="2"/>
    </font>
    <font>
      <sz val="11"/>
      <color rgb="FFFF0000"/>
      <name val="Calibri"/>
      <family val="2"/>
      <scheme val="minor"/>
    </font>
    <font>
      <sz val="9"/>
      <color rgb="FFFF0000"/>
      <name val="Courier New"/>
      <family val="3"/>
    </font>
    <font>
      <sz val="9"/>
      <color rgb="FF00B050"/>
      <name val="Courier New"/>
      <family val="3"/>
    </font>
    <font>
      <sz val="10"/>
      <color theme="1"/>
      <name val="Times New Roman"/>
      <family val="1"/>
    </font>
    <font>
      <b/>
      <sz val="6.5"/>
      <color rgb="FFFF0000"/>
      <name val="Arial"/>
      <family val="2"/>
    </font>
    <font>
      <sz val="11"/>
      <color rgb="FF7030A0"/>
      <name val="Calibri"/>
      <family val="2"/>
      <scheme val="minor"/>
    </font>
    <font>
      <b/>
      <sz val="11"/>
      <color rgb="FF7030A0"/>
      <name val="Calibri"/>
      <family val="2"/>
      <scheme val="minor"/>
    </font>
    <font>
      <sz val="6.5"/>
      <color rgb="FFFF0000"/>
      <name val="Arial"/>
      <family val="2"/>
    </font>
    <font>
      <b/>
      <sz val="11"/>
      <color rgb="FFFF0000"/>
      <name val="Calibri"/>
      <family val="2"/>
      <scheme val="minor"/>
    </font>
    <font>
      <sz val="10"/>
      <name val="Times New Roman"/>
      <family val="1"/>
    </font>
    <font>
      <b/>
      <sz val="10"/>
      <name val="Times New Roman"/>
      <family val="1"/>
    </font>
    <font>
      <vertAlign val="superscript"/>
      <sz val="10"/>
      <name val="Times New Roman"/>
      <family val="1"/>
    </font>
    <font>
      <b/>
      <vertAlign val="superscript"/>
      <sz val="10"/>
      <name val="Times New Roman"/>
      <family val="1"/>
    </font>
    <font>
      <b/>
      <i/>
      <sz val="10"/>
      <name val="Times New Roman"/>
      <family val="1"/>
    </font>
    <font>
      <i/>
      <sz val="10"/>
      <name val="Times New Roman"/>
      <family val="1"/>
    </font>
    <font>
      <b/>
      <sz val="12"/>
      <name val="Times New Roman"/>
      <family val="1"/>
    </font>
    <font>
      <sz val="11"/>
      <name val="Calibri"/>
      <family val="2"/>
      <scheme val="minor"/>
    </font>
  </fonts>
  <fills count="24">
    <fill>
      <patternFill patternType="none"/>
    </fill>
    <fill>
      <patternFill patternType="gray125"/>
    </fill>
    <fill>
      <patternFill patternType="solid">
        <fgColor rgb="FFC6EFCE"/>
      </patternFill>
    </fill>
    <fill>
      <patternFill patternType="solid">
        <fgColor rgb="FFFFEB9C"/>
      </patternFill>
    </fill>
    <fill>
      <patternFill patternType="solid">
        <fgColor rgb="FFFFFF00"/>
        <bgColor indexed="64"/>
      </patternFill>
    </fill>
    <fill>
      <patternFill patternType="solid">
        <fgColor indexed="22"/>
        <bgColor indexed="0"/>
      </patternFill>
    </fill>
    <fill>
      <patternFill patternType="solid">
        <fgColor theme="5" tint="0.59999389629810485"/>
        <bgColor indexed="0"/>
      </patternFill>
    </fill>
    <fill>
      <patternFill patternType="solid">
        <fgColor rgb="FFB8CCE4"/>
        <bgColor indexed="64"/>
      </patternFill>
    </fill>
    <fill>
      <patternFill patternType="solid">
        <fgColor theme="0" tint="-0.14999847407452621"/>
        <bgColor indexed="64"/>
      </patternFill>
    </fill>
    <fill>
      <patternFill patternType="solid">
        <fgColor rgb="FF00B0F0"/>
        <bgColor indexed="64"/>
      </patternFill>
    </fill>
    <fill>
      <patternFill patternType="solid">
        <fgColor rgb="FF92D050"/>
        <bgColor indexed="64"/>
      </patternFill>
    </fill>
    <fill>
      <patternFill patternType="solid">
        <fgColor indexed="22"/>
        <bgColor indexed="64"/>
      </patternFill>
    </fill>
    <fill>
      <patternFill patternType="solid">
        <fgColor indexed="8"/>
        <bgColor indexed="64"/>
      </patternFill>
    </fill>
    <fill>
      <patternFill patternType="solid">
        <fgColor rgb="FFFFC000"/>
        <bgColor indexed="64"/>
      </patternFill>
    </fill>
    <fill>
      <patternFill patternType="solid">
        <fgColor rgb="FFFFC7CE"/>
      </patternFill>
    </fill>
    <fill>
      <patternFill patternType="solid">
        <fgColor rgb="FFF2F2F2"/>
      </patternFill>
    </fill>
    <fill>
      <patternFill patternType="solid">
        <fgColor theme="7" tint="0.59999389629810485"/>
        <bgColor indexed="65"/>
      </patternFill>
    </fill>
    <fill>
      <patternFill patternType="solid">
        <fgColor theme="5" tint="0.59999389629810485"/>
        <bgColor indexed="64"/>
      </patternFill>
    </fill>
    <fill>
      <patternFill patternType="solid">
        <fgColor theme="4"/>
        <bgColor indexed="64"/>
      </patternFill>
    </fill>
    <fill>
      <patternFill patternType="solid">
        <fgColor theme="0"/>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9" tint="0.59999389629810485"/>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right style="hair">
        <color indexed="64"/>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10"/>
      </left>
      <right/>
      <top style="thin">
        <color indexed="10"/>
      </top>
      <bottom style="thin">
        <color indexed="10"/>
      </bottom>
      <diagonal/>
    </border>
    <border>
      <left style="thin">
        <color rgb="FF7F7F7F"/>
      </left>
      <right style="thin">
        <color rgb="FF7F7F7F"/>
      </right>
      <top style="thin">
        <color rgb="FF7F7F7F"/>
      </top>
      <bottom style="thin">
        <color rgb="FF7F7F7F"/>
      </bottom>
      <diagonal/>
    </border>
    <border>
      <left style="thin">
        <color rgb="FF7F7F7F"/>
      </left>
      <right/>
      <top style="thin">
        <color rgb="FF7F7F7F"/>
      </top>
      <bottom style="thin">
        <color indexed="8"/>
      </bottom>
      <diagonal/>
    </border>
    <border>
      <left/>
      <right/>
      <top style="thin">
        <color rgb="FF7F7F7F"/>
      </top>
      <bottom style="thin">
        <color indexed="8"/>
      </bottom>
      <diagonal/>
    </border>
    <border>
      <left/>
      <right style="thin">
        <color indexed="64"/>
      </right>
      <top style="thin">
        <color rgb="FF7F7F7F"/>
      </top>
      <bottom style="thin">
        <color indexed="8"/>
      </bottom>
      <diagonal/>
    </border>
    <border>
      <left style="thin">
        <color indexed="8"/>
      </left>
      <right style="thin">
        <color indexed="8"/>
      </right>
      <top/>
      <bottom/>
      <diagonal/>
    </border>
    <border>
      <left style="thin">
        <color indexed="8"/>
      </left>
      <right/>
      <top/>
      <bottom/>
      <diagonal/>
    </border>
    <border>
      <left/>
      <right style="thin">
        <color indexed="8"/>
      </right>
      <top style="thin">
        <color indexed="8"/>
      </top>
      <bottom style="thin">
        <color indexed="8"/>
      </bottom>
      <diagonal/>
    </border>
    <border>
      <left style="thin">
        <color indexed="9"/>
      </left>
      <right/>
      <top style="thin">
        <color indexed="9"/>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diagonal/>
    </border>
    <border>
      <left style="thin">
        <color indexed="64"/>
      </left>
      <right/>
      <top/>
      <bottom style="medium">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style="hair">
        <color indexed="64"/>
      </left>
      <right style="medium">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31">
    <xf numFmtId="0" fontId="0" fillId="0" borderId="0"/>
    <xf numFmtId="0" fontId="1" fillId="2" borderId="0" applyNumberFormat="0" applyBorder="0" applyAlignment="0" applyProtection="0"/>
    <xf numFmtId="0" fontId="2" fillId="3" borderId="0" applyNumberFormat="0" applyBorder="0" applyAlignment="0" applyProtection="0"/>
    <xf numFmtId="43" fontId="4" fillId="0" borderId="0" applyFont="0" applyFill="0" applyBorder="0" applyAlignment="0" applyProtection="0"/>
    <xf numFmtId="0" fontId="5" fillId="0" borderId="0" applyNumberFormat="0" applyFont="0" applyFill="0" applyBorder="0" applyAlignment="0" applyProtection="0"/>
    <xf numFmtId="0" fontId="4" fillId="0" borderId="0"/>
    <xf numFmtId="0" fontId="6" fillId="0" borderId="0"/>
    <xf numFmtId="0" fontId="7" fillId="0" borderId="0"/>
    <xf numFmtId="0" fontId="8" fillId="0" borderId="0"/>
    <xf numFmtId="0" fontId="14" fillId="0" borderId="0" applyNumberFormat="0" applyFill="0" applyBorder="0" applyAlignment="0" applyProtection="0">
      <alignment vertical="top"/>
      <protection locked="0"/>
    </xf>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20" fillId="0" borderId="0"/>
    <xf numFmtId="167" fontId="26" fillId="0" borderId="0"/>
    <xf numFmtId="9" fontId="5" fillId="0" borderId="0" applyFont="0" applyFill="0" applyBorder="0" applyAlignment="0" applyProtection="0"/>
    <xf numFmtId="0" fontId="31" fillId="0" borderId="0"/>
    <xf numFmtId="0" fontId="36" fillId="14" borderId="0" applyNumberFormat="0" applyBorder="0" applyAlignment="0" applyProtection="0"/>
    <xf numFmtId="0" fontId="37" fillId="15" borderId="70" applyNumberFormat="0" applyAlignment="0" applyProtection="0"/>
    <xf numFmtId="0" fontId="20" fillId="16" borderId="0" applyNumberFormat="0" applyBorder="0" applyAlignment="0" applyProtection="0"/>
    <xf numFmtId="0" fontId="8" fillId="0" borderId="0"/>
    <xf numFmtId="0" fontId="5" fillId="0" borderId="0"/>
    <xf numFmtId="44" fontId="20" fillId="0" borderId="0" applyFont="0" applyFill="0" applyBorder="0" applyAlignment="0" applyProtection="0"/>
    <xf numFmtId="9" fontId="20" fillId="0" borderId="0" applyFont="0" applyFill="0" applyBorder="0" applyAlignment="0" applyProtection="0"/>
    <xf numFmtId="43" fontId="20" fillId="0" borderId="0" applyFont="0" applyFill="0" applyBorder="0" applyAlignment="0" applyProtection="0"/>
    <xf numFmtId="0" fontId="8" fillId="0" borderId="0"/>
    <xf numFmtId="0" fontId="8" fillId="0" borderId="0"/>
  </cellStyleXfs>
  <cellXfs count="618">
    <xf numFmtId="0" fontId="0" fillId="0" borderId="0" xfId="0"/>
    <xf numFmtId="0" fontId="3" fillId="0" borderId="1" xfId="0" applyFont="1" applyBorder="1" applyAlignment="1">
      <alignment vertical="top" wrapText="1"/>
    </xf>
    <xf numFmtId="0" fontId="0" fillId="4" borderId="0" xfId="0" applyFill="1"/>
    <xf numFmtId="0" fontId="0" fillId="0" borderId="0" xfId="0" applyAlignment="1">
      <alignment wrapText="1"/>
    </xf>
    <xf numFmtId="0" fontId="1" fillId="2" borderId="1" xfId="1" applyBorder="1" applyAlignment="1">
      <alignment horizontal="center" wrapText="1"/>
    </xf>
    <xf numFmtId="0" fontId="10" fillId="0" borderId="0" xfId="0" applyFont="1"/>
    <xf numFmtId="0" fontId="11" fillId="0" borderId="0" xfId="0" applyFont="1"/>
    <xf numFmtId="0" fontId="12" fillId="0" borderId="0" xfId="0" applyFont="1"/>
    <xf numFmtId="0" fontId="13" fillId="7" borderId="7" xfId="0" applyFont="1" applyFill="1" applyBorder="1" applyAlignment="1">
      <alignment horizontal="center" wrapText="1"/>
    </xf>
    <xf numFmtId="0" fontId="13" fillId="7" borderId="14" xfId="0" applyFont="1" applyFill="1" applyBorder="1" applyAlignment="1">
      <alignment horizontal="center" wrapText="1"/>
    </xf>
    <xf numFmtId="0" fontId="14" fillId="7" borderId="14" xfId="9" applyFill="1" applyBorder="1" applyAlignment="1" applyProtection="1">
      <alignment horizontal="center" wrapText="1"/>
    </xf>
    <xf numFmtId="0" fontId="11" fillId="0" borderId="15" xfId="0" applyFont="1" applyBorder="1" applyAlignment="1">
      <alignment horizontal="center" vertical="top" wrapText="1"/>
    </xf>
    <xf numFmtId="8" fontId="11" fillId="0" borderId="13" xfId="0" applyNumberFormat="1" applyFont="1" applyBorder="1" applyAlignment="1">
      <alignment horizontal="center" vertical="top" wrapText="1"/>
    </xf>
    <xf numFmtId="0" fontId="14" fillId="0" borderId="0" xfId="9" applyAlignment="1" applyProtection="1"/>
    <xf numFmtId="0" fontId="0" fillId="8" borderId="0" xfId="0" applyFill="1"/>
    <xf numFmtId="0" fontId="0" fillId="8" borderId="0" xfId="0" applyFill="1" applyAlignment="1">
      <alignment wrapText="1"/>
    </xf>
    <xf numFmtId="0" fontId="0" fillId="0" borderId="1" xfId="0" applyBorder="1"/>
    <xf numFmtId="3" fontId="0" fillId="0" borderId="1" xfId="0" applyNumberFormat="1" applyBorder="1"/>
    <xf numFmtId="0" fontId="0" fillId="0" borderId="1" xfId="0" applyBorder="1" applyAlignment="1">
      <alignment wrapText="1"/>
    </xf>
    <xf numFmtId="0" fontId="0" fillId="0" borderId="16" xfId="0" applyBorder="1" applyAlignment="1">
      <alignment wrapText="1"/>
    </xf>
    <xf numFmtId="0" fontId="0" fillId="9" borderId="1" xfId="0" applyFill="1" applyBorder="1"/>
    <xf numFmtId="0" fontId="19" fillId="0" borderId="0" xfId="0" applyFont="1"/>
    <xf numFmtId="0" fontId="11" fillId="0" borderId="17" xfId="0" applyFont="1" applyBorder="1" applyAlignment="1">
      <alignment horizontal="center" vertical="top" wrapText="1"/>
    </xf>
    <xf numFmtId="8" fontId="11" fillId="0" borderId="10" xfId="0" applyNumberFormat="1" applyFont="1" applyBorder="1" applyAlignment="1">
      <alignment horizontal="center" vertical="top" wrapText="1"/>
    </xf>
    <xf numFmtId="8" fontId="0" fillId="0" borderId="14" xfId="0" applyNumberFormat="1" applyBorder="1"/>
    <xf numFmtId="0" fontId="13" fillId="7" borderId="8" xfId="0" applyFont="1" applyFill="1" applyBorder="1" applyAlignment="1">
      <alignment horizontal="center" wrapText="1"/>
    </xf>
    <xf numFmtId="0" fontId="0" fillId="0" borderId="11" xfId="0" applyBorder="1"/>
    <xf numFmtId="0" fontId="0" fillId="0" borderId="7" xfId="0" applyBorder="1"/>
    <xf numFmtId="0" fontId="0" fillId="0" borderId="15" xfId="0" applyBorder="1"/>
    <xf numFmtId="0" fontId="4" fillId="0" borderId="0" xfId="11" applyFont="1"/>
    <xf numFmtId="0" fontId="4" fillId="0" borderId="0" xfId="11" applyFont="1" applyAlignment="1">
      <alignment horizontal="center"/>
    </xf>
    <xf numFmtId="3" fontId="4" fillId="0" borderId="0" xfId="11" applyNumberFormat="1" applyFont="1" applyAlignment="1">
      <alignment horizontal="center"/>
    </xf>
    <xf numFmtId="1" fontId="4" fillId="0" borderId="0" xfId="11" applyNumberFormat="1" applyFont="1" applyAlignment="1">
      <alignment horizontal="center"/>
    </xf>
    <xf numFmtId="3" fontId="21" fillId="0" borderId="0" xfId="11" applyNumberFormat="1" applyFont="1" applyAlignment="1">
      <alignment horizontal="center"/>
    </xf>
    <xf numFmtId="0" fontId="21" fillId="0" borderId="0" xfId="11" applyFont="1"/>
    <xf numFmtId="0" fontId="21" fillId="0" borderId="0" xfId="11" applyFont="1" applyAlignment="1">
      <alignment horizontal="center"/>
    </xf>
    <xf numFmtId="1" fontId="21" fillId="0" borderId="0" xfId="11" applyNumberFormat="1" applyFont="1" applyAlignment="1">
      <alignment horizontal="center"/>
    </xf>
    <xf numFmtId="0" fontId="22" fillId="0" borderId="0" xfId="11" applyFont="1"/>
    <xf numFmtId="0" fontId="22" fillId="0" borderId="20" xfId="11" applyFont="1" applyBorder="1" applyAlignment="1">
      <alignment horizontal="center"/>
    </xf>
    <xf numFmtId="3" fontId="23" fillId="0" borderId="21" xfId="11" applyNumberFormat="1" applyFont="1" applyBorder="1" applyAlignment="1">
      <alignment horizontal="center"/>
    </xf>
    <xf numFmtId="165" fontId="23" fillId="0" borderId="21" xfId="11" applyNumberFormat="1" applyFont="1" applyBorder="1" applyAlignment="1">
      <alignment horizontal="center"/>
    </xf>
    <xf numFmtId="1" fontId="22" fillId="0" borderId="21" xfId="11" applyNumberFormat="1" applyFont="1" applyBorder="1" applyAlignment="1">
      <alignment horizontal="center"/>
    </xf>
    <xf numFmtId="0" fontId="22" fillId="0" borderId="21" xfId="11" applyFont="1" applyBorder="1" applyAlignment="1">
      <alignment horizontal="center"/>
    </xf>
    <xf numFmtId="165" fontId="22" fillId="0" borderId="21" xfId="11" applyNumberFormat="1" applyFont="1" applyBorder="1" applyAlignment="1">
      <alignment horizontal="center"/>
    </xf>
    <xf numFmtId="0" fontId="23" fillId="0" borderId="22" xfId="11" applyFont="1" applyBorder="1" applyAlignment="1">
      <alignment horizontal="center"/>
    </xf>
    <xf numFmtId="0" fontId="24" fillId="0" borderId="0" xfId="11" applyFont="1"/>
    <xf numFmtId="165" fontId="24" fillId="0" borderId="23" xfId="11" applyNumberFormat="1" applyFont="1" applyBorder="1" applyAlignment="1">
      <alignment horizontal="center"/>
    </xf>
    <xf numFmtId="0" fontId="24" fillId="0" borderId="24" xfId="11" applyFont="1" applyBorder="1" applyAlignment="1">
      <alignment horizontal="center"/>
    </xf>
    <xf numFmtId="3" fontId="24" fillId="0" borderId="25" xfId="11" applyNumberFormat="1" applyFont="1" applyBorder="1" applyAlignment="1">
      <alignment horizontal="center"/>
    </xf>
    <xf numFmtId="165" fontId="24" fillId="0" borderId="25" xfId="11" applyNumberFormat="1" applyFont="1" applyBorder="1" applyAlignment="1">
      <alignment horizontal="center"/>
    </xf>
    <xf numFmtId="0" fontId="24" fillId="0" borderId="25" xfId="11" applyFont="1" applyBorder="1" applyAlignment="1">
      <alignment horizontal="center"/>
    </xf>
    <xf numFmtId="0" fontId="25" fillId="0" borderId="26" xfId="11" applyFont="1" applyBorder="1"/>
    <xf numFmtId="0" fontId="24" fillId="0" borderId="27" xfId="11" applyFont="1" applyBorder="1" applyAlignment="1">
      <alignment horizontal="center"/>
    </xf>
    <xf numFmtId="0" fontId="24" fillId="0" borderId="23" xfId="11" applyFont="1" applyBorder="1" applyAlignment="1">
      <alignment horizontal="center"/>
    </xf>
    <xf numFmtId="3" fontId="24" fillId="0" borderId="23" xfId="11" applyNumberFormat="1" applyFont="1" applyBorder="1" applyAlignment="1">
      <alignment horizontal="center"/>
    </xf>
    <xf numFmtId="3" fontId="24" fillId="0" borderId="23" xfId="12" applyNumberFormat="1" applyFont="1" applyFill="1" applyBorder="1" applyAlignment="1">
      <alignment horizontal="center"/>
    </xf>
    <xf numFmtId="0" fontId="24" fillId="0" borderId="29" xfId="11" applyFont="1" applyBorder="1"/>
    <xf numFmtId="165" fontId="24" fillId="0" borderId="0" xfId="11" applyNumberFormat="1" applyFont="1" applyAlignment="1">
      <alignment horizontal="right"/>
    </xf>
    <xf numFmtId="0" fontId="25" fillId="0" borderId="29" xfId="11" applyFont="1" applyBorder="1"/>
    <xf numFmtId="0" fontId="24" fillId="0" borderId="0" xfId="11" applyFont="1" applyAlignment="1">
      <alignment horizontal="right"/>
    </xf>
    <xf numFmtId="166" fontId="24" fillId="0" borderId="0" xfId="11" applyNumberFormat="1" applyFont="1"/>
    <xf numFmtId="0" fontId="24" fillId="0" borderId="30" xfId="11" applyFont="1" applyBorder="1" applyAlignment="1">
      <alignment horizontal="center"/>
    </xf>
    <xf numFmtId="165" fontId="24" fillId="0" borderId="31" xfId="11" applyNumberFormat="1" applyFont="1" applyBorder="1" applyAlignment="1">
      <alignment horizontal="center"/>
    </xf>
    <xf numFmtId="0" fontId="24" fillId="0" borderId="31" xfId="11" applyFont="1" applyBorder="1" applyAlignment="1">
      <alignment horizontal="center"/>
    </xf>
    <xf numFmtId="3" fontId="24" fillId="0" borderId="31" xfId="11" applyNumberFormat="1" applyFont="1" applyBorder="1" applyAlignment="1">
      <alignment horizontal="center"/>
    </xf>
    <xf numFmtId="0" fontId="24" fillId="0" borderId="32" xfId="11" applyFont="1" applyBorder="1"/>
    <xf numFmtId="0" fontId="24" fillId="0" borderId="0" xfId="11" applyFont="1" applyAlignment="1">
      <alignment wrapText="1"/>
    </xf>
    <xf numFmtId="0" fontId="24" fillId="0" borderId="1" xfId="11" applyFont="1" applyBorder="1" applyAlignment="1">
      <alignment horizontal="center" textRotation="90" wrapText="1"/>
    </xf>
    <xf numFmtId="0" fontId="24" fillId="0" borderId="1" xfId="11" applyFont="1" applyBorder="1" applyAlignment="1">
      <alignment horizontal="center" wrapText="1"/>
    </xf>
    <xf numFmtId="0" fontId="21" fillId="0" borderId="0" xfId="11" applyFont="1" applyAlignment="1">
      <alignment horizontal="left"/>
    </xf>
    <xf numFmtId="0" fontId="17" fillId="0" borderId="0" xfId="10" applyFont="1"/>
    <xf numFmtId="164" fontId="18" fillId="0" borderId="1" xfId="10" quotePrefix="1" applyNumberFormat="1" applyFont="1" applyBorder="1" applyAlignment="1">
      <alignment vertical="top" wrapText="1"/>
    </xf>
    <xf numFmtId="1" fontId="24" fillId="0" borderId="23" xfId="11" applyNumberFormat="1" applyFont="1" applyBorder="1" applyAlignment="1">
      <alignment horizontal="center"/>
    </xf>
    <xf numFmtId="167" fontId="21" fillId="0" borderId="0" xfId="0" applyNumberFormat="1" applyFont="1" applyAlignment="1">
      <alignment horizontal="right" vertical="top"/>
    </xf>
    <xf numFmtId="167" fontId="28" fillId="0" borderId="0" xfId="0" applyNumberFormat="1" applyFont="1"/>
    <xf numFmtId="0" fontId="21" fillId="0" borderId="0" xfId="11" applyFont="1" applyAlignment="1">
      <alignment wrapText="1"/>
    </xf>
    <xf numFmtId="1" fontId="24" fillId="0" borderId="1" xfId="11" applyNumberFormat="1" applyFont="1" applyBorder="1" applyAlignment="1">
      <alignment horizontal="center" wrapText="1"/>
    </xf>
    <xf numFmtId="3" fontId="24" fillId="0" borderId="1" xfId="11" applyNumberFormat="1" applyFont="1" applyBorder="1" applyAlignment="1">
      <alignment horizontal="center" wrapText="1"/>
    </xf>
    <xf numFmtId="0" fontId="28" fillId="0" borderId="0" xfId="11" applyFont="1" applyAlignment="1">
      <alignment wrapText="1"/>
    </xf>
    <xf numFmtId="0" fontId="24" fillId="0" borderId="29" xfId="11" applyFont="1" applyBorder="1" applyAlignment="1">
      <alignment horizontal="left" indent="2"/>
    </xf>
    <xf numFmtId="0" fontId="24" fillId="0" borderId="28" xfId="11" applyFont="1" applyBorder="1"/>
    <xf numFmtId="0" fontId="24" fillId="0" borderId="29" xfId="11" applyFont="1" applyBorder="1" applyAlignment="1">
      <alignment horizontal="left" wrapText="1" indent="2"/>
    </xf>
    <xf numFmtId="0" fontId="24" fillId="0" borderId="29" xfId="11" applyFont="1" applyBorder="1" applyAlignment="1">
      <alignment wrapText="1"/>
    </xf>
    <xf numFmtId="0" fontId="0" fillId="10" borderId="0" xfId="0" applyFill="1"/>
    <xf numFmtId="165" fontId="24" fillId="0" borderId="39" xfId="11" applyNumberFormat="1" applyFont="1" applyBorder="1" applyAlignment="1">
      <alignment horizontal="center"/>
    </xf>
    <xf numFmtId="165" fontId="24" fillId="0" borderId="38" xfId="11" applyNumberFormat="1" applyFont="1" applyBorder="1" applyAlignment="1">
      <alignment horizontal="center"/>
    </xf>
    <xf numFmtId="3" fontId="24" fillId="0" borderId="38" xfId="11" applyNumberFormat="1" applyFont="1" applyBorder="1" applyAlignment="1">
      <alignment horizontal="center"/>
    </xf>
    <xf numFmtId="0" fontId="11" fillId="10" borderId="13" xfId="0" applyFont="1" applyFill="1" applyBorder="1" applyAlignment="1">
      <alignment horizontal="center" vertical="top" wrapText="1"/>
    </xf>
    <xf numFmtId="8" fontId="0" fillId="0" borderId="0" xfId="0" applyNumberFormat="1"/>
    <xf numFmtId="0" fontId="11" fillId="10" borderId="0" xfId="0" applyFont="1" applyFill="1" applyAlignment="1">
      <alignment horizontal="center" vertical="top" wrapText="1"/>
    </xf>
    <xf numFmtId="8" fontId="11" fillId="0" borderId="0" xfId="0" applyNumberFormat="1" applyFont="1" applyAlignment="1">
      <alignment horizontal="center" vertical="top" wrapText="1"/>
    </xf>
    <xf numFmtId="17" fontId="0" fillId="0" borderId="7" xfId="0" quotePrefix="1" applyNumberFormat="1" applyBorder="1"/>
    <xf numFmtId="0" fontId="4" fillId="0" borderId="0" xfId="15" applyFont="1"/>
    <xf numFmtId="0" fontId="4" fillId="0" borderId="43" xfId="15" applyFont="1" applyBorder="1" applyAlignment="1">
      <alignment wrapText="1"/>
    </xf>
    <xf numFmtId="0" fontId="4" fillId="0" borderId="11" xfId="15" applyFont="1" applyBorder="1" applyAlignment="1">
      <alignment wrapText="1"/>
    </xf>
    <xf numFmtId="0" fontId="4" fillId="0" borderId="9" xfId="15" applyFont="1" applyBorder="1"/>
    <xf numFmtId="168" fontId="4" fillId="0" borderId="45" xfId="12" applyNumberFormat="1" applyFont="1" applyFill="1" applyBorder="1"/>
    <xf numFmtId="0" fontId="4" fillId="0" borderId="11" xfId="15" applyFont="1" applyBorder="1"/>
    <xf numFmtId="0" fontId="30" fillId="0" borderId="9" xfId="15" applyFont="1" applyBorder="1"/>
    <xf numFmtId="168" fontId="4" fillId="12" borderId="0" xfId="12" applyNumberFormat="1" applyFont="1" applyFill="1" applyBorder="1"/>
    <xf numFmtId="169" fontId="4" fillId="0" borderId="18" xfId="13" applyNumberFormat="1" applyFont="1" applyBorder="1"/>
    <xf numFmtId="0" fontId="30" fillId="0" borderId="11" xfId="15" applyFont="1" applyBorder="1"/>
    <xf numFmtId="168" fontId="4" fillId="12" borderId="12" xfId="12" applyNumberFormat="1" applyFont="1" applyFill="1" applyBorder="1"/>
    <xf numFmtId="0" fontId="31" fillId="0" borderId="0" xfId="20"/>
    <xf numFmtId="0" fontId="17" fillId="0" borderId="0" xfId="20" applyFont="1"/>
    <xf numFmtId="0" fontId="31" fillId="0" borderId="1" xfId="20" applyBorder="1"/>
    <xf numFmtId="0" fontId="31" fillId="0" borderId="0" xfId="20" applyAlignment="1">
      <alignment horizontal="center"/>
    </xf>
    <xf numFmtId="3" fontId="31" fillId="0" borderId="0" xfId="20" applyNumberFormat="1" applyAlignment="1">
      <alignment horizontal="center" wrapText="1"/>
    </xf>
    <xf numFmtId="0" fontId="31" fillId="0" borderId="0" xfId="20" applyAlignment="1">
      <alignment horizontal="center" wrapText="1"/>
    </xf>
    <xf numFmtId="0" fontId="4" fillId="0" borderId="0" xfId="20" applyFont="1"/>
    <xf numFmtId="0" fontId="4" fillId="0" borderId="0" xfId="20" applyFont="1" applyAlignment="1">
      <alignment horizontal="center"/>
    </xf>
    <xf numFmtId="3" fontId="4" fillId="0" borderId="0" xfId="20" applyNumberFormat="1" applyFont="1" applyAlignment="1">
      <alignment horizontal="center" wrapText="1"/>
    </xf>
    <xf numFmtId="0" fontId="4" fillId="0" borderId="0" xfId="20" applyFont="1" applyAlignment="1">
      <alignment horizontal="center" wrapText="1"/>
    </xf>
    <xf numFmtId="0" fontId="31" fillId="0" borderId="52" xfId="20" applyBorder="1" applyAlignment="1">
      <alignment horizontal="center"/>
    </xf>
    <xf numFmtId="3" fontId="31" fillId="0" borderId="53" xfId="20" applyNumberFormat="1" applyBorder="1" applyAlignment="1">
      <alignment horizontal="center" wrapText="1"/>
    </xf>
    <xf numFmtId="3" fontId="17" fillId="0" borderId="53" xfId="20" applyNumberFormat="1" applyFont="1" applyBorder="1" applyAlignment="1">
      <alignment horizontal="center" wrapText="1"/>
    </xf>
    <xf numFmtId="3" fontId="31" fillId="0" borderId="53" xfId="20" applyNumberFormat="1" applyBorder="1" applyAlignment="1">
      <alignment horizontal="center"/>
    </xf>
    <xf numFmtId="0" fontId="31" fillId="0" borderId="53" xfId="20" applyBorder="1" applyAlignment="1">
      <alignment horizontal="center" wrapText="1"/>
    </xf>
    <xf numFmtId="0" fontId="31" fillId="0" borderId="53" xfId="20" applyBorder="1" applyAlignment="1">
      <alignment horizontal="center"/>
    </xf>
    <xf numFmtId="0" fontId="31" fillId="0" borderId="53" xfId="20" applyBorder="1"/>
    <xf numFmtId="0" fontId="17" fillId="0" borderId="54" xfId="20" applyFont="1" applyBorder="1" applyAlignment="1">
      <alignment vertical="center"/>
    </xf>
    <xf numFmtId="0" fontId="31" fillId="0" borderId="55" xfId="20" applyBorder="1" applyAlignment="1">
      <alignment horizontal="center"/>
    </xf>
    <xf numFmtId="165" fontId="17" fillId="0" borderId="56" xfId="20" applyNumberFormat="1" applyFont="1" applyBorder="1" applyAlignment="1">
      <alignment horizontal="center" wrapText="1"/>
    </xf>
    <xf numFmtId="3" fontId="31" fillId="0" borderId="56" xfId="20" applyNumberFormat="1" applyBorder="1" applyAlignment="1">
      <alignment horizontal="center" wrapText="1"/>
    </xf>
    <xf numFmtId="0" fontId="31" fillId="0" borderId="56" xfId="20" applyBorder="1" applyAlignment="1">
      <alignment horizontal="center" wrapText="1"/>
    </xf>
    <xf numFmtId="0" fontId="31" fillId="0" borderId="56" xfId="20" applyBorder="1"/>
    <xf numFmtId="3" fontId="31" fillId="0" borderId="56" xfId="20" applyNumberFormat="1" applyBorder="1"/>
    <xf numFmtId="3" fontId="17" fillId="0" borderId="56" xfId="20" applyNumberFormat="1" applyFont="1" applyBorder="1" applyAlignment="1">
      <alignment vertical="top"/>
    </xf>
    <xf numFmtId="49" fontId="17" fillId="0" borderId="56" xfId="20" applyNumberFormat="1" applyFont="1" applyBorder="1" applyAlignment="1">
      <alignment vertical="top"/>
    </xf>
    <xf numFmtId="49" fontId="17" fillId="0" borderId="57" xfId="20" applyNumberFormat="1" applyFont="1" applyBorder="1" applyAlignment="1">
      <alignment vertical="center"/>
    </xf>
    <xf numFmtId="165" fontId="31" fillId="0" borderId="53" xfId="20" applyNumberFormat="1" applyBorder="1" applyAlignment="1">
      <alignment horizontal="center" wrapText="1"/>
    </xf>
    <xf numFmtId="39" fontId="31" fillId="0" borderId="53" xfId="20" applyNumberFormat="1" applyBorder="1" applyAlignment="1">
      <alignment horizontal="center" wrapText="1"/>
    </xf>
    <xf numFmtId="0" fontId="5" fillId="0" borderId="53" xfId="20" applyFont="1" applyBorder="1"/>
    <xf numFmtId="49" fontId="5" fillId="0" borderId="53" xfId="20" applyNumberFormat="1" applyFont="1" applyBorder="1" applyAlignment="1">
      <alignment vertical="top"/>
    </xf>
    <xf numFmtId="3" fontId="5" fillId="0" borderId="53" xfId="20" applyNumberFormat="1" applyFont="1" applyBorder="1" applyAlignment="1">
      <alignment vertical="top"/>
    </xf>
    <xf numFmtId="49" fontId="5" fillId="0" borderId="54" xfId="20" applyNumberFormat="1" applyFont="1" applyBorder="1" applyAlignment="1">
      <alignment vertical="top"/>
    </xf>
    <xf numFmtId="0" fontId="31" fillId="0" borderId="61" xfId="20" applyBorder="1" applyAlignment="1">
      <alignment horizontal="center"/>
    </xf>
    <xf numFmtId="165" fontId="31" fillId="0" borderId="23" xfId="20" applyNumberFormat="1" applyBorder="1" applyAlignment="1">
      <alignment horizontal="center" wrapText="1"/>
    </xf>
    <xf numFmtId="3" fontId="31" fillId="0" borderId="23" xfId="20" applyNumberFormat="1" applyBorder="1" applyAlignment="1">
      <alignment horizontal="center" wrapText="1"/>
    </xf>
    <xf numFmtId="0" fontId="31" fillId="0" borderId="23" xfId="20" applyBorder="1" applyAlignment="1">
      <alignment horizontal="center" wrapText="1"/>
    </xf>
    <xf numFmtId="0" fontId="5" fillId="0" borderId="23" xfId="20" applyFont="1" applyBorder="1"/>
    <xf numFmtId="3" fontId="5" fillId="0" borderId="23" xfId="20" applyNumberFormat="1" applyFont="1" applyBorder="1"/>
    <xf numFmtId="49" fontId="5" fillId="0" borderId="23" xfId="20" applyNumberFormat="1" applyFont="1" applyBorder="1" applyAlignment="1">
      <alignment vertical="top"/>
    </xf>
    <xf numFmtId="49" fontId="5" fillId="0" borderId="62" xfId="20" applyNumberFormat="1" applyFont="1" applyBorder="1" applyAlignment="1">
      <alignment vertical="top"/>
    </xf>
    <xf numFmtId="0" fontId="31" fillId="0" borderId="23" xfId="20" applyBorder="1"/>
    <xf numFmtId="3" fontId="5" fillId="0" borderId="23" xfId="20" applyNumberFormat="1" applyFont="1" applyBorder="1" applyAlignment="1">
      <alignment vertical="top"/>
    </xf>
    <xf numFmtId="3" fontId="5" fillId="0" borderId="23" xfId="20" quotePrefix="1" applyNumberFormat="1" applyFont="1" applyBorder="1" applyAlignment="1">
      <alignment vertical="top"/>
    </xf>
    <xf numFmtId="49" fontId="5" fillId="0" borderId="23" xfId="20" applyNumberFormat="1" applyFont="1" applyBorder="1"/>
    <xf numFmtId="0" fontId="5" fillId="0" borderId="61" xfId="20" applyFont="1" applyBorder="1" applyAlignment="1">
      <alignment horizontal="center"/>
    </xf>
    <xf numFmtId="165" fontId="31" fillId="0" borderId="31" xfId="20" applyNumberFormat="1" applyBorder="1" applyAlignment="1">
      <alignment horizontal="center" wrapText="1"/>
    </xf>
    <xf numFmtId="3" fontId="31" fillId="0" borderId="31" xfId="20" applyNumberFormat="1" applyBorder="1" applyAlignment="1">
      <alignment horizontal="center" wrapText="1"/>
    </xf>
    <xf numFmtId="0" fontId="31" fillId="0" borderId="31" xfId="20" applyBorder="1" applyAlignment="1">
      <alignment horizontal="center" wrapText="1"/>
    </xf>
    <xf numFmtId="0" fontId="17" fillId="0" borderId="31" xfId="20" applyFont="1" applyBorder="1"/>
    <xf numFmtId="0" fontId="5" fillId="0" borderId="31" xfId="20" applyFont="1" applyBorder="1"/>
    <xf numFmtId="49" fontId="5" fillId="0" borderId="64" xfId="20" applyNumberFormat="1" applyFont="1" applyBorder="1"/>
    <xf numFmtId="0" fontId="5" fillId="0" borderId="65" xfId="20" applyFont="1" applyBorder="1" applyAlignment="1">
      <alignment horizontal="center" textRotation="90"/>
    </xf>
    <xf numFmtId="3" fontId="5" fillId="0" borderId="66" xfId="20" applyNumberFormat="1" applyFont="1" applyBorder="1" applyAlignment="1">
      <alignment horizontal="center" wrapText="1"/>
    </xf>
    <xf numFmtId="0" fontId="5" fillId="0" borderId="66" xfId="20" applyFont="1" applyBorder="1" applyAlignment="1">
      <alignment horizontal="center" wrapText="1"/>
    </xf>
    <xf numFmtId="0" fontId="5" fillId="0" borderId="67" xfId="20" applyFont="1" applyBorder="1"/>
    <xf numFmtId="0" fontId="5" fillId="0" borderId="68" xfId="20" applyFont="1" applyBorder="1"/>
    <xf numFmtId="0" fontId="33" fillId="0" borderId="0" xfId="0" applyFont="1"/>
    <xf numFmtId="0" fontId="33" fillId="0" borderId="0" xfId="0" applyFont="1" applyAlignment="1">
      <alignment horizontal="left" indent="15"/>
    </xf>
    <xf numFmtId="0" fontId="34" fillId="0" borderId="0" xfId="0" applyFont="1"/>
    <xf numFmtId="0" fontId="5" fillId="0" borderId="0" xfId="20" applyFont="1"/>
    <xf numFmtId="49" fontId="5" fillId="0" borderId="40" xfId="20" applyNumberFormat="1" applyFont="1" applyBorder="1" applyAlignment="1">
      <alignment vertical="top"/>
    </xf>
    <xf numFmtId="0" fontId="31" fillId="0" borderId="41" xfId="20" applyBorder="1"/>
    <xf numFmtId="0" fontId="31" fillId="0" borderId="34" xfId="20" applyBorder="1"/>
    <xf numFmtId="0" fontId="35" fillId="0" borderId="0" xfId="15" applyFont="1"/>
    <xf numFmtId="0" fontId="5" fillId="0" borderId="46" xfId="15" applyBorder="1" applyAlignment="1">
      <alignment wrapText="1"/>
    </xf>
    <xf numFmtId="0" fontId="5" fillId="0" borderId="0" xfId="15"/>
    <xf numFmtId="0" fontId="5" fillId="0" borderId="52" xfId="20" applyFont="1" applyBorder="1" applyAlignment="1">
      <alignment horizontal="center"/>
    </xf>
    <xf numFmtId="168" fontId="4" fillId="0" borderId="0" xfId="12" applyNumberFormat="1" applyFont="1" applyFill="1" applyBorder="1"/>
    <xf numFmtId="169" fontId="4" fillId="0" borderId="0" xfId="13" applyNumberFormat="1" applyFont="1" applyFill="1" applyBorder="1"/>
    <xf numFmtId="169" fontId="4" fillId="0" borderId="0" xfId="13" applyNumberFormat="1" applyFont="1" applyBorder="1"/>
    <xf numFmtId="0" fontId="9" fillId="6" borderId="74" xfId="8" applyFont="1" applyFill="1" applyBorder="1" applyAlignment="1">
      <alignment horizontal="center" wrapText="1"/>
    </xf>
    <xf numFmtId="0" fontId="9" fillId="6" borderId="75" xfId="8" applyFont="1" applyFill="1" applyBorder="1" applyAlignment="1">
      <alignment horizontal="center" wrapText="1"/>
    </xf>
    <xf numFmtId="0" fontId="2" fillId="3" borderId="76" xfId="2" applyBorder="1" applyAlignment="1">
      <alignment horizontal="center" wrapText="1"/>
    </xf>
    <xf numFmtId="0" fontId="0" fillId="16" borderId="0" xfId="23" applyFont="1" applyAlignment="1">
      <alignment wrapText="1"/>
    </xf>
    <xf numFmtId="0" fontId="36" fillId="14" borderId="35" xfId="21" applyBorder="1" applyAlignment="1">
      <alignment horizontal="center" wrapText="1"/>
    </xf>
    <xf numFmtId="0" fontId="36" fillId="14" borderId="0" xfId="21" applyBorder="1" applyAlignment="1">
      <alignment horizontal="center" wrapText="1"/>
    </xf>
    <xf numFmtId="0" fontId="0" fillId="0" borderId="0" xfId="23" applyFont="1" applyFill="1" applyAlignment="1">
      <alignment wrapText="1"/>
    </xf>
    <xf numFmtId="0" fontId="9" fillId="0" borderId="5" xfId="8" applyFont="1" applyBorder="1" applyAlignment="1">
      <alignment wrapText="1"/>
    </xf>
    <xf numFmtId="8" fontId="9" fillId="0" borderId="5" xfId="8" applyNumberFormat="1" applyFont="1" applyBorder="1" applyAlignment="1">
      <alignment wrapText="1"/>
    </xf>
    <xf numFmtId="0" fontId="9" fillId="0" borderId="6" xfId="8" applyFont="1" applyBorder="1" applyAlignment="1">
      <alignment wrapText="1"/>
    </xf>
    <xf numFmtId="0" fontId="39" fillId="0" borderId="0" xfId="0" applyFont="1"/>
    <xf numFmtId="0" fontId="0" fillId="0" borderId="1" xfId="0" applyBorder="1" applyAlignment="1">
      <alignment horizontal="left"/>
    </xf>
    <xf numFmtId="0" fontId="38" fillId="0" borderId="0" xfId="0" applyFont="1"/>
    <xf numFmtId="0" fontId="0" fillId="13" borderId="1" xfId="0" applyFill="1" applyBorder="1"/>
    <xf numFmtId="0" fontId="9" fillId="5" borderId="4" xfId="24" applyFont="1" applyFill="1" applyBorder="1" applyAlignment="1">
      <alignment horizontal="center"/>
    </xf>
    <xf numFmtId="0" fontId="9" fillId="0" borderId="5" xfId="24" applyFont="1" applyBorder="1" applyAlignment="1">
      <alignment wrapText="1"/>
    </xf>
    <xf numFmtId="0" fontId="9" fillId="0" borderId="5" xfId="24" applyFont="1" applyBorder="1" applyAlignment="1">
      <alignment horizontal="right" wrapText="1"/>
    </xf>
    <xf numFmtId="0" fontId="40" fillId="18" borderId="1" xfId="0" applyFont="1" applyFill="1" applyBorder="1" applyAlignment="1">
      <alignment horizontal="center" wrapText="1"/>
    </xf>
    <xf numFmtId="0" fontId="0" fillId="18" borderId="1" xfId="0" applyFill="1" applyBorder="1" applyAlignment="1">
      <alignment wrapText="1"/>
    </xf>
    <xf numFmtId="0" fontId="0" fillId="18" borderId="1" xfId="0" applyFill="1" applyBorder="1"/>
    <xf numFmtId="0" fontId="27" fillId="0" borderId="1" xfId="0" applyFont="1" applyBorder="1"/>
    <xf numFmtId="0" fontId="41" fillId="0" borderId="1" xfId="0" applyFont="1" applyBorder="1" applyAlignment="1">
      <alignment horizontal="center" vertical="top" wrapText="1"/>
    </xf>
    <xf numFmtId="8" fontId="41" fillId="0" borderId="1" xfId="0" applyNumberFormat="1" applyFont="1" applyBorder="1" applyAlignment="1">
      <alignment horizontal="center" vertical="top" wrapText="1"/>
    </xf>
    <xf numFmtId="8" fontId="0" fillId="0" borderId="1" xfId="0" applyNumberFormat="1" applyBorder="1"/>
    <xf numFmtId="171" fontId="5" fillId="0" borderId="0" xfId="13" applyNumberFormat="1" applyFont="1" applyFill="1"/>
    <xf numFmtId="0" fontId="5" fillId="0" borderId="0" xfId="15" applyAlignment="1">
      <alignment wrapText="1"/>
    </xf>
    <xf numFmtId="171" fontId="42" fillId="0" borderId="1" xfId="13" applyNumberFormat="1" applyFont="1" applyFill="1" applyBorder="1" applyAlignment="1">
      <alignment horizontal="right" vertical="top"/>
    </xf>
    <xf numFmtId="171" fontId="42" fillId="0" borderId="1" xfId="15" applyNumberFormat="1" applyFont="1" applyBorder="1" applyAlignment="1">
      <alignment horizontal="right" vertical="top"/>
    </xf>
    <xf numFmtId="0" fontId="42" fillId="0" borderId="1" xfId="15" applyFont="1" applyBorder="1" applyAlignment="1">
      <alignment horizontal="left" vertical="top"/>
    </xf>
    <xf numFmtId="0" fontId="42" fillId="0" borderId="1" xfId="15" applyFont="1" applyBorder="1" applyAlignment="1">
      <alignment horizontal="left" vertical="top" wrapText="1"/>
    </xf>
    <xf numFmtId="3" fontId="43" fillId="0" borderId="69" xfId="15" applyNumberFormat="1" applyFont="1" applyBorder="1" applyAlignment="1">
      <alignment horizontal="right" vertical="top"/>
    </xf>
    <xf numFmtId="171" fontId="5" fillId="0" borderId="0" xfId="15" applyNumberFormat="1"/>
    <xf numFmtId="165" fontId="17" fillId="0" borderId="16" xfId="15" applyNumberFormat="1" applyFont="1" applyBorder="1"/>
    <xf numFmtId="165" fontId="17" fillId="0" borderId="16" xfId="15" applyNumberFormat="1" applyFont="1" applyBorder="1" applyAlignment="1">
      <alignment horizontal="right" wrapText="1"/>
    </xf>
    <xf numFmtId="0" fontId="17" fillId="0" borderId="16" xfId="15" applyFont="1" applyBorder="1" applyAlignment="1">
      <alignment horizontal="center" vertical="center" wrapText="1"/>
    </xf>
    <xf numFmtId="170" fontId="17" fillId="0" borderId="16" xfId="15" applyNumberFormat="1" applyFont="1" applyBorder="1" applyAlignment="1">
      <alignment horizontal="center" vertical="center" wrapText="1"/>
    </xf>
    <xf numFmtId="0" fontId="17" fillId="0" borderId="16" xfId="15" applyFont="1" applyBorder="1" applyAlignment="1">
      <alignment horizontal="left" vertical="top" wrapText="1"/>
    </xf>
    <xf numFmtId="171" fontId="42" fillId="0" borderId="1" xfId="13" applyNumberFormat="1" applyFont="1" applyFill="1" applyBorder="1" applyAlignment="1">
      <alignment horizontal="left" vertical="center"/>
    </xf>
    <xf numFmtId="0" fontId="42" fillId="0" borderId="1" xfId="15" applyFont="1" applyBorder="1" applyAlignment="1">
      <alignment horizontal="left" vertical="center"/>
    </xf>
    <xf numFmtId="0" fontId="42" fillId="0" borderId="1" xfId="15" applyFont="1" applyBorder="1" applyAlignment="1">
      <alignment horizontal="left" vertical="center" wrapText="1"/>
    </xf>
    <xf numFmtId="0" fontId="43" fillId="0" borderId="77" xfId="15" applyFont="1" applyBorder="1" applyAlignment="1">
      <alignment horizontal="left" vertical="center"/>
    </xf>
    <xf numFmtId="0" fontId="35" fillId="0" borderId="0" xfId="15" applyFont="1" applyAlignment="1">
      <alignment wrapText="1"/>
    </xf>
    <xf numFmtId="0" fontId="5" fillId="0" borderId="0" xfId="25"/>
    <xf numFmtId="0" fontId="5" fillId="0" borderId="1" xfId="25" applyBorder="1"/>
    <xf numFmtId="166" fontId="5" fillId="0" borderId="1" xfId="25" applyNumberFormat="1" applyBorder="1"/>
    <xf numFmtId="165" fontId="5" fillId="0" borderId="1" xfId="25" applyNumberFormat="1" applyBorder="1"/>
    <xf numFmtId="0" fontId="0" fillId="19" borderId="1" xfId="0" applyFill="1" applyBorder="1"/>
    <xf numFmtId="8" fontId="0" fillId="4" borderId="0" xfId="0" applyNumberFormat="1" applyFill="1"/>
    <xf numFmtId="0" fontId="44" fillId="0" borderId="16" xfId="0" applyFont="1" applyBorder="1" applyAlignment="1">
      <alignment wrapText="1"/>
    </xf>
    <xf numFmtId="0" fontId="44" fillId="0" borderId="0" xfId="0" applyFont="1" applyAlignment="1">
      <alignment wrapText="1"/>
    </xf>
    <xf numFmtId="0" fontId="0" fillId="0" borderId="1" xfId="0" quotePrefix="1" applyBorder="1"/>
    <xf numFmtId="0" fontId="38" fillId="10" borderId="1" xfId="0" applyFont="1" applyFill="1" applyBorder="1" applyAlignment="1">
      <alignment wrapText="1"/>
    </xf>
    <xf numFmtId="2" fontId="0" fillId="0" borderId="0" xfId="0" applyNumberFormat="1"/>
    <xf numFmtId="0" fontId="3" fillId="0" borderId="0" xfId="0" applyFont="1" applyAlignment="1">
      <alignment vertical="top" wrapText="1"/>
    </xf>
    <xf numFmtId="0" fontId="3" fillId="9" borderId="1" xfId="0" applyFont="1" applyFill="1" applyBorder="1" applyAlignment="1">
      <alignment vertical="top" wrapText="1"/>
    </xf>
    <xf numFmtId="0" fontId="17" fillId="11" borderId="36" xfId="15" applyFont="1" applyFill="1" applyBorder="1" applyAlignment="1">
      <alignment horizontal="center"/>
    </xf>
    <xf numFmtId="0" fontId="17" fillId="11" borderId="37" xfId="15" applyFont="1" applyFill="1" applyBorder="1" applyAlignment="1">
      <alignment horizontal="center"/>
    </xf>
    <xf numFmtId="0" fontId="22" fillId="20" borderId="7" xfId="15" applyFont="1" applyFill="1" applyBorder="1"/>
    <xf numFmtId="0" fontId="17" fillId="11" borderId="37" xfId="15" applyFont="1" applyFill="1" applyBorder="1"/>
    <xf numFmtId="169" fontId="4" fillId="0" borderId="45" xfId="26" applyNumberFormat="1" applyFont="1" applyFill="1" applyBorder="1"/>
    <xf numFmtId="168" fontId="4" fillId="10" borderId="51" xfId="12" applyNumberFormat="1" applyFont="1" applyFill="1" applyBorder="1"/>
    <xf numFmtId="169" fontId="4" fillId="0" borderId="51" xfId="26" applyNumberFormat="1" applyFont="1" applyBorder="1"/>
    <xf numFmtId="168" fontId="4" fillId="0" borderId="50" xfId="12" applyNumberFormat="1" applyFont="1" applyBorder="1"/>
    <xf numFmtId="168" fontId="4" fillId="12" borderId="10" xfId="12" applyNumberFormat="1" applyFont="1" applyFill="1" applyBorder="1"/>
    <xf numFmtId="43" fontId="4" fillId="0" borderId="15" xfId="12" applyFont="1" applyBorder="1"/>
    <xf numFmtId="0" fontId="4" fillId="12" borderId="13" xfId="12" applyNumberFormat="1" applyFont="1" applyFill="1" applyBorder="1"/>
    <xf numFmtId="0" fontId="4" fillId="11" borderId="7" xfId="15" applyFont="1" applyFill="1" applyBorder="1" applyAlignment="1">
      <alignment horizontal="center"/>
    </xf>
    <xf numFmtId="0" fontId="4" fillId="0" borderId="15" xfId="15" applyFont="1" applyBorder="1"/>
    <xf numFmtId="3" fontId="4" fillId="0" borderId="18" xfId="15" applyNumberFormat="1" applyFont="1" applyBorder="1"/>
    <xf numFmtId="3" fontId="4" fillId="0" borderId="17" xfId="15" applyNumberFormat="1" applyFont="1" applyBorder="1"/>
    <xf numFmtId="168" fontId="4" fillId="10" borderId="78" xfId="12" applyNumberFormat="1" applyFont="1" applyFill="1" applyBorder="1"/>
    <xf numFmtId="168" fontId="4" fillId="0" borderId="0" xfId="12" applyNumberFormat="1" applyFont="1" applyBorder="1"/>
    <xf numFmtId="0" fontId="4" fillId="0" borderId="12" xfId="15" applyFont="1" applyBorder="1" applyAlignment="1">
      <alignment wrapText="1"/>
    </xf>
    <xf numFmtId="43" fontId="4" fillId="0" borderId="12" xfId="12" applyFont="1" applyBorder="1"/>
    <xf numFmtId="169" fontId="4" fillId="10" borderId="79" xfId="26" applyNumberFormat="1" applyFont="1" applyFill="1" applyBorder="1"/>
    <xf numFmtId="169" fontId="4" fillId="0" borderId="51" xfId="26" applyNumberFormat="1" applyFont="1" applyFill="1" applyBorder="1"/>
    <xf numFmtId="0" fontId="17" fillId="11" borderId="14" xfId="15" applyFont="1" applyFill="1" applyBorder="1" applyAlignment="1">
      <alignment horizontal="center"/>
    </xf>
    <xf numFmtId="168" fontId="4" fillId="0" borderId="80" xfId="12" applyNumberFormat="1" applyFont="1" applyFill="1" applyBorder="1"/>
    <xf numFmtId="169" fontId="4" fillId="0" borderId="0" xfId="26" applyNumberFormat="1" applyFont="1" applyFill="1" applyBorder="1"/>
    <xf numFmtId="0" fontId="4" fillId="0" borderId="13" xfId="15" applyFont="1" applyBorder="1" applyAlignment="1">
      <alignment wrapText="1"/>
    </xf>
    <xf numFmtId="0" fontId="4" fillId="0" borderId="42" xfId="15" applyFont="1" applyBorder="1" applyAlignment="1">
      <alignment wrapText="1"/>
    </xf>
    <xf numFmtId="0" fontId="4" fillId="0" borderId="44" xfId="15" applyFont="1" applyBorder="1" applyAlignment="1">
      <alignment wrapText="1"/>
    </xf>
    <xf numFmtId="0" fontId="45" fillId="0" borderId="0" xfId="20" applyFont="1"/>
    <xf numFmtId="165" fontId="31" fillId="0" borderId="0" xfId="20" applyNumberFormat="1"/>
    <xf numFmtId="0" fontId="46" fillId="0" borderId="0" xfId="20" applyFont="1"/>
    <xf numFmtId="0" fontId="47" fillId="0" borderId="0" xfId="20" applyFont="1"/>
    <xf numFmtId="0" fontId="5" fillId="0" borderId="63" xfId="20" applyFont="1" applyBorder="1" applyAlignment="1">
      <alignment horizontal="center"/>
    </xf>
    <xf numFmtId="0" fontId="5" fillId="0" borderId="0" xfId="20" applyFont="1" applyAlignment="1">
      <alignment horizontal="center" wrapText="1"/>
    </xf>
    <xf numFmtId="3" fontId="5" fillId="0" borderId="0" xfId="20" applyNumberFormat="1" applyFont="1" applyAlignment="1">
      <alignment horizontal="center" wrapText="1"/>
    </xf>
    <xf numFmtId="0" fontId="5" fillId="0" borderId="0" xfId="20" applyFont="1" applyAlignment="1">
      <alignment horizontal="center"/>
    </xf>
    <xf numFmtId="0" fontId="49" fillId="0" borderId="0" xfId="0" applyFont="1"/>
    <xf numFmtId="0" fontId="49" fillId="0" borderId="1" xfId="0" applyFont="1" applyBorder="1" applyAlignment="1">
      <alignment horizontal="left"/>
    </xf>
    <xf numFmtId="0" fontId="49" fillId="0" borderId="1" xfId="0" applyFont="1" applyBorder="1"/>
    <xf numFmtId="9" fontId="49" fillId="0" borderId="0" xfId="27" applyFont="1"/>
    <xf numFmtId="0" fontId="49" fillId="9" borderId="0" xfId="0" applyFont="1" applyFill="1" applyAlignment="1">
      <alignment horizontal="left"/>
    </xf>
    <xf numFmtId="0" fontId="50" fillId="0" borderId="1" xfId="0" applyFont="1" applyBorder="1" applyAlignment="1">
      <alignment vertical="top" wrapText="1"/>
    </xf>
    <xf numFmtId="0" fontId="44" fillId="0" borderId="1" xfId="0" applyFont="1" applyBorder="1"/>
    <xf numFmtId="0" fontId="51" fillId="0" borderId="1" xfId="0" applyFont="1" applyBorder="1" applyAlignment="1">
      <alignment vertical="top" wrapText="1"/>
    </xf>
    <xf numFmtId="167" fontId="48" fillId="0" borderId="0" xfId="0" applyNumberFormat="1" applyFont="1" applyAlignment="1">
      <alignment horizontal="right" vertical="top"/>
    </xf>
    <xf numFmtId="0" fontId="48" fillId="0" borderId="0" xfId="11" applyFont="1"/>
    <xf numFmtId="0" fontId="48" fillId="0" borderId="0" xfId="11" applyFont="1" applyAlignment="1">
      <alignment horizontal="left"/>
    </xf>
    <xf numFmtId="43" fontId="4" fillId="0" borderId="50" xfId="12" applyFont="1" applyBorder="1"/>
    <xf numFmtId="0" fontId="4" fillId="0" borderId="81" xfId="15" applyFont="1" applyBorder="1" applyAlignment="1">
      <alignment wrapText="1"/>
    </xf>
    <xf numFmtId="168" fontId="4" fillId="4" borderId="49" xfId="12" applyNumberFormat="1" applyFont="1" applyFill="1" applyBorder="1"/>
    <xf numFmtId="172" fontId="4" fillId="0" borderId="47" xfId="12" applyNumberFormat="1" applyFont="1" applyFill="1" applyBorder="1"/>
    <xf numFmtId="172" fontId="4" fillId="0" borderId="80" xfId="12" applyNumberFormat="1" applyFont="1" applyFill="1" applyBorder="1"/>
    <xf numFmtId="43" fontId="4" fillId="0" borderId="3" xfId="12" applyFont="1" applyFill="1" applyBorder="1"/>
    <xf numFmtId="43" fontId="4" fillId="0" borderId="80" xfId="12" applyFont="1" applyFill="1" applyBorder="1"/>
    <xf numFmtId="168" fontId="4" fillId="0" borderId="9" xfId="12" applyNumberFormat="1" applyFont="1" applyFill="1" applyBorder="1"/>
    <xf numFmtId="168" fontId="4" fillId="0" borderId="10" xfId="12" applyNumberFormat="1" applyFont="1" applyFill="1" applyBorder="1"/>
    <xf numFmtId="43" fontId="4" fillId="0" borderId="11" xfId="12" applyFont="1" applyFill="1" applyBorder="1"/>
    <xf numFmtId="168" fontId="4" fillId="0" borderId="13" xfId="12" applyNumberFormat="1" applyFont="1" applyFill="1" applyBorder="1"/>
    <xf numFmtId="0" fontId="0" fillId="9" borderId="20" xfId="0" applyFill="1" applyBorder="1"/>
    <xf numFmtId="0" fontId="44" fillId="0" borderId="1" xfId="0" applyFont="1" applyBorder="1" applyAlignment="1">
      <alignment wrapText="1"/>
    </xf>
    <xf numFmtId="0" fontId="52" fillId="0" borderId="1" xfId="0" applyFont="1" applyBorder="1" applyAlignment="1">
      <alignment vertical="center" wrapText="1"/>
    </xf>
    <xf numFmtId="6" fontId="52" fillId="0" borderId="1" xfId="0" applyNumberFormat="1" applyFont="1" applyBorder="1" applyAlignment="1">
      <alignment vertical="center" wrapText="1"/>
    </xf>
    <xf numFmtId="166" fontId="24" fillId="0" borderId="23" xfId="11" applyNumberFormat="1" applyFont="1" applyBorder="1" applyAlignment="1">
      <alignment horizontal="center"/>
    </xf>
    <xf numFmtId="172" fontId="4" fillId="0" borderId="51" xfId="12" applyNumberFormat="1" applyFont="1" applyBorder="1"/>
    <xf numFmtId="172" fontId="4" fillId="0" borderId="48" xfId="12" applyNumberFormat="1" applyFont="1" applyBorder="1"/>
    <xf numFmtId="2" fontId="0" fillId="0" borderId="0" xfId="27" applyNumberFormat="1" applyFont="1"/>
    <xf numFmtId="172" fontId="4" fillId="0" borderId="0" xfId="28" applyNumberFormat="1" applyFont="1"/>
    <xf numFmtId="1" fontId="24" fillId="0" borderId="38" xfId="11" applyNumberFormat="1" applyFont="1" applyBorder="1" applyAlignment="1">
      <alignment horizontal="center"/>
    </xf>
    <xf numFmtId="165" fontId="24" fillId="0" borderId="34" xfId="11" applyNumberFormat="1" applyFont="1" applyBorder="1" applyAlignment="1">
      <alignment horizontal="center"/>
    </xf>
    <xf numFmtId="167" fontId="48" fillId="0" borderId="0" xfId="0" applyNumberFormat="1" applyFont="1" applyAlignment="1">
      <alignment horizontal="left" vertical="top"/>
    </xf>
    <xf numFmtId="0" fontId="0" fillId="21" borderId="1" xfId="0" applyFill="1" applyBorder="1"/>
    <xf numFmtId="0" fontId="0" fillId="21" borderId="0" xfId="0" applyFill="1"/>
    <xf numFmtId="0" fontId="55" fillId="0" borderId="0" xfId="0" applyFont="1"/>
    <xf numFmtId="0" fontId="0" fillId="0" borderId="16" xfId="0" applyBorder="1"/>
    <xf numFmtId="0" fontId="54" fillId="0" borderId="0" xfId="0" applyFont="1" applyAlignment="1">
      <alignment wrapText="1"/>
    </xf>
    <xf numFmtId="9" fontId="0" fillId="0" borderId="0" xfId="27" applyFont="1"/>
    <xf numFmtId="0" fontId="24" fillId="22" borderId="29" xfId="11" applyFont="1" applyFill="1" applyBorder="1" applyAlignment="1">
      <alignment horizontal="left" indent="2"/>
    </xf>
    <xf numFmtId="0" fontId="24" fillId="22" borderId="23" xfId="11" applyFont="1" applyFill="1" applyBorder="1" applyAlignment="1">
      <alignment horizontal="center"/>
    </xf>
    <xf numFmtId="0" fontId="21" fillId="22" borderId="0" xfId="11" applyFont="1" applyFill="1" applyAlignment="1">
      <alignment horizontal="left"/>
    </xf>
    <xf numFmtId="0" fontId="21" fillId="22" borderId="0" xfId="11" applyFont="1" applyFill="1"/>
    <xf numFmtId="167" fontId="21" fillId="22" borderId="0" xfId="0" applyNumberFormat="1" applyFont="1" applyFill="1" applyAlignment="1">
      <alignment horizontal="right" vertical="top"/>
    </xf>
    <xf numFmtId="3" fontId="24" fillId="22" borderId="23" xfId="11" applyNumberFormat="1" applyFont="1" applyFill="1" applyBorder="1" applyAlignment="1">
      <alignment horizontal="center"/>
    </xf>
    <xf numFmtId="165" fontId="24" fillId="22" borderId="23" xfId="11" applyNumberFormat="1" applyFont="1" applyFill="1" applyBorder="1" applyAlignment="1">
      <alignment horizontal="center"/>
    </xf>
    <xf numFmtId="0" fontId="21" fillId="22" borderId="0" xfId="11" applyFont="1" applyFill="1" applyAlignment="1">
      <alignment horizontal="center"/>
    </xf>
    <xf numFmtId="1" fontId="21" fillId="22" borderId="0" xfId="11" applyNumberFormat="1" applyFont="1" applyFill="1" applyAlignment="1">
      <alignment horizontal="center"/>
    </xf>
    <xf numFmtId="3" fontId="21" fillId="22" borderId="0" xfId="11" applyNumberFormat="1" applyFont="1" applyFill="1" applyAlignment="1">
      <alignment horizontal="center"/>
    </xf>
    <xf numFmtId="49" fontId="5" fillId="0" borderId="82" xfId="20" applyNumberFormat="1" applyFont="1" applyBorder="1" applyAlignment="1">
      <alignment vertical="top"/>
    </xf>
    <xf numFmtId="0" fontId="5" fillId="0" borderId="86" xfId="20" applyFont="1" applyBorder="1" applyAlignment="1">
      <alignment horizontal="center"/>
    </xf>
    <xf numFmtId="49" fontId="5" fillId="0" borderId="83" xfId="20" applyNumberFormat="1" applyFont="1" applyBorder="1" applyAlignment="1">
      <alignment vertical="top"/>
    </xf>
    <xf numFmtId="0" fontId="24" fillId="0" borderId="0" xfId="11" applyFont="1" applyAlignment="1">
      <alignment horizontal="center"/>
    </xf>
    <xf numFmtId="0" fontId="21" fillId="4" borderId="0" xfId="11" applyFont="1" applyFill="1" applyAlignment="1">
      <alignment horizontal="left"/>
    </xf>
    <xf numFmtId="0" fontId="24" fillId="4" borderId="23" xfId="11" applyFont="1" applyFill="1" applyBorder="1" applyAlignment="1">
      <alignment horizontal="center"/>
    </xf>
    <xf numFmtId="3" fontId="24" fillId="4" borderId="23" xfId="12" applyNumberFormat="1" applyFont="1" applyFill="1" applyBorder="1" applyAlignment="1">
      <alignment horizontal="center"/>
    </xf>
    <xf numFmtId="0" fontId="24" fillId="4" borderId="27" xfId="11" applyFont="1" applyFill="1" applyBorder="1" applyAlignment="1">
      <alignment horizontal="center"/>
    </xf>
    <xf numFmtId="0" fontId="24" fillId="4" borderId="0" xfId="11" applyFont="1" applyFill="1" applyAlignment="1">
      <alignment horizontal="center"/>
    </xf>
    <xf numFmtId="0" fontId="9" fillId="5" borderId="4" xfId="29" applyFont="1" applyFill="1" applyBorder="1" applyAlignment="1">
      <alignment horizontal="center"/>
    </xf>
    <xf numFmtId="0" fontId="37" fillId="15" borderId="1" xfId="22" applyBorder="1" applyAlignment="1">
      <alignment wrapText="1"/>
    </xf>
    <xf numFmtId="0" fontId="9" fillId="0" borderId="5" xfId="29" applyFont="1" applyBorder="1" applyAlignment="1">
      <alignment wrapText="1"/>
    </xf>
    <xf numFmtId="0" fontId="9" fillId="0" borderId="5" xfId="29" applyFont="1" applyBorder="1" applyAlignment="1">
      <alignment horizontal="right" wrapText="1"/>
    </xf>
    <xf numFmtId="0" fontId="9" fillId="0" borderId="5" xfId="30" applyFont="1" applyBorder="1" applyAlignment="1">
      <alignment wrapText="1"/>
    </xf>
    <xf numFmtId="0" fontId="9" fillId="0" borderId="5" xfId="30" applyFont="1" applyBorder="1" applyAlignment="1">
      <alignment horizontal="right" wrapText="1"/>
    </xf>
    <xf numFmtId="1" fontId="24" fillId="4" borderId="23" xfId="11" applyNumberFormat="1" applyFont="1" applyFill="1" applyBorder="1" applyAlignment="1">
      <alignment horizontal="center"/>
    </xf>
    <xf numFmtId="0" fontId="53" fillId="0" borderId="0" xfId="11" applyFont="1"/>
    <xf numFmtId="0" fontId="0" fillId="23" borderId="0" xfId="0" applyFill="1" applyAlignment="1">
      <alignment wrapText="1"/>
    </xf>
    <xf numFmtId="0" fontId="0" fillId="23" borderId="0" xfId="0" applyFill="1"/>
    <xf numFmtId="0" fontId="57" fillId="0" borderId="87" xfId="0" applyFont="1" applyBorder="1"/>
    <xf numFmtId="0" fontId="0" fillId="0" borderId="88" xfId="0" applyBorder="1"/>
    <xf numFmtId="0" fontId="0" fillId="0" borderId="89" xfId="0" applyBorder="1"/>
    <xf numFmtId="0" fontId="0" fillId="0" borderId="90" xfId="0" applyBorder="1"/>
    <xf numFmtId="0" fontId="0" fillId="0" borderId="91" xfId="0" applyBorder="1"/>
    <xf numFmtId="0" fontId="0" fillId="0" borderId="19" xfId="0" applyBorder="1"/>
    <xf numFmtId="0" fontId="0" fillId="0" borderId="3" xfId="0" applyBorder="1"/>
    <xf numFmtId="0" fontId="0" fillId="0" borderId="92" xfId="0" applyBorder="1"/>
    <xf numFmtId="0" fontId="21" fillId="4" borderId="0" xfId="11" applyFont="1" applyFill="1" applyAlignment="1">
      <alignment vertical="top"/>
    </xf>
    <xf numFmtId="0" fontId="24" fillId="0" borderId="38" xfId="11" applyFont="1" applyBorder="1" applyAlignment="1">
      <alignment horizontal="center"/>
    </xf>
    <xf numFmtId="0" fontId="24" fillId="0" borderId="34" xfId="11" applyFont="1" applyBorder="1" applyAlignment="1">
      <alignment horizontal="center"/>
    </xf>
    <xf numFmtId="0" fontId="24" fillId="0" borderId="33" xfId="11" applyFont="1" applyBorder="1" applyAlignment="1">
      <alignment horizontal="center"/>
    </xf>
    <xf numFmtId="0" fontId="21" fillId="0" borderId="0" xfId="11" applyFont="1" applyAlignment="1">
      <alignment horizontal="left" wrapText="1"/>
    </xf>
    <xf numFmtId="0" fontId="21" fillId="22" borderId="0" xfId="11" applyFont="1" applyFill="1" applyAlignment="1">
      <alignment horizontal="left" wrapText="1"/>
    </xf>
    <xf numFmtId="0" fontId="48" fillId="0" borderId="0" xfId="11" applyFont="1" applyAlignment="1">
      <alignment horizontal="left" wrapText="1"/>
    </xf>
    <xf numFmtId="0" fontId="4" fillId="0" borderId="11" xfId="11" applyFont="1" applyBorder="1"/>
    <xf numFmtId="0" fontId="4" fillId="0" borderId="12" xfId="11" applyFont="1" applyBorder="1"/>
    <xf numFmtId="0" fontId="4" fillId="0" borderId="13" xfId="11" applyFont="1" applyBorder="1"/>
    <xf numFmtId="3" fontId="24" fillId="0" borderId="0" xfId="11" applyNumberFormat="1" applyFont="1"/>
    <xf numFmtId="3" fontId="22" fillId="0" borderId="0" xfId="11" applyNumberFormat="1" applyFont="1"/>
    <xf numFmtId="0" fontId="21" fillId="0" borderId="0" xfId="11" applyFont="1" applyAlignment="1">
      <alignment vertical="top"/>
    </xf>
    <xf numFmtId="3" fontId="5" fillId="0" borderId="83" xfId="20" applyNumberFormat="1" applyFont="1" applyBorder="1"/>
    <xf numFmtId="0" fontId="5" fillId="0" borderId="83" xfId="20" applyFont="1" applyBorder="1"/>
    <xf numFmtId="0" fontId="31" fillId="0" borderId="84" xfId="20" applyBorder="1" applyAlignment="1">
      <alignment horizontal="center" wrapText="1"/>
    </xf>
    <xf numFmtId="3" fontId="31" fillId="0" borderId="85" xfId="20" applyNumberFormat="1" applyBorder="1" applyAlignment="1">
      <alignment horizontal="center" wrapText="1"/>
    </xf>
    <xf numFmtId="167" fontId="4" fillId="0" borderId="0" xfId="0" applyNumberFormat="1" applyFont="1"/>
    <xf numFmtId="173" fontId="24" fillId="0" borderId="0" xfId="11" applyNumberFormat="1" applyFont="1"/>
    <xf numFmtId="0" fontId="58" fillId="0" borderId="1" xfId="0" applyFont="1" applyBorder="1"/>
    <xf numFmtId="0" fontId="58" fillId="0" borderId="46" xfId="0" applyFont="1" applyBorder="1"/>
    <xf numFmtId="0" fontId="58" fillId="0" borderId="0" xfId="0" applyFont="1"/>
    <xf numFmtId="0" fontId="58" fillId="0" borderId="0" xfId="20" applyFont="1"/>
    <xf numFmtId="0" fontId="58" fillId="0" borderId="0" xfId="20" applyFont="1" applyAlignment="1">
      <alignment horizontal="center" wrapText="1"/>
    </xf>
    <xf numFmtId="3" fontId="58" fillId="0" borderId="0" xfId="20" applyNumberFormat="1" applyFont="1" applyAlignment="1">
      <alignment horizontal="center" wrapText="1"/>
    </xf>
    <xf numFmtId="0" fontId="58" fillId="0" borderId="0" xfId="20" applyFont="1" applyAlignment="1">
      <alignment horizontal="center"/>
    </xf>
    <xf numFmtId="0" fontId="58" fillId="0" borderId="1" xfId="20" applyFont="1" applyBorder="1" applyAlignment="1">
      <alignment horizontal="center" vertical="center" wrapText="1"/>
    </xf>
    <xf numFmtId="0" fontId="58" fillId="0" borderId="1" xfId="20" applyFont="1" applyBorder="1" applyAlignment="1">
      <alignment horizontal="center" textRotation="90"/>
    </xf>
    <xf numFmtId="0" fontId="59" fillId="0" borderId="0" xfId="20" applyFont="1"/>
    <xf numFmtId="0" fontId="58" fillId="0" borderId="1" xfId="20" applyFont="1" applyBorder="1" applyAlignment="1">
      <alignment horizontal="center" wrapText="1"/>
    </xf>
    <xf numFmtId="3" fontId="58" fillId="0" borderId="1" xfId="20" applyNumberFormat="1" applyFont="1" applyBorder="1" applyAlignment="1">
      <alignment horizontal="center" wrapText="1"/>
    </xf>
    <xf numFmtId="165" fontId="58" fillId="0" borderId="1" xfId="20" applyNumberFormat="1" applyFont="1" applyBorder="1" applyAlignment="1">
      <alignment horizontal="center" wrapText="1"/>
    </xf>
    <xf numFmtId="0" fontId="58" fillId="0" borderId="1" xfId="20" applyFont="1" applyBorder="1" applyAlignment="1">
      <alignment horizontal="center"/>
    </xf>
    <xf numFmtId="173" fontId="58" fillId="0" borderId="1" xfId="20" applyNumberFormat="1" applyFont="1" applyBorder="1" applyAlignment="1">
      <alignment horizontal="center" wrapText="1"/>
    </xf>
    <xf numFmtId="0" fontId="58" fillId="0" borderId="1" xfId="20" applyFont="1" applyBorder="1" applyAlignment="1">
      <alignment vertical="top" wrapText="1"/>
    </xf>
    <xf numFmtId="39" fontId="58" fillId="0" borderId="1" xfId="20" applyNumberFormat="1" applyFont="1" applyBorder="1" applyAlignment="1">
      <alignment horizontal="center" wrapText="1"/>
    </xf>
    <xf numFmtId="3" fontId="58" fillId="0" borderId="1" xfId="20" applyNumberFormat="1" applyFont="1" applyBorder="1" applyAlignment="1">
      <alignment horizontal="center"/>
    </xf>
    <xf numFmtId="0" fontId="58" fillId="0" borderId="2" xfId="20" applyFont="1" applyBorder="1" applyAlignment="1">
      <alignment horizontal="center" wrapText="1"/>
    </xf>
    <xf numFmtId="165" fontId="59" fillId="0" borderId="1" xfId="20" applyNumberFormat="1" applyFont="1" applyBorder="1" applyAlignment="1">
      <alignment horizontal="center" wrapText="1"/>
    </xf>
    <xf numFmtId="0" fontId="58" fillId="0" borderId="0" xfId="20" applyFont="1" applyAlignment="1">
      <alignment wrapText="1"/>
    </xf>
    <xf numFmtId="167" fontId="58" fillId="0" borderId="0" xfId="0" applyNumberFormat="1" applyFont="1"/>
    <xf numFmtId="0" fontId="58" fillId="0" borderId="0" xfId="11" applyFont="1"/>
    <xf numFmtId="1" fontId="58" fillId="0" borderId="1" xfId="11" applyNumberFormat="1" applyFont="1" applyBorder="1" applyAlignment="1">
      <alignment horizontal="center" wrapText="1"/>
    </xf>
    <xf numFmtId="3" fontId="58" fillId="0" borderId="1" xfId="11" applyNumberFormat="1" applyFont="1" applyBorder="1" applyAlignment="1">
      <alignment horizontal="center" wrapText="1"/>
    </xf>
    <xf numFmtId="0" fontId="58" fillId="0" borderId="1" xfId="11" applyFont="1" applyBorder="1" applyAlignment="1">
      <alignment horizontal="center" textRotation="90" wrapText="1"/>
    </xf>
    <xf numFmtId="0" fontId="58" fillId="0" borderId="0" xfId="11" applyFont="1" applyAlignment="1">
      <alignment wrapText="1"/>
    </xf>
    <xf numFmtId="0" fontId="58" fillId="0" borderId="1" xfId="11" applyFont="1" applyBorder="1"/>
    <xf numFmtId="0" fontId="58" fillId="0" borderId="1" xfId="11" applyFont="1" applyBorder="1" applyAlignment="1">
      <alignment horizontal="center"/>
    </xf>
    <xf numFmtId="3" fontId="58" fillId="0" borderId="1" xfId="11" applyNumberFormat="1" applyFont="1" applyBorder="1" applyAlignment="1">
      <alignment horizontal="center"/>
    </xf>
    <xf numFmtId="0" fontId="58" fillId="0" borderId="1" xfId="11" applyFont="1" applyBorder="1" applyAlignment="1">
      <alignment wrapText="1"/>
    </xf>
    <xf numFmtId="3" fontId="58" fillId="0" borderId="1" xfId="12" applyNumberFormat="1" applyFont="1" applyFill="1" applyBorder="1" applyAlignment="1">
      <alignment horizontal="center"/>
    </xf>
    <xf numFmtId="166" fontId="58" fillId="0" borderId="0" xfId="11" applyNumberFormat="1" applyFont="1"/>
    <xf numFmtId="1" fontId="58" fillId="0" borderId="1" xfId="11" applyNumberFormat="1" applyFont="1" applyBorder="1" applyAlignment="1">
      <alignment horizontal="center"/>
    </xf>
    <xf numFmtId="0" fontId="58" fillId="0" borderId="1" xfId="11" applyFont="1" applyBorder="1" applyAlignment="1">
      <alignment horizontal="left" wrapText="1" indent="2"/>
    </xf>
    <xf numFmtId="0" fontId="58" fillId="0" borderId="0" xfId="11" applyFont="1" applyAlignment="1">
      <alignment horizontal="right"/>
    </xf>
    <xf numFmtId="0" fontId="58" fillId="0" borderId="0" xfId="11" applyFont="1" applyAlignment="1">
      <alignment horizontal="center"/>
    </xf>
    <xf numFmtId="0" fontId="62" fillId="0" borderId="1" xfId="11" applyFont="1" applyBorder="1" applyAlignment="1">
      <alignment horizontal="center" wrapText="1"/>
    </xf>
    <xf numFmtId="0" fontId="62" fillId="0" borderId="1" xfId="11" applyFont="1" applyBorder="1" applyAlignment="1">
      <alignment horizontal="center"/>
    </xf>
    <xf numFmtId="3" fontId="62" fillId="0" borderId="1" xfId="12" applyNumberFormat="1" applyFont="1" applyFill="1" applyBorder="1" applyAlignment="1">
      <alignment horizontal="center"/>
    </xf>
    <xf numFmtId="165" fontId="62" fillId="0" borderId="1" xfId="11" applyNumberFormat="1" applyFont="1" applyBorder="1" applyAlignment="1">
      <alignment horizontal="center"/>
    </xf>
    <xf numFmtId="165" fontId="58" fillId="0" borderId="0" xfId="11" applyNumberFormat="1" applyFont="1" applyAlignment="1">
      <alignment horizontal="right"/>
    </xf>
    <xf numFmtId="0" fontId="62" fillId="0" borderId="1" xfId="11" applyFont="1" applyBorder="1"/>
    <xf numFmtId="3" fontId="62" fillId="0" borderId="1" xfId="11" applyNumberFormat="1" applyFont="1" applyBorder="1" applyAlignment="1">
      <alignment horizontal="center"/>
    </xf>
    <xf numFmtId="0" fontId="59" fillId="0" borderId="0" xfId="11" applyFont="1"/>
    <xf numFmtId="1" fontId="59" fillId="0" borderId="1" xfId="11" applyNumberFormat="1" applyFont="1" applyBorder="1" applyAlignment="1">
      <alignment horizontal="center"/>
    </xf>
    <xf numFmtId="0" fontId="59" fillId="0" borderId="1" xfId="11" applyFont="1" applyBorder="1"/>
    <xf numFmtId="165" fontId="59" fillId="0" borderId="0" xfId="11" applyNumberFormat="1" applyFont="1" applyAlignment="1">
      <alignment horizontal="center"/>
    </xf>
    <xf numFmtId="167" fontId="59" fillId="0" borderId="0" xfId="0" applyNumberFormat="1" applyFont="1"/>
    <xf numFmtId="0" fontId="59" fillId="0" borderId="0" xfId="11" applyFont="1" applyAlignment="1">
      <alignment wrapText="1"/>
    </xf>
    <xf numFmtId="0" fontId="58" fillId="0" borderId="0" xfId="11" applyFont="1" applyAlignment="1">
      <alignment horizontal="left"/>
    </xf>
    <xf numFmtId="0" fontId="58" fillId="0" borderId="0" xfId="11" applyFont="1" applyAlignment="1">
      <alignment horizontal="left" wrapText="1"/>
    </xf>
    <xf numFmtId="3" fontId="58" fillId="0" borderId="0" xfId="11" applyNumberFormat="1" applyFont="1" applyAlignment="1">
      <alignment horizontal="center"/>
    </xf>
    <xf numFmtId="0" fontId="58" fillId="0" borderId="1" xfId="11" quotePrefix="1" applyFont="1" applyBorder="1"/>
    <xf numFmtId="1" fontId="58" fillId="0" borderId="0" xfId="11" applyNumberFormat="1" applyFont="1" applyAlignment="1">
      <alignment horizontal="center"/>
    </xf>
    <xf numFmtId="0" fontId="58" fillId="0" borderId="0" xfId="11" applyFont="1" applyAlignment="1">
      <alignment horizontal="right" vertical="top"/>
    </xf>
    <xf numFmtId="0" fontId="59" fillId="0" borderId="1" xfId="11" applyFont="1" applyBorder="1" applyAlignment="1">
      <alignment horizontal="center" vertical="center" wrapText="1"/>
    </xf>
    <xf numFmtId="3" fontId="58" fillId="0" borderId="0" xfId="11" applyNumberFormat="1" applyFont="1" applyAlignment="1">
      <alignment horizontal="center" wrapText="1"/>
    </xf>
    <xf numFmtId="0" fontId="58" fillId="0" borderId="0" xfId="11" applyFont="1" applyAlignment="1">
      <alignment horizontal="center" wrapText="1"/>
    </xf>
    <xf numFmtId="0" fontId="58" fillId="0" borderId="0" xfId="11" applyFont="1" applyAlignment="1">
      <alignment horizontal="center" textRotation="90" wrapText="1"/>
    </xf>
    <xf numFmtId="165" fontId="58" fillId="0" borderId="0" xfId="11" applyNumberFormat="1" applyFont="1" applyAlignment="1">
      <alignment horizontal="center"/>
    </xf>
    <xf numFmtId="0" fontId="58" fillId="0" borderId="0" xfId="11" quotePrefix="1" applyFont="1"/>
    <xf numFmtId="9" fontId="58" fillId="0" borderId="1" xfId="27" applyFont="1" applyFill="1" applyBorder="1" applyAlignment="1">
      <alignment horizontal="center"/>
    </xf>
    <xf numFmtId="1" fontId="58" fillId="0" borderId="1" xfId="27" applyNumberFormat="1" applyFont="1" applyFill="1" applyBorder="1" applyAlignment="1">
      <alignment horizontal="center"/>
    </xf>
    <xf numFmtId="1" fontId="58" fillId="0" borderId="1" xfId="11" applyNumberFormat="1" applyFont="1" applyBorder="1"/>
    <xf numFmtId="0" fontId="62" fillId="0" borderId="2" xfId="11" applyFont="1" applyBorder="1"/>
    <xf numFmtId="3" fontId="62" fillId="0" borderId="0" xfId="11" applyNumberFormat="1" applyFont="1"/>
    <xf numFmtId="165" fontId="62" fillId="0" borderId="0" xfId="11" applyNumberFormat="1" applyFont="1" applyAlignment="1">
      <alignment horizontal="center"/>
    </xf>
    <xf numFmtId="1" fontId="59" fillId="0" borderId="0" xfId="11" applyNumberFormat="1" applyFont="1" applyAlignment="1">
      <alignment horizontal="center"/>
    </xf>
    <xf numFmtId="165" fontId="59" fillId="0" borderId="0" xfId="11" applyNumberFormat="1" applyFont="1"/>
    <xf numFmtId="0" fontId="59" fillId="0" borderId="0" xfId="11" applyFont="1" applyAlignment="1">
      <alignment vertical="top"/>
    </xf>
    <xf numFmtId="165" fontId="59" fillId="0" borderId="1" xfId="11" applyNumberFormat="1" applyFont="1" applyBorder="1"/>
    <xf numFmtId="165" fontId="59" fillId="0" borderId="93" xfId="11" applyNumberFormat="1" applyFont="1" applyBorder="1"/>
    <xf numFmtId="165" fontId="59" fillId="0" borderId="20" xfId="11" applyNumberFormat="1" applyFont="1" applyBorder="1"/>
    <xf numFmtId="174" fontId="58" fillId="0" borderId="1" xfId="27" applyNumberFormat="1" applyFont="1" applyFill="1" applyBorder="1" applyAlignment="1">
      <alignment horizontal="center"/>
    </xf>
    <xf numFmtId="173" fontId="58" fillId="0" borderId="1" xfId="12" applyNumberFormat="1" applyFont="1" applyFill="1" applyBorder="1" applyAlignment="1">
      <alignment horizontal="center"/>
    </xf>
    <xf numFmtId="0" fontId="62" fillId="0" borderId="1" xfId="11" applyFont="1" applyBorder="1" applyAlignment="1">
      <alignment wrapText="1"/>
    </xf>
    <xf numFmtId="0" fontId="58" fillId="0" borderId="1" xfId="11" applyFont="1" applyBorder="1" applyAlignment="1">
      <alignment horizontal="center" vertical="center" wrapText="1"/>
    </xf>
    <xf numFmtId="0" fontId="58" fillId="0" borderId="1" xfId="11" applyFont="1" applyBorder="1" applyAlignment="1">
      <alignment horizontal="center" textRotation="90"/>
    </xf>
    <xf numFmtId="165" fontId="63" fillId="0" borderId="1" xfId="11" applyNumberFormat="1" applyFont="1" applyBorder="1" applyAlignment="1">
      <alignment horizontal="center"/>
    </xf>
    <xf numFmtId="3" fontId="58" fillId="0" borderId="0" xfId="11" applyNumberFormat="1" applyFont="1" applyAlignment="1">
      <alignment horizontal="left"/>
    </xf>
    <xf numFmtId="0" fontId="58" fillId="0" borderId="1" xfId="11" applyFont="1" applyBorder="1" applyAlignment="1">
      <alignment horizontal="left" wrapText="1" indent="1"/>
    </xf>
    <xf numFmtId="1" fontId="59" fillId="0" borderId="0" xfId="11" applyNumberFormat="1" applyFont="1" applyAlignment="1">
      <alignment horizontal="center" wrapText="1"/>
    </xf>
    <xf numFmtId="0" fontId="58" fillId="0" borderId="0" xfId="11" applyFont="1" applyAlignment="1">
      <alignment horizontal="left" vertical="top"/>
    </xf>
    <xf numFmtId="164" fontId="59" fillId="0" borderId="0" xfId="27" applyNumberFormat="1" applyFont="1" applyFill="1" applyBorder="1" applyAlignment="1">
      <alignment horizontal="center" wrapText="1"/>
    </xf>
    <xf numFmtId="3" fontId="59" fillId="0" borderId="0" xfId="11" applyNumberFormat="1" applyFont="1" applyAlignment="1">
      <alignment wrapText="1"/>
    </xf>
    <xf numFmtId="3" fontId="59" fillId="0" borderId="0" xfId="11" applyNumberFormat="1" applyFont="1" applyAlignment="1">
      <alignment horizontal="center" wrapText="1"/>
    </xf>
    <xf numFmtId="49" fontId="58" fillId="0" borderId="3" xfId="20" applyNumberFormat="1" applyFont="1" applyBorder="1"/>
    <xf numFmtId="49" fontId="58" fillId="0" borderId="3" xfId="20" applyNumberFormat="1" applyFont="1" applyBorder="1" applyAlignment="1">
      <alignment vertical="top"/>
    </xf>
    <xf numFmtId="0" fontId="59" fillId="0" borderId="0" xfId="11" applyFont="1" applyAlignment="1">
      <alignment horizontal="left" vertical="top" wrapText="1"/>
    </xf>
    <xf numFmtId="0" fontId="59" fillId="0" borderId="3" xfId="11" applyFont="1" applyBorder="1"/>
    <xf numFmtId="0" fontId="58" fillId="0" borderId="0" xfId="11" applyFont="1" applyAlignment="1">
      <alignment horizontal="center" textRotation="90"/>
    </xf>
    <xf numFmtId="165" fontId="63" fillId="0" borderId="0" xfId="11" applyNumberFormat="1" applyFont="1" applyAlignment="1">
      <alignment horizontal="center"/>
    </xf>
    <xf numFmtId="167" fontId="60" fillId="0" borderId="0" xfId="0" applyNumberFormat="1" applyFont="1" applyAlignment="1">
      <alignment horizontal="left" vertical="top"/>
    </xf>
    <xf numFmtId="165" fontId="59" fillId="0" borderId="2" xfId="11" applyNumberFormat="1" applyFont="1" applyBorder="1"/>
    <xf numFmtId="0" fontId="58" fillId="0" borderId="0" xfId="20" applyFont="1" applyAlignment="1">
      <alignment horizontal="left" vertical="top"/>
    </xf>
    <xf numFmtId="0" fontId="60" fillId="0" borderId="0" xfId="20" applyFont="1" applyAlignment="1">
      <alignment horizontal="left" vertical="top"/>
    </xf>
    <xf numFmtId="0" fontId="60" fillId="0" borderId="0" xfId="20" applyFont="1" applyAlignment="1">
      <alignment horizontal="left" vertical="top" wrapText="1"/>
    </xf>
    <xf numFmtId="0" fontId="61" fillId="0" borderId="0" xfId="20" applyFont="1" applyAlignment="1">
      <alignment horizontal="left" vertical="top"/>
    </xf>
    <xf numFmtId="3" fontId="58" fillId="0" borderId="1" xfId="20" applyNumberFormat="1" applyFont="1" applyBorder="1" applyAlignment="1">
      <alignment horizontal="center" vertical="center" wrapText="1"/>
    </xf>
    <xf numFmtId="0" fontId="58" fillId="0" borderId="0" xfId="20" applyFont="1" applyAlignment="1">
      <alignment horizontal="center" textRotation="90"/>
    </xf>
    <xf numFmtId="165" fontId="58" fillId="0" borderId="1" xfId="11" applyNumberFormat="1" applyFont="1" applyBorder="1" applyAlignment="1">
      <alignment horizontal="left"/>
    </xf>
    <xf numFmtId="165" fontId="58" fillId="0" borderId="1" xfId="11" applyNumberFormat="1" applyFont="1" applyBorder="1" applyAlignment="1">
      <alignment horizontal="center"/>
    </xf>
    <xf numFmtId="0" fontId="58" fillId="0" borderId="1" xfId="11" applyFont="1" applyBorder="1" applyAlignment="1">
      <alignment horizontal="center" vertical="top" wrapText="1"/>
    </xf>
    <xf numFmtId="1" fontId="58" fillId="0" borderId="1" xfId="11" applyNumberFormat="1" applyFont="1" applyBorder="1" applyAlignment="1">
      <alignment horizontal="center" vertical="top" wrapText="1"/>
    </xf>
    <xf numFmtId="3" fontId="58" fillId="0" borderId="1" xfId="11" applyNumberFormat="1" applyFont="1" applyBorder="1" applyAlignment="1">
      <alignment horizontal="center" vertical="top" wrapText="1"/>
    </xf>
    <xf numFmtId="165" fontId="58" fillId="0" borderId="0" xfId="11" applyNumberFormat="1" applyFont="1" applyAlignment="1">
      <alignment horizontal="left"/>
    </xf>
    <xf numFmtId="0" fontId="58" fillId="0" borderId="35" xfId="11" applyFont="1" applyBorder="1"/>
    <xf numFmtId="0" fontId="58" fillId="0" borderId="35" xfId="11" applyFont="1" applyBorder="1" applyAlignment="1">
      <alignment horizontal="center"/>
    </xf>
    <xf numFmtId="165" fontId="58" fillId="0" borderId="35" xfId="11" applyNumberFormat="1" applyFont="1" applyBorder="1" applyAlignment="1">
      <alignment horizontal="center"/>
    </xf>
    <xf numFmtId="3" fontId="58" fillId="0" borderId="35" xfId="11" applyNumberFormat="1" applyFont="1" applyBorder="1" applyAlignment="1">
      <alignment horizontal="center"/>
    </xf>
    <xf numFmtId="165" fontId="59" fillId="0" borderId="46" xfId="11" applyNumberFormat="1" applyFont="1" applyBorder="1" applyAlignment="1">
      <alignment horizontal="center"/>
    </xf>
    <xf numFmtId="3" fontId="59" fillId="0" borderId="46" xfId="11" applyNumberFormat="1" applyFont="1" applyBorder="1" applyAlignment="1">
      <alignment horizontal="center"/>
    </xf>
    <xf numFmtId="3" fontId="62" fillId="0" borderId="0" xfId="11" applyNumberFormat="1" applyFont="1" applyAlignment="1">
      <alignment horizontal="center"/>
    </xf>
    <xf numFmtId="3" fontId="59" fillId="0" borderId="0" xfId="11" applyNumberFormat="1" applyFont="1" applyAlignment="1">
      <alignment horizontal="center"/>
    </xf>
    <xf numFmtId="0" fontId="58" fillId="0" borderId="1" xfId="0" applyFont="1" applyBorder="1" applyAlignment="1">
      <alignment horizontal="center" vertical="center" wrapText="1"/>
    </xf>
    <xf numFmtId="9" fontId="58" fillId="0" borderId="1" xfId="11" applyNumberFormat="1" applyFont="1" applyBorder="1" applyAlignment="1">
      <alignment horizontal="center"/>
    </xf>
    <xf numFmtId="9" fontId="58" fillId="0" borderId="1" xfId="12" applyNumberFormat="1" applyFont="1" applyFill="1" applyBorder="1" applyAlignment="1">
      <alignment horizontal="center"/>
    </xf>
    <xf numFmtId="0" fontId="58" fillId="0" borderId="0" xfId="11" applyFont="1" applyAlignment="1">
      <alignment horizontal="left" vertical="top" wrapText="1"/>
    </xf>
    <xf numFmtId="3" fontId="59" fillId="0" borderId="2" xfId="11" applyNumberFormat="1" applyFont="1" applyBorder="1" applyAlignment="1">
      <alignment horizontal="center"/>
    </xf>
    <xf numFmtId="0" fontId="58" fillId="0" borderId="1" xfId="11" applyFont="1" applyBorder="1" applyAlignment="1">
      <alignment horizontal="center" wrapText="1"/>
    </xf>
    <xf numFmtId="165" fontId="59" fillId="0" borderId="1" xfId="11" applyNumberFormat="1" applyFont="1" applyBorder="1" applyAlignment="1">
      <alignment horizontal="center"/>
    </xf>
    <xf numFmtId="3" fontId="59" fillId="0" borderId="1" xfId="11" applyNumberFormat="1" applyFont="1" applyBorder="1" applyAlignment="1">
      <alignment horizontal="center"/>
    </xf>
    <xf numFmtId="0" fontId="59" fillId="0" borderId="3" xfId="11" applyFont="1" applyBorder="1" applyAlignment="1">
      <alignment horizontal="center"/>
    </xf>
    <xf numFmtId="0" fontId="59" fillId="0" borderId="0" xfId="11" applyFont="1" applyAlignment="1">
      <alignment horizontal="center"/>
    </xf>
    <xf numFmtId="0" fontId="59" fillId="0" borderId="1" xfId="11" applyFont="1" applyBorder="1" applyAlignment="1">
      <alignment horizontal="center" wrapText="1"/>
    </xf>
    <xf numFmtId="0" fontId="59" fillId="0" borderId="1" xfId="11" applyFont="1" applyBorder="1" applyAlignment="1">
      <alignment horizontal="center"/>
    </xf>
    <xf numFmtId="0" fontId="58" fillId="0" borderId="0" xfId="20" applyFont="1" applyAlignment="1">
      <alignment horizontal="left" vertical="top" wrapText="1"/>
    </xf>
    <xf numFmtId="0" fontId="58" fillId="0" borderId="0" xfId="0" applyFont="1" applyAlignment="1">
      <alignment horizontal="left" vertical="top" wrapText="1"/>
    </xf>
    <xf numFmtId="166" fontId="58" fillId="0" borderId="1" xfId="0" applyNumberFormat="1" applyFont="1" applyBorder="1"/>
    <xf numFmtId="0" fontId="59" fillId="0" borderId="1" xfId="0" applyFont="1" applyBorder="1" applyAlignment="1">
      <alignment wrapText="1"/>
    </xf>
    <xf numFmtId="0" fontId="59" fillId="0" borderId="1" xfId="0" applyFont="1" applyBorder="1" applyAlignment="1">
      <alignment horizontal="left" wrapText="1"/>
    </xf>
    <xf numFmtId="166" fontId="58" fillId="0" borderId="0" xfId="0" applyNumberFormat="1" applyFont="1"/>
    <xf numFmtId="165" fontId="62" fillId="0" borderId="0" xfId="11" applyNumberFormat="1" applyFont="1" applyAlignment="1">
      <alignment horizontal="left"/>
    </xf>
    <xf numFmtId="0" fontId="59" fillId="0" borderId="1" xfId="0" applyFont="1" applyBorder="1"/>
    <xf numFmtId="0" fontId="59" fillId="0" borderId="1" xfId="0" applyFont="1" applyBorder="1" applyAlignment="1">
      <alignment horizontal="left"/>
    </xf>
    <xf numFmtId="0" fontId="58" fillId="0" borderId="0" xfId="0" applyFont="1" applyAlignment="1">
      <alignment horizontal="center" vertical="center" wrapText="1"/>
    </xf>
    <xf numFmtId="0" fontId="58" fillId="0" borderId="0" xfId="0" applyFont="1" applyAlignment="1">
      <alignment vertical="center" wrapText="1"/>
    </xf>
    <xf numFmtId="0" fontId="65" fillId="0" borderId="0" xfId="0" applyFont="1" applyAlignment="1">
      <alignment vertical="top" wrapText="1"/>
    </xf>
    <xf numFmtId="0" fontId="58" fillId="0" borderId="1" xfId="0" applyFont="1" applyBorder="1" applyAlignment="1">
      <alignment vertical="center" wrapText="1"/>
    </xf>
    <xf numFmtId="6" fontId="58" fillId="0" borderId="1" xfId="0" applyNumberFormat="1" applyFont="1" applyBorder="1" applyAlignment="1">
      <alignment horizontal="center" vertical="center" wrapText="1"/>
    </xf>
    <xf numFmtId="1" fontId="58" fillId="0" borderId="1" xfId="0" applyNumberFormat="1" applyFont="1" applyBorder="1" applyAlignment="1">
      <alignment horizontal="center" vertical="center" wrapText="1"/>
    </xf>
    <xf numFmtId="1" fontId="58" fillId="0" borderId="0" xfId="0" applyNumberFormat="1" applyFont="1"/>
    <xf numFmtId="6" fontId="58" fillId="0" borderId="0" xfId="0" applyNumberFormat="1" applyFont="1"/>
    <xf numFmtId="3" fontId="58" fillId="0" borderId="1" xfId="0" applyNumberFormat="1" applyFont="1" applyBorder="1" applyAlignment="1">
      <alignment horizontal="center" vertical="center" wrapText="1"/>
    </xf>
    <xf numFmtId="165" fontId="58" fillId="0" borderId="1" xfId="28" applyNumberFormat="1" applyFont="1" applyFill="1" applyBorder="1" applyAlignment="1">
      <alignment horizontal="center" vertical="center"/>
    </xf>
    <xf numFmtId="0" fontId="59" fillId="0" borderId="1" xfId="0" applyFont="1" applyBorder="1" applyAlignment="1">
      <alignment vertical="center" wrapText="1"/>
    </xf>
    <xf numFmtId="6" fontId="59" fillId="0" borderId="1" xfId="0" applyNumberFormat="1" applyFont="1" applyBorder="1" applyAlignment="1">
      <alignment horizontal="center"/>
    </xf>
    <xf numFmtId="165" fontId="59" fillId="0" borderId="1" xfId="0" applyNumberFormat="1" applyFont="1" applyBorder="1" applyAlignment="1">
      <alignment horizontal="center"/>
    </xf>
    <xf numFmtId="0" fontId="58" fillId="0" borderId="1" xfId="0" applyFont="1" applyBorder="1" applyAlignment="1">
      <alignment wrapText="1"/>
    </xf>
    <xf numFmtId="3" fontId="58" fillId="0" borderId="1" xfId="0" applyNumberFormat="1" applyFont="1" applyBorder="1" applyAlignment="1">
      <alignment horizontal="center"/>
    </xf>
    <xf numFmtId="0" fontId="58" fillId="0" borderId="1" xfId="0" applyFont="1" applyBorder="1" applyAlignment="1">
      <alignment horizontal="center"/>
    </xf>
    <xf numFmtId="173" fontId="58" fillId="0" borderId="1" xfId="0" applyNumberFormat="1" applyFont="1" applyBorder="1" applyAlignment="1">
      <alignment horizontal="center"/>
    </xf>
    <xf numFmtId="0" fontId="59" fillId="0" borderId="1" xfId="0" applyFont="1" applyBorder="1" applyAlignment="1">
      <alignment horizontal="center"/>
    </xf>
    <xf numFmtId="41" fontId="0" fillId="0" borderId="0" xfId="0" applyNumberFormat="1"/>
    <xf numFmtId="3" fontId="0" fillId="0" borderId="0" xfId="0" applyNumberFormat="1"/>
    <xf numFmtId="6" fontId="0" fillId="0" borderId="0" xfId="0" applyNumberFormat="1"/>
    <xf numFmtId="1" fontId="58" fillId="0" borderId="0" xfId="11" applyNumberFormat="1" applyFont="1"/>
    <xf numFmtId="174" fontId="58" fillId="0" borderId="1" xfId="11" applyNumberFormat="1" applyFont="1" applyBorder="1" applyAlignment="1">
      <alignment horizontal="center"/>
    </xf>
    <xf numFmtId="1" fontId="62" fillId="0" borderId="1" xfId="11" applyNumberFormat="1" applyFont="1" applyBorder="1" applyAlignment="1">
      <alignment horizontal="center"/>
    </xf>
    <xf numFmtId="0" fontId="60" fillId="0" borderId="0" xfId="11" applyFont="1" applyAlignment="1">
      <alignment horizontal="left" vertical="top" wrapText="1"/>
    </xf>
    <xf numFmtId="167" fontId="60" fillId="0" borderId="0" xfId="0" applyNumberFormat="1" applyFont="1" applyAlignment="1">
      <alignment horizontal="left" vertical="top" wrapText="1"/>
    </xf>
    <xf numFmtId="0" fontId="37" fillId="15" borderId="71" xfId="22" applyBorder="1" applyAlignment="1">
      <alignment horizontal="center" wrapText="1"/>
    </xf>
    <xf numFmtId="0" fontId="37" fillId="15" borderId="72" xfId="22" applyBorder="1" applyAlignment="1">
      <alignment horizontal="center" wrapText="1"/>
    </xf>
    <xf numFmtId="0" fontId="37" fillId="15" borderId="73" xfId="22" applyBorder="1" applyAlignment="1">
      <alignment horizontal="center" wrapText="1"/>
    </xf>
    <xf numFmtId="0" fontId="0" fillId="17" borderId="1" xfId="0" applyFill="1" applyBorder="1" applyAlignment="1">
      <alignment horizontal="center"/>
    </xf>
    <xf numFmtId="0" fontId="0" fillId="17" borderId="2" xfId="0" applyFill="1" applyBorder="1" applyAlignment="1">
      <alignment horizontal="center"/>
    </xf>
    <xf numFmtId="0" fontId="1" fillId="2" borderId="1" xfId="1" applyBorder="1" applyAlignment="1">
      <alignment horizontal="center"/>
    </xf>
    <xf numFmtId="0" fontId="4" fillId="0" borderId="36" xfId="11" applyFont="1" applyBorder="1" applyAlignment="1">
      <alignment horizontal="center"/>
    </xf>
    <xf numFmtId="0" fontId="4" fillId="0" borderId="37" xfId="11" applyFont="1" applyBorder="1" applyAlignment="1">
      <alignment horizontal="center"/>
    </xf>
    <xf numFmtId="0" fontId="4" fillId="0" borderId="14" xfId="11" applyFont="1" applyBorder="1" applyAlignment="1">
      <alignment horizontal="center"/>
    </xf>
    <xf numFmtId="0" fontId="21" fillId="22" borderId="0" xfId="11" applyFont="1" applyFill="1" applyAlignment="1">
      <alignment horizontal="left" wrapText="1"/>
    </xf>
    <xf numFmtId="0" fontId="21" fillId="0" borderId="0" xfId="11" applyFont="1" applyAlignment="1">
      <alignment horizontal="left" wrapText="1"/>
    </xf>
    <xf numFmtId="0" fontId="21" fillId="4" borderId="0" xfId="11" applyFont="1" applyFill="1" applyAlignment="1">
      <alignment horizontal="left" wrapText="1"/>
    </xf>
    <xf numFmtId="0" fontId="53" fillId="0" borderId="0" xfId="11" applyFont="1" applyAlignment="1">
      <alignment horizontal="left" wrapText="1"/>
    </xf>
    <xf numFmtId="0" fontId="24" fillId="0" borderId="38" xfId="11" applyFont="1" applyBorder="1" applyAlignment="1">
      <alignment horizontal="center"/>
    </xf>
    <xf numFmtId="0" fontId="24" fillId="0" borderId="34" xfId="11" applyFont="1" applyBorder="1" applyAlignment="1">
      <alignment horizontal="center"/>
    </xf>
    <xf numFmtId="0" fontId="22" fillId="0" borderId="0" xfId="11" applyFont="1" applyAlignment="1">
      <alignment horizontal="center"/>
    </xf>
    <xf numFmtId="0" fontId="22" fillId="0" borderId="3" xfId="11" applyFont="1" applyBorder="1" applyAlignment="1">
      <alignment horizontal="center"/>
    </xf>
    <xf numFmtId="0" fontId="24" fillId="0" borderId="39" xfId="11" applyFont="1" applyBorder="1" applyAlignment="1">
      <alignment horizontal="center"/>
    </xf>
    <xf numFmtId="0" fontId="24" fillId="0" borderId="33" xfId="11" applyFont="1" applyBorder="1" applyAlignment="1">
      <alignment horizontal="center"/>
    </xf>
    <xf numFmtId="0" fontId="17" fillId="11" borderId="36" xfId="15" applyFont="1" applyFill="1" applyBorder="1" applyAlignment="1">
      <alignment horizontal="center"/>
    </xf>
    <xf numFmtId="0" fontId="17" fillId="11" borderId="37" xfId="15" applyFont="1" applyFill="1" applyBorder="1" applyAlignment="1">
      <alignment horizontal="center"/>
    </xf>
    <xf numFmtId="0" fontId="17" fillId="11" borderId="14" xfId="15" applyFont="1" applyFill="1" applyBorder="1" applyAlignment="1">
      <alignment horizontal="center"/>
    </xf>
    <xf numFmtId="0" fontId="17" fillId="11" borderId="18" xfId="15" applyFont="1" applyFill="1" applyBorder="1" applyAlignment="1">
      <alignment horizontal="center" vertical="center"/>
    </xf>
    <xf numFmtId="0" fontId="17" fillId="11" borderId="15" xfId="15" applyFont="1" applyFill="1" applyBorder="1" applyAlignment="1">
      <alignment horizontal="center" vertical="center"/>
    </xf>
    <xf numFmtId="0" fontId="0" fillId="0" borderId="0" xfId="0" applyAlignment="1">
      <alignment horizontal="center"/>
    </xf>
    <xf numFmtId="0" fontId="58" fillId="0" borderId="0" xfId="11" applyFont="1" applyAlignment="1">
      <alignment horizontal="left" vertical="top"/>
    </xf>
    <xf numFmtId="0" fontId="58" fillId="0" borderId="0" xfId="11" applyFont="1" applyAlignment="1">
      <alignment horizontal="left" vertical="top" wrapText="1"/>
    </xf>
    <xf numFmtId="0" fontId="58" fillId="0" borderId="1" xfId="11" applyFont="1" applyBorder="1" applyAlignment="1">
      <alignment horizontal="center" wrapText="1"/>
    </xf>
    <xf numFmtId="167" fontId="59" fillId="0" borderId="0" xfId="0" applyNumberFormat="1" applyFont="1" applyAlignment="1">
      <alignment horizontal="left" vertical="top"/>
    </xf>
    <xf numFmtId="0" fontId="59" fillId="0" borderId="0" xfId="11" applyFont="1" applyAlignment="1">
      <alignment horizontal="left" vertical="top" wrapText="1"/>
    </xf>
    <xf numFmtId="3" fontId="62" fillId="0" borderId="2" xfId="11" applyNumberFormat="1" applyFont="1" applyBorder="1" applyAlignment="1">
      <alignment horizontal="center"/>
    </xf>
    <xf numFmtId="3" fontId="62" fillId="0" borderId="93" xfId="11" applyNumberFormat="1" applyFont="1" applyBorder="1" applyAlignment="1">
      <alignment horizontal="center"/>
    </xf>
    <xf numFmtId="3" fontId="62" fillId="0" borderId="20" xfId="11" applyNumberFormat="1" applyFont="1" applyBorder="1" applyAlignment="1">
      <alignment horizontal="center"/>
    </xf>
    <xf numFmtId="3" fontId="59" fillId="0" borderId="2" xfId="11" applyNumberFormat="1" applyFont="1" applyBorder="1" applyAlignment="1">
      <alignment horizontal="center"/>
    </xf>
    <xf numFmtId="3" fontId="59" fillId="0" borderId="93" xfId="11" applyNumberFormat="1" applyFont="1" applyBorder="1" applyAlignment="1">
      <alignment horizontal="center"/>
    </xf>
    <xf numFmtId="165" fontId="59" fillId="0" borderId="1" xfId="11" applyNumberFormat="1" applyFont="1" applyBorder="1" applyAlignment="1">
      <alignment horizontal="center"/>
    </xf>
    <xf numFmtId="165" fontId="58" fillId="0" borderId="2" xfId="11" applyNumberFormat="1" applyFont="1" applyBorder="1" applyAlignment="1">
      <alignment horizontal="center"/>
    </xf>
    <xf numFmtId="165" fontId="58" fillId="0" borderId="93" xfId="11" applyNumberFormat="1" applyFont="1" applyBorder="1" applyAlignment="1">
      <alignment horizontal="center"/>
    </xf>
    <xf numFmtId="165" fontId="58" fillId="0" borderId="20" xfId="11" applyNumberFormat="1" applyFont="1" applyBorder="1" applyAlignment="1">
      <alignment horizontal="center"/>
    </xf>
    <xf numFmtId="3" fontId="59" fillId="0" borderId="1" xfId="11" applyNumberFormat="1" applyFont="1" applyBorder="1" applyAlignment="1">
      <alignment horizontal="center"/>
    </xf>
    <xf numFmtId="0" fontId="59" fillId="0" borderId="0" xfId="11" applyFont="1" applyAlignment="1">
      <alignment horizontal="left" vertical="top"/>
    </xf>
    <xf numFmtId="0" fontId="58" fillId="0" borderId="0" xfId="0" applyFont="1" applyAlignment="1">
      <alignment horizontal="left" vertical="top" wrapText="1"/>
    </xf>
    <xf numFmtId="0" fontId="59" fillId="0" borderId="3" xfId="11" applyFont="1" applyBorder="1" applyAlignment="1">
      <alignment horizontal="center"/>
    </xf>
    <xf numFmtId="0" fontId="59" fillId="0" borderId="0" xfId="11" applyFont="1" applyAlignment="1">
      <alignment horizontal="center"/>
    </xf>
    <xf numFmtId="0" fontId="59" fillId="0" borderId="1" xfId="11" applyFont="1" applyBorder="1" applyAlignment="1">
      <alignment horizontal="center" wrapText="1"/>
    </xf>
    <xf numFmtId="1" fontId="59" fillId="0" borderId="1" xfId="11" applyNumberFormat="1" applyFont="1" applyBorder="1" applyAlignment="1">
      <alignment horizontal="center" wrapText="1"/>
    </xf>
    <xf numFmtId="0" fontId="59" fillId="0" borderId="1" xfId="11" applyFont="1" applyBorder="1" applyAlignment="1">
      <alignment horizontal="center"/>
    </xf>
    <xf numFmtId="0" fontId="59" fillId="0" borderId="89" xfId="11" applyFont="1" applyBorder="1" applyAlignment="1">
      <alignment horizontal="center" vertical="center" wrapText="1"/>
    </xf>
    <xf numFmtId="0" fontId="59" fillId="0" borderId="91" xfId="11" applyFont="1" applyBorder="1" applyAlignment="1">
      <alignment horizontal="center" vertical="center" wrapText="1"/>
    </xf>
    <xf numFmtId="0" fontId="59" fillId="0" borderId="92" xfId="11" applyFont="1" applyBorder="1" applyAlignment="1">
      <alignment horizontal="center" vertical="center" wrapText="1"/>
    </xf>
    <xf numFmtId="0" fontId="59" fillId="0" borderId="1" xfId="11" applyFont="1" applyBorder="1" applyAlignment="1">
      <alignment horizontal="center" vertical="center"/>
    </xf>
    <xf numFmtId="0" fontId="59" fillId="0" borderId="1" xfId="11" applyFont="1" applyBorder="1" applyAlignment="1">
      <alignment horizontal="center" textRotation="90"/>
    </xf>
    <xf numFmtId="49" fontId="59" fillId="0" borderId="2" xfId="20" applyNumberFormat="1" applyFont="1" applyBorder="1" applyAlignment="1">
      <alignment horizontal="left" vertical="center"/>
    </xf>
    <xf numFmtId="49" fontId="59" fillId="0" borderId="93" xfId="20" applyNumberFormat="1" applyFont="1" applyBorder="1" applyAlignment="1">
      <alignment horizontal="left" vertical="center"/>
    </xf>
    <xf numFmtId="49" fontId="59" fillId="0" borderId="20" xfId="20" applyNumberFormat="1" applyFont="1" applyBorder="1" applyAlignment="1">
      <alignment horizontal="left" vertical="center"/>
    </xf>
    <xf numFmtId="0" fontId="59" fillId="0" borderId="88" xfId="20" applyFont="1" applyBorder="1" applyAlignment="1">
      <alignment horizontal="left" vertical="top"/>
    </xf>
    <xf numFmtId="49" fontId="58" fillId="0" borderId="93" xfId="20" applyNumberFormat="1" applyFont="1" applyBorder="1" applyAlignment="1">
      <alignment horizontal="left" vertical="top"/>
    </xf>
    <xf numFmtId="49" fontId="58" fillId="0" borderId="20" xfId="20" applyNumberFormat="1" applyFont="1" applyBorder="1" applyAlignment="1">
      <alignment horizontal="left" vertical="top"/>
    </xf>
    <xf numFmtId="0" fontId="58" fillId="0" borderId="0" xfId="20" applyFont="1" applyAlignment="1">
      <alignment horizontal="left" vertical="top" wrapText="1"/>
    </xf>
    <xf numFmtId="0" fontId="58" fillId="0" borderId="2" xfId="0" applyFont="1" applyBorder="1" applyAlignment="1">
      <alignment horizontal="center"/>
    </xf>
    <xf numFmtId="0" fontId="58" fillId="0" borderId="20" xfId="0" applyFont="1" applyBorder="1" applyAlignment="1">
      <alignment horizontal="center"/>
    </xf>
    <xf numFmtId="0" fontId="58" fillId="0" borderId="1" xfId="20" applyFont="1" applyBorder="1" applyAlignment="1">
      <alignment horizontal="center" vertical="center"/>
    </xf>
    <xf numFmtId="3" fontId="59" fillId="0" borderId="2" xfId="20" applyNumberFormat="1" applyFont="1" applyBorder="1" applyAlignment="1">
      <alignment horizontal="center" wrapText="1"/>
    </xf>
    <xf numFmtId="3" fontId="59" fillId="0" borderId="93" xfId="20" applyNumberFormat="1" applyFont="1" applyBorder="1" applyAlignment="1">
      <alignment horizontal="center" wrapText="1"/>
    </xf>
    <xf numFmtId="3" fontId="59" fillId="0" borderId="20" xfId="20" applyNumberFormat="1" applyFont="1" applyBorder="1" applyAlignment="1">
      <alignment horizontal="center" wrapText="1"/>
    </xf>
    <xf numFmtId="0" fontId="58" fillId="0" borderId="2" xfId="20" applyFont="1" applyBorder="1" applyAlignment="1">
      <alignment horizontal="left" vertical="top" wrapText="1"/>
    </xf>
    <xf numFmtId="0" fontId="58" fillId="0" borderId="93" xfId="20" applyFont="1" applyBorder="1" applyAlignment="1">
      <alignment horizontal="left" vertical="top" wrapText="1"/>
    </xf>
    <xf numFmtId="0" fontId="58" fillId="0" borderId="20" xfId="20" applyFont="1" applyBorder="1" applyAlignment="1">
      <alignment horizontal="left" vertical="top" wrapText="1"/>
    </xf>
    <xf numFmtId="0" fontId="58" fillId="0" borderId="93" xfId="20" applyFont="1" applyBorder="1" applyAlignment="1">
      <alignment horizontal="left"/>
    </xf>
    <xf numFmtId="0" fontId="58" fillId="0" borderId="20" xfId="20" applyFont="1" applyBorder="1" applyAlignment="1">
      <alignment horizontal="left"/>
    </xf>
    <xf numFmtId="3" fontId="58" fillId="0" borderId="93" xfId="20" applyNumberFormat="1" applyFont="1" applyBorder="1" applyAlignment="1">
      <alignment horizontal="left" vertical="top"/>
    </xf>
    <xf numFmtId="3" fontId="58" fillId="0" borderId="20" xfId="20" applyNumberFormat="1" applyFont="1" applyBorder="1" applyAlignment="1">
      <alignment horizontal="left" vertical="top"/>
    </xf>
    <xf numFmtId="0" fontId="59" fillId="0" borderId="0" xfId="20" applyFont="1" applyAlignment="1">
      <alignment horizontal="left" vertical="top"/>
    </xf>
    <xf numFmtId="49" fontId="58" fillId="0" borderId="93" xfId="20" applyNumberFormat="1" applyFont="1" applyBorder="1" applyAlignment="1">
      <alignment horizontal="left" vertical="top" wrapText="1"/>
    </xf>
    <xf numFmtId="49" fontId="58" fillId="0" borderId="20" xfId="20" applyNumberFormat="1" applyFont="1" applyBorder="1" applyAlignment="1">
      <alignment horizontal="left" vertical="top" wrapText="1"/>
    </xf>
    <xf numFmtId="0" fontId="58" fillId="0" borderId="3" xfId="20" applyFont="1" applyBorder="1" applyAlignment="1">
      <alignment horizontal="center"/>
    </xf>
    <xf numFmtId="6" fontId="58" fillId="0" borderId="1" xfId="0" applyNumberFormat="1" applyFont="1" applyBorder="1" applyAlignment="1">
      <alignment horizontal="center" vertical="center" wrapText="1"/>
    </xf>
    <xf numFmtId="1" fontId="58" fillId="0" borderId="1" xfId="0" applyNumberFormat="1" applyFont="1" applyBorder="1" applyAlignment="1">
      <alignment horizontal="center" vertical="center" wrapText="1"/>
    </xf>
    <xf numFmtId="0" fontId="64" fillId="0" borderId="1" xfId="0" applyFont="1" applyBorder="1" applyAlignment="1">
      <alignment horizontal="center"/>
    </xf>
    <xf numFmtId="0" fontId="58" fillId="0" borderId="88" xfId="0" applyFont="1" applyBorder="1" applyAlignment="1">
      <alignment horizontal="left" vertical="top" wrapText="1"/>
    </xf>
    <xf numFmtId="0" fontId="58" fillId="0" borderId="0" xfId="0" applyFont="1" applyAlignment="1">
      <alignment horizontal="left" vertical="top"/>
    </xf>
    <xf numFmtId="0" fontId="64" fillId="0" borderId="1" xfId="0" applyFont="1" applyBorder="1" applyAlignment="1">
      <alignment horizontal="center" vertical="center" wrapText="1"/>
    </xf>
    <xf numFmtId="0" fontId="58" fillId="0" borderId="1" xfId="0" applyFont="1" applyBorder="1" applyAlignment="1">
      <alignment vertical="center" wrapText="1"/>
    </xf>
    <xf numFmtId="0" fontId="60" fillId="0" borderId="88" xfId="0" applyFont="1" applyBorder="1" applyAlignment="1">
      <alignment horizontal="left" vertical="top" wrapText="1"/>
    </xf>
    <xf numFmtId="0" fontId="0" fillId="0" borderId="0" xfId="0" applyAlignment="1">
      <alignment horizontal="center" wrapText="1"/>
    </xf>
    <xf numFmtId="0" fontId="22" fillId="0" borderId="0" xfId="11" applyFont="1" applyAlignment="1">
      <alignment horizontal="left" vertical="top"/>
    </xf>
    <xf numFmtId="0" fontId="21" fillId="0" borderId="0" xfId="11" applyFont="1" applyAlignment="1">
      <alignment horizontal="left" vertical="top"/>
    </xf>
    <xf numFmtId="167" fontId="21" fillId="0" borderId="0" xfId="0" applyNumberFormat="1" applyFont="1" applyAlignment="1">
      <alignment horizontal="left" vertical="top"/>
    </xf>
    <xf numFmtId="0" fontId="48" fillId="0" borderId="0" xfId="11" applyFont="1" applyAlignment="1">
      <alignment horizontal="left" wrapText="1"/>
    </xf>
    <xf numFmtId="0" fontId="4" fillId="0" borderId="0" xfId="20" applyFont="1" applyAlignment="1">
      <alignment horizontal="left" wrapText="1"/>
    </xf>
    <xf numFmtId="0" fontId="5" fillId="0" borderId="60" xfId="20" applyFont="1" applyBorder="1" applyAlignment="1">
      <alignment horizontal="left" vertical="top" wrapText="1"/>
    </xf>
    <xf numFmtId="0" fontId="31" fillId="0" borderId="59" xfId="20" applyBorder="1" applyAlignment="1">
      <alignment horizontal="left" vertical="top" wrapText="1"/>
    </xf>
    <xf numFmtId="0" fontId="31" fillId="0" borderId="58" xfId="20" applyBorder="1" applyAlignment="1">
      <alignment horizontal="left" vertical="top" wrapText="1"/>
    </xf>
    <xf numFmtId="0" fontId="4" fillId="0" borderId="0" xfId="20" applyFont="1" applyAlignment="1">
      <alignment wrapText="1"/>
    </xf>
    <xf numFmtId="0" fontId="17" fillId="0" borderId="0" xfId="20" applyFont="1" applyAlignment="1">
      <alignment horizontal="center"/>
    </xf>
    <xf numFmtId="49" fontId="5" fillId="0" borderId="23" xfId="20" applyNumberFormat="1" applyFont="1" applyBorder="1" applyAlignment="1">
      <alignment horizontal="left" vertical="top" wrapText="1"/>
    </xf>
  </cellXfs>
  <cellStyles count="31">
    <cellStyle name="40% - Accent4" xfId="23" builtinId="43"/>
    <cellStyle name="Bad" xfId="21" builtinId="27"/>
    <cellStyle name="Calculation" xfId="22" builtinId="22"/>
    <cellStyle name="Comma" xfId="28" builtinId="3"/>
    <cellStyle name="Comma 2" xfId="3" xr:uid="{00000000-0005-0000-0000-000004000000}"/>
    <cellStyle name="Comma 3" xfId="12" xr:uid="{00000000-0005-0000-0000-000005000000}"/>
    <cellStyle name="Currency" xfId="26" builtinId="4"/>
    <cellStyle name="Currency 2" xfId="13" xr:uid="{00000000-0005-0000-0000-000007000000}"/>
    <cellStyle name="Currency 3" xfId="14" xr:uid="{00000000-0005-0000-0000-000008000000}"/>
    <cellStyle name="Good" xfId="1" builtinId="26"/>
    <cellStyle name="Hyperlink" xfId="9" builtinId="8"/>
    <cellStyle name="Neutral" xfId="2" builtinId="28"/>
    <cellStyle name="Normal" xfId="0" builtinId="0"/>
    <cellStyle name="Normal 2" xfId="4" xr:uid="{00000000-0005-0000-0000-00000D000000}"/>
    <cellStyle name="Normal 2 2" xfId="15" xr:uid="{00000000-0005-0000-0000-00000E000000}"/>
    <cellStyle name="Normal 2 3" xfId="16" xr:uid="{00000000-0005-0000-0000-00000F000000}"/>
    <cellStyle name="Normal 3" xfId="5" xr:uid="{00000000-0005-0000-0000-000010000000}"/>
    <cellStyle name="Normal 3 2" xfId="17" xr:uid="{00000000-0005-0000-0000-000011000000}"/>
    <cellStyle name="Normal 4" xfId="6" xr:uid="{00000000-0005-0000-0000-000012000000}"/>
    <cellStyle name="Normal 5" xfId="7" xr:uid="{00000000-0005-0000-0000-000013000000}"/>
    <cellStyle name="Normal 6" xfId="18" xr:uid="{00000000-0005-0000-0000-000014000000}"/>
    <cellStyle name="Normal 7" xfId="11" xr:uid="{00000000-0005-0000-0000-000015000000}"/>
    <cellStyle name="Normal 8" xfId="20" xr:uid="{00000000-0005-0000-0000-000016000000}"/>
    <cellStyle name="Normal 8 2" xfId="25" xr:uid="{00000000-0005-0000-0000-000017000000}"/>
    <cellStyle name="Normal_Controllers NSPS acreage 2" xfId="30" xr:uid="{00000000-0005-0000-0000-000018000000}"/>
    <cellStyle name="Normal_Controllers NSPS acreage_1" xfId="29" xr:uid="{00000000-0005-0000-0000-000019000000}"/>
    <cellStyle name="Normal_ERs" xfId="24" xr:uid="{00000000-0005-0000-0000-00001A000000}"/>
    <cellStyle name="Normal_ICR Cost Inputs" xfId="10" xr:uid="{00000000-0005-0000-0000-00001B000000}"/>
    <cellStyle name="Normal_Sheet1" xfId="8" xr:uid="{00000000-0005-0000-0000-00001C000000}"/>
    <cellStyle name="Percent" xfId="27" builtinId="5"/>
    <cellStyle name="Percent 2" xfId="19" xr:uid="{00000000-0005-0000-0000-00001E000000}"/>
  </cellStyles>
  <dxfs count="0"/>
  <tableStyles count="0" defaultTableStyle="TableStyleMedium9"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haredStrings" Target="sharedStrings.xml"/><Relationship Id="rId35" Type="http://schemas.openxmlformats.org/officeDocument/2006/relationships/customXml" Target="../customXml/item4.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BOATS\SURVEY\COST\MRR\MRRBOAT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OATS/SURVEY/COST/MRR/MRRBOAT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RRcost-ref"/>
      <sheetName val="MRRCostbyFac"/>
      <sheetName val="basis"/>
      <sheetName val="process"/>
      <sheetName val="IndustryTotalYR1"/>
      <sheetName val="IndustryTotalYR2"/>
      <sheetName val="IndustryTotalYR3"/>
      <sheetName val="AgencyTotal"/>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RRcost-ref"/>
      <sheetName val="MRRCostbyFac"/>
      <sheetName val="basis"/>
      <sheetName val="process"/>
      <sheetName val="IndustryTotalYR1"/>
      <sheetName val="IndustryTotalYR2"/>
      <sheetName val="IndustryTotalYR3"/>
      <sheetName val="AgencyTotal"/>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hyperlink" Target="http://www.bls.gov/oes/current/oes_nat.htm"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hyperlink" Target="https://www.opm.gov/policy-data-oversight/pay-leave/salaries-wages/salary-tables/pdf/2016/GS_h.pdf"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www.bls.gov/oes/current/oes_nat.htm" TargetMode="External"/><Relationship Id="rId2" Type="http://schemas.openxmlformats.org/officeDocument/2006/relationships/hyperlink" Target="http://www.arb.ca.gov/regact/2009/landfills09/appf.pdf%20plus%20updates%20to%202012%20labor%20rates%20using%20USBLS" TargetMode="External"/><Relationship Id="rId1" Type="http://schemas.openxmlformats.org/officeDocument/2006/relationships/hyperlink" Target="http://www.arb.ca.gov/regact/2009/landfills09/appf.pdf%20(2008$,%20did%20not%20escalate%20as%20factor%20is%20presumably%20part%20labor%20and%20part%20materials,%20the%20portion%20of%20each%20type%20is%20unknown%20and%20labor%20costs%20are%20relatively%20flat%20during%20this%20period)" TargetMode="External"/><Relationship Id="rId6" Type="http://schemas.openxmlformats.org/officeDocument/2006/relationships/comments" Target="../comments4.xml"/><Relationship Id="rId5" Type="http://schemas.openxmlformats.org/officeDocument/2006/relationships/vmlDrawing" Target="../drawings/vmlDrawing4.vml"/><Relationship Id="rId4"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568"/>
  <sheetViews>
    <sheetView topLeftCell="I1" workbookViewId="0">
      <selection activeCell="V3" sqref="V3"/>
    </sheetView>
  </sheetViews>
  <sheetFormatPr defaultRowHeight="15" x14ac:dyDescent="0.25"/>
  <cols>
    <col min="4" max="4" width="11.5703125" bestFit="1" customWidth="1"/>
    <col min="8" max="8" width="12.85546875" customWidth="1"/>
    <col min="10" max="10" width="11.5703125" bestFit="1" customWidth="1"/>
    <col min="14" max="14" width="11.5703125" bestFit="1" customWidth="1"/>
    <col min="16" max="16" width="26.42578125" customWidth="1"/>
    <col min="17" max="20" width="15" customWidth="1"/>
  </cols>
  <sheetData>
    <row r="1" spans="1:24" ht="165" customHeight="1" x14ac:dyDescent="0.25">
      <c r="A1" s="522" t="s">
        <v>0</v>
      </c>
      <c r="B1" s="523"/>
      <c r="C1" s="524"/>
      <c r="D1" s="525" t="s">
        <v>1</v>
      </c>
      <c r="E1" s="525"/>
      <c r="F1" s="525"/>
      <c r="G1" s="525"/>
      <c r="H1" s="525"/>
      <c r="I1" s="526"/>
      <c r="J1" s="527" t="s">
        <v>2</v>
      </c>
      <c r="K1" s="527"/>
      <c r="L1" s="527"/>
      <c r="M1" s="527"/>
      <c r="N1" s="527"/>
      <c r="O1" s="527"/>
    </row>
    <row r="2" spans="1:24" ht="120" x14ac:dyDescent="0.25">
      <c r="A2" s="323" t="s">
        <v>3</v>
      </c>
      <c r="B2" s="323" t="s">
        <v>4</v>
      </c>
      <c r="C2" s="323" t="s">
        <v>5</v>
      </c>
      <c r="D2" s="174" t="s">
        <v>6</v>
      </c>
      <c r="E2" s="174" t="s">
        <v>7</v>
      </c>
      <c r="F2" s="174" t="s">
        <v>8</v>
      </c>
      <c r="G2" s="174" t="s">
        <v>9</v>
      </c>
      <c r="H2" s="174" t="s">
        <v>10</v>
      </c>
      <c r="I2" s="175" t="s">
        <v>11</v>
      </c>
      <c r="J2" s="4" t="s">
        <v>12</v>
      </c>
      <c r="K2" s="4" t="s">
        <v>13</v>
      </c>
      <c r="L2" s="4" t="s">
        <v>14</v>
      </c>
      <c r="M2" s="4" t="s">
        <v>15</v>
      </c>
      <c r="N2" s="4" t="s">
        <v>16</v>
      </c>
      <c r="O2" s="4" t="s">
        <v>17</v>
      </c>
      <c r="P2" s="176" t="s">
        <v>18</v>
      </c>
      <c r="Q2" s="177" t="s">
        <v>19</v>
      </c>
      <c r="R2" s="178" t="s">
        <v>20</v>
      </c>
      <c r="S2" s="179" t="s">
        <v>21</v>
      </c>
      <c r="T2" s="180"/>
      <c r="V2" s="324" t="s">
        <v>22</v>
      </c>
      <c r="W2" s="324" t="s">
        <v>23</v>
      </c>
      <c r="X2" s="324" t="s">
        <v>24</v>
      </c>
    </row>
    <row r="3" spans="1:24" x14ac:dyDescent="0.25">
      <c r="A3" s="325">
        <v>1</v>
      </c>
      <c r="B3" s="325" t="s">
        <v>25</v>
      </c>
      <c r="C3" s="326">
        <v>197.42831247180905</v>
      </c>
      <c r="D3" s="181">
        <v>197.42831247180905</v>
      </c>
      <c r="E3" s="181">
        <f>ROUNDUP(D3/8,0)</f>
        <v>25</v>
      </c>
      <c r="F3" s="181">
        <f>ROUNDUP(D3/40,0)</f>
        <v>5</v>
      </c>
      <c r="G3" s="181">
        <f>ROUNDUP(D3/(40*4),0)</f>
        <v>2</v>
      </c>
      <c r="H3" s="182">
        <v>39237.692533897221</v>
      </c>
      <c r="I3" s="181">
        <v>13200</v>
      </c>
      <c r="J3" s="183">
        <v>50.146791367839498</v>
      </c>
      <c r="K3" s="181">
        <f>ROUNDUP(J3/8,0)</f>
        <v>7</v>
      </c>
      <c r="L3" s="181">
        <f>ROUNDUP(J3/40,0)</f>
        <v>2</v>
      </c>
      <c r="M3" s="181">
        <f>ROUNDUP(J3/(40*4),0)</f>
        <v>1</v>
      </c>
      <c r="N3" s="182">
        <v>9966.3739036098941</v>
      </c>
      <c r="O3" s="181">
        <v>4800</v>
      </c>
      <c r="P3" s="181">
        <v>39485.662494361808</v>
      </c>
      <c r="Q3">
        <v>414</v>
      </c>
      <c r="R3">
        <v>1105.3024868650327</v>
      </c>
      <c r="S3" s="88">
        <f>R3+Q3+N3+O3</f>
        <v>16285.676390474928</v>
      </c>
      <c r="U3" s="16" t="s">
        <v>26</v>
      </c>
      <c r="V3" s="16">
        <f>AVERAGE(J106:J220)</f>
        <v>44.039316759509447</v>
      </c>
      <c r="W3" s="16">
        <f>COUNT(J106:J220)</f>
        <v>115</v>
      </c>
      <c r="X3" s="16">
        <f>AVERAGE(C106:C220)</f>
        <v>173.38313684846219</v>
      </c>
    </row>
    <row r="4" spans="1:24" x14ac:dyDescent="0.25">
      <c r="A4" s="325">
        <v>1</v>
      </c>
      <c r="B4" s="325" t="s">
        <v>27</v>
      </c>
      <c r="C4" s="326">
        <v>178.19977075000003</v>
      </c>
      <c r="D4" s="181">
        <v>178.19977075000003</v>
      </c>
      <c r="E4" s="181">
        <f t="shared" ref="E4:E67" si="0">ROUNDUP(D4/8,0)</f>
        <v>23</v>
      </c>
      <c r="F4" s="181">
        <f t="shared" ref="F4:F67" si="1">ROUNDUP(D4/40,0)</f>
        <v>5</v>
      </c>
      <c r="G4" s="181">
        <f t="shared" ref="G4:G67" si="2">ROUNDUP(D4/(40*4),0)</f>
        <v>2</v>
      </c>
      <c r="H4" s="182">
        <v>35416.135237938011</v>
      </c>
      <c r="I4" s="181">
        <v>13200</v>
      </c>
      <c r="J4" s="183">
        <v>45.262741770500007</v>
      </c>
      <c r="K4" s="181">
        <f t="shared" ref="K4:K67" si="3">ROUNDUP(J4/8,0)</f>
        <v>6</v>
      </c>
      <c r="L4" s="181">
        <f t="shared" ref="L4:L67" si="4">ROUNDUP(J4/40,0)</f>
        <v>2</v>
      </c>
      <c r="M4" s="181">
        <f t="shared" ref="M4:M67" si="5">ROUNDUP(J4/(40*4),0)</f>
        <v>1</v>
      </c>
      <c r="N4" s="182">
        <v>8995.6983504362543</v>
      </c>
      <c r="O4" s="181">
        <v>4800</v>
      </c>
      <c r="P4" s="181">
        <v>35639.954150000005</v>
      </c>
      <c r="Q4">
        <v>414</v>
      </c>
      <c r="R4">
        <v>1105.3024868650327</v>
      </c>
      <c r="S4" s="88">
        <f t="shared" ref="S4:S67" si="6">R4+Q4+N4+O4</f>
        <v>15315.000837301286</v>
      </c>
      <c r="U4" s="16"/>
      <c r="V4" s="16"/>
      <c r="W4" s="16"/>
    </row>
    <row r="5" spans="1:24" x14ac:dyDescent="0.25">
      <c r="A5" s="325">
        <v>1</v>
      </c>
      <c r="B5" s="325" t="s">
        <v>28</v>
      </c>
      <c r="C5" s="326">
        <v>74.29312637135213</v>
      </c>
      <c r="D5" s="181">
        <v>74.29312637135213</v>
      </c>
      <c r="E5" s="181">
        <f t="shared" si="0"/>
        <v>10</v>
      </c>
      <c r="F5" s="181">
        <f t="shared" si="1"/>
        <v>2</v>
      </c>
      <c r="G5" s="181">
        <f t="shared" si="2"/>
        <v>1</v>
      </c>
      <c r="H5" s="182">
        <v>14765.313107548011</v>
      </c>
      <c r="I5" s="181">
        <v>4800</v>
      </c>
      <c r="J5" s="183">
        <v>18.870454098323442</v>
      </c>
      <c r="K5" s="181">
        <f t="shared" si="3"/>
        <v>3</v>
      </c>
      <c r="L5" s="181">
        <f t="shared" si="4"/>
        <v>1</v>
      </c>
      <c r="M5" s="181">
        <f t="shared" si="5"/>
        <v>1</v>
      </c>
      <c r="N5" s="182">
        <v>3750.389529317195</v>
      </c>
      <c r="O5" s="181">
        <v>2100</v>
      </c>
      <c r="P5" s="181">
        <v>14858.625274270426</v>
      </c>
      <c r="Q5">
        <v>414</v>
      </c>
      <c r="R5">
        <v>1105.3024868650327</v>
      </c>
      <c r="S5" s="88">
        <f t="shared" si="6"/>
        <v>7369.6920161822272</v>
      </c>
    </row>
    <row r="6" spans="1:24" x14ac:dyDescent="0.25">
      <c r="A6" s="325">
        <v>1</v>
      </c>
      <c r="B6" s="325" t="s">
        <v>29</v>
      </c>
      <c r="C6" s="326">
        <v>162.48001511528099</v>
      </c>
      <c r="D6" s="181">
        <v>162.48001511528099</v>
      </c>
      <c r="E6" s="181">
        <f t="shared" si="0"/>
        <v>21</v>
      </c>
      <c r="F6" s="181">
        <f t="shared" si="1"/>
        <v>5</v>
      </c>
      <c r="G6" s="181">
        <f t="shared" si="2"/>
        <v>2</v>
      </c>
      <c r="H6" s="182">
        <v>32291.928124071412</v>
      </c>
      <c r="I6" s="181">
        <v>13200</v>
      </c>
      <c r="J6" s="183">
        <v>41.269923839281375</v>
      </c>
      <c r="K6" s="181">
        <f t="shared" si="3"/>
        <v>6</v>
      </c>
      <c r="L6" s="181">
        <f t="shared" si="4"/>
        <v>2</v>
      </c>
      <c r="M6" s="181">
        <f t="shared" si="5"/>
        <v>1</v>
      </c>
      <c r="N6" s="182">
        <v>8202.1497435141391</v>
      </c>
      <c r="O6" s="181">
        <v>4800</v>
      </c>
      <c r="P6" s="181">
        <v>32496.003023056197</v>
      </c>
      <c r="Q6">
        <v>414</v>
      </c>
      <c r="R6">
        <v>1105.3024868650327</v>
      </c>
      <c r="S6" s="88">
        <f t="shared" si="6"/>
        <v>14521.452230379171</v>
      </c>
    </row>
    <row r="7" spans="1:24" x14ac:dyDescent="0.25">
      <c r="A7" s="325">
        <v>1</v>
      </c>
      <c r="B7" s="325" t="s">
        <v>30</v>
      </c>
      <c r="C7" s="326">
        <v>223.56586605260006</v>
      </c>
      <c r="D7" s="181">
        <v>223.56586605260006</v>
      </c>
      <c r="E7" s="181">
        <f t="shared" si="0"/>
        <v>28</v>
      </c>
      <c r="F7" s="181">
        <f t="shared" si="1"/>
        <v>6</v>
      </c>
      <c r="G7" s="181">
        <f t="shared" si="2"/>
        <v>2</v>
      </c>
      <c r="H7" s="182">
        <v>44432.37448275795</v>
      </c>
      <c r="I7" s="181">
        <v>13200</v>
      </c>
      <c r="J7" s="183">
        <v>56.785729977360418</v>
      </c>
      <c r="K7" s="181">
        <f t="shared" si="3"/>
        <v>8</v>
      </c>
      <c r="L7" s="181">
        <f t="shared" si="4"/>
        <v>2</v>
      </c>
      <c r="M7" s="181">
        <f t="shared" si="5"/>
        <v>1</v>
      </c>
      <c r="N7" s="182">
        <v>11285.823118620521</v>
      </c>
      <c r="O7" s="181">
        <v>4800</v>
      </c>
      <c r="P7" s="181">
        <v>44713.173210520014</v>
      </c>
      <c r="Q7">
        <v>414</v>
      </c>
      <c r="R7">
        <v>1105.3024868650327</v>
      </c>
      <c r="S7" s="88">
        <f t="shared" si="6"/>
        <v>17605.125605485555</v>
      </c>
    </row>
    <row r="8" spans="1:24" x14ac:dyDescent="0.25">
      <c r="A8" s="325">
        <v>1</v>
      </c>
      <c r="B8" s="325" t="s">
        <v>31</v>
      </c>
      <c r="C8" s="326">
        <v>46.4</v>
      </c>
      <c r="D8" s="181">
        <v>46.4</v>
      </c>
      <c r="E8" s="181">
        <f t="shared" si="0"/>
        <v>6</v>
      </c>
      <c r="F8" s="181">
        <f t="shared" si="1"/>
        <v>2</v>
      </c>
      <c r="G8" s="181">
        <f t="shared" si="2"/>
        <v>1</v>
      </c>
      <c r="H8" s="182">
        <v>9221.7216000000008</v>
      </c>
      <c r="I8" s="181">
        <v>4800</v>
      </c>
      <c r="J8" s="183">
        <v>11.785600000000001</v>
      </c>
      <c r="K8" s="181">
        <f t="shared" si="3"/>
        <v>2</v>
      </c>
      <c r="L8" s="181">
        <f t="shared" si="4"/>
        <v>1</v>
      </c>
      <c r="M8" s="181">
        <f t="shared" si="5"/>
        <v>1</v>
      </c>
      <c r="N8" s="182">
        <v>2342.3172864000003</v>
      </c>
      <c r="O8" s="181">
        <v>1400</v>
      </c>
      <c r="P8" s="181">
        <v>9280</v>
      </c>
      <c r="Q8">
        <v>414</v>
      </c>
      <c r="R8">
        <v>1105.3024868650327</v>
      </c>
      <c r="S8" s="88">
        <f t="shared" si="6"/>
        <v>5261.6197732650326</v>
      </c>
    </row>
    <row r="9" spans="1:24" x14ac:dyDescent="0.25">
      <c r="A9" s="325">
        <v>1</v>
      </c>
      <c r="B9" s="325" t="s">
        <v>32</v>
      </c>
      <c r="C9" s="326">
        <v>371.27867026419102</v>
      </c>
      <c r="D9" s="181">
        <v>371.27867026419102</v>
      </c>
      <c r="E9" s="181">
        <f t="shared" si="0"/>
        <v>47</v>
      </c>
      <c r="F9" s="181">
        <f t="shared" si="1"/>
        <v>10</v>
      </c>
      <c r="G9" s="181">
        <f t="shared" si="2"/>
        <v>3</v>
      </c>
      <c r="H9" s="182">
        <v>73789.408042986397</v>
      </c>
      <c r="I9" s="181">
        <v>19800</v>
      </c>
      <c r="J9" s="183">
        <v>94.304782247104527</v>
      </c>
      <c r="K9" s="181">
        <f t="shared" si="3"/>
        <v>12</v>
      </c>
      <c r="L9" s="181">
        <f t="shared" si="4"/>
        <v>3</v>
      </c>
      <c r="M9" s="181">
        <f t="shared" si="5"/>
        <v>1</v>
      </c>
      <c r="N9" s="182">
        <v>18742.509642918543</v>
      </c>
      <c r="O9" s="181">
        <v>6600</v>
      </c>
      <c r="P9" s="181">
        <v>74255.734052838205</v>
      </c>
      <c r="Q9">
        <v>414</v>
      </c>
      <c r="R9">
        <v>1105.3024868650327</v>
      </c>
      <c r="S9" s="88">
        <f t="shared" si="6"/>
        <v>26861.812129783575</v>
      </c>
    </row>
    <row r="10" spans="1:24" x14ac:dyDescent="0.25">
      <c r="A10" s="325">
        <v>1</v>
      </c>
      <c r="B10" s="325" t="s">
        <v>33</v>
      </c>
      <c r="C10" s="326">
        <v>327.867497813608</v>
      </c>
      <c r="D10" s="181">
        <v>327.867497813608</v>
      </c>
      <c r="E10" s="181">
        <f t="shared" si="0"/>
        <v>41</v>
      </c>
      <c r="F10" s="181">
        <f t="shared" si="1"/>
        <v>9</v>
      </c>
      <c r="G10" s="181">
        <f t="shared" si="2"/>
        <v>3</v>
      </c>
      <c r="H10" s="182">
        <v>65161.697985467719</v>
      </c>
      <c r="I10" s="181">
        <v>19800</v>
      </c>
      <c r="J10" s="183">
        <v>83.278344444656426</v>
      </c>
      <c r="K10" s="181">
        <f t="shared" si="3"/>
        <v>11</v>
      </c>
      <c r="L10" s="181">
        <f t="shared" si="4"/>
        <v>3</v>
      </c>
      <c r="M10" s="181">
        <f t="shared" si="5"/>
        <v>1</v>
      </c>
      <c r="N10" s="182">
        <v>16551.071288308798</v>
      </c>
      <c r="O10" s="181">
        <v>6600</v>
      </c>
      <c r="P10" s="181">
        <v>65573.499562721598</v>
      </c>
      <c r="Q10">
        <v>414</v>
      </c>
      <c r="R10">
        <v>1105.3024868650327</v>
      </c>
      <c r="S10" s="88">
        <f t="shared" si="6"/>
        <v>24670.37377517383</v>
      </c>
    </row>
    <row r="11" spans="1:24" x14ac:dyDescent="0.25">
      <c r="A11" s="325">
        <v>1</v>
      </c>
      <c r="B11" s="325" t="s">
        <v>34</v>
      </c>
      <c r="C11" s="326">
        <v>159.03044196828702</v>
      </c>
      <c r="D11" s="181">
        <v>159.03044196828702</v>
      </c>
      <c r="E11" s="181">
        <f t="shared" si="0"/>
        <v>20</v>
      </c>
      <c r="F11" s="181">
        <f t="shared" si="1"/>
        <v>4</v>
      </c>
      <c r="G11" s="181">
        <f t="shared" si="2"/>
        <v>1</v>
      </c>
      <c r="H11" s="182">
        <v>31606.346158545239</v>
      </c>
      <c r="I11" s="181">
        <v>6600</v>
      </c>
      <c r="J11" s="183">
        <v>40.393732259944905</v>
      </c>
      <c r="K11" s="181">
        <f t="shared" si="3"/>
        <v>6</v>
      </c>
      <c r="L11" s="181">
        <f t="shared" si="4"/>
        <v>2</v>
      </c>
      <c r="M11" s="181">
        <f t="shared" si="5"/>
        <v>1</v>
      </c>
      <c r="N11" s="182">
        <v>8028.0119242704914</v>
      </c>
      <c r="O11" s="181">
        <v>4800</v>
      </c>
      <c r="P11" s="181">
        <v>31806.088393657403</v>
      </c>
      <c r="Q11">
        <v>414</v>
      </c>
      <c r="R11">
        <v>1105.3024868650327</v>
      </c>
      <c r="S11" s="88">
        <f t="shared" si="6"/>
        <v>14347.314411135525</v>
      </c>
    </row>
    <row r="12" spans="1:24" x14ac:dyDescent="0.25">
      <c r="A12" s="325">
        <v>1</v>
      </c>
      <c r="B12" s="325" t="s">
        <v>35</v>
      </c>
      <c r="C12" s="326">
        <v>92.825640409695595</v>
      </c>
      <c r="D12" s="181">
        <v>92.825640409695595</v>
      </c>
      <c r="E12" s="181">
        <f t="shared" si="0"/>
        <v>12</v>
      </c>
      <c r="F12" s="181">
        <f t="shared" si="1"/>
        <v>3</v>
      </c>
      <c r="G12" s="181">
        <f t="shared" si="2"/>
        <v>1</v>
      </c>
      <c r="H12" s="182">
        <v>18448.539077584544</v>
      </c>
      <c r="I12" s="181">
        <v>6600</v>
      </c>
      <c r="J12" s="183">
        <v>23.57771266406268</v>
      </c>
      <c r="K12" s="181">
        <f t="shared" si="3"/>
        <v>3</v>
      </c>
      <c r="L12" s="181">
        <f t="shared" si="4"/>
        <v>1</v>
      </c>
      <c r="M12" s="181">
        <f t="shared" si="5"/>
        <v>1</v>
      </c>
      <c r="N12" s="182">
        <v>4685.9289257064738</v>
      </c>
      <c r="O12" s="181">
        <v>2100</v>
      </c>
      <c r="P12" s="181">
        <v>18565.128081939118</v>
      </c>
      <c r="Q12">
        <v>414</v>
      </c>
      <c r="R12">
        <v>1105.3024868650327</v>
      </c>
      <c r="S12" s="88">
        <f t="shared" si="6"/>
        <v>8305.2314125715056</v>
      </c>
    </row>
    <row r="13" spans="1:24" x14ac:dyDescent="0.25">
      <c r="A13" s="325">
        <v>1</v>
      </c>
      <c r="B13" s="325" t="s">
        <v>36</v>
      </c>
      <c r="C13" s="326">
        <v>248.03090243499986</v>
      </c>
      <c r="D13" s="181">
        <v>248.03090243499986</v>
      </c>
      <c r="E13" s="181">
        <f t="shared" si="0"/>
        <v>32</v>
      </c>
      <c r="F13" s="181">
        <f t="shared" si="1"/>
        <v>7</v>
      </c>
      <c r="G13" s="181">
        <f t="shared" si="2"/>
        <v>2</v>
      </c>
      <c r="H13" s="182">
        <v>49294.653673541616</v>
      </c>
      <c r="I13" s="181">
        <v>13200</v>
      </c>
      <c r="J13" s="183">
        <v>62.999849218489963</v>
      </c>
      <c r="K13" s="181">
        <f t="shared" si="3"/>
        <v>8</v>
      </c>
      <c r="L13" s="181">
        <f t="shared" si="4"/>
        <v>2</v>
      </c>
      <c r="M13" s="181">
        <f t="shared" si="5"/>
        <v>1</v>
      </c>
      <c r="N13" s="182">
        <v>12520.842033079571</v>
      </c>
      <c r="O13" s="181">
        <v>4800</v>
      </c>
      <c r="P13" s="181">
        <v>49606.180486999969</v>
      </c>
      <c r="Q13">
        <v>414</v>
      </c>
      <c r="R13">
        <v>1105.3024868650327</v>
      </c>
      <c r="S13" s="88">
        <f t="shared" si="6"/>
        <v>18840.144519944603</v>
      </c>
    </row>
    <row r="14" spans="1:24" x14ac:dyDescent="0.25">
      <c r="A14" s="325">
        <v>1</v>
      </c>
      <c r="B14" s="325" t="s">
        <v>37</v>
      </c>
      <c r="C14" s="326">
        <v>182.43984170529504</v>
      </c>
      <c r="D14" s="181">
        <v>182.43984170529504</v>
      </c>
      <c r="E14" s="181">
        <f t="shared" si="0"/>
        <v>23</v>
      </c>
      <c r="F14" s="181">
        <f t="shared" si="1"/>
        <v>5</v>
      </c>
      <c r="G14" s="181">
        <f t="shared" si="2"/>
        <v>2</v>
      </c>
      <c r="H14" s="182">
        <v>36258.823899877163</v>
      </c>
      <c r="I14" s="181">
        <v>13200</v>
      </c>
      <c r="J14" s="183">
        <v>46.339719793144937</v>
      </c>
      <c r="K14" s="181">
        <f t="shared" si="3"/>
        <v>6</v>
      </c>
      <c r="L14" s="181">
        <f t="shared" si="4"/>
        <v>2</v>
      </c>
      <c r="M14" s="181">
        <f t="shared" si="5"/>
        <v>1</v>
      </c>
      <c r="N14" s="182">
        <v>9209.7412705687984</v>
      </c>
      <c r="O14" s="181">
        <v>4800</v>
      </c>
      <c r="P14" s="181">
        <v>36487.968341059008</v>
      </c>
      <c r="Q14">
        <v>414</v>
      </c>
      <c r="R14">
        <v>1105.3024868650327</v>
      </c>
      <c r="S14" s="88">
        <f t="shared" si="6"/>
        <v>15529.043757433832</v>
      </c>
    </row>
    <row r="15" spans="1:24" x14ac:dyDescent="0.25">
      <c r="A15" s="325">
        <v>1</v>
      </c>
      <c r="B15" s="325" t="s">
        <v>38</v>
      </c>
      <c r="C15" s="326">
        <v>105.527376954738</v>
      </c>
      <c r="D15" s="181">
        <v>105.527376954738</v>
      </c>
      <c r="E15" s="181">
        <f t="shared" si="0"/>
        <v>14</v>
      </c>
      <c r="F15" s="181">
        <f t="shared" si="1"/>
        <v>3</v>
      </c>
      <c r="G15" s="181">
        <f t="shared" si="2"/>
        <v>1</v>
      </c>
      <c r="H15" s="182">
        <v>20972.933005492454</v>
      </c>
      <c r="I15" s="181">
        <v>6600</v>
      </c>
      <c r="J15" s="183">
        <v>26.803953746503453</v>
      </c>
      <c r="K15" s="181">
        <f t="shared" si="3"/>
        <v>4</v>
      </c>
      <c r="L15" s="181">
        <f t="shared" si="4"/>
        <v>1</v>
      </c>
      <c r="M15" s="181">
        <f t="shared" si="5"/>
        <v>1</v>
      </c>
      <c r="N15" s="182">
        <v>5327.1249833950833</v>
      </c>
      <c r="O15" s="181">
        <v>2400</v>
      </c>
      <c r="P15" s="181">
        <v>21105.475390947602</v>
      </c>
      <c r="Q15">
        <v>414</v>
      </c>
      <c r="R15">
        <v>1105.3024868650327</v>
      </c>
      <c r="S15" s="88">
        <f t="shared" si="6"/>
        <v>9246.427470260116</v>
      </c>
    </row>
    <row r="16" spans="1:24" x14ac:dyDescent="0.25">
      <c r="A16" s="325">
        <v>1</v>
      </c>
      <c r="B16" s="325" t="s">
        <v>39</v>
      </c>
      <c r="C16" s="326">
        <v>144.47236140497617</v>
      </c>
      <c r="D16" s="181">
        <v>144.47236140497617</v>
      </c>
      <c r="E16" s="181">
        <f t="shared" si="0"/>
        <v>19</v>
      </c>
      <c r="F16" s="181">
        <f t="shared" si="1"/>
        <v>4</v>
      </c>
      <c r="G16" s="181">
        <f t="shared" si="2"/>
        <v>1</v>
      </c>
      <c r="H16" s="182">
        <v>28713.014995070589</v>
      </c>
      <c r="I16" s="181">
        <v>6600</v>
      </c>
      <c r="J16" s="183">
        <v>36.695979796863945</v>
      </c>
      <c r="K16" s="181">
        <f t="shared" si="3"/>
        <v>5</v>
      </c>
      <c r="L16" s="181">
        <f t="shared" si="4"/>
        <v>1</v>
      </c>
      <c r="M16" s="181">
        <f t="shared" si="5"/>
        <v>1</v>
      </c>
      <c r="N16" s="182">
        <v>7293.1058087479287</v>
      </c>
      <c r="O16" s="181">
        <v>2400</v>
      </c>
      <c r="P16" s="181">
        <v>28894.472280995233</v>
      </c>
      <c r="Q16">
        <v>414</v>
      </c>
      <c r="R16">
        <v>1105.3024868650327</v>
      </c>
      <c r="S16" s="88">
        <f t="shared" si="6"/>
        <v>11212.408295612961</v>
      </c>
    </row>
    <row r="17" spans="1:19" x14ac:dyDescent="0.25">
      <c r="A17" s="325">
        <v>1</v>
      </c>
      <c r="B17" s="325" t="s">
        <v>40</v>
      </c>
      <c r="C17" s="326">
        <v>285.804926829745</v>
      </c>
      <c r="D17" s="181">
        <v>285.804926829745</v>
      </c>
      <c r="E17" s="181">
        <f t="shared" si="0"/>
        <v>36</v>
      </c>
      <c r="F17" s="181">
        <f t="shared" si="1"/>
        <v>8</v>
      </c>
      <c r="G17" s="181">
        <f t="shared" si="2"/>
        <v>2</v>
      </c>
      <c r="H17" s="182">
        <v>56802.01437785085</v>
      </c>
      <c r="I17" s="181">
        <v>13200</v>
      </c>
      <c r="J17" s="183">
        <v>72.594451414755227</v>
      </c>
      <c r="K17" s="181">
        <f t="shared" si="3"/>
        <v>10</v>
      </c>
      <c r="L17" s="181">
        <f t="shared" si="4"/>
        <v>2</v>
      </c>
      <c r="M17" s="181">
        <f t="shared" si="5"/>
        <v>1</v>
      </c>
      <c r="N17" s="182">
        <v>14427.711651974116</v>
      </c>
      <c r="O17" s="181">
        <v>4800</v>
      </c>
      <c r="P17" s="181">
        <v>57160.985365949004</v>
      </c>
      <c r="Q17">
        <v>414</v>
      </c>
      <c r="R17">
        <v>1105.3024868650327</v>
      </c>
      <c r="S17" s="88">
        <f t="shared" si="6"/>
        <v>20747.014138839149</v>
      </c>
    </row>
    <row r="18" spans="1:19" x14ac:dyDescent="0.25">
      <c r="A18" s="325">
        <v>1</v>
      </c>
      <c r="B18" s="325" t="s">
        <v>41</v>
      </c>
      <c r="C18" s="326">
        <v>73.938503372355498</v>
      </c>
      <c r="D18" s="181">
        <v>73.938503372355498</v>
      </c>
      <c r="E18" s="181">
        <f t="shared" si="0"/>
        <v>10</v>
      </c>
      <c r="F18" s="181">
        <f t="shared" si="1"/>
        <v>2</v>
      </c>
      <c r="G18" s="181">
        <f t="shared" si="2"/>
        <v>1</v>
      </c>
      <c r="H18" s="182">
        <v>14694.833914235423</v>
      </c>
      <c r="I18" s="181">
        <v>4800</v>
      </c>
      <c r="J18" s="183">
        <v>18.780379856578296</v>
      </c>
      <c r="K18" s="181">
        <f t="shared" si="3"/>
        <v>3</v>
      </c>
      <c r="L18" s="181">
        <f t="shared" si="4"/>
        <v>1</v>
      </c>
      <c r="M18" s="181">
        <f t="shared" si="5"/>
        <v>1</v>
      </c>
      <c r="N18" s="182">
        <v>3732.4878142157972</v>
      </c>
      <c r="O18" s="181">
        <v>2100</v>
      </c>
      <c r="P18" s="181">
        <v>14787.7006744711</v>
      </c>
      <c r="Q18">
        <v>414</v>
      </c>
      <c r="R18">
        <v>1105.3024868650327</v>
      </c>
      <c r="S18" s="88">
        <f t="shared" si="6"/>
        <v>7351.7903010808295</v>
      </c>
    </row>
    <row r="19" spans="1:19" x14ac:dyDescent="0.25">
      <c r="A19" s="325">
        <v>1</v>
      </c>
      <c r="B19" s="325" t="s">
        <v>42</v>
      </c>
      <c r="C19" s="326">
        <v>237.24007378688106</v>
      </c>
      <c r="D19" s="181">
        <v>237.24007378688106</v>
      </c>
      <c r="E19" s="181">
        <f t="shared" si="0"/>
        <v>30</v>
      </c>
      <c r="F19" s="181">
        <f t="shared" si="1"/>
        <v>6</v>
      </c>
      <c r="G19" s="181">
        <f t="shared" si="2"/>
        <v>2</v>
      </c>
      <c r="H19" s="182">
        <v>47150.041224699897</v>
      </c>
      <c r="I19" s="181">
        <v>13200</v>
      </c>
      <c r="J19" s="183">
        <v>60.258978741867786</v>
      </c>
      <c r="K19" s="181">
        <f t="shared" si="3"/>
        <v>8</v>
      </c>
      <c r="L19" s="181">
        <f t="shared" si="4"/>
        <v>2</v>
      </c>
      <c r="M19" s="181">
        <f t="shared" si="5"/>
        <v>1</v>
      </c>
      <c r="N19" s="182">
        <v>11976.110471073773</v>
      </c>
      <c r="O19" s="181">
        <v>4800</v>
      </c>
      <c r="P19" s="181">
        <v>47448.014757376208</v>
      </c>
      <c r="Q19">
        <v>414</v>
      </c>
      <c r="R19">
        <v>1105.3024868650327</v>
      </c>
      <c r="S19" s="88">
        <f t="shared" si="6"/>
        <v>18295.412957938806</v>
      </c>
    </row>
    <row r="20" spans="1:19" x14ac:dyDescent="0.25">
      <c r="A20" s="325">
        <v>1</v>
      </c>
      <c r="B20" s="325" t="s">
        <v>43</v>
      </c>
      <c r="C20" s="326">
        <v>497.33628658645318</v>
      </c>
      <c r="D20" s="181">
        <v>497.33628658645318</v>
      </c>
      <c r="E20" s="181">
        <f t="shared" si="0"/>
        <v>63</v>
      </c>
      <c r="F20" s="181">
        <f t="shared" si="1"/>
        <v>13</v>
      </c>
      <c r="G20" s="181">
        <f t="shared" si="2"/>
        <v>4</v>
      </c>
      <c r="H20" s="182">
        <v>98842.60294133806</v>
      </c>
      <c r="I20" s="181">
        <v>26400</v>
      </c>
      <c r="J20" s="183">
        <v>126.32341679295911</v>
      </c>
      <c r="K20" s="181">
        <f t="shared" si="3"/>
        <v>16</v>
      </c>
      <c r="L20" s="181">
        <f t="shared" si="4"/>
        <v>4</v>
      </c>
      <c r="M20" s="181">
        <f t="shared" si="5"/>
        <v>1</v>
      </c>
      <c r="N20" s="182">
        <v>25106.021147099869</v>
      </c>
      <c r="O20" s="181">
        <v>6600</v>
      </c>
      <c r="P20" s="181">
        <v>99467.257317290641</v>
      </c>
      <c r="Q20">
        <v>414</v>
      </c>
      <c r="R20">
        <v>1105.3024868650327</v>
      </c>
      <c r="S20" s="88">
        <f t="shared" si="6"/>
        <v>33225.323633964901</v>
      </c>
    </row>
    <row r="21" spans="1:19" x14ac:dyDescent="0.25">
      <c r="A21" s="325">
        <v>1</v>
      </c>
      <c r="B21" s="325" t="s">
        <v>44</v>
      </c>
      <c r="C21" s="326">
        <v>308.1101287298884</v>
      </c>
      <c r="D21" s="181">
        <v>308.1101287298884</v>
      </c>
      <c r="E21" s="181">
        <f t="shared" si="0"/>
        <v>39</v>
      </c>
      <c r="F21" s="181">
        <f t="shared" si="1"/>
        <v>8</v>
      </c>
      <c r="G21" s="181">
        <f t="shared" si="2"/>
        <v>2</v>
      </c>
      <c r="H21" s="182">
        <v>61235.039424292947</v>
      </c>
      <c r="I21" s="181">
        <v>13200</v>
      </c>
      <c r="J21" s="183">
        <v>78.25997269739166</v>
      </c>
      <c r="K21" s="181">
        <f t="shared" si="3"/>
        <v>10</v>
      </c>
      <c r="L21" s="181">
        <f t="shared" si="4"/>
        <v>2</v>
      </c>
      <c r="M21" s="181">
        <f t="shared" si="5"/>
        <v>1</v>
      </c>
      <c r="N21" s="182">
        <v>15553.700013770411</v>
      </c>
      <c r="O21" s="181">
        <v>4800</v>
      </c>
      <c r="P21" s="181">
        <v>61622.025745977677</v>
      </c>
      <c r="Q21">
        <v>414</v>
      </c>
      <c r="R21">
        <v>1105.3024868650327</v>
      </c>
      <c r="S21" s="88">
        <f t="shared" si="6"/>
        <v>21873.002500635444</v>
      </c>
    </row>
    <row r="22" spans="1:19" x14ac:dyDescent="0.25">
      <c r="A22" s="325">
        <v>1</v>
      </c>
      <c r="B22" s="325" t="s">
        <v>45</v>
      </c>
      <c r="C22" s="326">
        <v>104.36077465419243</v>
      </c>
      <c r="D22" s="181">
        <v>104.36077465419243</v>
      </c>
      <c r="E22" s="181">
        <f t="shared" si="0"/>
        <v>14</v>
      </c>
      <c r="F22" s="181">
        <f t="shared" si="1"/>
        <v>3</v>
      </c>
      <c r="G22" s="181">
        <f t="shared" si="2"/>
        <v>1</v>
      </c>
      <c r="H22" s="182">
        <v>20741.077797872822</v>
      </c>
      <c r="I22" s="181">
        <v>6600</v>
      </c>
      <c r="J22" s="183">
        <v>26.507636762164875</v>
      </c>
      <c r="K22" s="181">
        <f t="shared" si="3"/>
        <v>4</v>
      </c>
      <c r="L22" s="181">
        <f t="shared" si="4"/>
        <v>1</v>
      </c>
      <c r="M22" s="181">
        <f t="shared" si="5"/>
        <v>1</v>
      </c>
      <c r="N22" s="182">
        <v>5268.2337606596966</v>
      </c>
      <c r="O22" s="181">
        <v>2400</v>
      </c>
      <c r="P22" s="181">
        <v>20872.154930838486</v>
      </c>
      <c r="Q22">
        <v>414</v>
      </c>
      <c r="R22">
        <v>1105.3024868650327</v>
      </c>
      <c r="S22" s="88">
        <f t="shared" si="6"/>
        <v>9187.5362475247293</v>
      </c>
    </row>
    <row r="23" spans="1:19" x14ac:dyDescent="0.25">
      <c r="A23" s="325">
        <v>1</v>
      </c>
      <c r="B23" s="325" t="s">
        <v>46</v>
      </c>
      <c r="C23" s="326">
        <v>318.46770873005829</v>
      </c>
      <c r="D23" s="181">
        <v>318.46770873005829</v>
      </c>
      <c r="E23" s="181">
        <f t="shared" si="0"/>
        <v>40</v>
      </c>
      <c r="F23" s="181">
        <f t="shared" si="1"/>
        <v>8</v>
      </c>
      <c r="G23" s="181">
        <f t="shared" si="2"/>
        <v>2</v>
      </c>
      <c r="H23" s="182">
        <v>63293.546303846713</v>
      </c>
      <c r="I23" s="181">
        <v>13200</v>
      </c>
      <c r="J23" s="183">
        <v>80.890798017434804</v>
      </c>
      <c r="K23" s="181">
        <f t="shared" si="3"/>
        <v>11</v>
      </c>
      <c r="L23" s="181">
        <f t="shared" si="4"/>
        <v>3</v>
      </c>
      <c r="M23" s="181">
        <f t="shared" si="5"/>
        <v>1</v>
      </c>
      <c r="N23" s="182">
        <v>16076.560761177065</v>
      </c>
      <c r="O23" s="181">
        <v>6600</v>
      </c>
      <c r="P23" s="181">
        <v>63693.541746011659</v>
      </c>
      <c r="Q23">
        <v>414</v>
      </c>
      <c r="R23">
        <v>1105.3024868650327</v>
      </c>
      <c r="S23" s="88">
        <f t="shared" si="6"/>
        <v>24195.863248042097</v>
      </c>
    </row>
    <row r="24" spans="1:19" x14ac:dyDescent="0.25">
      <c r="A24" s="325">
        <v>1</v>
      </c>
      <c r="B24" s="325" t="s">
        <v>47</v>
      </c>
      <c r="C24" s="326">
        <v>379.46341693216021</v>
      </c>
      <c r="D24" s="181">
        <v>379.46341693216021</v>
      </c>
      <c r="E24" s="181">
        <f t="shared" si="0"/>
        <v>48</v>
      </c>
      <c r="F24" s="181">
        <f t="shared" si="1"/>
        <v>10</v>
      </c>
      <c r="G24" s="181">
        <f t="shared" si="2"/>
        <v>3</v>
      </c>
      <c r="H24" s="182">
        <v>75416.077334765258</v>
      </c>
      <c r="I24" s="181">
        <v>19800</v>
      </c>
      <c r="J24" s="183">
        <v>96.383707900768698</v>
      </c>
      <c r="K24" s="181">
        <f t="shared" si="3"/>
        <v>13</v>
      </c>
      <c r="L24" s="181">
        <f t="shared" si="4"/>
        <v>3</v>
      </c>
      <c r="M24" s="181">
        <f t="shared" si="5"/>
        <v>1</v>
      </c>
      <c r="N24" s="182">
        <v>19155.683643030377</v>
      </c>
      <c r="O24" s="181">
        <v>6600</v>
      </c>
      <c r="P24" s="181">
        <v>75892.683386432036</v>
      </c>
      <c r="Q24">
        <v>414</v>
      </c>
      <c r="R24">
        <v>1105.3024868650327</v>
      </c>
      <c r="S24" s="88">
        <f t="shared" si="6"/>
        <v>27274.986129895409</v>
      </c>
    </row>
    <row r="25" spans="1:19" x14ac:dyDescent="0.25">
      <c r="A25" s="325">
        <v>1</v>
      </c>
      <c r="B25" s="325" t="s">
        <v>48</v>
      </c>
      <c r="C25" s="326">
        <v>300.57263512681931</v>
      </c>
      <c r="D25" s="181">
        <v>300.57263512681931</v>
      </c>
      <c r="E25" s="181">
        <f t="shared" si="0"/>
        <v>38</v>
      </c>
      <c r="F25" s="181">
        <f t="shared" si="1"/>
        <v>8</v>
      </c>
      <c r="G25" s="181">
        <f t="shared" si="2"/>
        <v>2</v>
      </c>
      <c r="H25" s="182">
        <v>59737.007795644582</v>
      </c>
      <c r="I25" s="181">
        <v>13200</v>
      </c>
      <c r="J25" s="183">
        <v>76.345449322212104</v>
      </c>
      <c r="K25" s="181">
        <f t="shared" si="3"/>
        <v>10</v>
      </c>
      <c r="L25" s="181">
        <f t="shared" si="4"/>
        <v>2</v>
      </c>
      <c r="M25" s="181">
        <f t="shared" si="5"/>
        <v>1</v>
      </c>
      <c r="N25" s="182">
        <v>15173.199980093725</v>
      </c>
      <c r="O25" s="181">
        <v>4800</v>
      </c>
      <c r="P25" s="181">
        <v>60114.527025363859</v>
      </c>
      <c r="Q25">
        <v>414</v>
      </c>
      <c r="R25">
        <v>1105.3024868650327</v>
      </c>
      <c r="S25" s="88">
        <f t="shared" si="6"/>
        <v>21492.502466958758</v>
      </c>
    </row>
    <row r="26" spans="1:19" x14ac:dyDescent="0.25">
      <c r="A26" s="325">
        <v>1</v>
      </c>
      <c r="B26" s="325" t="s">
        <v>49</v>
      </c>
      <c r="C26" s="326">
        <v>403.13330647215156</v>
      </c>
      <c r="D26" s="181">
        <v>403.13330647215156</v>
      </c>
      <c r="E26" s="181">
        <f t="shared" si="0"/>
        <v>51</v>
      </c>
      <c r="F26" s="181">
        <f t="shared" si="1"/>
        <v>11</v>
      </c>
      <c r="G26" s="181">
        <f t="shared" si="2"/>
        <v>3</v>
      </c>
      <c r="H26" s="182">
        <v>80120.325861501304</v>
      </c>
      <c r="I26" s="181">
        <v>19800</v>
      </c>
      <c r="J26" s="183">
        <v>102.3958598439265</v>
      </c>
      <c r="K26" s="181">
        <f t="shared" si="3"/>
        <v>13</v>
      </c>
      <c r="L26" s="181">
        <f t="shared" si="4"/>
        <v>3</v>
      </c>
      <c r="M26" s="181">
        <f t="shared" si="5"/>
        <v>1</v>
      </c>
      <c r="N26" s="182">
        <v>20350.562768821332</v>
      </c>
      <c r="O26" s="181">
        <v>6600</v>
      </c>
      <c r="P26" s="181">
        <v>80626.661294430305</v>
      </c>
      <c r="Q26">
        <v>414</v>
      </c>
      <c r="R26">
        <v>1105.3024868650327</v>
      </c>
      <c r="S26" s="88">
        <f t="shared" si="6"/>
        <v>28469.865255686364</v>
      </c>
    </row>
    <row r="27" spans="1:19" x14ac:dyDescent="0.25">
      <c r="A27" s="325">
        <v>1</v>
      </c>
      <c r="B27" s="325" t="s">
        <v>50</v>
      </c>
      <c r="C27" s="326">
        <v>261.76065372653915</v>
      </c>
      <c r="D27" s="181">
        <v>261.76065372653915</v>
      </c>
      <c r="E27" s="181">
        <f t="shared" si="0"/>
        <v>33</v>
      </c>
      <c r="F27" s="181">
        <f t="shared" si="1"/>
        <v>7</v>
      </c>
      <c r="G27" s="181">
        <f t="shared" si="2"/>
        <v>2</v>
      </c>
      <c r="H27" s="182">
        <v>52023.359364227304</v>
      </c>
      <c r="I27" s="181">
        <v>13200</v>
      </c>
      <c r="J27" s="183">
        <v>66.487206046540948</v>
      </c>
      <c r="K27" s="181">
        <f t="shared" si="3"/>
        <v>9</v>
      </c>
      <c r="L27" s="181">
        <f t="shared" si="4"/>
        <v>2</v>
      </c>
      <c r="M27" s="181">
        <f t="shared" si="5"/>
        <v>1</v>
      </c>
      <c r="N27" s="182">
        <v>13213.933278513736</v>
      </c>
      <c r="O27" s="181">
        <v>4800</v>
      </c>
      <c r="P27" s="181">
        <v>52352.130745307826</v>
      </c>
      <c r="Q27">
        <v>414</v>
      </c>
      <c r="R27">
        <v>1105.3024868650327</v>
      </c>
      <c r="S27" s="88">
        <f t="shared" si="6"/>
        <v>19533.235765378769</v>
      </c>
    </row>
    <row r="28" spans="1:19" x14ac:dyDescent="0.25">
      <c r="A28" s="325">
        <v>1</v>
      </c>
      <c r="B28" s="325" t="s">
        <v>51</v>
      </c>
      <c r="C28" s="326">
        <v>221.82230493146375</v>
      </c>
      <c r="D28" s="181">
        <v>221.82230493146375</v>
      </c>
      <c r="E28" s="181">
        <f t="shared" si="0"/>
        <v>28</v>
      </c>
      <c r="F28" s="181">
        <f t="shared" si="1"/>
        <v>6</v>
      </c>
      <c r="G28" s="181">
        <f t="shared" si="2"/>
        <v>2</v>
      </c>
      <c r="H28" s="182">
        <v>44085.852171298837</v>
      </c>
      <c r="I28" s="181">
        <v>13200</v>
      </c>
      <c r="J28" s="183">
        <v>56.342865452591795</v>
      </c>
      <c r="K28" s="181">
        <f t="shared" si="3"/>
        <v>8</v>
      </c>
      <c r="L28" s="181">
        <f t="shared" si="4"/>
        <v>2</v>
      </c>
      <c r="M28" s="181">
        <f t="shared" si="5"/>
        <v>1</v>
      </c>
      <c r="N28" s="182">
        <v>11197.806451509905</v>
      </c>
      <c r="O28" s="181">
        <v>4800</v>
      </c>
      <c r="P28" s="181">
        <v>44364.460986292746</v>
      </c>
      <c r="Q28">
        <v>414</v>
      </c>
      <c r="R28">
        <v>1105.3024868650327</v>
      </c>
      <c r="S28" s="88">
        <f t="shared" si="6"/>
        <v>17517.108938374939</v>
      </c>
    </row>
    <row r="29" spans="1:19" x14ac:dyDescent="0.25">
      <c r="A29" s="325">
        <v>1</v>
      </c>
      <c r="B29" s="325" t="s">
        <v>52</v>
      </c>
      <c r="C29" s="326">
        <v>244.59045552333055</v>
      </c>
      <c r="D29" s="181">
        <v>244.59045552333055</v>
      </c>
      <c r="E29" s="181">
        <f t="shared" si="0"/>
        <v>31</v>
      </c>
      <c r="F29" s="181">
        <f t="shared" si="1"/>
        <v>7</v>
      </c>
      <c r="G29" s="181">
        <f t="shared" si="2"/>
        <v>2</v>
      </c>
      <c r="H29" s="182">
        <v>48610.885492528811</v>
      </c>
      <c r="I29" s="181">
        <v>13200</v>
      </c>
      <c r="J29" s="183">
        <v>62.125975702925963</v>
      </c>
      <c r="K29" s="181">
        <f t="shared" si="3"/>
        <v>8</v>
      </c>
      <c r="L29" s="181">
        <f t="shared" si="4"/>
        <v>2</v>
      </c>
      <c r="M29" s="181">
        <f t="shared" si="5"/>
        <v>1</v>
      </c>
      <c r="N29" s="182">
        <v>12347.164915102319</v>
      </c>
      <c r="O29" s="181">
        <v>4800</v>
      </c>
      <c r="P29" s="181">
        <v>48918.091104666106</v>
      </c>
      <c r="Q29">
        <v>414</v>
      </c>
      <c r="R29">
        <v>1105.3024868650327</v>
      </c>
      <c r="S29" s="88">
        <f t="shared" si="6"/>
        <v>18666.467401967351</v>
      </c>
    </row>
    <row r="30" spans="1:19" x14ac:dyDescent="0.25">
      <c r="A30" s="325">
        <v>1</v>
      </c>
      <c r="B30" s="325" t="s">
        <v>53</v>
      </c>
      <c r="C30" s="326">
        <v>113.81939225839545</v>
      </c>
      <c r="D30" s="181">
        <v>113.81939225839545</v>
      </c>
      <c r="E30" s="181">
        <f t="shared" si="0"/>
        <v>15</v>
      </c>
      <c r="F30" s="181">
        <f t="shared" si="1"/>
        <v>3</v>
      </c>
      <c r="G30" s="181">
        <f t="shared" si="2"/>
        <v>1</v>
      </c>
      <c r="H30" s="182">
        <v>22620.92129500255</v>
      </c>
      <c r="I30" s="181">
        <v>6600</v>
      </c>
      <c r="J30" s="183">
        <v>28.910125633632447</v>
      </c>
      <c r="K30" s="181">
        <f t="shared" si="3"/>
        <v>4</v>
      </c>
      <c r="L30" s="181">
        <f t="shared" si="4"/>
        <v>1</v>
      </c>
      <c r="M30" s="181">
        <f t="shared" si="5"/>
        <v>1</v>
      </c>
      <c r="N30" s="182">
        <v>5745.7140089306477</v>
      </c>
      <c r="O30" s="181">
        <v>2400</v>
      </c>
      <c r="P30" s="181">
        <v>22763.878451679091</v>
      </c>
      <c r="Q30">
        <v>414</v>
      </c>
      <c r="R30">
        <v>1105.3024868650327</v>
      </c>
      <c r="S30" s="88">
        <f t="shared" si="6"/>
        <v>9665.0164957956804</v>
      </c>
    </row>
    <row r="31" spans="1:19" x14ac:dyDescent="0.25">
      <c r="A31" s="325">
        <v>1</v>
      </c>
      <c r="B31" s="325" t="s">
        <v>54</v>
      </c>
      <c r="C31" s="326">
        <v>58.002061732068618</v>
      </c>
      <c r="D31" s="181">
        <v>58.002061732068618</v>
      </c>
      <c r="E31" s="181">
        <f t="shared" si="0"/>
        <v>8</v>
      </c>
      <c r="F31" s="181">
        <f t="shared" si="1"/>
        <v>2</v>
      </c>
      <c r="G31" s="181">
        <f t="shared" si="2"/>
        <v>1</v>
      </c>
      <c r="H31" s="182">
        <v>11527.561756878247</v>
      </c>
      <c r="I31" s="181">
        <v>4800</v>
      </c>
      <c r="J31" s="183">
        <v>14.732523679945428</v>
      </c>
      <c r="K31" s="181">
        <f t="shared" si="3"/>
        <v>2</v>
      </c>
      <c r="L31" s="181">
        <f t="shared" si="4"/>
        <v>1</v>
      </c>
      <c r="M31" s="181">
        <f t="shared" si="5"/>
        <v>1</v>
      </c>
      <c r="N31" s="182">
        <v>2928.0006862470746</v>
      </c>
      <c r="O31" s="181">
        <v>1400</v>
      </c>
      <c r="P31" s="181">
        <v>11600.412346413723</v>
      </c>
      <c r="Q31">
        <v>414</v>
      </c>
      <c r="R31">
        <v>1105.3024868650327</v>
      </c>
      <c r="S31" s="88">
        <f t="shared" si="6"/>
        <v>5847.3031731121073</v>
      </c>
    </row>
    <row r="32" spans="1:19" x14ac:dyDescent="0.25">
      <c r="A32" s="325">
        <v>1</v>
      </c>
      <c r="B32" s="325" t="s">
        <v>55</v>
      </c>
      <c r="C32" s="326">
        <v>98.122969491392709</v>
      </c>
      <c r="D32" s="181">
        <v>98.122969491392709</v>
      </c>
      <c r="E32" s="181">
        <f t="shared" si="0"/>
        <v>13</v>
      </c>
      <c r="F32" s="181">
        <f t="shared" si="1"/>
        <v>3</v>
      </c>
      <c r="G32" s="181">
        <f t="shared" si="2"/>
        <v>1</v>
      </c>
      <c r="H32" s="182">
        <v>19501.351448597354</v>
      </c>
      <c r="I32" s="181">
        <v>6600</v>
      </c>
      <c r="J32" s="183">
        <v>24.923234250813749</v>
      </c>
      <c r="K32" s="181">
        <f t="shared" si="3"/>
        <v>4</v>
      </c>
      <c r="L32" s="181">
        <f t="shared" si="4"/>
        <v>1</v>
      </c>
      <c r="M32" s="181">
        <f t="shared" si="5"/>
        <v>1</v>
      </c>
      <c r="N32" s="182">
        <v>4953.3432679437283</v>
      </c>
      <c r="O32" s="181">
        <v>2400</v>
      </c>
      <c r="P32" s="181">
        <v>19624.593898278541</v>
      </c>
      <c r="Q32">
        <v>414</v>
      </c>
      <c r="R32">
        <v>1105.3024868650327</v>
      </c>
      <c r="S32" s="88">
        <f t="shared" si="6"/>
        <v>8872.6457548087601</v>
      </c>
    </row>
    <row r="33" spans="1:19" x14ac:dyDescent="0.25">
      <c r="A33" s="325">
        <v>1</v>
      </c>
      <c r="B33" s="325" t="s">
        <v>56</v>
      </c>
      <c r="C33" s="326">
        <v>109.15537732199004</v>
      </c>
      <c r="D33" s="181">
        <v>109.15537732199004</v>
      </c>
      <c r="E33" s="181">
        <f t="shared" si="0"/>
        <v>14</v>
      </c>
      <c r="F33" s="181">
        <f t="shared" si="1"/>
        <v>3</v>
      </c>
      <c r="G33" s="181">
        <f t="shared" si="2"/>
        <v>1</v>
      </c>
      <c r="H33" s="182">
        <v>21693.976310481594</v>
      </c>
      <c r="I33" s="181">
        <v>6600</v>
      </c>
      <c r="J33" s="183">
        <v>27.725465839785471</v>
      </c>
      <c r="K33" s="181">
        <f t="shared" si="3"/>
        <v>4</v>
      </c>
      <c r="L33" s="181">
        <f t="shared" si="4"/>
        <v>1</v>
      </c>
      <c r="M33" s="181">
        <f t="shared" si="5"/>
        <v>1</v>
      </c>
      <c r="N33" s="182">
        <v>5510.2699828623245</v>
      </c>
      <c r="O33" s="181">
        <v>2400</v>
      </c>
      <c r="P33" s="181">
        <v>21831.075464398011</v>
      </c>
      <c r="Q33">
        <v>414</v>
      </c>
      <c r="R33">
        <v>1105.3024868650327</v>
      </c>
      <c r="S33" s="88">
        <f t="shared" si="6"/>
        <v>9429.5724697273581</v>
      </c>
    </row>
    <row r="34" spans="1:19" x14ac:dyDescent="0.25">
      <c r="A34" s="325">
        <v>1</v>
      </c>
      <c r="B34" s="325" t="s">
        <v>57</v>
      </c>
      <c r="C34" s="326">
        <v>133.48874696213281</v>
      </c>
      <c r="D34" s="181">
        <v>133.48874696213281</v>
      </c>
      <c r="E34" s="181">
        <f t="shared" si="0"/>
        <v>17</v>
      </c>
      <c r="F34" s="181">
        <f t="shared" si="1"/>
        <v>4</v>
      </c>
      <c r="G34" s="181">
        <f t="shared" si="2"/>
        <v>1</v>
      </c>
      <c r="H34" s="182">
        <v>26530.087526242125</v>
      </c>
      <c r="I34" s="181">
        <v>6600</v>
      </c>
      <c r="J34" s="183">
        <v>33.906141728381733</v>
      </c>
      <c r="K34" s="181">
        <f t="shared" si="3"/>
        <v>5</v>
      </c>
      <c r="L34" s="181">
        <f t="shared" si="4"/>
        <v>1</v>
      </c>
      <c r="M34" s="181">
        <f t="shared" si="5"/>
        <v>1</v>
      </c>
      <c r="N34" s="182">
        <v>6738.6422316654998</v>
      </c>
      <c r="O34" s="181">
        <v>2400</v>
      </c>
      <c r="P34" s="181">
        <v>26697.749392426562</v>
      </c>
      <c r="Q34">
        <v>414</v>
      </c>
      <c r="R34">
        <v>1105.3024868650327</v>
      </c>
      <c r="S34" s="88">
        <f t="shared" si="6"/>
        <v>10657.944718530533</v>
      </c>
    </row>
    <row r="35" spans="1:19" x14ac:dyDescent="0.25">
      <c r="A35" s="325">
        <v>1</v>
      </c>
      <c r="B35" s="325" t="s">
        <v>58</v>
      </c>
      <c r="C35" s="326">
        <v>159.75884087878768</v>
      </c>
      <c r="D35" s="181">
        <v>159.75884087878768</v>
      </c>
      <c r="E35" s="181">
        <f t="shared" si="0"/>
        <v>20</v>
      </c>
      <c r="F35" s="181">
        <f t="shared" si="1"/>
        <v>4</v>
      </c>
      <c r="G35" s="181">
        <f t="shared" si="2"/>
        <v>1</v>
      </c>
      <c r="H35" s="182">
        <v>31751.111071613785</v>
      </c>
      <c r="I35" s="181">
        <v>6600</v>
      </c>
      <c r="J35" s="183">
        <v>40.578745583212068</v>
      </c>
      <c r="K35" s="181">
        <f t="shared" si="3"/>
        <v>6</v>
      </c>
      <c r="L35" s="181">
        <f t="shared" si="4"/>
        <v>2</v>
      </c>
      <c r="M35" s="181">
        <f t="shared" si="5"/>
        <v>1</v>
      </c>
      <c r="N35" s="182">
        <v>8064.7822121899007</v>
      </c>
      <c r="O35" s="181">
        <v>4800</v>
      </c>
      <c r="P35" s="181">
        <v>31951.768175757537</v>
      </c>
      <c r="Q35">
        <v>414</v>
      </c>
      <c r="R35">
        <v>1105.3024868650327</v>
      </c>
      <c r="S35" s="88">
        <f t="shared" si="6"/>
        <v>14384.084699054933</v>
      </c>
    </row>
    <row r="36" spans="1:19" x14ac:dyDescent="0.25">
      <c r="A36" s="325">
        <v>1</v>
      </c>
      <c r="B36" s="325" t="s">
        <v>59</v>
      </c>
      <c r="C36" s="326">
        <v>370.12246094567041</v>
      </c>
      <c r="D36" s="181">
        <v>370.12246094567041</v>
      </c>
      <c r="E36" s="181">
        <f t="shared" si="0"/>
        <v>47</v>
      </c>
      <c r="F36" s="181">
        <f t="shared" si="1"/>
        <v>10</v>
      </c>
      <c r="G36" s="181">
        <f t="shared" si="2"/>
        <v>3</v>
      </c>
      <c r="H36" s="182">
        <v>73559.618378186336</v>
      </c>
      <c r="I36" s="181">
        <v>19800</v>
      </c>
      <c r="J36" s="183">
        <v>94.011105080200281</v>
      </c>
      <c r="K36" s="181">
        <f t="shared" si="3"/>
        <v>12</v>
      </c>
      <c r="L36" s="181">
        <f t="shared" si="4"/>
        <v>3</v>
      </c>
      <c r="M36" s="181">
        <f t="shared" si="5"/>
        <v>1</v>
      </c>
      <c r="N36" s="182">
        <v>18684.143068059326</v>
      </c>
      <c r="O36" s="181">
        <v>6600</v>
      </c>
      <c r="P36" s="181">
        <v>74024.492189134078</v>
      </c>
      <c r="Q36">
        <v>414</v>
      </c>
      <c r="R36">
        <v>1105.3024868650327</v>
      </c>
      <c r="S36" s="88">
        <f t="shared" si="6"/>
        <v>26803.445554924358</v>
      </c>
    </row>
    <row r="37" spans="1:19" x14ac:dyDescent="0.25">
      <c r="A37" s="325">
        <v>1</v>
      </c>
      <c r="B37" s="325" t="s">
        <v>60</v>
      </c>
      <c r="C37" s="326">
        <v>631.91001380577757</v>
      </c>
      <c r="D37" s="181">
        <v>631.91001380577757</v>
      </c>
      <c r="E37" s="181">
        <f t="shared" si="0"/>
        <v>79</v>
      </c>
      <c r="F37" s="181">
        <f t="shared" si="1"/>
        <v>16</v>
      </c>
      <c r="G37" s="181">
        <f t="shared" si="2"/>
        <v>4</v>
      </c>
      <c r="H37" s="182">
        <v>125588.32378381547</v>
      </c>
      <c r="I37" s="181">
        <v>26400</v>
      </c>
      <c r="J37" s="183">
        <v>160.50514350666751</v>
      </c>
      <c r="K37" s="181">
        <f t="shared" si="3"/>
        <v>21</v>
      </c>
      <c r="L37" s="181">
        <f t="shared" si="4"/>
        <v>5</v>
      </c>
      <c r="M37" s="181">
        <f t="shared" si="5"/>
        <v>2</v>
      </c>
      <c r="N37" s="182">
        <v>31899.434241089133</v>
      </c>
      <c r="O37" s="181">
        <v>13200</v>
      </c>
      <c r="P37" s="181">
        <v>126382.00276115551</v>
      </c>
      <c r="Q37">
        <v>414</v>
      </c>
      <c r="R37">
        <v>1105.3024868650327</v>
      </c>
      <c r="S37" s="88">
        <f t="shared" si="6"/>
        <v>46618.736727954165</v>
      </c>
    </row>
    <row r="38" spans="1:19" x14ac:dyDescent="0.25">
      <c r="A38" s="325">
        <v>1</v>
      </c>
      <c r="B38" s="325" t="s">
        <v>61</v>
      </c>
      <c r="C38" s="326">
        <v>152.06858979818344</v>
      </c>
      <c r="D38" s="181">
        <v>152.06858979818344</v>
      </c>
      <c r="E38" s="181">
        <f t="shared" si="0"/>
        <v>20</v>
      </c>
      <c r="F38" s="181">
        <f t="shared" si="1"/>
        <v>4</v>
      </c>
      <c r="G38" s="181">
        <f t="shared" si="2"/>
        <v>1</v>
      </c>
      <c r="H38" s="182">
        <v>30222.719810850173</v>
      </c>
      <c r="I38" s="181">
        <v>6600</v>
      </c>
      <c r="J38" s="183">
        <v>38.625421808738594</v>
      </c>
      <c r="K38" s="181">
        <f t="shared" si="3"/>
        <v>5</v>
      </c>
      <c r="L38" s="181">
        <f t="shared" si="4"/>
        <v>1</v>
      </c>
      <c r="M38" s="181">
        <f t="shared" si="5"/>
        <v>1</v>
      </c>
      <c r="N38" s="182">
        <v>7676.5708319559444</v>
      </c>
      <c r="O38" s="181">
        <v>2400</v>
      </c>
      <c r="P38" s="181">
        <v>30413.717959636688</v>
      </c>
      <c r="Q38">
        <v>414</v>
      </c>
      <c r="R38">
        <v>1105.3024868650327</v>
      </c>
      <c r="S38" s="88">
        <f t="shared" si="6"/>
        <v>11595.873318820977</v>
      </c>
    </row>
    <row r="39" spans="1:19" x14ac:dyDescent="0.25">
      <c r="A39" s="325">
        <v>1</v>
      </c>
      <c r="B39" s="325" t="s">
        <v>62</v>
      </c>
      <c r="C39" s="326">
        <v>216.90940478602056</v>
      </c>
      <c r="D39" s="181">
        <v>216.90940478602056</v>
      </c>
      <c r="E39" s="181">
        <f t="shared" si="0"/>
        <v>28</v>
      </c>
      <c r="F39" s="181">
        <f t="shared" si="1"/>
        <v>6</v>
      </c>
      <c r="G39" s="181">
        <f t="shared" si="2"/>
        <v>2</v>
      </c>
      <c r="H39" s="182">
        <v>43109.442744792876</v>
      </c>
      <c r="I39" s="181">
        <v>13200</v>
      </c>
      <c r="J39" s="183">
        <v>55.094988815649224</v>
      </c>
      <c r="K39" s="181">
        <f t="shared" si="3"/>
        <v>7</v>
      </c>
      <c r="L39" s="181">
        <f t="shared" si="4"/>
        <v>2</v>
      </c>
      <c r="M39" s="181">
        <f t="shared" si="5"/>
        <v>1</v>
      </c>
      <c r="N39" s="182">
        <v>10949.79845717739</v>
      </c>
      <c r="O39" s="181">
        <v>4800</v>
      </c>
      <c r="P39" s="181">
        <v>43381.880957204114</v>
      </c>
      <c r="Q39">
        <v>414</v>
      </c>
      <c r="R39">
        <v>1105.3024868650327</v>
      </c>
      <c r="S39" s="88">
        <f t="shared" si="6"/>
        <v>17269.100944042424</v>
      </c>
    </row>
    <row r="40" spans="1:19" x14ac:dyDescent="0.25">
      <c r="A40" s="325">
        <v>1</v>
      </c>
      <c r="B40" s="325" t="s">
        <v>63</v>
      </c>
      <c r="C40" s="326">
        <v>246.52419837847643</v>
      </c>
      <c r="D40" s="181">
        <v>246.52419837847643</v>
      </c>
      <c r="E40" s="181">
        <f t="shared" si="0"/>
        <v>31</v>
      </c>
      <c r="F40" s="181">
        <f t="shared" si="1"/>
        <v>7</v>
      </c>
      <c r="G40" s="181">
        <f t="shared" si="2"/>
        <v>2</v>
      </c>
      <c r="H40" s="182">
        <v>48995.205282531926</v>
      </c>
      <c r="I40" s="181">
        <v>13200</v>
      </c>
      <c r="J40" s="183">
        <v>62.617146388133015</v>
      </c>
      <c r="K40" s="181">
        <f t="shared" si="3"/>
        <v>8</v>
      </c>
      <c r="L40" s="181">
        <f t="shared" si="4"/>
        <v>2</v>
      </c>
      <c r="M40" s="181">
        <f t="shared" si="5"/>
        <v>1</v>
      </c>
      <c r="N40" s="182">
        <v>12444.782141763109</v>
      </c>
      <c r="O40" s="181">
        <v>4800</v>
      </c>
      <c r="P40" s="181">
        <v>49304.839675695286</v>
      </c>
      <c r="Q40">
        <v>414</v>
      </c>
      <c r="R40">
        <v>1105.3024868650327</v>
      </c>
      <c r="S40" s="88">
        <f t="shared" si="6"/>
        <v>18764.084628628141</v>
      </c>
    </row>
    <row r="41" spans="1:19" x14ac:dyDescent="0.25">
      <c r="A41" s="325">
        <v>1</v>
      </c>
      <c r="B41" s="325" t="s">
        <v>64</v>
      </c>
      <c r="C41" s="326">
        <v>184.81936050390803</v>
      </c>
      <c r="D41" s="181">
        <v>184.81936050390803</v>
      </c>
      <c r="E41" s="181">
        <f t="shared" si="0"/>
        <v>24</v>
      </c>
      <c r="F41" s="181">
        <f t="shared" si="1"/>
        <v>5</v>
      </c>
      <c r="G41" s="181">
        <f t="shared" si="2"/>
        <v>2</v>
      </c>
      <c r="H41" s="182">
        <v>36731.738983988704</v>
      </c>
      <c r="I41" s="181">
        <v>13200</v>
      </c>
      <c r="J41" s="183">
        <v>46.944117567992642</v>
      </c>
      <c r="K41" s="181">
        <f t="shared" si="3"/>
        <v>6</v>
      </c>
      <c r="L41" s="181">
        <f t="shared" si="4"/>
        <v>2</v>
      </c>
      <c r="M41" s="181">
        <f t="shared" si="5"/>
        <v>1</v>
      </c>
      <c r="N41" s="182">
        <v>9329.8617019331305</v>
      </c>
      <c r="O41" s="181">
        <v>4800</v>
      </c>
      <c r="P41" s="181">
        <v>36963.872100781606</v>
      </c>
      <c r="Q41">
        <v>414</v>
      </c>
      <c r="R41">
        <v>1105.3024868650327</v>
      </c>
      <c r="S41" s="88">
        <f t="shared" si="6"/>
        <v>15649.164188798164</v>
      </c>
    </row>
    <row r="42" spans="1:19" x14ac:dyDescent="0.25">
      <c r="A42" s="325">
        <v>1</v>
      </c>
      <c r="B42" s="325" t="s">
        <v>65</v>
      </c>
      <c r="C42" s="326">
        <v>192.15047761910407</v>
      </c>
      <c r="D42" s="181">
        <v>192.15047761910407</v>
      </c>
      <c r="E42" s="181">
        <f t="shared" si="0"/>
        <v>25</v>
      </c>
      <c r="F42" s="181">
        <f t="shared" si="1"/>
        <v>5</v>
      </c>
      <c r="G42" s="181">
        <f t="shared" si="2"/>
        <v>2</v>
      </c>
      <c r="H42" s="182">
        <v>38188.754523931224</v>
      </c>
      <c r="I42" s="181">
        <v>13200</v>
      </c>
      <c r="J42" s="183">
        <v>48.806221315252436</v>
      </c>
      <c r="K42" s="181">
        <f t="shared" si="3"/>
        <v>7</v>
      </c>
      <c r="L42" s="181">
        <f t="shared" si="4"/>
        <v>2</v>
      </c>
      <c r="M42" s="181">
        <f t="shared" si="5"/>
        <v>1</v>
      </c>
      <c r="N42" s="182">
        <v>9699.943649078532</v>
      </c>
      <c r="O42" s="181">
        <v>4800</v>
      </c>
      <c r="P42" s="181">
        <v>38430.095523820812</v>
      </c>
      <c r="Q42">
        <v>414</v>
      </c>
      <c r="R42">
        <v>1105.3024868650327</v>
      </c>
      <c r="S42" s="88">
        <f t="shared" si="6"/>
        <v>16019.246135943566</v>
      </c>
    </row>
    <row r="43" spans="1:19" x14ac:dyDescent="0.25">
      <c r="A43" s="325">
        <v>1</v>
      </c>
      <c r="B43" s="325" t="s">
        <v>66</v>
      </c>
      <c r="C43" s="326">
        <v>58.000141399815035</v>
      </c>
      <c r="D43" s="181">
        <v>58.000141399815035</v>
      </c>
      <c r="E43" s="181">
        <f t="shared" si="0"/>
        <v>8</v>
      </c>
      <c r="F43" s="181">
        <f t="shared" si="1"/>
        <v>2</v>
      </c>
      <c r="G43" s="181">
        <f t="shared" si="2"/>
        <v>1</v>
      </c>
      <c r="H43" s="182">
        <v>11527.18010236484</v>
      </c>
      <c r="I43" s="181">
        <v>4800</v>
      </c>
      <c r="J43" s="183">
        <v>14.73203591555302</v>
      </c>
      <c r="K43" s="181">
        <f t="shared" si="3"/>
        <v>2</v>
      </c>
      <c r="L43" s="181">
        <f t="shared" si="4"/>
        <v>1</v>
      </c>
      <c r="M43" s="181">
        <f t="shared" si="5"/>
        <v>1</v>
      </c>
      <c r="N43" s="182">
        <v>2927.9037460006698</v>
      </c>
      <c r="O43" s="181">
        <v>1400</v>
      </c>
      <c r="P43" s="181">
        <v>11600.028279963008</v>
      </c>
      <c r="Q43">
        <v>414</v>
      </c>
      <c r="R43">
        <v>1105.3024868650327</v>
      </c>
      <c r="S43" s="88">
        <f t="shared" si="6"/>
        <v>5847.206232865703</v>
      </c>
    </row>
    <row r="44" spans="1:19" x14ac:dyDescent="0.25">
      <c r="A44" s="325">
        <v>1</v>
      </c>
      <c r="B44" s="325" t="s">
        <v>67</v>
      </c>
      <c r="C44" s="326">
        <v>134.72447849462364</v>
      </c>
      <c r="D44" s="181">
        <v>134.72447849462364</v>
      </c>
      <c r="E44" s="181">
        <f t="shared" si="0"/>
        <v>17</v>
      </c>
      <c r="F44" s="181">
        <f t="shared" si="1"/>
        <v>4</v>
      </c>
      <c r="G44" s="181">
        <f t="shared" si="2"/>
        <v>1</v>
      </c>
      <c r="H44" s="182">
        <v>26775.681753935485</v>
      </c>
      <c r="I44" s="181">
        <v>6600</v>
      </c>
      <c r="J44" s="183">
        <v>34.220017537634405</v>
      </c>
      <c r="K44" s="181">
        <f t="shared" si="3"/>
        <v>5</v>
      </c>
      <c r="L44" s="181">
        <f t="shared" si="4"/>
        <v>1</v>
      </c>
      <c r="M44" s="181">
        <f t="shared" si="5"/>
        <v>1</v>
      </c>
      <c r="N44" s="182">
        <v>6801.0231654996132</v>
      </c>
      <c r="O44" s="181">
        <v>2400</v>
      </c>
      <c r="P44" s="181">
        <v>26944.895698924727</v>
      </c>
      <c r="Q44">
        <v>414</v>
      </c>
      <c r="R44">
        <v>1105.3024868650327</v>
      </c>
      <c r="S44" s="88">
        <f t="shared" si="6"/>
        <v>10720.325652364645</v>
      </c>
    </row>
    <row r="45" spans="1:19" x14ac:dyDescent="0.25">
      <c r="A45" s="325">
        <v>1</v>
      </c>
      <c r="B45" s="325" t="s">
        <v>68</v>
      </c>
      <c r="C45" s="326">
        <v>82.602974408586618</v>
      </c>
      <c r="D45" s="181">
        <v>82.602974408586618</v>
      </c>
      <c r="E45" s="181">
        <f t="shared" si="0"/>
        <v>11</v>
      </c>
      <c r="F45" s="181">
        <f t="shared" si="1"/>
        <v>3</v>
      </c>
      <c r="G45" s="181">
        <f t="shared" si="2"/>
        <v>1</v>
      </c>
      <c r="H45" s="182">
        <v>16416.845545860142</v>
      </c>
      <c r="I45" s="181">
        <v>6600</v>
      </c>
      <c r="J45" s="183">
        <v>20.981155499781</v>
      </c>
      <c r="K45" s="181">
        <f t="shared" si="3"/>
        <v>3</v>
      </c>
      <c r="L45" s="181">
        <f t="shared" si="4"/>
        <v>1</v>
      </c>
      <c r="M45" s="181">
        <f t="shared" si="5"/>
        <v>1</v>
      </c>
      <c r="N45" s="182">
        <v>4169.8787686484757</v>
      </c>
      <c r="O45" s="181">
        <v>2100</v>
      </c>
      <c r="P45" s="181">
        <v>16520.594881717323</v>
      </c>
      <c r="Q45">
        <v>414</v>
      </c>
      <c r="R45">
        <v>1105.3024868650327</v>
      </c>
      <c r="S45" s="88">
        <f t="shared" si="6"/>
        <v>7789.1812555135084</v>
      </c>
    </row>
    <row r="46" spans="1:19" x14ac:dyDescent="0.25">
      <c r="A46" s="325">
        <v>1</v>
      </c>
      <c r="B46" s="325" t="s">
        <v>69</v>
      </c>
      <c r="C46" s="326">
        <v>246.59528571679039</v>
      </c>
      <c r="D46" s="181">
        <v>246.59528571679039</v>
      </c>
      <c r="E46" s="181">
        <f t="shared" si="0"/>
        <v>31</v>
      </c>
      <c r="F46" s="181">
        <f t="shared" si="1"/>
        <v>7</v>
      </c>
      <c r="G46" s="181">
        <f t="shared" si="2"/>
        <v>2</v>
      </c>
      <c r="H46" s="182">
        <v>49009.333464497795</v>
      </c>
      <c r="I46" s="181">
        <v>13200</v>
      </c>
      <c r="J46" s="183">
        <v>62.635202572064756</v>
      </c>
      <c r="K46" s="181">
        <f t="shared" si="3"/>
        <v>8</v>
      </c>
      <c r="L46" s="181">
        <f t="shared" si="4"/>
        <v>2</v>
      </c>
      <c r="M46" s="181">
        <f t="shared" si="5"/>
        <v>1</v>
      </c>
      <c r="N46" s="182">
        <v>12448.370699982439</v>
      </c>
      <c r="O46" s="181">
        <v>4800</v>
      </c>
      <c r="P46" s="181">
        <v>49319.057143358077</v>
      </c>
      <c r="Q46">
        <v>414</v>
      </c>
      <c r="R46">
        <v>1105.3024868650327</v>
      </c>
      <c r="S46" s="88">
        <f t="shared" si="6"/>
        <v>18767.673186847471</v>
      </c>
    </row>
    <row r="47" spans="1:19" x14ac:dyDescent="0.25">
      <c r="A47" s="325">
        <v>1</v>
      </c>
      <c r="B47" s="325" t="s">
        <v>70</v>
      </c>
      <c r="C47" s="326">
        <v>164.9192397109511</v>
      </c>
      <c r="D47" s="181">
        <v>164.9192397109511</v>
      </c>
      <c r="E47" s="181">
        <f t="shared" si="0"/>
        <v>21</v>
      </c>
      <c r="F47" s="181">
        <f t="shared" si="1"/>
        <v>5</v>
      </c>
      <c r="G47" s="181">
        <f t="shared" si="2"/>
        <v>2</v>
      </c>
      <c r="H47" s="182">
        <v>32776.709377113271</v>
      </c>
      <c r="I47" s="181">
        <v>13200</v>
      </c>
      <c r="J47" s="183">
        <v>41.889486886581579</v>
      </c>
      <c r="K47" s="181">
        <f t="shared" si="3"/>
        <v>6</v>
      </c>
      <c r="L47" s="181">
        <f t="shared" si="4"/>
        <v>2</v>
      </c>
      <c r="M47" s="181">
        <f t="shared" si="5"/>
        <v>1</v>
      </c>
      <c r="N47" s="182">
        <v>8325.2841817867702</v>
      </c>
      <c r="O47" s="181">
        <v>4800</v>
      </c>
      <c r="P47" s="181">
        <v>32983.847942190223</v>
      </c>
      <c r="Q47">
        <v>414</v>
      </c>
      <c r="R47">
        <v>1105.3024868650327</v>
      </c>
      <c r="S47" s="88">
        <f t="shared" si="6"/>
        <v>14644.586668651802</v>
      </c>
    </row>
    <row r="48" spans="1:19" x14ac:dyDescent="0.25">
      <c r="A48" s="325">
        <v>1</v>
      </c>
      <c r="B48" s="325" t="s">
        <v>71</v>
      </c>
      <c r="C48" s="326">
        <v>132.6036484183644</v>
      </c>
      <c r="D48" s="181">
        <v>132.6036484183644</v>
      </c>
      <c r="E48" s="181">
        <f t="shared" si="0"/>
        <v>17</v>
      </c>
      <c r="F48" s="181">
        <f t="shared" si="1"/>
        <v>4</v>
      </c>
      <c r="G48" s="181">
        <f t="shared" si="2"/>
        <v>1</v>
      </c>
      <c r="H48" s="182">
        <v>26354.179501259419</v>
      </c>
      <c r="I48" s="181">
        <v>6600</v>
      </c>
      <c r="J48" s="183">
        <v>33.681326698264556</v>
      </c>
      <c r="K48" s="181">
        <f t="shared" si="3"/>
        <v>5</v>
      </c>
      <c r="L48" s="181">
        <f t="shared" si="4"/>
        <v>1</v>
      </c>
      <c r="M48" s="181">
        <f t="shared" si="5"/>
        <v>1</v>
      </c>
      <c r="N48" s="182">
        <v>6693.961593319892</v>
      </c>
      <c r="O48" s="181">
        <v>2400</v>
      </c>
      <c r="P48" s="181">
        <v>26520.729683672878</v>
      </c>
      <c r="Q48">
        <v>414</v>
      </c>
      <c r="R48">
        <v>1105.3024868650327</v>
      </c>
      <c r="S48" s="88">
        <f t="shared" si="6"/>
        <v>10613.264080184925</v>
      </c>
    </row>
    <row r="49" spans="1:19" x14ac:dyDescent="0.25">
      <c r="A49" s="325">
        <v>1</v>
      </c>
      <c r="B49" s="325" t="s">
        <v>72</v>
      </c>
      <c r="C49" s="326">
        <v>70.501326896692476</v>
      </c>
      <c r="D49" s="181">
        <v>70.501326896692476</v>
      </c>
      <c r="E49" s="181">
        <f t="shared" si="0"/>
        <v>9</v>
      </c>
      <c r="F49" s="181">
        <f t="shared" si="1"/>
        <v>2</v>
      </c>
      <c r="G49" s="181">
        <f t="shared" si="2"/>
        <v>1</v>
      </c>
      <c r="H49" s="182">
        <v>14011.715712756251</v>
      </c>
      <c r="I49" s="181">
        <v>4800</v>
      </c>
      <c r="J49" s="183">
        <v>17.907337031759891</v>
      </c>
      <c r="K49" s="181">
        <f t="shared" si="3"/>
        <v>3</v>
      </c>
      <c r="L49" s="181">
        <f t="shared" si="4"/>
        <v>1</v>
      </c>
      <c r="M49" s="181">
        <f t="shared" si="5"/>
        <v>1</v>
      </c>
      <c r="N49" s="182">
        <v>3558.9757910400881</v>
      </c>
      <c r="O49" s="181">
        <v>2100</v>
      </c>
      <c r="P49" s="181">
        <v>14100.265379338494</v>
      </c>
      <c r="Q49">
        <v>414</v>
      </c>
      <c r="R49">
        <v>1105.3024868650327</v>
      </c>
      <c r="S49" s="88">
        <f t="shared" si="6"/>
        <v>7178.2782779051213</v>
      </c>
    </row>
    <row r="50" spans="1:19" x14ac:dyDescent="0.25">
      <c r="A50" s="325">
        <v>1</v>
      </c>
      <c r="B50" s="325" t="s">
        <v>73</v>
      </c>
      <c r="C50" s="326">
        <v>188.14484490952873</v>
      </c>
      <c r="D50" s="181">
        <v>188.14484490952873</v>
      </c>
      <c r="E50" s="181">
        <f t="shared" si="0"/>
        <v>24</v>
      </c>
      <c r="F50" s="181">
        <f t="shared" si="1"/>
        <v>5</v>
      </c>
      <c r="G50" s="181">
        <f t="shared" si="2"/>
        <v>2</v>
      </c>
      <c r="H50" s="182">
        <v>37392.659056699384</v>
      </c>
      <c r="I50" s="181">
        <v>13200</v>
      </c>
      <c r="J50" s="183">
        <v>47.788790607020296</v>
      </c>
      <c r="K50" s="181">
        <f t="shared" si="3"/>
        <v>6</v>
      </c>
      <c r="L50" s="181">
        <f t="shared" si="4"/>
        <v>2</v>
      </c>
      <c r="M50" s="181">
        <f t="shared" si="5"/>
        <v>1</v>
      </c>
      <c r="N50" s="182">
        <v>9497.7354004016433</v>
      </c>
      <c r="O50" s="181">
        <v>4800</v>
      </c>
      <c r="P50" s="181">
        <v>37628.968981905746</v>
      </c>
      <c r="Q50">
        <v>414</v>
      </c>
      <c r="R50">
        <v>1105.3024868650327</v>
      </c>
      <c r="S50" s="88">
        <f t="shared" si="6"/>
        <v>15817.037887266677</v>
      </c>
    </row>
    <row r="51" spans="1:19" x14ac:dyDescent="0.25">
      <c r="A51" s="325">
        <v>1</v>
      </c>
      <c r="B51" s="325" t="s">
        <v>74</v>
      </c>
      <c r="C51" s="326">
        <v>395.284923772441</v>
      </c>
      <c r="D51" s="181">
        <v>395.284923772441</v>
      </c>
      <c r="E51" s="181">
        <f t="shared" si="0"/>
        <v>50</v>
      </c>
      <c r="F51" s="181">
        <f t="shared" si="1"/>
        <v>10</v>
      </c>
      <c r="G51" s="181">
        <f t="shared" si="2"/>
        <v>3</v>
      </c>
      <c r="H51" s="182">
        <v>78560.506890230026</v>
      </c>
      <c r="I51" s="181">
        <v>19800</v>
      </c>
      <c r="J51" s="183">
        <v>100.40237063820001</v>
      </c>
      <c r="K51" s="181">
        <f t="shared" si="3"/>
        <v>13</v>
      </c>
      <c r="L51" s="181">
        <f t="shared" si="4"/>
        <v>3</v>
      </c>
      <c r="M51" s="181">
        <f t="shared" si="5"/>
        <v>1</v>
      </c>
      <c r="N51" s="182">
        <v>19954.368750118425</v>
      </c>
      <c r="O51" s="181">
        <v>6600</v>
      </c>
      <c r="P51" s="181">
        <v>79056.984754488207</v>
      </c>
      <c r="Q51">
        <v>414</v>
      </c>
      <c r="R51">
        <v>1105.3024868650327</v>
      </c>
      <c r="S51" s="88">
        <f t="shared" si="6"/>
        <v>28073.671236983457</v>
      </c>
    </row>
    <row r="52" spans="1:19" x14ac:dyDescent="0.25">
      <c r="A52" s="325">
        <v>1</v>
      </c>
      <c r="B52" s="325" t="s">
        <v>75</v>
      </c>
      <c r="C52" s="326">
        <v>73.012608560000004</v>
      </c>
      <c r="D52" s="181">
        <v>73.012608560000004</v>
      </c>
      <c r="E52" s="181">
        <f t="shared" si="0"/>
        <v>10</v>
      </c>
      <c r="F52" s="181">
        <f t="shared" si="1"/>
        <v>2</v>
      </c>
      <c r="G52" s="181">
        <f t="shared" si="2"/>
        <v>1</v>
      </c>
      <c r="H52" s="182">
        <v>14510.817875648643</v>
      </c>
      <c r="I52" s="181">
        <v>4800</v>
      </c>
      <c r="J52" s="183">
        <v>18.545202574240001</v>
      </c>
      <c r="K52" s="181">
        <f t="shared" si="3"/>
        <v>3</v>
      </c>
      <c r="L52" s="181">
        <f t="shared" si="4"/>
        <v>1</v>
      </c>
      <c r="M52" s="181">
        <f t="shared" si="5"/>
        <v>1</v>
      </c>
      <c r="N52" s="182">
        <v>3685.7477404147553</v>
      </c>
      <c r="O52" s="181">
        <v>2100</v>
      </c>
      <c r="P52" s="181">
        <v>14602.521712000002</v>
      </c>
      <c r="Q52">
        <v>414</v>
      </c>
      <c r="R52">
        <v>1105.3024868650327</v>
      </c>
      <c r="S52" s="88">
        <f t="shared" si="6"/>
        <v>7305.0502272797876</v>
      </c>
    </row>
    <row r="53" spans="1:19" x14ac:dyDescent="0.25">
      <c r="A53" s="325">
        <v>1</v>
      </c>
      <c r="B53" s="325" t="s">
        <v>76</v>
      </c>
      <c r="C53" s="326">
        <v>80.804051682594817</v>
      </c>
      <c r="D53" s="181">
        <v>80.804051682594817</v>
      </c>
      <c r="E53" s="181">
        <f t="shared" si="0"/>
        <v>11</v>
      </c>
      <c r="F53" s="181">
        <f t="shared" si="1"/>
        <v>3</v>
      </c>
      <c r="G53" s="181">
        <f t="shared" si="2"/>
        <v>1</v>
      </c>
      <c r="H53" s="182">
        <v>16059.320447605627</v>
      </c>
      <c r="I53" s="181">
        <v>6600</v>
      </c>
      <c r="J53" s="183">
        <v>20.524229127379083</v>
      </c>
      <c r="K53" s="181">
        <f t="shared" si="3"/>
        <v>3</v>
      </c>
      <c r="L53" s="181">
        <f t="shared" si="4"/>
        <v>1</v>
      </c>
      <c r="M53" s="181">
        <f t="shared" si="5"/>
        <v>1</v>
      </c>
      <c r="N53" s="182">
        <v>4079.0673936918292</v>
      </c>
      <c r="O53" s="181">
        <v>2100</v>
      </c>
      <c r="P53" s="181">
        <v>16160.810336518964</v>
      </c>
      <c r="Q53">
        <v>414</v>
      </c>
      <c r="R53">
        <v>1105.3024868650327</v>
      </c>
      <c r="S53" s="88">
        <f t="shared" si="6"/>
        <v>7698.369880556862</v>
      </c>
    </row>
    <row r="54" spans="1:19" x14ac:dyDescent="0.25">
      <c r="A54" s="325">
        <v>1</v>
      </c>
      <c r="B54" s="325" t="s">
        <v>77</v>
      </c>
      <c r="C54" s="326">
        <v>120.98206863118006</v>
      </c>
      <c r="D54" s="181">
        <v>120.98206863118006</v>
      </c>
      <c r="E54" s="181">
        <f t="shared" si="0"/>
        <v>16</v>
      </c>
      <c r="F54" s="181">
        <f t="shared" si="1"/>
        <v>4</v>
      </c>
      <c r="G54" s="181">
        <f t="shared" si="2"/>
        <v>1</v>
      </c>
      <c r="H54" s="182">
        <v>24044.460248035251</v>
      </c>
      <c r="I54" s="181">
        <v>6600</v>
      </c>
      <c r="J54" s="183">
        <v>30.729445432319736</v>
      </c>
      <c r="K54" s="181">
        <f t="shared" si="3"/>
        <v>4</v>
      </c>
      <c r="L54" s="181">
        <f t="shared" si="4"/>
        <v>1</v>
      </c>
      <c r="M54" s="181">
        <f t="shared" si="5"/>
        <v>1</v>
      </c>
      <c r="N54" s="182">
        <v>6107.2929030009545</v>
      </c>
      <c r="O54" s="181">
        <v>2400</v>
      </c>
      <c r="P54" s="181">
        <v>24196.413726236013</v>
      </c>
      <c r="Q54">
        <v>414</v>
      </c>
      <c r="R54">
        <v>1105.3024868650327</v>
      </c>
      <c r="S54" s="88">
        <f t="shared" si="6"/>
        <v>10026.595389865986</v>
      </c>
    </row>
    <row r="55" spans="1:19" x14ac:dyDescent="0.25">
      <c r="A55" s="325">
        <v>1</v>
      </c>
      <c r="B55" s="325" t="s">
        <v>78</v>
      </c>
      <c r="C55" s="326">
        <v>195.50083327170233</v>
      </c>
      <c r="D55" s="181">
        <v>195.50083327170233</v>
      </c>
      <c r="E55" s="181">
        <f t="shared" si="0"/>
        <v>25</v>
      </c>
      <c r="F55" s="181">
        <f t="shared" si="1"/>
        <v>5</v>
      </c>
      <c r="G55" s="181">
        <f t="shared" si="2"/>
        <v>2</v>
      </c>
      <c r="H55" s="182">
        <v>38854.617607751214</v>
      </c>
      <c r="I55" s="181">
        <v>13200</v>
      </c>
      <c r="J55" s="183">
        <v>49.657211651012396</v>
      </c>
      <c r="K55" s="181">
        <f t="shared" si="3"/>
        <v>7</v>
      </c>
      <c r="L55" s="181">
        <f t="shared" si="4"/>
        <v>2</v>
      </c>
      <c r="M55" s="181">
        <f t="shared" si="5"/>
        <v>1</v>
      </c>
      <c r="N55" s="182">
        <v>9869.0728723688098</v>
      </c>
      <c r="O55" s="181">
        <v>4800</v>
      </c>
      <c r="P55" s="181">
        <v>39100.166654340464</v>
      </c>
      <c r="Q55">
        <v>414</v>
      </c>
      <c r="R55">
        <v>1105.3024868650327</v>
      </c>
      <c r="S55" s="88">
        <f t="shared" si="6"/>
        <v>16188.375359233843</v>
      </c>
    </row>
    <row r="56" spans="1:19" x14ac:dyDescent="0.25">
      <c r="A56" s="325">
        <v>1</v>
      </c>
      <c r="B56" s="325" t="s">
        <v>79</v>
      </c>
      <c r="C56" s="326">
        <v>207.401898335</v>
      </c>
      <c r="D56" s="181">
        <v>207.401898335</v>
      </c>
      <c r="E56" s="181">
        <f t="shared" si="0"/>
        <v>26</v>
      </c>
      <c r="F56" s="181">
        <f t="shared" si="1"/>
        <v>6</v>
      </c>
      <c r="G56" s="181">
        <f t="shared" si="2"/>
        <v>2</v>
      </c>
      <c r="H56" s="182">
        <v>41219.882882691243</v>
      </c>
      <c r="I56" s="181">
        <v>13200</v>
      </c>
      <c r="J56" s="183">
        <v>52.68008217709</v>
      </c>
      <c r="K56" s="181">
        <f t="shared" si="3"/>
        <v>7</v>
      </c>
      <c r="L56" s="181">
        <f t="shared" si="4"/>
        <v>2</v>
      </c>
      <c r="M56" s="181">
        <f t="shared" si="5"/>
        <v>1</v>
      </c>
      <c r="N56" s="182">
        <v>10469.850252203576</v>
      </c>
      <c r="O56" s="181">
        <v>4800</v>
      </c>
      <c r="P56" s="181">
        <v>41480.379667000001</v>
      </c>
      <c r="Q56">
        <v>414</v>
      </c>
      <c r="R56">
        <v>1105.3024868650327</v>
      </c>
      <c r="S56" s="88">
        <f t="shared" si="6"/>
        <v>16789.15273906861</v>
      </c>
    </row>
    <row r="57" spans="1:19" x14ac:dyDescent="0.25">
      <c r="A57" s="325">
        <v>1</v>
      </c>
      <c r="B57" s="325" t="s">
        <v>80</v>
      </c>
      <c r="C57" s="326">
        <v>92.239645092095401</v>
      </c>
      <c r="D57" s="181">
        <v>92.239645092095401</v>
      </c>
      <c r="E57" s="181">
        <f t="shared" si="0"/>
        <v>12</v>
      </c>
      <c r="F57" s="181">
        <f t="shared" si="1"/>
        <v>3</v>
      </c>
      <c r="G57" s="181">
        <f t="shared" si="2"/>
        <v>1</v>
      </c>
      <c r="H57" s="182">
        <v>18332.07602418341</v>
      </c>
      <c r="I57" s="181">
        <v>6600</v>
      </c>
      <c r="J57" s="183">
        <v>23.428869853392232</v>
      </c>
      <c r="K57" s="181">
        <f t="shared" si="3"/>
        <v>3</v>
      </c>
      <c r="L57" s="181">
        <f t="shared" si="4"/>
        <v>1</v>
      </c>
      <c r="M57" s="181">
        <f t="shared" si="5"/>
        <v>1</v>
      </c>
      <c r="N57" s="182">
        <v>4656.3473101425861</v>
      </c>
      <c r="O57" s="181">
        <v>2100</v>
      </c>
      <c r="P57" s="181">
        <v>18447.92901841908</v>
      </c>
      <c r="Q57">
        <v>414</v>
      </c>
      <c r="R57">
        <v>1105.3024868650327</v>
      </c>
      <c r="S57" s="88">
        <f t="shared" si="6"/>
        <v>8275.6497970076198</v>
      </c>
    </row>
    <row r="58" spans="1:19" x14ac:dyDescent="0.25">
      <c r="A58" s="325">
        <v>1</v>
      </c>
      <c r="B58" s="325" t="s">
        <v>81</v>
      </c>
      <c r="C58" s="326">
        <v>191.35481541309937</v>
      </c>
      <c r="D58" s="181">
        <v>191.35481541309937</v>
      </c>
      <c r="E58" s="181">
        <f t="shared" si="0"/>
        <v>24</v>
      </c>
      <c r="F58" s="181">
        <f t="shared" si="1"/>
        <v>5</v>
      </c>
      <c r="G58" s="181">
        <f t="shared" si="2"/>
        <v>2</v>
      </c>
      <c r="H58" s="182">
        <v>38030.621434461027</v>
      </c>
      <c r="I58" s="181">
        <v>13200</v>
      </c>
      <c r="J58" s="183">
        <v>48.604123114927241</v>
      </c>
      <c r="K58" s="181">
        <f t="shared" si="3"/>
        <v>7</v>
      </c>
      <c r="L58" s="181">
        <f t="shared" si="4"/>
        <v>2</v>
      </c>
      <c r="M58" s="181">
        <f t="shared" si="5"/>
        <v>1</v>
      </c>
      <c r="N58" s="182">
        <v>9659.7778443531006</v>
      </c>
      <c r="O58" s="181">
        <v>4800</v>
      </c>
      <c r="P58" s="181">
        <v>38270.963082619877</v>
      </c>
      <c r="Q58">
        <v>414</v>
      </c>
      <c r="R58">
        <v>1105.3024868650327</v>
      </c>
      <c r="S58" s="88">
        <f t="shared" si="6"/>
        <v>15979.080331218134</v>
      </c>
    </row>
    <row r="59" spans="1:19" x14ac:dyDescent="0.25">
      <c r="A59" s="325">
        <v>1</v>
      </c>
      <c r="B59" s="325" t="s">
        <v>82</v>
      </c>
      <c r="C59" s="326">
        <v>40.5625</v>
      </c>
      <c r="D59" s="181">
        <v>40.5625</v>
      </c>
      <c r="E59" s="181">
        <f t="shared" si="0"/>
        <v>6</v>
      </c>
      <c r="F59" s="181">
        <f t="shared" si="1"/>
        <v>2</v>
      </c>
      <c r="G59" s="181">
        <f t="shared" si="2"/>
        <v>1</v>
      </c>
      <c r="H59" s="182">
        <v>8061.5535000000009</v>
      </c>
      <c r="I59" s="181">
        <v>4800</v>
      </c>
      <c r="J59" s="183">
        <v>10.302875</v>
      </c>
      <c r="K59" s="181">
        <f t="shared" si="3"/>
        <v>2</v>
      </c>
      <c r="L59" s="181">
        <f t="shared" si="4"/>
        <v>1</v>
      </c>
      <c r="M59" s="181">
        <f t="shared" si="5"/>
        <v>1</v>
      </c>
      <c r="N59" s="182">
        <v>2047.6345890000002</v>
      </c>
      <c r="O59" s="181">
        <v>1400</v>
      </c>
      <c r="P59" s="181">
        <v>8112.5</v>
      </c>
      <c r="Q59">
        <v>414</v>
      </c>
      <c r="R59">
        <v>1105.3024868650327</v>
      </c>
      <c r="S59" s="88">
        <f t="shared" si="6"/>
        <v>4966.937075865033</v>
      </c>
    </row>
    <row r="60" spans="1:19" x14ac:dyDescent="0.25">
      <c r="A60" s="325">
        <v>1</v>
      </c>
      <c r="B60" s="325" t="s">
        <v>83</v>
      </c>
      <c r="C60" s="326">
        <v>97.777666124650651</v>
      </c>
      <c r="D60" s="181">
        <v>97.777666124650651</v>
      </c>
      <c r="E60" s="181">
        <f t="shared" si="0"/>
        <v>13</v>
      </c>
      <c r="F60" s="181">
        <f t="shared" si="1"/>
        <v>3</v>
      </c>
      <c r="G60" s="181">
        <f t="shared" si="2"/>
        <v>1</v>
      </c>
      <c r="H60" s="182">
        <v>19432.72447627757</v>
      </c>
      <c r="I60" s="181">
        <v>6600</v>
      </c>
      <c r="J60" s="183">
        <v>24.835527195661264</v>
      </c>
      <c r="K60" s="181">
        <f t="shared" si="3"/>
        <v>4</v>
      </c>
      <c r="L60" s="181">
        <f t="shared" si="4"/>
        <v>1</v>
      </c>
      <c r="M60" s="181">
        <f t="shared" si="5"/>
        <v>1</v>
      </c>
      <c r="N60" s="182">
        <v>4935.9120169745029</v>
      </c>
      <c r="O60" s="181">
        <v>2400</v>
      </c>
      <c r="P60" s="181">
        <v>19555.533224930132</v>
      </c>
      <c r="Q60">
        <v>414</v>
      </c>
      <c r="R60">
        <v>1105.3024868650327</v>
      </c>
      <c r="S60" s="88">
        <f t="shared" si="6"/>
        <v>8855.2145038395356</v>
      </c>
    </row>
    <row r="61" spans="1:19" x14ac:dyDescent="0.25">
      <c r="A61" s="325">
        <v>1</v>
      </c>
      <c r="B61" s="325" t="s">
        <v>84</v>
      </c>
      <c r="C61" s="326">
        <v>211.59536098710157</v>
      </c>
      <c r="D61" s="181">
        <v>211.59536098710157</v>
      </c>
      <c r="E61" s="181">
        <f t="shared" si="0"/>
        <v>27</v>
      </c>
      <c r="F61" s="181">
        <f t="shared" si="1"/>
        <v>6</v>
      </c>
      <c r="G61" s="181">
        <f t="shared" si="2"/>
        <v>2</v>
      </c>
      <c r="H61" s="182">
        <v>42053.308424020521</v>
      </c>
      <c r="I61" s="181">
        <v>13200</v>
      </c>
      <c r="J61" s="183">
        <v>53.745221690723803</v>
      </c>
      <c r="K61" s="181">
        <f t="shared" si="3"/>
        <v>7</v>
      </c>
      <c r="L61" s="181">
        <f t="shared" si="4"/>
        <v>2</v>
      </c>
      <c r="M61" s="181">
        <f t="shared" si="5"/>
        <v>1</v>
      </c>
      <c r="N61" s="182">
        <v>10681.540339701212</v>
      </c>
      <c r="O61" s="181">
        <v>4800</v>
      </c>
      <c r="P61" s="181">
        <v>42319.072197420312</v>
      </c>
      <c r="Q61">
        <v>414</v>
      </c>
      <c r="R61">
        <v>1105.3024868650327</v>
      </c>
      <c r="S61" s="88">
        <f t="shared" si="6"/>
        <v>17000.842826566244</v>
      </c>
    </row>
    <row r="62" spans="1:19" x14ac:dyDescent="0.25">
      <c r="A62" s="325">
        <v>1</v>
      </c>
      <c r="B62" s="325" t="s">
        <v>85</v>
      </c>
      <c r="C62" s="326">
        <v>50.19945169905489</v>
      </c>
      <c r="D62" s="181">
        <v>50.19945169905489</v>
      </c>
      <c r="E62" s="181">
        <f t="shared" si="0"/>
        <v>7</v>
      </c>
      <c r="F62" s="181">
        <f t="shared" si="1"/>
        <v>2</v>
      </c>
      <c r="G62" s="181">
        <f t="shared" si="2"/>
        <v>1</v>
      </c>
      <c r="H62" s="182">
        <v>9976.8398284769664</v>
      </c>
      <c r="I62" s="181">
        <v>4800</v>
      </c>
      <c r="J62" s="183">
        <v>12.750660731559943</v>
      </c>
      <c r="K62" s="181">
        <f t="shared" si="3"/>
        <v>2</v>
      </c>
      <c r="L62" s="181">
        <f t="shared" si="4"/>
        <v>1</v>
      </c>
      <c r="M62" s="181">
        <f t="shared" si="5"/>
        <v>1</v>
      </c>
      <c r="N62" s="182">
        <v>2534.1173164331499</v>
      </c>
      <c r="O62" s="181">
        <v>1400</v>
      </c>
      <c r="P62" s="181">
        <v>10039.890339810978</v>
      </c>
      <c r="Q62">
        <v>414</v>
      </c>
      <c r="R62">
        <v>1105.3024868650327</v>
      </c>
      <c r="S62" s="88">
        <f t="shared" si="6"/>
        <v>5453.4198032981822</v>
      </c>
    </row>
    <row r="63" spans="1:19" x14ac:dyDescent="0.25">
      <c r="A63" s="325">
        <v>1</v>
      </c>
      <c r="B63" s="325" t="s">
        <v>86</v>
      </c>
      <c r="C63" s="326">
        <v>137.07950890885374</v>
      </c>
      <c r="D63" s="181">
        <v>137.07950890885374</v>
      </c>
      <c r="E63" s="181">
        <f t="shared" si="0"/>
        <v>18</v>
      </c>
      <c r="F63" s="181">
        <f t="shared" si="1"/>
        <v>4</v>
      </c>
      <c r="G63" s="181">
        <f t="shared" si="2"/>
        <v>1</v>
      </c>
      <c r="H63" s="182">
        <v>27243.72991858123</v>
      </c>
      <c r="I63" s="181">
        <v>6600</v>
      </c>
      <c r="J63" s="183">
        <v>34.818195262848853</v>
      </c>
      <c r="K63" s="181">
        <f t="shared" si="3"/>
        <v>5</v>
      </c>
      <c r="L63" s="181">
        <f t="shared" si="4"/>
        <v>1</v>
      </c>
      <c r="M63" s="181">
        <f t="shared" si="5"/>
        <v>1</v>
      </c>
      <c r="N63" s="182">
        <v>6919.9073993196334</v>
      </c>
      <c r="O63" s="181">
        <v>2400</v>
      </c>
      <c r="P63" s="181">
        <v>27415.901781770746</v>
      </c>
      <c r="Q63">
        <v>414</v>
      </c>
      <c r="R63">
        <v>1105.3024868650327</v>
      </c>
      <c r="S63" s="88">
        <f t="shared" si="6"/>
        <v>10839.209886184666</v>
      </c>
    </row>
    <row r="64" spans="1:19" x14ac:dyDescent="0.25">
      <c r="A64" s="325">
        <v>1</v>
      </c>
      <c r="B64" s="325" t="s">
        <v>87</v>
      </c>
      <c r="C64" s="326">
        <v>133.41053273231989</v>
      </c>
      <c r="D64" s="181">
        <v>133.41053273231989</v>
      </c>
      <c r="E64" s="181">
        <f t="shared" si="0"/>
        <v>17</v>
      </c>
      <c r="F64" s="181">
        <f t="shared" si="1"/>
        <v>4</v>
      </c>
      <c r="G64" s="181">
        <f t="shared" si="2"/>
        <v>1</v>
      </c>
      <c r="H64" s="182">
        <v>26514.542917352188</v>
      </c>
      <c r="I64" s="181">
        <v>6600</v>
      </c>
      <c r="J64" s="183">
        <v>33.886275314009254</v>
      </c>
      <c r="K64" s="181">
        <f t="shared" si="3"/>
        <v>5</v>
      </c>
      <c r="L64" s="181">
        <f t="shared" si="4"/>
        <v>1</v>
      </c>
      <c r="M64" s="181">
        <f t="shared" si="5"/>
        <v>1</v>
      </c>
      <c r="N64" s="182">
        <v>6734.6939010074557</v>
      </c>
      <c r="O64" s="181">
        <v>2400</v>
      </c>
      <c r="P64" s="181">
        <v>26682.10654646398</v>
      </c>
      <c r="Q64">
        <v>414</v>
      </c>
      <c r="R64">
        <v>1105.3024868650327</v>
      </c>
      <c r="S64" s="88">
        <f t="shared" si="6"/>
        <v>10653.996387872488</v>
      </c>
    </row>
    <row r="65" spans="1:19" x14ac:dyDescent="0.25">
      <c r="A65" s="325">
        <v>1</v>
      </c>
      <c r="B65" s="325" t="s">
        <v>88</v>
      </c>
      <c r="C65" s="326">
        <v>224.38300167600153</v>
      </c>
      <c r="D65" s="181">
        <v>224.38300167600153</v>
      </c>
      <c r="E65" s="181">
        <f t="shared" si="0"/>
        <v>29</v>
      </c>
      <c r="F65" s="181">
        <f t="shared" si="1"/>
        <v>6</v>
      </c>
      <c r="G65" s="181">
        <f t="shared" si="2"/>
        <v>2</v>
      </c>
      <c r="H65" s="182">
        <v>44594.775285095253</v>
      </c>
      <c r="I65" s="181">
        <v>13200</v>
      </c>
      <c r="J65" s="183">
        <v>56.993282425704386</v>
      </c>
      <c r="K65" s="181">
        <f t="shared" si="3"/>
        <v>8</v>
      </c>
      <c r="L65" s="181">
        <f t="shared" si="4"/>
        <v>2</v>
      </c>
      <c r="M65" s="181">
        <f t="shared" si="5"/>
        <v>1</v>
      </c>
      <c r="N65" s="182">
        <v>11327.072922414194</v>
      </c>
      <c r="O65" s="181">
        <v>4800</v>
      </c>
      <c r="P65" s="181">
        <v>44876.600335200303</v>
      </c>
      <c r="Q65">
        <v>414</v>
      </c>
      <c r="R65">
        <v>1105.3024868650327</v>
      </c>
      <c r="S65" s="88">
        <f t="shared" si="6"/>
        <v>17646.375409279226</v>
      </c>
    </row>
    <row r="66" spans="1:19" x14ac:dyDescent="0.25">
      <c r="A66" s="325">
        <v>1</v>
      </c>
      <c r="B66" s="325" t="s">
        <v>89</v>
      </c>
      <c r="C66" s="326">
        <v>138.43686825068926</v>
      </c>
      <c r="D66" s="181">
        <v>138.43686825068926</v>
      </c>
      <c r="E66" s="181">
        <f t="shared" si="0"/>
        <v>18</v>
      </c>
      <c r="F66" s="181">
        <f t="shared" si="1"/>
        <v>4</v>
      </c>
      <c r="G66" s="181">
        <f t="shared" si="2"/>
        <v>1</v>
      </c>
      <c r="H66" s="182">
        <v>27513.496943614991</v>
      </c>
      <c r="I66" s="181">
        <v>6600</v>
      </c>
      <c r="J66" s="183">
        <v>35.162964535675073</v>
      </c>
      <c r="K66" s="181">
        <f t="shared" si="3"/>
        <v>5</v>
      </c>
      <c r="L66" s="181">
        <f t="shared" si="4"/>
        <v>1</v>
      </c>
      <c r="M66" s="181">
        <f t="shared" si="5"/>
        <v>1</v>
      </c>
      <c r="N66" s="182">
        <v>6988.4282236782074</v>
      </c>
      <c r="O66" s="181">
        <v>2400</v>
      </c>
      <c r="P66" s="181">
        <v>27687.373650137852</v>
      </c>
      <c r="Q66">
        <v>414</v>
      </c>
      <c r="R66">
        <v>1105.3024868650327</v>
      </c>
      <c r="S66" s="88">
        <f t="shared" si="6"/>
        <v>10907.730710543241</v>
      </c>
    </row>
    <row r="67" spans="1:19" x14ac:dyDescent="0.25">
      <c r="A67" s="325">
        <v>1</v>
      </c>
      <c r="B67" s="325" t="s">
        <v>90</v>
      </c>
      <c r="C67" s="326">
        <v>135.49101592078932</v>
      </c>
      <c r="D67" s="181">
        <v>135.49101592078932</v>
      </c>
      <c r="E67" s="181">
        <f t="shared" si="0"/>
        <v>17</v>
      </c>
      <c r="F67" s="181">
        <f t="shared" si="1"/>
        <v>4</v>
      </c>
      <c r="G67" s="181">
        <f t="shared" si="2"/>
        <v>1</v>
      </c>
      <c r="H67" s="182">
        <v>26928.026468161355</v>
      </c>
      <c r="I67" s="181">
        <v>6600</v>
      </c>
      <c r="J67" s="183">
        <v>34.414718043880491</v>
      </c>
      <c r="K67" s="181">
        <f t="shared" si="3"/>
        <v>5</v>
      </c>
      <c r="L67" s="181">
        <f t="shared" si="4"/>
        <v>1</v>
      </c>
      <c r="M67" s="181">
        <f t="shared" si="5"/>
        <v>1</v>
      </c>
      <c r="N67" s="182">
        <v>6839.718722912985</v>
      </c>
      <c r="O67" s="181">
        <v>2400</v>
      </c>
      <c r="P67" s="181">
        <v>27098.203184157865</v>
      </c>
      <c r="Q67">
        <v>414</v>
      </c>
      <c r="R67">
        <v>1105.3024868650327</v>
      </c>
      <c r="S67" s="88">
        <f t="shared" si="6"/>
        <v>10759.021209778017</v>
      </c>
    </row>
    <row r="68" spans="1:19" x14ac:dyDescent="0.25">
      <c r="A68" s="325">
        <v>1</v>
      </c>
      <c r="B68" s="325" t="s">
        <v>91</v>
      </c>
      <c r="C68" s="326">
        <v>236.82670868654023</v>
      </c>
      <c r="D68" s="181">
        <v>236.82670868654023</v>
      </c>
      <c r="E68" s="181">
        <f t="shared" ref="E68:E131" si="7">ROUNDUP(D68/8,0)</f>
        <v>30</v>
      </c>
      <c r="F68" s="181">
        <f t="shared" ref="F68:F131" si="8">ROUNDUP(D68/40,0)</f>
        <v>6</v>
      </c>
      <c r="G68" s="181">
        <f t="shared" ref="G68:G131" si="9">ROUNDUP(D68/(40*4),0)</f>
        <v>2</v>
      </c>
      <c r="H68" s="182">
        <v>47067.887391197757</v>
      </c>
      <c r="I68" s="181">
        <v>13200</v>
      </c>
      <c r="J68" s="183">
        <v>60.153984006381222</v>
      </c>
      <c r="K68" s="181">
        <f t="shared" ref="K68:K131" si="10">ROUNDUP(J68/8,0)</f>
        <v>8</v>
      </c>
      <c r="L68" s="181">
        <f t="shared" ref="L68:L131" si="11">ROUNDUP(J68/40,0)</f>
        <v>2</v>
      </c>
      <c r="M68" s="181">
        <f t="shared" ref="M68:M131" si="12">ROUNDUP(J68/(40*4),0)</f>
        <v>1</v>
      </c>
      <c r="N68" s="182">
        <v>11955.243397364231</v>
      </c>
      <c r="O68" s="181">
        <v>4800</v>
      </c>
      <c r="P68" s="181">
        <v>47365.341737308045</v>
      </c>
      <c r="Q68">
        <v>414</v>
      </c>
      <c r="R68">
        <v>1105.3024868650327</v>
      </c>
      <c r="S68" s="88">
        <f t="shared" ref="S68:S131" si="13">R68+Q68+N68+O68</f>
        <v>18274.545884229265</v>
      </c>
    </row>
    <row r="69" spans="1:19" x14ac:dyDescent="0.25">
      <c r="A69" s="325">
        <v>1</v>
      </c>
      <c r="B69" s="325" t="s">
        <v>92</v>
      </c>
      <c r="C69" s="326">
        <v>89.021347704607791</v>
      </c>
      <c r="D69" s="181">
        <v>89.021347704607791</v>
      </c>
      <c r="E69" s="181">
        <f t="shared" si="7"/>
        <v>12</v>
      </c>
      <c r="F69" s="181">
        <f t="shared" si="8"/>
        <v>3</v>
      </c>
      <c r="G69" s="181">
        <f t="shared" si="9"/>
        <v>1</v>
      </c>
      <c r="H69" s="182">
        <v>17692.458728204572</v>
      </c>
      <c r="I69" s="181">
        <v>6600</v>
      </c>
      <c r="J69" s="183">
        <v>22.61142231697038</v>
      </c>
      <c r="K69" s="181">
        <f t="shared" si="10"/>
        <v>3</v>
      </c>
      <c r="L69" s="181">
        <f t="shared" si="11"/>
        <v>1</v>
      </c>
      <c r="M69" s="181">
        <f t="shared" si="12"/>
        <v>1</v>
      </c>
      <c r="N69" s="182">
        <v>4493.8845169639617</v>
      </c>
      <c r="O69" s="181">
        <v>2100</v>
      </c>
      <c r="P69" s="181">
        <v>17804.269540921559</v>
      </c>
      <c r="Q69">
        <v>414</v>
      </c>
      <c r="R69">
        <v>1105.3024868650327</v>
      </c>
      <c r="S69" s="88">
        <f t="shared" si="13"/>
        <v>8113.1870038289944</v>
      </c>
    </row>
    <row r="70" spans="1:19" x14ac:dyDescent="0.25">
      <c r="A70" s="325">
        <v>1</v>
      </c>
      <c r="B70" s="325" t="s">
        <v>93</v>
      </c>
      <c r="C70" s="326">
        <v>134.73703209853639</v>
      </c>
      <c r="D70" s="181">
        <v>134.73703209853639</v>
      </c>
      <c r="E70" s="181">
        <f t="shared" si="7"/>
        <v>17</v>
      </c>
      <c r="F70" s="181">
        <f t="shared" si="8"/>
        <v>4</v>
      </c>
      <c r="G70" s="181">
        <f t="shared" si="9"/>
        <v>1</v>
      </c>
      <c r="H70" s="182">
        <v>26778.176707391522</v>
      </c>
      <c r="I70" s="181">
        <v>6600</v>
      </c>
      <c r="J70" s="183">
        <v>34.223206153028244</v>
      </c>
      <c r="K70" s="181">
        <f t="shared" si="10"/>
        <v>5</v>
      </c>
      <c r="L70" s="181">
        <f t="shared" si="11"/>
        <v>1</v>
      </c>
      <c r="M70" s="181">
        <f t="shared" si="12"/>
        <v>1</v>
      </c>
      <c r="N70" s="182">
        <v>6801.6568836774459</v>
      </c>
      <c r="O70" s="181">
        <v>2400</v>
      </c>
      <c r="P70" s="181">
        <v>26947.406419707277</v>
      </c>
      <c r="Q70">
        <v>414</v>
      </c>
      <c r="R70">
        <v>1105.3024868650327</v>
      </c>
      <c r="S70" s="88">
        <f t="shared" si="13"/>
        <v>10720.959370542478</v>
      </c>
    </row>
    <row r="71" spans="1:19" x14ac:dyDescent="0.25">
      <c r="A71" s="325">
        <v>1</v>
      </c>
      <c r="B71" s="325" t="s">
        <v>94</v>
      </c>
      <c r="C71" s="326">
        <v>111.622621215885</v>
      </c>
      <c r="D71" s="181">
        <v>111.622621215885</v>
      </c>
      <c r="E71" s="181">
        <f t="shared" si="7"/>
        <v>14</v>
      </c>
      <c r="F71" s="181">
        <f t="shared" si="8"/>
        <v>3</v>
      </c>
      <c r="G71" s="181">
        <f t="shared" si="9"/>
        <v>1</v>
      </c>
      <c r="H71" s="182">
        <v>22184.326230929852</v>
      </c>
      <c r="I71" s="181">
        <v>6600</v>
      </c>
      <c r="J71" s="183">
        <v>28.352145788834793</v>
      </c>
      <c r="K71" s="181">
        <f t="shared" si="10"/>
        <v>4</v>
      </c>
      <c r="L71" s="181">
        <f t="shared" si="11"/>
        <v>1</v>
      </c>
      <c r="M71" s="181">
        <f t="shared" si="12"/>
        <v>1</v>
      </c>
      <c r="N71" s="182">
        <v>5634.8188626561832</v>
      </c>
      <c r="O71" s="181">
        <v>2400</v>
      </c>
      <c r="P71" s="181">
        <v>22324.524243177002</v>
      </c>
      <c r="Q71">
        <v>414</v>
      </c>
      <c r="R71">
        <v>1105.3024868650327</v>
      </c>
      <c r="S71" s="88">
        <f t="shared" si="13"/>
        <v>9554.121349521216</v>
      </c>
    </row>
    <row r="72" spans="1:19" x14ac:dyDescent="0.25">
      <c r="A72" s="325">
        <v>1</v>
      </c>
      <c r="B72" s="325" t="s">
        <v>95</v>
      </c>
      <c r="C72" s="326">
        <v>236.67429152665395</v>
      </c>
      <c r="D72" s="181">
        <v>236.67429152665395</v>
      </c>
      <c r="E72" s="181">
        <f t="shared" si="7"/>
        <v>30</v>
      </c>
      <c r="F72" s="181">
        <f t="shared" si="8"/>
        <v>6</v>
      </c>
      <c r="G72" s="181">
        <f t="shared" si="9"/>
        <v>2</v>
      </c>
      <c r="H72" s="182">
        <v>47037.595395173317</v>
      </c>
      <c r="I72" s="181">
        <v>13200</v>
      </c>
      <c r="J72" s="183">
        <v>60.115270047770103</v>
      </c>
      <c r="K72" s="181">
        <f t="shared" si="10"/>
        <v>8</v>
      </c>
      <c r="L72" s="181">
        <f t="shared" si="11"/>
        <v>2</v>
      </c>
      <c r="M72" s="181">
        <f t="shared" si="12"/>
        <v>1</v>
      </c>
      <c r="N72" s="182">
        <v>11947.549230374023</v>
      </c>
      <c r="O72" s="181">
        <v>4800</v>
      </c>
      <c r="P72" s="181">
        <v>47334.858305330788</v>
      </c>
      <c r="Q72">
        <v>414</v>
      </c>
      <c r="R72">
        <v>1105.3024868650327</v>
      </c>
      <c r="S72" s="88">
        <f t="shared" si="13"/>
        <v>18266.851717239057</v>
      </c>
    </row>
    <row r="73" spans="1:19" x14ac:dyDescent="0.25">
      <c r="A73" s="325">
        <v>1</v>
      </c>
      <c r="B73" s="325" t="s">
        <v>96</v>
      </c>
      <c r="C73" s="326">
        <v>159.50000000000003</v>
      </c>
      <c r="D73" s="181">
        <v>159.50000000000003</v>
      </c>
      <c r="E73" s="181">
        <f t="shared" si="7"/>
        <v>20</v>
      </c>
      <c r="F73" s="181">
        <f t="shared" si="8"/>
        <v>4</v>
      </c>
      <c r="G73" s="181">
        <f t="shared" si="9"/>
        <v>1</v>
      </c>
      <c r="H73" s="182">
        <v>31699.668000000009</v>
      </c>
      <c r="I73" s="181">
        <v>6600</v>
      </c>
      <c r="J73" s="183">
        <v>40.513000000000005</v>
      </c>
      <c r="K73" s="181">
        <f t="shared" si="10"/>
        <v>6</v>
      </c>
      <c r="L73" s="181">
        <f t="shared" si="11"/>
        <v>2</v>
      </c>
      <c r="M73" s="181">
        <f t="shared" si="12"/>
        <v>1</v>
      </c>
      <c r="N73" s="182">
        <v>8051.7156720000021</v>
      </c>
      <c r="O73" s="181">
        <v>4800</v>
      </c>
      <c r="P73" s="181">
        <v>31900.000000000007</v>
      </c>
      <c r="Q73">
        <v>414</v>
      </c>
      <c r="R73">
        <v>1105.3024868650327</v>
      </c>
      <c r="S73" s="88">
        <f t="shared" si="13"/>
        <v>14371.018158865034</v>
      </c>
    </row>
    <row r="74" spans="1:19" x14ac:dyDescent="0.25">
      <c r="A74" s="325">
        <v>1</v>
      </c>
      <c r="B74" s="325" t="s">
        <v>97</v>
      </c>
      <c r="C74" s="326">
        <v>139.68051696729742</v>
      </c>
      <c r="D74" s="181">
        <v>139.68051696729742</v>
      </c>
      <c r="E74" s="181">
        <f t="shared" si="7"/>
        <v>18</v>
      </c>
      <c r="F74" s="181">
        <f t="shared" si="8"/>
        <v>4</v>
      </c>
      <c r="G74" s="181">
        <f t="shared" si="9"/>
        <v>1</v>
      </c>
      <c r="H74" s="182">
        <v>27760.664664148564</v>
      </c>
      <c r="I74" s="181">
        <v>6600</v>
      </c>
      <c r="J74" s="183">
        <v>35.478851309693546</v>
      </c>
      <c r="K74" s="181">
        <f t="shared" si="10"/>
        <v>5</v>
      </c>
      <c r="L74" s="181">
        <f t="shared" si="11"/>
        <v>1</v>
      </c>
      <c r="M74" s="181">
        <f t="shared" si="12"/>
        <v>1</v>
      </c>
      <c r="N74" s="182">
        <v>7051.2088246937356</v>
      </c>
      <c r="O74" s="181">
        <v>2400</v>
      </c>
      <c r="P74" s="181">
        <v>27936.103393459485</v>
      </c>
      <c r="Q74">
        <v>414</v>
      </c>
      <c r="R74">
        <v>1105.3024868650327</v>
      </c>
      <c r="S74" s="88">
        <f t="shared" si="13"/>
        <v>10970.511311558768</v>
      </c>
    </row>
    <row r="75" spans="1:19" x14ac:dyDescent="0.25">
      <c r="A75" s="325">
        <v>1</v>
      </c>
      <c r="B75" s="325" t="s">
        <v>98</v>
      </c>
      <c r="C75" s="326">
        <v>312.30291293499999</v>
      </c>
      <c r="D75" s="181">
        <v>312.30291293499999</v>
      </c>
      <c r="E75" s="181">
        <f t="shared" si="7"/>
        <v>40</v>
      </c>
      <c r="F75" s="181">
        <f t="shared" si="8"/>
        <v>8</v>
      </c>
      <c r="G75" s="181">
        <f t="shared" si="9"/>
        <v>2</v>
      </c>
      <c r="H75" s="182">
        <v>62068.330128353649</v>
      </c>
      <c r="I75" s="181">
        <v>13200</v>
      </c>
      <c r="J75" s="183">
        <v>79.324939885489997</v>
      </c>
      <c r="K75" s="181">
        <f t="shared" si="10"/>
        <v>10</v>
      </c>
      <c r="L75" s="181">
        <f t="shared" si="11"/>
        <v>2</v>
      </c>
      <c r="M75" s="181">
        <f t="shared" si="12"/>
        <v>1</v>
      </c>
      <c r="N75" s="182">
        <v>15765.355852601826</v>
      </c>
      <c r="O75" s="181">
        <v>4800</v>
      </c>
      <c r="P75" s="181">
        <v>62460.582586999997</v>
      </c>
      <c r="Q75">
        <v>414</v>
      </c>
      <c r="R75">
        <v>1105.3024868650327</v>
      </c>
      <c r="S75" s="88">
        <f t="shared" si="13"/>
        <v>22084.65833946686</v>
      </c>
    </row>
    <row r="76" spans="1:19" x14ac:dyDescent="0.25">
      <c r="A76" s="325">
        <v>1</v>
      </c>
      <c r="B76" s="325" t="s">
        <v>99</v>
      </c>
      <c r="C76" s="326">
        <v>136.91935941370068</v>
      </c>
      <c r="D76" s="181">
        <v>136.91935941370068</v>
      </c>
      <c r="E76" s="181">
        <f t="shared" si="7"/>
        <v>18</v>
      </c>
      <c r="F76" s="181">
        <f t="shared" si="8"/>
        <v>4</v>
      </c>
      <c r="G76" s="181">
        <f t="shared" si="9"/>
        <v>1</v>
      </c>
      <c r="H76" s="182">
        <v>27211.90116731653</v>
      </c>
      <c r="I76" s="181">
        <v>6600</v>
      </c>
      <c r="J76" s="183">
        <v>34.777517291079974</v>
      </c>
      <c r="K76" s="181">
        <f t="shared" si="10"/>
        <v>5</v>
      </c>
      <c r="L76" s="181">
        <f t="shared" si="11"/>
        <v>1</v>
      </c>
      <c r="M76" s="181">
        <f t="shared" si="12"/>
        <v>1</v>
      </c>
      <c r="N76" s="182">
        <v>6911.8228964983991</v>
      </c>
      <c r="O76" s="181">
        <v>2400</v>
      </c>
      <c r="P76" s="181">
        <v>27383.871882740135</v>
      </c>
      <c r="Q76">
        <v>414</v>
      </c>
      <c r="R76">
        <v>1105.3024868650327</v>
      </c>
      <c r="S76" s="88">
        <f t="shared" si="13"/>
        <v>10831.125383363433</v>
      </c>
    </row>
    <row r="77" spans="1:19" x14ac:dyDescent="0.25">
      <c r="A77" s="325">
        <v>1</v>
      </c>
      <c r="B77" s="325" t="s">
        <v>100</v>
      </c>
      <c r="C77" s="326">
        <v>194.12398238080777</v>
      </c>
      <c r="D77" s="181">
        <v>194.12398238080777</v>
      </c>
      <c r="E77" s="181">
        <f t="shared" si="7"/>
        <v>25</v>
      </c>
      <c r="F77" s="181">
        <f t="shared" si="8"/>
        <v>5</v>
      </c>
      <c r="G77" s="181">
        <f t="shared" si="9"/>
        <v>2</v>
      </c>
      <c r="H77" s="182">
        <v>38580.976754291267</v>
      </c>
      <c r="I77" s="181">
        <v>13200</v>
      </c>
      <c r="J77" s="183">
        <v>49.307491524725172</v>
      </c>
      <c r="K77" s="181">
        <f t="shared" si="10"/>
        <v>7</v>
      </c>
      <c r="L77" s="181">
        <f t="shared" si="11"/>
        <v>2</v>
      </c>
      <c r="M77" s="181">
        <f t="shared" si="12"/>
        <v>1</v>
      </c>
      <c r="N77" s="182">
        <v>9799.5680955899807</v>
      </c>
      <c r="O77" s="181">
        <v>4800</v>
      </c>
      <c r="P77" s="181">
        <v>38824.796476161559</v>
      </c>
      <c r="Q77">
        <v>414</v>
      </c>
      <c r="R77">
        <v>1105.3024868650327</v>
      </c>
      <c r="S77" s="88">
        <f t="shared" si="13"/>
        <v>16118.870582455012</v>
      </c>
    </row>
    <row r="78" spans="1:19" x14ac:dyDescent="0.25">
      <c r="A78" s="325">
        <v>1</v>
      </c>
      <c r="B78" s="325" t="s">
        <v>101</v>
      </c>
      <c r="C78" s="326">
        <v>297</v>
      </c>
      <c r="D78" s="181">
        <v>297</v>
      </c>
      <c r="E78" s="181">
        <f t="shared" si="7"/>
        <v>38</v>
      </c>
      <c r="F78" s="181">
        <f t="shared" si="8"/>
        <v>8</v>
      </c>
      <c r="G78" s="181">
        <f t="shared" si="9"/>
        <v>2</v>
      </c>
      <c r="H78" s="182">
        <v>59026.968000000008</v>
      </c>
      <c r="I78" s="181">
        <v>13200</v>
      </c>
      <c r="J78" s="183">
        <v>75.438000000000002</v>
      </c>
      <c r="K78" s="181">
        <f t="shared" si="10"/>
        <v>10</v>
      </c>
      <c r="L78" s="181">
        <f t="shared" si="11"/>
        <v>2</v>
      </c>
      <c r="M78" s="181">
        <f t="shared" si="12"/>
        <v>1</v>
      </c>
      <c r="N78" s="182">
        <v>14992.849872000003</v>
      </c>
      <c r="O78" s="181">
        <v>4800</v>
      </c>
      <c r="P78" s="181">
        <v>59400</v>
      </c>
      <c r="Q78">
        <v>414</v>
      </c>
      <c r="R78">
        <v>1105.3024868650327</v>
      </c>
      <c r="S78" s="88">
        <f t="shared" si="13"/>
        <v>21312.152358865034</v>
      </c>
    </row>
    <row r="79" spans="1:19" x14ac:dyDescent="0.25">
      <c r="A79" s="325">
        <v>1</v>
      </c>
      <c r="B79" s="325" t="s">
        <v>102</v>
      </c>
      <c r="C79" s="326">
        <v>45.800000000000018</v>
      </c>
      <c r="D79" s="181">
        <v>45.800000000000018</v>
      </c>
      <c r="E79" s="181">
        <f t="shared" si="7"/>
        <v>6</v>
      </c>
      <c r="F79" s="181">
        <f t="shared" si="8"/>
        <v>2</v>
      </c>
      <c r="G79" s="181">
        <f t="shared" si="9"/>
        <v>1</v>
      </c>
      <c r="H79" s="182">
        <v>9102.4752000000044</v>
      </c>
      <c r="I79" s="181">
        <v>4800</v>
      </c>
      <c r="J79" s="183">
        <v>11.633200000000004</v>
      </c>
      <c r="K79" s="181">
        <f t="shared" si="10"/>
        <v>2</v>
      </c>
      <c r="L79" s="181">
        <f t="shared" si="11"/>
        <v>1</v>
      </c>
      <c r="M79" s="181">
        <f t="shared" si="12"/>
        <v>1</v>
      </c>
      <c r="N79" s="182">
        <v>2312.0287008000009</v>
      </c>
      <c r="O79" s="181">
        <v>1400</v>
      </c>
      <c r="P79" s="181">
        <v>9160.0000000000036</v>
      </c>
      <c r="Q79">
        <v>414</v>
      </c>
      <c r="R79">
        <v>1105.3024868650327</v>
      </c>
      <c r="S79" s="88">
        <f t="shared" si="13"/>
        <v>5231.3311876650332</v>
      </c>
    </row>
    <row r="80" spans="1:19" x14ac:dyDescent="0.25">
      <c r="A80" s="325">
        <v>1</v>
      </c>
      <c r="B80" s="325" t="s">
        <v>103</v>
      </c>
      <c r="C80" s="326">
        <v>92.490646694128458</v>
      </c>
      <c r="D80" s="181">
        <v>92.490646694128458</v>
      </c>
      <c r="E80" s="181">
        <f t="shared" si="7"/>
        <v>12</v>
      </c>
      <c r="F80" s="181">
        <f t="shared" si="8"/>
        <v>3</v>
      </c>
      <c r="G80" s="181">
        <f t="shared" si="9"/>
        <v>1</v>
      </c>
      <c r="H80" s="182">
        <v>18381.96108657787</v>
      </c>
      <c r="I80" s="181">
        <v>6600</v>
      </c>
      <c r="J80" s="183">
        <v>23.492624260308627</v>
      </c>
      <c r="K80" s="181">
        <f t="shared" si="10"/>
        <v>3</v>
      </c>
      <c r="L80" s="181">
        <f t="shared" si="11"/>
        <v>1</v>
      </c>
      <c r="M80" s="181">
        <f t="shared" si="12"/>
        <v>1</v>
      </c>
      <c r="N80" s="182">
        <v>4669.0181159907788</v>
      </c>
      <c r="O80" s="181">
        <v>2100</v>
      </c>
      <c r="P80" s="181">
        <v>18498.129338825693</v>
      </c>
      <c r="Q80">
        <v>414</v>
      </c>
      <c r="R80">
        <v>1105.3024868650327</v>
      </c>
      <c r="S80" s="88">
        <f t="shared" si="13"/>
        <v>8288.3206028558125</v>
      </c>
    </row>
    <row r="81" spans="1:19" x14ac:dyDescent="0.25">
      <c r="A81" s="325">
        <v>1</v>
      </c>
      <c r="B81" s="325" t="s">
        <v>104</v>
      </c>
      <c r="C81" s="326">
        <v>26.985074626865668</v>
      </c>
      <c r="D81" s="181">
        <v>26.985074626865668</v>
      </c>
      <c r="E81" s="181">
        <f t="shared" si="7"/>
        <v>4</v>
      </c>
      <c r="F81" s="181">
        <f t="shared" si="8"/>
        <v>1</v>
      </c>
      <c r="G81" s="181">
        <f t="shared" si="9"/>
        <v>1</v>
      </c>
      <c r="H81" s="182">
        <v>5363.1216716417912</v>
      </c>
      <c r="I81" s="181">
        <v>2400</v>
      </c>
      <c r="J81" s="183">
        <v>6.8542089552238794</v>
      </c>
      <c r="K81" s="181">
        <f t="shared" si="10"/>
        <v>1</v>
      </c>
      <c r="L81" s="181">
        <f t="shared" si="11"/>
        <v>1</v>
      </c>
      <c r="M81" s="181">
        <f t="shared" si="12"/>
        <v>1</v>
      </c>
      <c r="N81" s="182">
        <v>1362.2329045970148</v>
      </c>
      <c r="O81" s="181">
        <v>700</v>
      </c>
      <c r="P81" s="181">
        <v>5397.0149253731333</v>
      </c>
      <c r="Q81">
        <v>414</v>
      </c>
      <c r="R81">
        <v>1105.3024868650327</v>
      </c>
      <c r="S81" s="88">
        <f t="shared" si="13"/>
        <v>3581.5353914620473</v>
      </c>
    </row>
    <row r="82" spans="1:19" x14ac:dyDescent="0.25">
      <c r="A82" s="325">
        <v>1</v>
      </c>
      <c r="B82" s="325" t="s">
        <v>105</v>
      </c>
      <c r="C82" s="326">
        <v>208.43780689677163</v>
      </c>
      <c r="D82" s="181">
        <v>208.43780689677163</v>
      </c>
      <c r="E82" s="181">
        <f t="shared" si="7"/>
        <v>27</v>
      </c>
      <c r="F82" s="181">
        <f t="shared" si="8"/>
        <v>6</v>
      </c>
      <c r="G82" s="181">
        <f t="shared" si="9"/>
        <v>2</v>
      </c>
      <c r="H82" s="182">
        <v>41425.763493891987</v>
      </c>
      <c r="I82" s="181">
        <v>13200</v>
      </c>
      <c r="J82" s="183">
        <v>52.943202951779995</v>
      </c>
      <c r="K82" s="181">
        <f t="shared" si="10"/>
        <v>7</v>
      </c>
      <c r="L82" s="181">
        <f t="shared" si="11"/>
        <v>2</v>
      </c>
      <c r="M82" s="181">
        <f t="shared" si="12"/>
        <v>1</v>
      </c>
      <c r="N82" s="182">
        <v>10522.143927448566</v>
      </c>
      <c r="O82" s="181">
        <v>4800</v>
      </c>
      <c r="P82" s="181">
        <v>41687.561379354323</v>
      </c>
      <c r="Q82">
        <v>414</v>
      </c>
      <c r="R82">
        <v>1105.3024868650327</v>
      </c>
      <c r="S82" s="88">
        <f t="shared" si="13"/>
        <v>16841.446414313599</v>
      </c>
    </row>
    <row r="83" spans="1:19" x14ac:dyDescent="0.25">
      <c r="A83" s="325">
        <v>1</v>
      </c>
      <c r="B83" s="325" t="s">
        <v>106</v>
      </c>
      <c r="C83" s="326">
        <v>197.6818503237796</v>
      </c>
      <c r="D83" s="181">
        <v>197.6818503237796</v>
      </c>
      <c r="E83" s="181">
        <f t="shared" si="7"/>
        <v>25</v>
      </c>
      <c r="F83" s="181">
        <f t="shared" si="8"/>
        <v>5</v>
      </c>
      <c r="G83" s="181">
        <f t="shared" si="9"/>
        <v>2</v>
      </c>
      <c r="H83" s="182">
        <v>39288.08166074926</v>
      </c>
      <c r="I83" s="181">
        <v>13200</v>
      </c>
      <c r="J83" s="183">
        <v>50.211189982240022</v>
      </c>
      <c r="K83" s="181">
        <f t="shared" si="10"/>
        <v>7</v>
      </c>
      <c r="L83" s="181">
        <f t="shared" si="11"/>
        <v>2</v>
      </c>
      <c r="M83" s="181">
        <f t="shared" si="12"/>
        <v>1</v>
      </c>
      <c r="N83" s="182">
        <v>9979.1727418303126</v>
      </c>
      <c r="O83" s="181">
        <v>4800</v>
      </c>
      <c r="P83" s="181">
        <v>39536.370064755916</v>
      </c>
      <c r="Q83">
        <v>414</v>
      </c>
      <c r="R83">
        <v>1105.3024868650327</v>
      </c>
      <c r="S83" s="88">
        <f t="shared" si="13"/>
        <v>16298.475228695344</v>
      </c>
    </row>
    <row r="84" spans="1:19" x14ac:dyDescent="0.25">
      <c r="A84" s="325">
        <v>1</v>
      </c>
      <c r="B84" s="325" t="s">
        <v>107</v>
      </c>
      <c r="C84" s="326">
        <v>4.9230769230769234</v>
      </c>
      <c r="D84" s="181">
        <v>4.9230769230769234</v>
      </c>
      <c r="E84" s="181">
        <f t="shared" si="7"/>
        <v>1</v>
      </c>
      <c r="F84" s="181">
        <f t="shared" si="8"/>
        <v>1</v>
      </c>
      <c r="G84" s="181">
        <f t="shared" si="9"/>
        <v>1</v>
      </c>
      <c r="H84" s="182">
        <v>978.43200000000024</v>
      </c>
      <c r="I84" s="181">
        <v>700</v>
      </c>
      <c r="J84" s="183">
        <v>1.2504615384615385</v>
      </c>
      <c r="K84" s="181">
        <f t="shared" si="10"/>
        <v>1</v>
      </c>
      <c r="L84" s="181">
        <f t="shared" si="11"/>
        <v>1</v>
      </c>
      <c r="M84" s="181">
        <f t="shared" si="12"/>
        <v>1</v>
      </c>
      <c r="N84" s="182">
        <v>248.52172800000005</v>
      </c>
      <c r="O84" s="181">
        <v>700</v>
      </c>
      <c r="P84" s="181">
        <v>984.61538461538464</v>
      </c>
      <c r="Q84">
        <v>414</v>
      </c>
      <c r="R84">
        <v>1105.3024868650327</v>
      </c>
      <c r="S84" s="88">
        <f t="shared" si="13"/>
        <v>2467.8242148650329</v>
      </c>
    </row>
    <row r="85" spans="1:19" x14ac:dyDescent="0.25">
      <c r="A85" s="325">
        <v>1</v>
      </c>
      <c r="B85" s="325" t="s">
        <v>108</v>
      </c>
      <c r="C85" s="326">
        <v>138.87934817515463</v>
      </c>
      <c r="D85" s="181">
        <v>138.87934817515463</v>
      </c>
      <c r="E85" s="181">
        <f t="shared" si="7"/>
        <v>18</v>
      </c>
      <c r="F85" s="181">
        <f t="shared" si="8"/>
        <v>4</v>
      </c>
      <c r="G85" s="181">
        <f t="shared" si="9"/>
        <v>1</v>
      </c>
      <c r="H85" s="182">
        <v>27601.437173722938</v>
      </c>
      <c r="I85" s="181">
        <v>6600</v>
      </c>
      <c r="J85" s="183">
        <v>35.27535443648928</v>
      </c>
      <c r="K85" s="181">
        <f t="shared" si="10"/>
        <v>5</v>
      </c>
      <c r="L85" s="181">
        <f t="shared" si="11"/>
        <v>1</v>
      </c>
      <c r="M85" s="181">
        <f t="shared" si="12"/>
        <v>1</v>
      </c>
      <c r="N85" s="182">
        <v>7010.7650421256267</v>
      </c>
      <c r="O85" s="181">
        <v>2400</v>
      </c>
      <c r="P85" s="181">
        <v>27775.869635030926</v>
      </c>
      <c r="Q85">
        <v>414</v>
      </c>
      <c r="R85">
        <v>1105.3024868650327</v>
      </c>
      <c r="S85" s="88">
        <f t="shared" si="13"/>
        <v>10930.067528990659</v>
      </c>
    </row>
    <row r="86" spans="1:19" x14ac:dyDescent="0.25">
      <c r="A86" s="325">
        <v>1</v>
      </c>
      <c r="B86" s="325" t="s">
        <v>109</v>
      </c>
      <c r="C86" s="326">
        <v>91.990681474356819</v>
      </c>
      <c r="D86" s="181">
        <v>91.990681474356819</v>
      </c>
      <c r="E86" s="181">
        <f t="shared" si="7"/>
        <v>12</v>
      </c>
      <c r="F86" s="181">
        <f t="shared" si="8"/>
        <v>3</v>
      </c>
      <c r="G86" s="181">
        <f t="shared" si="9"/>
        <v>1</v>
      </c>
      <c r="H86" s="182">
        <v>18282.595998939574</v>
      </c>
      <c r="I86" s="181">
        <v>6600</v>
      </c>
      <c r="J86" s="183">
        <v>23.365633094486633</v>
      </c>
      <c r="K86" s="181">
        <f t="shared" si="10"/>
        <v>3</v>
      </c>
      <c r="L86" s="181">
        <f t="shared" si="11"/>
        <v>1</v>
      </c>
      <c r="M86" s="181">
        <f t="shared" si="12"/>
        <v>1</v>
      </c>
      <c r="N86" s="182">
        <v>4643.7793837306517</v>
      </c>
      <c r="O86" s="181">
        <v>2100</v>
      </c>
      <c r="P86" s="181">
        <v>18398.136294871365</v>
      </c>
      <c r="Q86">
        <v>414</v>
      </c>
      <c r="R86">
        <v>1105.3024868650327</v>
      </c>
      <c r="S86" s="88">
        <f t="shared" si="13"/>
        <v>8263.0818705956844</v>
      </c>
    </row>
    <row r="87" spans="1:19" x14ac:dyDescent="0.25">
      <c r="A87" s="325">
        <v>1</v>
      </c>
      <c r="B87" s="325" t="s">
        <v>110</v>
      </c>
      <c r="C87" s="326">
        <v>103.3780736465706</v>
      </c>
      <c r="D87" s="181">
        <v>103.3780736465706</v>
      </c>
      <c r="E87" s="181">
        <f t="shared" si="7"/>
        <v>13</v>
      </c>
      <c r="F87" s="181">
        <f t="shared" si="8"/>
        <v>3</v>
      </c>
      <c r="G87" s="181">
        <f t="shared" si="9"/>
        <v>1</v>
      </c>
      <c r="H87" s="182">
        <v>20545.77186881403</v>
      </c>
      <c r="I87" s="181">
        <v>6600</v>
      </c>
      <c r="J87" s="183">
        <v>26.258030706228933</v>
      </c>
      <c r="K87" s="181">
        <f t="shared" si="10"/>
        <v>4</v>
      </c>
      <c r="L87" s="181">
        <f t="shared" si="11"/>
        <v>1</v>
      </c>
      <c r="M87" s="181">
        <f t="shared" si="12"/>
        <v>1</v>
      </c>
      <c r="N87" s="182">
        <v>5218.6260546787635</v>
      </c>
      <c r="O87" s="181">
        <v>2400</v>
      </c>
      <c r="P87" s="181">
        <v>20675.614729314118</v>
      </c>
      <c r="Q87">
        <v>414</v>
      </c>
      <c r="R87">
        <v>1105.3024868650327</v>
      </c>
      <c r="S87" s="88">
        <f t="shared" si="13"/>
        <v>9137.9285415437953</v>
      </c>
    </row>
    <row r="88" spans="1:19" x14ac:dyDescent="0.25">
      <c r="A88" s="325">
        <v>1</v>
      </c>
      <c r="B88" s="325" t="s">
        <v>111</v>
      </c>
      <c r="C88" s="326">
        <v>228.10388571416377</v>
      </c>
      <c r="D88" s="181">
        <v>228.10388571416377</v>
      </c>
      <c r="E88" s="181">
        <f t="shared" si="7"/>
        <v>29</v>
      </c>
      <c r="F88" s="181">
        <f t="shared" si="8"/>
        <v>6</v>
      </c>
      <c r="G88" s="181">
        <f t="shared" si="9"/>
        <v>2</v>
      </c>
      <c r="H88" s="182">
        <v>45334.278662375771</v>
      </c>
      <c r="I88" s="181">
        <v>13200</v>
      </c>
      <c r="J88" s="183">
        <v>57.938386971397598</v>
      </c>
      <c r="K88" s="181">
        <f t="shared" si="10"/>
        <v>8</v>
      </c>
      <c r="L88" s="181">
        <f t="shared" si="11"/>
        <v>2</v>
      </c>
      <c r="M88" s="181">
        <f t="shared" si="12"/>
        <v>1</v>
      </c>
      <c r="N88" s="182">
        <v>11514.906780243446</v>
      </c>
      <c r="O88" s="181">
        <v>4800</v>
      </c>
      <c r="P88" s="181">
        <v>45620.777142832754</v>
      </c>
      <c r="Q88">
        <v>414</v>
      </c>
      <c r="R88">
        <v>1105.3024868650327</v>
      </c>
      <c r="S88" s="88">
        <f t="shared" si="13"/>
        <v>17834.209267108479</v>
      </c>
    </row>
    <row r="89" spans="1:19" x14ac:dyDescent="0.25">
      <c r="A89" s="325">
        <v>1</v>
      </c>
      <c r="B89" s="325" t="s">
        <v>112</v>
      </c>
      <c r="C89" s="326">
        <v>123.22471910112358</v>
      </c>
      <c r="D89" s="181">
        <v>123.22471910112358</v>
      </c>
      <c r="E89" s="181">
        <f t="shared" si="7"/>
        <v>16</v>
      </c>
      <c r="F89" s="181">
        <f t="shared" si="8"/>
        <v>4</v>
      </c>
      <c r="G89" s="181">
        <f t="shared" si="9"/>
        <v>1</v>
      </c>
      <c r="H89" s="182">
        <v>24490.17357303371</v>
      </c>
      <c r="I89" s="181">
        <v>6600</v>
      </c>
      <c r="J89" s="183">
        <v>31.299078651685392</v>
      </c>
      <c r="K89" s="181">
        <f t="shared" si="10"/>
        <v>4</v>
      </c>
      <c r="L89" s="181">
        <f t="shared" si="11"/>
        <v>1</v>
      </c>
      <c r="M89" s="181">
        <f t="shared" si="12"/>
        <v>1</v>
      </c>
      <c r="N89" s="182">
        <v>6220.504087550562</v>
      </c>
      <c r="O89" s="181">
        <v>2400</v>
      </c>
      <c r="P89" s="181">
        <v>24644.943820224718</v>
      </c>
      <c r="Q89">
        <v>414</v>
      </c>
      <c r="R89">
        <v>1105.3024868650327</v>
      </c>
      <c r="S89" s="88">
        <f t="shared" si="13"/>
        <v>10139.806574415594</v>
      </c>
    </row>
    <row r="90" spans="1:19" x14ac:dyDescent="0.25">
      <c r="A90" s="325">
        <v>1</v>
      </c>
      <c r="B90" s="325" t="s">
        <v>113</v>
      </c>
      <c r="C90" s="326">
        <v>720.73551186206521</v>
      </c>
      <c r="D90" s="181">
        <v>720.73551186206521</v>
      </c>
      <c r="E90" s="181">
        <f t="shared" si="7"/>
        <v>91</v>
      </c>
      <c r="F90" s="181">
        <f t="shared" si="8"/>
        <v>19</v>
      </c>
      <c r="G90" s="181">
        <f t="shared" si="9"/>
        <v>5</v>
      </c>
      <c r="H90" s="182">
        <v>143241.8585695143</v>
      </c>
      <c r="I90" s="181">
        <v>33000</v>
      </c>
      <c r="J90" s="183">
        <v>183.06682001296457</v>
      </c>
      <c r="K90" s="181">
        <f t="shared" si="10"/>
        <v>23</v>
      </c>
      <c r="L90" s="181">
        <f t="shared" si="11"/>
        <v>5</v>
      </c>
      <c r="M90" s="181">
        <f t="shared" si="12"/>
        <v>2</v>
      </c>
      <c r="N90" s="182">
        <v>36383.432076656638</v>
      </c>
      <c r="O90" s="181">
        <v>13200</v>
      </c>
      <c r="P90" s="181">
        <v>144147.10237241304</v>
      </c>
      <c r="Q90">
        <v>414</v>
      </c>
      <c r="R90">
        <v>1105.3024868650327</v>
      </c>
      <c r="S90" s="88">
        <f t="shared" si="13"/>
        <v>51102.73456352167</v>
      </c>
    </row>
    <row r="91" spans="1:19" x14ac:dyDescent="0.25">
      <c r="A91" s="325">
        <v>1</v>
      </c>
      <c r="B91" s="325" t="s">
        <v>114</v>
      </c>
      <c r="C91" s="326">
        <v>102.03960171350714</v>
      </c>
      <c r="D91" s="181">
        <v>102.03960171350714</v>
      </c>
      <c r="E91" s="181">
        <f t="shared" si="7"/>
        <v>13</v>
      </c>
      <c r="F91" s="181">
        <f t="shared" si="8"/>
        <v>3</v>
      </c>
      <c r="G91" s="181">
        <f t="shared" si="9"/>
        <v>1</v>
      </c>
      <c r="H91" s="182">
        <v>20279.758602949267</v>
      </c>
      <c r="I91" s="181">
        <v>6600</v>
      </c>
      <c r="J91" s="183">
        <v>25.918058835230813</v>
      </c>
      <c r="K91" s="181">
        <f t="shared" si="10"/>
        <v>4</v>
      </c>
      <c r="L91" s="181">
        <f t="shared" si="11"/>
        <v>1</v>
      </c>
      <c r="M91" s="181">
        <f t="shared" si="12"/>
        <v>1</v>
      </c>
      <c r="N91" s="182">
        <v>5151.0586851491134</v>
      </c>
      <c r="O91" s="181">
        <v>2400</v>
      </c>
      <c r="P91" s="181">
        <v>20407.920342701429</v>
      </c>
      <c r="Q91">
        <v>414</v>
      </c>
      <c r="R91">
        <v>1105.3024868650327</v>
      </c>
      <c r="S91" s="88">
        <f t="shared" si="13"/>
        <v>9070.3611720141453</v>
      </c>
    </row>
    <row r="92" spans="1:19" x14ac:dyDescent="0.25">
      <c r="A92" s="325">
        <v>1</v>
      </c>
      <c r="B92" s="325" t="s">
        <v>115</v>
      </c>
      <c r="C92" s="326">
        <v>62.672446429530943</v>
      </c>
      <c r="D92" s="181">
        <v>62.672446429530943</v>
      </c>
      <c r="E92" s="181">
        <f t="shared" si="7"/>
        <v>8</v>
      </c>
      <c r="F92" s="181">
        <f t="shared" si="8"/>
        <v>2</v>
      </c>
      <c r="G92" s="181">
        <f t="shared" si="9"/>
        <v>1</v>
      </c>
      <c r="H92" s="182">
        <v>12455.7726931907</v>
      </c>
      <c r="I92" s="181">
        <v>4800</v>
      </c>
      <c r="J92" s="183">
        <v>15.918801393100861</v>
      </c>
      <c r="K92" s="181">
        <f t="shared" si="10"/>
        <v>2</v>
      </c>
      <c r="L92" s="181">
        <f t="shared" si="11"/>
        <v>1</v>
      </c>
      <c r="M92" s="181">
        <f t="shared" si="12"/>
        <v>1</v>
      </c>
      <c r="N92" s="182">
        <v>3163.766264070438</v>
      </c>
      <c r="O92" s="181">
        <v>1400</v>
      </c>
      <c r="P92" s="181">
        <v>12534.489285906189</v>
      </c>
      <c r="Q92">
        <v>414</v>
      </c>
      <c r="R92">
        <v>1105.3024868650327</v>
      </c>
      <c r="S92" s="88">
        <f t="shared" si="13"/>
        <v>6083.0687509354702</v>
      </c>
    </row>
    <row r="93" spans="1:19" x14ac:dyDescent="0.25">
      <c r="A93" s="325">
        <v>1</v>
      </c>
      <c r="B93" s="325" t="s">
        <v>116</v>
      </c>
      <c r="C93" s="326">
        <v>122.47774000000001</v>
      </c>
      <c r="D93" s="181">
        <v>122.47774000000001</v>
      </c>
      <c r="E93" s="181">
        <f t="shared" si="7"/>
        <v>16</v>
      </c>
      <c r="F93" s="181">
        <f t="shared" si="8"/>
        <v>4</v>
      </c>
      <c r="G93" s="181">
        <f t="shared" si="9"/>
        <v>1</v>
      </c>
      <c r="H93" s="182">
        <v>24341.715958560006</v>
      </c>
      <c r="I93" s="181">
        <v>6600</v>
      </c>
      <c r="J93" s="183">
        <v>31.109345960000002</v>
      </c>
      <c r="K93" s="181">
        <f t="shared" si="10"/>
        <v>4</v>
      </c>
      <c r="L93" s="181">
        <f t="shared" si="11"/>
        <v>1</v>
      </c>
      <c r="M93" s="181">
        <f t="shared" si="12"/>
        <v>1</v>
      </c>
      <c r="N93" s="182">
        <v>6182.7958534742411</v>
      </c>
      <c r="O93" s="181">
        <v>2400</v>
      </c>
      <c r="P93" s="181">
        <v>24495.548000000003</v>
      </c>
      <c r="Q93">
        <v>414</v>
      </c>
      <c r="R93">
        <v>1105.3024868650327</v>
      </c>
      <c r="S93" s="88">
        <f t="shared" si="13"/>
        <v>10102.098340339275</v>
      </c>
    </row>
    <row r="94" spans="1:19" x14ac:dyDescent="0.25">
      <c r="A94" s="325">
        <v>1</v>
      </c>
      <c r="B94" s="325" t="s">
        <v>117</v>
      </c>
      <c r="C94" s="326">
        <v>145.8014140129923</v>
      </c>
      <c r="D94" s="181">
        <v>145.8014140129923</v>
      </c>
      <c r="E94" s="181">
        <f t="shared" si="7"/>
        <v>19</v>
      </c>
      <c r="F94" s="181">
        <f t="shared" si="8"/>
        <v>4</v>
      </c>
      <c r="G94" s="181">
        <f t="shared" si="9"/>
        <v>1</v>
      </c>
      <c r="H94" s="182">
        <v>28977.156226598145</v>
      </c>
      <c r="I94" s="181">
        <v>6600</v>
      </c>
      <c r="J94" s="183">
        <v>37.033559159300047</v>
      </c>
      <c r="K94" s="181">
        <f t="shared" si="10"/>
        <v>5</v>
      </c>
      <c r="L94" s="181">
        <f t="shared" si="11"/>
        <v>1</v>
      </c>
      <c r="M94" s="181">
        <f t="shared" si="12"/>
        <v>1</v>
      </c>
      <c r="N94" s="182">
        <v>7360.1976815559292</v>
      </c>
      <c r="O94" s="181">
        <v>2400</v>
      </c>
      <c r="P94" s="181">
        <v>29160.28280259846</v>
      </c>
      <c r="Q94">
        <v>414</v>
      </c>
      <c r="R94">
        <v>1105.3024868650327</v>
      </c>
      <c r="S94" s="88">
        <f t="shared" si="13"/>
        <v>11279.500168420962</v>
      </c>
    </row>
    <row r="95" spans="1:19" x14ac:dyDescent="0.25">
      <c r="A95" s="325">
        <v>1</v>
      </c>
      <c r="B95" s="325" t="s">
        <v>118</v>
      </c>
      <c r="C95" s="326">
        <v>176.6535768992868</v>
      </c>
      <c r="D95" s="181">
        <v>176.6535768992868</v>
      </c>
      <c r="E95" s="181">
        <f t="shared" si="7"/>
        <v>23</v>
      </c>
      <c r="F95" s="181">
        <f t="shared" si="8"/>
        <v>5</v>
      </c>
      <c r="G95" s="181">
        <f t="shared" si="9"/>
        <v>2</v>
      </c>
      <c r="H95" s="182">
        <v>35108.83848727186</v>
      </c>
      <c r="I95" s="181">
        <v>13200</v>
      </c>
      <c r="J95" s="183">
        <v>44.870008532418851</v>
      </c>
      <c r="K95" s="181">
        <f t="shared" si="10"/>
        <v>6</v>
      </c>
      <c r="L95" s="181">
        <f t="shared" si="11"/>
        <v>2</v>
      </c>
      <c r="M95" s="181">
        <f t="shared" si="12"/>
        <v>1</v>
      </c>
      <c r="N95" s="182">
        <v>8917.6449757670525</v>
      </c>
      <c r="O95" s="181">
        <v>4800</v>
      </c>
      <c r="P95" s="181">
        <v>35330.715379857364</v>
      </c>
      <c r="Q95">
        <v>414</v>
      </c>
      <c r="R95">
        <v>1105.3024868650327</v>
      </c>
      <c r="S95" s="88">
        <f t="shared" si="13"/>
        <v>15236.947462632084</v>
      </c>
    </row>
    <row r="96" spans="1:19" x14ac:dyDescent="0.25">
      <c r="A96" s="325">
        <v>1</v>
      </c>
      <c r="B96" s="325" t="s">
        <v>119</v>
      </c>
      <c r="C96" s="326">
        <v>278.8178263714683</v>
      </c>
      <c r="D96" s="181">
        <v>278.8178263714683</v>
      </c>
      <c r="E96" s="181">
        <f t="shared" si="7"/>
        <v>35</v>
      </c>
      <c r="F96" s="181">
        <f t="shared" si="8"/>
        <v>7</v>
      </c>
      <c r="G96" s="181">
        <f t="shared" si="9"/>
        <v>2</v>
      </c>
      <c r="H96" s="182">
        <v>55413.370084371105</v>
      </c>
      <c r="I96" s="181">
        <v>13200</v>
      </c>
      <c r="J96" s="183">
        <v>70.819727898352951</v>
      </c>
      <c r="K96" s="181">
        <f t="shared" si="10"/>
        <v>9</v>
      </c>
      <c r="L96" s="181">
        <f t="shared" si="11"/>
        <v>2</v>
      </c>
      <c r="M96" s="181">
        <f t="shared" si="12"/>
        <v>1</v>
      </c>
      <c r="N96" s="182">
        <v>14074.996001430261</v>
      </c>
      <c r="O96" s="181">
        <v>4800</v>
      </c>
      <c r="P96" s="181">
        <v>55763.565274293658</v>
      </c>
      <c r="Q96">
        <v>414</v>
      </c>
      <c r="R96">
        <v>1105.3024868650327</v>
      </c>
      <c r="S96" s="88">
        <f t="shared" si="13"/>
        <v>20394.298488295295</v>
      </c>
    </row>
    <row r="97" spans="1:19" x14ac:dyDescent="0.25">
      <c r="A97" s="325">
        <v>1</v>
      </c>
      <c r="B97" s="325" t="s">
        <v>120</v>
      </c>
      <c r="C97" s="326">
        <v>288.99423960000001</v>
      </c>
      <c r="D97" s="181">
        <v>288.99423960000001</v>
      </c>
      <c r="E97" s="181">
        <f t="shared" si="7"/>
        <v>37</v>
      </c>
      <c r="F97" s="181">
        <f t="shared" si="8"/>
        <v>8</v>
      </c>
      <c r="G97" s="181">
        <f t="shared" si="9"/>
        <v>2</v>
      </c>
      <c r="H97" s="182">
        <v>57435.871155062414</v>
      </c>
      <c r="I97" s="181">
        <v>13200</v>
      </c>
      <c r="J97" s="183">
        <v>73.404536858400007</v>
      </c>
      <c r="K97" s="181">
        <f t="shared" si="10"/>
        <v>10</v>
      </c>
      <c r="L97" s="181">
        <f t="shared" si="11"/>
        <v>2</v>
      </c>
      <c r="M97" s="181">
        <f t="shared" si="12"/>
        <v>1</v>
      </c>
      <c r="N97" s="182">
        <v>14588.711273385854</v>
      </c>
      <c r="O97" s="181">
        <v>4800</v>
      </c>
      <c r="P97" s="181">
        <v>57798.84792</v>
      </c>
      <c r="Q97">
        <v>414</v>
      </c>
      <c r="R97">
        <v>1105.3024868650327</v>
      </c>
      <c r="S97" s="88">
        <f t="shared" si="13"/>
        <v>20908.013760250888</v>
      </c>
    </row>
    <row r="98" spans="1:19" x14ac:dyDescent="0.25">
      <c r="A98" s="325">
        <v>1</v>
      </c>
      <c r="B98" s="325" t="s">
        <v>121</v>
      </c>
      <c r="C98" s="326">
        <v>110.42159877156134</v>
      </c>
      <c r="D98" s="181">
        <v>110.42159877156134</v>
      </c>
      <c r="E98" s="181">
        <f t="shared" si="7"/>
        <v>14</v>
      </c>
      <c r="F98" s="181">
        <f t="shared" si="8"/>
        <v>3</v>
      </c>
      <c r="G98" s="181">
        <f t="shared" si="9"/>
        <v>1</v>
      </c>
      <c r="H98" s="182">
        <v>21945.630226255191</v>
      </c>
      <c r="I98" s="181">
        <v>6600</v>
      </c>
      <c r="J98" s="183">
        <v>28.047086087976581</v>
      </c>
      <c r="K98" s="181">
        <f t="shared" si="10"/>
        <v>4</v>
      </c>
      <c r="L98" s="181">
        <f t="shared" si="11"/>
        <v>1</v>
      </c>
      <c r="M98" s="181">
        <f t="shared" si="12"/>
        <v>1</v>
      </c>
      <c r="N98" s="182">
        <v>5574.1900774688183</v>
      </c>
      <c r="O98" s="181">
        <v>2400</v>
      </c>
      <c r="P98" s="181">
        <v>22084.319754312266</v>
      </c>
      <c r="Q98">
        <v>414</v>
      </c>
      <c r="R98">
        <v>1105.3024868650327</v>
      </c>
      <c r="S98" s="88">
        <f t="shared" si="13"/>
        <v>9493.4925643338502</v>
      </c>
    </row>
    <row r="99" spans="1:19" x14ac:dyDescent="0.25">
      <c r="A99" s="325">
        <v>1</v>
      </c>
      <c r="B99" s="325" t="s">
        <v>122</v>
      </c>
      <c r="C99" s="326">
        <v>161.08878018797668</v>
      </c>
      <c r="D99" s="181">
        <v>161.08878018797668</v>
      </c>
      <c r="E99" s="181">
        <f t="shared" si="7"/>
        <v>21</v>
      </c>
      <c r="F99" s="181">
        <f t="shared" si="8"/>
        <v>5</v>
      </c>
      <c r="G99" s="181">
        <f t="shared" si="9"/>
        <v>2</v>
      </c>
      <c r="H99" s="182">
        <v>32015.42852967924</v>
      </c>
      <c r="I99" s="181">
        <v>13200</v>
      </c>
      <c r="J99" s="183">
        <v>40.916550167746081</v>
      </c>
      <c r="K99" s="181">
        <f t="shared" si="10"/>
        <v>6</v>
      </c>
      <c r="L99" s="181">
        <f t="shared" si="11"/>
        <v>2</v>
      </c>
      <c r="M99" s="181">
        <f t="shared" si="12"/>
        <v>1</v>
      </c>
      <c r="N99" s="182">
        <v>8131.9188465385287</v>
      </c>
      <c r="O99" s="181">
        <v>4800</v>
      </c>
      <c r="P99" s="181">
        <v>32217.756037595336</v>
      </c>
      <c r="Q99">
        <v>414</v>
      </c>
      <c r="R99">
        <v>1105.3024868650327</v>
      </c>
      <c r="S99" s="88">
        <f t="shared" si="13"/>
        <v>14451.221333403562</v>
      </c>
    </row>
    <row r="100" spans="1:19" x14ac:dyDescent="0.25">
      <c r="A100" s="325">
        <v>1</v>
      </c>
      <c r="B100" s="325" t="s">
        <v>123</v>
      </c>
      <c r="C100" s="326">
        <v>312.42742939289917</v>
      </c>
      <c r="D100" s="181">
        <v>312.42742939289917</v>
      </c>
      <c r="E100" s="181">
        <f t="shared" si="7"/>
        <v>40</v>
      </c>
      <c r="F100" s="181">
        <f t="shared" si="8"/>
        <v>8</v>
      </c>
      <c r="G100" s="181">
        <f t="shared" si="9"/>
        <v>2</v>
      </c>
      <c r="H100" s="182">
        <v>62093.077027262363</v>
      </c>
      <c r="I100" s="181">
        <v>13200</v>
      </c>
      <c r="J100" s="183">
        <v>79.356567065796384</v>
      </c>
      <c r="K100" s="181">
        <f t="shared" si="10"/>
        <v>10</v>
      </c>
      <c r="L100" s="181">
        <f t="shared" si="11"/>
        <v>2</v>
      </c>
      <c r="M100" s="181">
        <f t="shared" si="12"/>
        <v>1</v>
      </c>
      <c r="N100" s="182">
        <v>15771.641564924639</v>
      </c>
      <c r="O100" s="181">
        <v>4800</v>
      </c>
      <c r="P100" s="181">
        <v>62485.485878579835</v>
      </c>
      <c r="Q100">
        <v>414</v>
      </c>
      <c r="R100">
        <v>1105.3024868650327</v>
      </c>
      <c r="S100" s="88">
        <f t="shared" si="13"/>
        <v>22090.944051789673</v>
      </c>
    </row>
    <row r="101" spans="1:19" x14ac:dyDescent="0.25">
      <c r="A101" s="325">
        <v>1</v>
      </c>
      <c r="B101" s="325" t="s">
        <v>124</v>
      </c>
      <c r="C101" s="326">
        <v>76.78506422431083</v>
      </c>
      <c r="D101" s="181">
        <v>76.78506422431083</v>
      </c>
      <c r="E101" s="181">
        <f t="shared" si="7"/>
        <v>10</v>
      </c>
      <c r="F101" s="181">
        <f t="shared" si="8"/>
        <v>2</v>
      </c>
      <c r="G101" s="181">
        <f t="shared" si="9"/>
        <v>1</v>
      </c>
      <c r="H101" s="182">
        <v>15260.570804196434</v>
      </c>
      <c r="I101" s="181">
        <v>4800</v>
      </c>
      <c r="J101" s="183">
        <v>19.503406312974953</v>
      </c>
      <c r="K101" s="181">
        <f t="shared" si="10"/>
        <v>3</v>
      </c>
      <c r="L101" s="181">
        <f t="shared" si="11"/>
        <v>1</v>
      </c>
      <c r="M101" s="181">
        <f t="shared" si="12"/>
        <v>1</v>
      </c>
      <c r="N101" s="182">
        <v>3876.1849842658944</v>
      </c>
      <c r="O101" s="181">
        <v>2100</v>
      </c>
      <c r="P101" s="181">
        <v>15357.012844862165</v>
      </c>
      <c r="Q101">
        <v>414</v>
      </c>
      <c r="R101">
        <v>1105.3024868650327</v>
      </c>
      <c r="S101" s="88">
        <f t="shared" si="13"/>
        <v>7495.4874711309276</v>
      </c>
    </row>
    <row r="102" spans="1:19" x14ac:dyDescent="0.25">
      <c r="A102" s="325">
        <v>1</v>
      </c>
      <c r="B102" s="325" t="s">
        <v>125</v>
      </c>
      <c r="C102" s="326">
        <v>213.05221757501099</v>
      </c>
      <c r="D102" s="181">
        <v>213.05221757501099</v>
      </c>
      <c r="E102" s="181">
        <f t="shared" si="7"/>
        <v>27</v>
      </c>
      <c r="F102" s="181">
        <f t="shared" si="8"/>
        <v>6</v>
      </c>
      <c r="G102" s="181">
        <f t="shared" si="9"/>
        <v>2</v>
      </c>
      <c r="H102" s="182">
        <v>42342.849929727992</v>
      </c>
      <c r="I102" s="181">
        <v>13200</v>
      </c>
      <c r="J102" s="183">
        <v>54.115263264052793</v>
      </c>
      <c r="K102" s="181">
        <f t="shared" si="10"/>
        <v>7</v>
      </c>
      <c r="L102" s="181">
        <f t="shared" si="11"/>
        <v>2</v>
      </c>
      <c r="M102" s="181">
        <f t="shared" si="12"/>
        <v>1</v>
      </c>
      <c r="N102" s="182">
        <v>10755.08388215091</v>
      </c>
      <c r="O102" s="181">
        <v>4800</v>
      </c>
      <c r="P102" s="181">
        <v>42610.443515002196</v>
      </c>
      <c r="Q102">
        <v>414</v>
      </c>
      <c r="R102">
        <v>1105.3024868650327</v>
      </c>
      <c r="S102" s="88">
        <f t="shared" si="13"/>
        <v>17074.386369015941</v>
      </c>
    </row>
    <row r="103" spans="1:19" x14ac:dyDescent="0.25">
      <c r="A103" s="325">
        <v>1</v>
      </c>
      <c r="B103" s="325" t="s">
        <v>126</v>
      </c>
      <c r="C103" s="326">
        <v>134.21581760669304</v>
      </c>
      <c r="D103" s="181">
        <v>134.21581760669304</v>
      </c>
      <c r="E103" s="181">
        <f t="shared" si="7"/>
        <v>17</v>
      </c>
      <c r="F103" s="181">
        <f t="shared" si="8"/>
        <v>4</v>
      </c>
      <c r="G103" s="181">
        <f t="shared" si="9"/>
        <v>1</v>
      </c>
      <c r="H103" s="182">
        <v>26674.588454424604</v>
      </c>
      <c r="I103" s="181">
        <v>6600</v>
      </c>
      <c r="J103" s="183">
        <v>34.09081767210003</v>
      </c>
      <c r="K103" s="181">
        <f t="shared" si="10"/>
        <v>5</v>
      </c>
      <c r="L103" s="181">
        <f t="shared" si="11"/>
        <v>1</v>
      </c>
      <c r="M103" s="181">
        <f t="shared" si="12"/>
        <v>1</v>
      </c>
      <c r="N103" s="182">
        <v>6775.3454674238492</v>
      </c>
      <c r="O103" s="181">
        <v>2400</v>
      </c>
      <c r="P103" s="181">
        <v>26843.163521338607</v>
      </c>
      <c r="Q103">
        <v>414</v>
      </c>
      <c r="R103">
        <v>1105.3024868650327</v>
      </c>
      <c r="S103" s="88">
        <f t="shared" si="13"/>
        <v>10694.647954288881</v>
      </c>
    </row>
    <row r="104" spans="1:19" x14ac:dyDescent="0.25">
      <c r="A104" s="325">
        <v>1</v>
      </c>
      <c r="B104" s="325" t="s">
        <v>127</v>
      </c>
      <c r="C104" s="326">
        <v>70.718336839976246</v>
      </c>
      <c r="D104" s="181">
        <v>70.718336839976246</v>
      </c>
      <c r="E104" s="181">
        <f t="shared" si="7"/>
        <v>9</v>
      </c>
      <c r="F104" s="181">
        <f t="shared" si="8"/>
        <v>2</v>
      </c>
      <c r="G104" s="181">
        <f t="shared" si="9"/>
        <v>1</v>
      </c>
      <c r="H104" s="182">
        <v>14054.845136924241</v>
      </c>
      <c r="I104" s="181">
        <v>4800</v>
      </c>
      <c r="J104" s="183">
        <v>17.962457557353968</v>
      </c>
      <c r="K104" s="181">
        <f t="shared" si="10"/>
        <v>3</v>
      </c>
      <c r="L104" s="181">
        <f t="shared" si="11"/>
        <v>1</v>
      </c>
      <c r="M104" s="181">
        <f t="shared" si="12"/>
        <v>1</v>
      </c>
      <c r="N104" s="182">
        <v>3569.9306647787575</v>
      </c>
      <c r="O104" s="181">
        <v>2100</v>
      </c>
      <c r="P104" s="181">
        <v>14143.667367995249</v>
      </c>
      <c r="Q104">
        <v>414</v>
      </c>
      <c r="R104">
        <v>1105.3024868650327</v>
      </c>
      <c r="S104" s="88">
        <f t="shared" si="13"/>
        <v>7189.2331516437898</v>
      </c>
    </row>
    <row r="105" spans="1:19" x14ac:dyDescent="0.25">
      <c r="A105" s="325">
        <v>1</v>
      </c>
      <c r="B105" s="325" t="s">
        <v>128</v>
      </c>
      <c r="C105" s="326">
        <v>69.596508344150223</v>
      </c>
      <c r="D105" s="181">
        <v>69.596508344150223</v>
      </c>
      <c r="E105" s="181">
        <f t="shared" si="7"/>
        <v>9</v>
      </c>
      <c r="F105" s="181">
        <f t="shared" si="8"/>
        <v>2</v>
      </c>
      <c r="G105" s="181">
        <f t="shared" si="9"/>
        <v>1</v>
      </c>
      <c r="H105" s="182">
        <v>13831.888454349793</v>
      </c>
      <c r="I105" s="181">
        <v>4800</v>
      </c>
      <c r="J105" s="183">
        <v>17.677513119414158</v>
      </c>
      <c r="K105" s="181">
        <f t="shared" si="10"/>
        <v>3</v>
      </c>
      <c r="L105" s="181">
        <f t="shared" si="11"/>
        <v>1</v>
      </c>
      <c r="M105" s="181">
        <f t="shared" si="12"/>
        <v>1</v>
      </c>
      <c r="N105" s="182">
        <v>3513.2996674048477</v>
      </c>
      <c r="O105" s="181">
        <v>2100</v>
      </c>
      <c r="P105" s="181">
        <v>13919.301668830045</v>
      </c>
      <c r="Q105">
        <v>414</v>
      </c>
      <c r="R105">
        <v>1105.3024868650327</v>
      </c>
      <c r="S105" s="88">
        <f t="shared" si="13"/>
        <v>7132.60215426988</v>
      </c>
    </row>
    <row r="106" spans="1:19" x14ac:dyDescent="0.25">
      <c r="A106" s="325">
        <v>13</v>
      </c>
      <c r="B106" s="325" t="s">
        <v>25</v>
      </c>
      <c r="C106" s="326">
        <v>197.42831247180905</v>
      </c>
      <c r="D106" s="181">
        <v>197.42831247180905</v>
      </c>
      <c r="E106" s="181">
        <f t="shared" si="7"/>
        <v>25</v>
      </c>
      <c r="F106" s="181">
        <f t="shared" si="8"/>
        <v>5</v>
      </c>
      <c r="G106" s="181">
        <f t="shared" si="9"/>
        <v>2</v>
      </c>
      <c r="H106" s="182">
        <v>39237.692533897221</v>
      </c>
      <c r="I106" s="181">
        <v>13200</v>
      </c>
      <c r="J106" s="183">
        <v>50.146791367839498</v>
      </c>
      <c r="K106" s="181">
        <f t="shared" si="10"/>
        <v>7</v>
      </c>
      <c r="L106" s="181">
        <f t="shared" si="11"/>
        <v>2</v>
      </c>
      <c r="M106" s="181">
        <f t="shared" si="12"/>
        <v>1</v>
      </c>
      <c r="N106" s="182">
        <v>9966.3739036098941</v>
      </c>
      <c r="O106" s="181">
        <v>4800</v>
      </c>
      <c r="P106" s="181">
        <v>39485.662494361808</v>
      </c>
      <c r="Q106">
        <v>414</v>
      </c>
      <c r="R106">
        <v>1105.3024868650327</v>
      </c>
      <c r="S106" s="88">
        <f t="shared" si="13"/>
        <v>16285.676390474928</v>
      </c>
    </row>
    <row r="107" spans="1:19" x14ac:dyDescent="0.25">
      <c r="A107" s="325">
        <v>13</v>
      </c>
      <c r="B107" s="325" t="s">
        <v>27</v>
      </c>
      <c r="C107" s="326">
        <v>178.19977075000003</v>
      </c>
      <c r="D107" s="181">
        <v>178.19977075000003</v>
      </c>
      <c r="E107" s="181">
        <f t="shared" si="7"/>
        <v>23</v>
      </c>
      <c r="F107" s="181">
        <f t="shared" si="8"/>
        <v>5</v>
      </c>
      <c r="G107" s="181">
        <f t="shared" si="9"/>
        <v>2</v>
      </c>
      <c r="H107" s="182">
        <v>35416.135237938011</v>
      </c>
      <c r="I107" s="181">
        <v>13200</v>
      </c>
      <c r="J107" s="183">
        <v>45.262741770500007</v>
      </c>
      <c r="K107" s="181">
        <f t="shared" si="10"/>
        <v>6</v>
      </c>
      <c r="L107" s="181">
        <f t="shared" si="11"/>
        <v>2</v>
      </c>
      <c r="M107" s="181">
        <f t="shared" si="12"/>
        <v>1</v>
      </c>
      <c r="N107" s="182">
        <v>8995.6983504362543</v>
      </c>
      <c r="O107" s="181">
        <v>4800</v>
      </c>
      <c r="P107" s="181">
        <v>35639.954150000005</v>
      </c>
      <c r="Q107">
        <v>414</v>
      </c>
      <c r="R107">
        <v>1105.3024868650327</v>
      </c>
      <c r="S107" s="88">
        <f t="shared" si="13"/>
        <v>15315.000837301286</v>
      </c>
    </row>
    <row r="108" spans="1:19" x14ac:dyDescent="0.25">
      <c r="A108" s="325">
        <v>13</v>
      </c>
      <c r="B108" s="325" t="s">
        <v>28</v>
      </c>
      <c r="C108" s="326">
        <v>74.29312637135213</v>
      </c>
      <c r="D108" s="181">
        <v>74.29312637135213</v>
      </c>
      <c r="E108" s="181">
        <f t="shared" si="7"/>
        <v>10</v>
      </c>
      <c r="F108" s="181">
        <f t="shared" si="8"/>
        <v>2</v>
      </c>
      <c r="G108" s="181">
        <f t="shared" si="9"/>
        <v>1</v>
      </c>
      <c r="H108" s="182">
        <v>14765.313107548011</v>
      </c>
      <c r="I108" s="181">
        <v>4800</v>
      </c>
      <c r="J108" s="183">
        <v>18.870454098323442</v>
      </c>
      <c r="K108" s="181">
        <f t="shared" si="10"/>
        <v>3</v>
      </c>
      <c r="L108" s="181">
        <f t="shared" si="11"/>
        <v>1</v>
      </c>
      <c r="M108" s="181">
        <f t="shared" si="12"/>
        <v>1</v>
      </c>
      <c r="N108" s="182">
        <v>3750.389529317195</v>
      </c>
      <c r="O108" s="181">
        <v>2100</v>
      </c>
      <c r="P108" s="181">
        <v>14858.625274270426</v>
      </c>
      <c r="Q108">
        <v>414</v>
      </c>
      <c r="R108">
        <v>1105.3024868650327</v>
      </c>
      <c r="S108" s="88">
        <f t="shared" si="13"/>
        <v>7369.6920161822272</v>
      </c>
    </row>
    <row r="109" spans="1:19" x14ac:dyDescent="0.25">
      <c r="A109" s="325">
        <v>13</v>
      </c>
      <c r="B109" s="325" t="s">
        <v>29</v>
      </c>
      <c r="C109" s="326">
        <v>162.48001511528099</v>
      </c>
      <c r="D109" s="181">
        <v>162.48001511528099</v>
      </c>
      <c r="E109" s="181">
        <f t="shared" si="7"/>
        <v>21</v>
      </c>
      <c r="F109" s="181">
        <f t="shared" si="8"/>
        <v>5</v>
      </c>
      <c r="G109" s="181">
        <f t="shared" si="9"/>
        <v>2</v>
      </c>
      <c r="H109" s="182">
        <v>32291.928124071412</v>
      </c>
      <c r="I109" s="181">
        <v>13200</v>
      </c>
      <c r="J109" s="183">
        <v>41.269923839281375</v>
      </c>
      <c r="K109" s="181">
        <f t="shared" si="10"/>
        <v>6</v>
      </c>
      <c r="L109" s="181">
        <f t="shared" si="11"/>
        <v>2</v>
      </c>
      <c r="M109" s="181">
        <f t="shared" si="12"/>
        <v>1</v>
      </c>
      <c r="N109" s="182">
        <v>8202.1497435141391</v>
      </c>
      <c r="O109" s="181">
        <v>4800</v>
      </c>
      <c r="P109" s="181">
        <v>32496.003023056197</v>
      </c>
      <c r="Q109">
        <v>414</v>
      </c>
      <c r="R109">
        <v>1105.3024868650327</v>
      </c>
      <c r="S109" s="88">
        <f t="shared" si="13"/>
        <v>14521.452230379171</v>
      </c>
    </row>
    <row r="110" spans="1:19" x14ac:dyDescent="0.25">
      <c r="A110" s="325">
        <v>13</v>
      </c>
      <c r="B110" s="325" t="s">
        <v>129</v>
      </c>
      <c r="C110" s="326">
        <v>94.75793128240332</v>
      </c>
      <c r="D110" s="181">
        <v>94.75793128240332</v>
      </c>
      <c r="E110" s="181">
        <f t="shared" si="7"/>
        <v>12</v>
      </c>
      <c r="F110" s="181">
        <f t="shared" si="8"/>
        <v>3</v>
      </c>
      <c r="G110" s="181">
        <f t="shared" si="9"/>
        <v>1</v>
      </c>
      <c r="H110" s="182">
        <v>18832.570294789966</v>
      </c>
      <c r="I110" s="181">
        <v>6600</v>
      </c>
      <c r="J110" s="183">
        <v>24.068514545730444</v>
      </c>
      <c r="K110" s="181">
        <f t="shared" si="10"/>
        <v>4</v>
      </c>
      <c r="L110" s="181">
        <f t="shared" si="11"/>
        <v>1</v>
      </c>
      <c r="M110" s="181">
        <f t="shared" si="12"/>
        <v>1</v>
      </c>
      <c r="N110" s="182">
        <v>4783.4728548766525</v>
      </c>
      <c r="O110" s="181">
        <v>2400</v>
      </c>
      <c r="P110" s="181">
        <v>18951.586256480663</v>
      </c>
      <c r="Q110">
        <v>414</v>
      </c>
      <c r="R110">
        <v>1105.3024868650327</v>
      </c>
      <c r="S110" s="88">
        <f t="shared" si="13"/>
        <v>8702.7753417416861</v>
      </c>
    </row>
    <row r="111" spans="1:19" x14ac:dyDescent="0.25">
      <c r="A111" s="325">
        <v>13</v>
      </c>
      <c r="B111" s="325" t="s">
        <v>30</v>
      </c>
      <c r="C111" s="326">
        <v>223.56586605260006</v>
      </c>
      <c r="D111" s="181">
        <v>223.56586605260006</v>
      </c>
      <c r="E111" s="181">
        <f t="shared" si="7"/>
        <v>28</v>
      </c>
      <c r="F111" s="181">
        <f t="shared" si="8"/>
        <v>6</v>
      </c>
      <c r="G111" s="181">
        <f t="shared" si="9"/>
        <v>2</v>
      </c>
      <c r="H111" s="182">
        <v>44432.37448275795</v>
      </c>
      <c r="I111" s="181">
        <v>13200</v>
      </c>
      <c r="J111" s="183">
        <v>56.785729977360418</v>
      </c>
      <c r="K111" s="181">
        <f t="shared" si="10"/>
        <v>8</v>
      </c>
      <c r="L111" s="181">
        <f t="shared" si="11"/>
        <v>2</v>
      </c>
      <c r="M111" s="181">
        <f t="shared" si="12"/>
        <v>1</v>
      </c>
      <c r="N111" s="182">
        <v>11285.823118620521</v>
      </c>
      <c r="O111" s="181">
        <v>4800</v>
      </c>
      <c r="P111" s="181">
        <v>44713.173210520014</v>
      </c>
      <c r="Q111">
        <v>414</v>
      </c>
      <c r="R111">
        <v>1105.3024868650327</v>
      </c>
      <c r="S111" s="88">
        <f t="shared" si="13"/>
        <v>17605.125605485555</v>
      </c>
    </row>
    <row r="112" spans="1:19" x14ac:dyDescent="0.25">
      <c r="A112" s="325">
        <v>13</v>
      </c>
      <c r="B112" s="325" t="s">
        <v>31</v>
      </c>
      <c r="C112" s="326">
        <v>46.4</v>
      </c>
      <c r="D112" s="181">
        <v>46.4</v>
      </c>
      <c r="E112" s="181">
        <f t="shared" si="7"/>
        <v>6</v>
      </c>
      <c r="F112" s="181">
        <f t="shared" si="8"/>
        <v>2</v>
      </c>
      <c r="G112" s="181">
        <f t="shared" si="9"/>
        <v>1</v>
      </c>
      <c r="H112" s="182">
        <v>9221.7216000000008</v>
      </c>
      <c r="I112" s="181">
        <v>4800</v>
      </c>
      <c r="J112" s="183">
        <v>11.785600000000001</v>
      </c>
      <c r="K112" s="181">
        <f t="shared" si="10"/>
        <v>2</v>
      </c>
      <c r="L112" s="181">
        <f t="shared" si="11"/>
        <v>1</v>
      </c>
      <c r="M112" s="181">
        <f t="shared" si="12"/>
        <v>1</v>
      </c>
      <c r="N112" s="182">
        <v>2342.3172864000003</v>
      </c>
      <c r="O112" s="181">
        <v>1400</v>
      </c>
      <c r="P112" s="181">
        <v>9280</v>
      </c>
      <c r="Q112">
        <v>414</v>
      </c>
      <c r="R112">
        <v>1105.3024868650327</v>
      </c>
      <c r="S112" s="88">
        <f t="shared" si="13"/>
        <v>5261.6197732650326</v>
      </c>
    </row>
    <row r="113" spans="1:19" x14ac:dyDescent="0.25">
      <c r="A113" s="325">
        <v>13</v>
      </c>
      <c r="B113" s="325" t="s">
        <v>32</v>
      </c>
      <c r="C113" s="326">
        <v>371.27867026419102</v>
      </c>
      <c r="D113" s="181">
        <v>371.27867026419102</v>
      </c>
      <c r="E113" s="181">
        <f t="shared" si="7"/>
        <v>47</v>
      </c>
      <c r="F113" s="181">
        <f t="shared" si="8"/>
        <v>10</v>
      </c>
      <c r="G113" s="181">
        <f t="shared" si="9"/>
        <v>3</v>
      </c>
      <c r="H113" s="182">
        <v>73789.408042986397</v>
      </c>
      <c r="I113" s="181">
        <v>19800</v>
      </c>
      <c r="J113" s="183">
        <v>94.304782247104527</v>
      </c>
      <c r="K113" s="181">
        <f t="shared" si="10"/>
        <v>12</v>
      </c>
      <c r="L113" s="181">
        <f t="shared" si="11"/>
        <v>3</v>
      </c>
      <c r="M113" s="181">
        <f t="shared" si="12"/>
        <v>1</v>
      </c>
      <c r="N113" s="182">
        <v>18742.509642918543</v>
      </c>
      <c r="O113" s="181">
        <v>6600</v>
      </c>
      <c r="P113" s="181">
        <v>74255.734052838205</v>
      </c>
      <c r="Q113">
        <v>414</v>
      </c>
      <c r="R113">
        <v>1105.3024868650327</v>
      </c>
      <c r="S113" s="88">
        <f t="shared" si="13"/>
        <v>26861.812129783575</v>
      </c>
    </row>
    <row r="114" spans="1:19" x14ac:dyDescent="0.25">
      <c r="A114" s="325">
        <v>13</v>
      </c>
      <c r="B114" s="325" t="s">
        <v>33</v>
      </c>
      <c r="C114" s="326">
        <v>327.867497813608</v>
      </c>
      <c r="D114" s="181">
        <v>327.867497813608</v>
      </c>
      <c r="E114" s="181">
        <f t="shared" si="7"/>
        <v>41</v>
      </c>
      <c r="F114" s="181">
        <f t="shared" si="8"/>
        <v>9</v>
      </c>
      <c r="G114" s="181">
        <f t="shared" si="9"/>
        <v>3</v>
      </c>
      <c r="H114" s="182">
        <v>65161.697985467719</v>
      </c>
      <c r="I114" s="181">
        <v>19800</v>
      </c>
      <c r="J114" s="183">
        <v>83.278344444656426</v>
      </c>
      <c r="K114" s="181">
        <f t="shared" si="10"/>
        <v>11</v>
      </c>
      <c r="L114" s="181">
        <f t="shared" si="11"/>
        <v>3</v>
      </c>
      <c r="M114" s="181">
        <f t="shared" si="12"/>
        <v>1</v>
      </c>
      <c r="N114" s="182">
        <v>16551.071288308798</v>
      </c>
      <c r="O114" s="181">
        <v>6600</v>
      </c>
      <c r="P114" s="181">
        <v>65573.499562721598</v>
      </c>
      <c r="Q114">
        <v>414</v>
      </c>
      <c r="R114">
        <v>1105.3024868650327</v>
      </c>
      <c r="S114" s="88">
        <f t="shared" si="13"/>
        <v>24670.37377517383</v>
      </c>
    </row>
    <row r="115" spans="1:19" x14ac:dyDescent="0.25">
      <c r="A115" s="325">
        <v>13</v>
      </c>
      <c r="B115" s="325" t="s">
        <v>34</v>
      </c>
      <c r="C115" s="326">
        <v>159.03044196828702</v>
      </c>
      <c r="D115" s="181">
        <v>159.03044196828702</v>
      </c>
      <c r="E115" s="181">
        <f t="shared" si="7"/>
        <v>20</v>
      </c>
      <c r="F115" s="181">
        <f t="shared" si="8"/>
        <v>4</v>
      </c>
      <c r="G115" s="181">
        <f t="shared" si="9"/>
        <v>1</v>
      </c>
      <c r="H115" s="182">
        <v>31606.346158545239</v>
      </c>
      <c r="I115" s="181">
        <v>6600</v>
      </c>
      <c r="J115" s="183">
        <v>40.393732259944905</v>
      </c>
      <c r="K115" s="181">
        <f t="shared" si="10"/>
        <v>6</v>
      </c>
      <c r="L115" s="181">
        <f t="shared" si="11"/>
        <v>2</v>
      </c>
      <c r="M115" s="181">
        <f t="shared" si="12"/>
        <v>1</v>
      </c>
      <c r="N115" s="182">
        <v>8028.0119242704914</v>
      </c>
      <c r="O115" s="181">
        <v>4800</v>
      </c>
      <c r="P115" s="181">
        <v>31806.088393657403</v>
      </c>
      <c r="Q115">
        <v>414</v>
      </c>
      <c r="R115">
        <v>1105.3024868650327</v>
      </c>
      <c r="S115" s="88">
        <f t="shared" si="13"/>
        <v>14347.314411135525</v>
      </c>
    </row>
    <row r="116" spans="1:19" x14ac:dyDescent="0.25">
      <c r="A116" s="325">
        <v>13</v>
      </c>
      <c r="B116" s="325" t="s">
        <v>130</v>
      </c>
      <c r="C116" s="326">
        <v>110.44864117532499</v>
      </c>
      <c r="D116" s="181">
        <v>110.44864117532499</v>
      </c>
      <c r="E116" s="181">
        <f t="shared" si="7"/>
        <v>14</v>
      </c>
      <c r="F116" s="181">
        <f t="shared" si="8"/>
        <v>3</v>
      </c>
      <c r="G116" s="181">
        <f t="shared" si="9"/>
        <v>1</v>
      </c>
      <c r="H116" s="182">
        <v>21951.004741748795</v>
      </c>
      <c r="I116" s="181">
        <v>6600</v>
      </c>
      <c r="J116" s="183">
        <v>28.053954858532549</v>
      </c>
      <c r="K116" s="181">
        <f t="shared" si="10"/>
        <v>4</v>
      </c>
      <c r="L116" s="181">
        <f t="shared" si="11"/>
        <v>1</v>
      </c>
      <c r="M116" s="181">
        <f t="shared" si="12"/>
        <v>1</v>
      </c>
      <c r="N116" s="182">
        <v>5575.5552044041933</v>
      </c>
      <c r="O116" s="181">
        <v>2400</v>
      </c>
      <c r="P116" s="181">
        <v>22089.728235064998</v>
      </c>
      <c r="Q116">
        <v>414</v>
      </c>
      <c r="R116">
        <v>1105.3024868650327</v>
      </c>
      <c r="S116" s="88">
        <f t="shared" si="13"/>
        <v>9494.8576912692261</v>
      </c>
    </row>
    <row r="117" spans="1:19" x14ac:dyDescent="0.25">
      <c r="A117" s="325">
        <v>13</v>
      </c>
      <c r="B117" s="325" t="s">
        <v>35</v>
      </c>
      <c r="C117" s="326">
        <v>92.825640409695595</v>
      </c>
      <c r="D117" s="181">
        <v>92.825640409695595</v>
      </c>
      <c r="E117" s="181">
        <f t="shared" si="7"/>
        <v>12</v>
      </c>
      <c r="F117" s="181">
        <f t="shared" si="8"/>
        <v>3</v>
      </c>
      <c r="G117" s="181">
        <f t="shared" si="9"/>
        <v>1</v>
      </c>
      <c r="H117" s="182">
        <v>18448.539077584544</v>
      </c>
      <c r="I117" s="181">
        <v>6600</v>
      </c>
      <c r="J117" s="183">
        <v>23.57771266406268</v>
      </c>
      <c r="K117" s="181">
        <f t="shared" si="10"/>
        <v>3</v>
      </c>
      <c r="L117" s="181">
        <f t="shared" si="11"/>
        <v>1</v>
      </c>
      <c r="M117" s="181">
        <f t="shared" si="12"/>
        <v>1</v>
      </c>
      <c r="N117" s="182">
        <v>4685.9289257064738</v>
      </c>
      <c r="O117" s="181">
        <v>2100</v>
      </c>
      <c r="P117" s="181">
        <v>18565.128081939118</v>
      </c>
      <c r="Q117">
        <v>414</v>
      </c>
      <c r="R117">
        <v>1105.3024868650327</v>
      </c>
      <c r="S117" s="88">
        <f t="shared" si="13"/>
        <v>8305.2314125715056</v>
      </c>
    </row>
    <row r="118" spans="1:19" x14ac:dyDescent="0.25">
      <c r="A118" s="325">
        <v>13</v>
      </c>
      <c r="B118" s="325" t="s">
        <v>36</v>
      </c>
      <c r="C118" s="326">
        <v>248.03090243499986</v>
      </c>
      <c r="D118" s="181">
        <v>248.03090243499986</v>
      </c>
      <c r="E118" s="181">
        <f t="shared" si="7"/>
        <v>32</v>
      </c>
      <c r="F118" s="181">
        <f t="shared" si="8"/>
        <v>7</v>
      </c>
      <c r="G118" s="181">
        <f t="shared" si="9"/>
        <v>2</v>
      </c>
      <c r="H118" s="182">
        <v>49294.653673541616</v>
      </c>
      <c r="I118" s="181">
        <v>13200</v>
      </c>
      <c r="J118" s="183">
        <v>62.999849218489963</v>
      </c>
      <c r="K118" s="181">
        <f t="shared" si="10"/>
        <v>8</v>
      </c>
      <c r="L118" s="181">
        <f t="shared" si="11"/>
        <v>2</v>
      </c>
      <c r="M118" s="181">
        <f t="shared" si="12"/>
        <v>1</v>
      </c>
      <c r="N118" s="182">
        <v>12520.842033079571</v>
      </c>
      <c r="O118" s="181">
        <v>4800</v>
      </c>
      <c r="P118" s="181">
        <v>49606.180486999969</v>
      </c>
      <c r="Q118">
        <v>414</v>
      </c>
      <c r="R118">
        <v>1105.3024868650327</v>
      </c>
      <c r="S118" s="88">
        <f t="shared" si="13"/>
        <v>18840.144519944603</v>
      </c>
    </row>
    <row r="119" spans="1:19" x14ac:dyDescent="0.25">
      <c r="A119" s="325">
        <v>13</v>
      </c>
      <c r="B119" s="325" t="s">
        <v>37</v>
      </c>
      <c r="C119" s="326">
        <v>182.43984170529504</v>
      </c>
      <c r="D119" s="181">
        <v>182.43984170529504</v>
      </c>
      <c r="E119" s="181">
        <f t="shared" si="7"/>
        <v>23</v>
      </c>
      <c r="F119" s="181">
        <f t="shared" si="8"/>
        <v>5</v>
      </c>
      <c r="G119" s="181">
        <f t="shared" si="9"/>
        <v>2</v>
      </c>
      <c r="H119" s="182">
        <v>36258.823899877163</v>
      </c>
      <c r="I119" s="181">
        <v>13200</v>
      </c>
      <c r="J119" s="183">
        <v>46.339719793144937</v>
      </c>
      <c r="K119" s="181">
        <f t="shared" si="10"/>
        <v>6</v>
      </c>
      <c r="L119" s="181">
        <f t="shared" si="11"/>
        <v>2</v>
      </c>
      <c r="M119" s="181">
        <f t="shared" si="12"/>
        <v>1</v>
      </c>
      <c r="N119" s="182">
        <v>9209.7412705687984</v>
      </c>
      <c r="O119" s="181">
        <v>4800</v>
      </c>
      <c r="P119" s="181">
        <v>36487.968341059008</v>
      </c>
      <c r="Q119">
        <v>414</v>
      </c>
      <c r="R119">
        <v>1105.3024868650327</v>
      </c>
      <c r="S119" s="88">
        <f t="shared" si="13"/>
        <v>15529.043757433832</v>
      </c>
    </row>
    <row r="120" spans="1:19" x14ac:dyDescent="0.25">
      <c r="A120" s="325">
        <v>13</v>
      </c>
      <c r="B120" s="325" t="s">
        <v>38</v>
      </c>
      <c r="C120" s="326">
        <v>105.527376954738</v>
      </c>
      <c r="D120" s="181">
        <v>105.527376954738</v>
      </c>
      <c r="E120" s="181">
        <f t="shared" si="7"/>
        <v>14</v>
      </c>
      <c r="F120" s="181">
        <f t="shared" si="8"/>
        <v>3</v>
      </c>
      <c r="G120" s="181">
        <f t="shared" si="9"/>
        <v>1</v>
      </c>
      <c r="H120" s="182">
        <v>20972.933005492454</v>
      </c>
      <c r="I120" s="181">
        <v>6600</v>
      </c>
      <c r="J120" s="183">
        <v>26.803953746503453</v>
      </c>
      <c r="K120" s="181">
        <f t="shared" si="10"/>
        <v>4</v>
      </c>
      <c r="L120" s="181">
        <f t="shared" si="11"/>
        <v>1</v>
      </c>
      <c r="M120" s="181">
        <f t="shared" si="12"/>
        <v>1</v>
      </c>
      <c r="N120" s="182">
        <v>5327.1249833950833</v>
      </c>
      <c r="O120" s="181">
        <v>2400</v>
      </c>
      <c r="P120" s="181">
        <v>21105.475390947602</v>
      </c>
      <c r="Q120">
        <v>414</v>
      </c>
      <c r="R120">
        <v>1105.3024868650327</v>
      </c>
      <c r="S120" s="88">
        <f t="shared" si="13"/>
        <v>9246.427470260116</v>
      </c>
    </row>
    <row r="121" spans="1:19" x14ac:dyDescent="0.25">
      <c r="A121" s="325">
        <v>13</v>
      </c>
      <c r="B121" s="325" t="s">
        <v>39</v>
      </c>
      <c r="C121" s="326">
        <v>144.47236140497617</v>
      </c>
      <c r="D121" s="181">
        <v>144.47236140497617</v>
      </c>
      <c r="E121" s="181">
        <f t="shared" si="7"/>
        <v>19</v>
      </c>
      <c r="F121" s="181">
        <f t="shared" si="8"/>
        <v>4</v>
      </c>
      <c r="G121" s="181">
        <f t="shared" si="9"/>
        <v>1</v>
      </c>
      <c r="H121" s="182">
        <v>28713.014995070589</v>
      </c>
      <c r="I121" s="181">
        <v>6600</v>
      </c>
      <c r="J121" s="183">
        <v>36.695979796863945</v>
      </c>
      <c r="K121" s="181">
        <f t="shared" si="10"/>
        <v>5</v>
      </c>
      <c r="L121" s="181">
        <f t="shared" si="11"/>
        <v>1</v>
      </c>
      <c r="M121" s="181">
        <f t="shared" si="12"/>
        <v>1</v>
      </c>
      <c r="N121" s="182">
        <v>7293.1058087479287</v>
      </c>
      <c r="O121" s="181">
        <v>2400</v>
      </c>
      <c r="P121" s="181">
        <v>28894.472280995233</v>
      </c>
      <c r="Q121">
        <v>414</v>
      </c>
      <c r="R121">
        <v>1105.3024868650327</v>
      </c>
      <c r="S121" s="88">
        <f t="shared" si="13"/>
        <v>11212.408295612961</v>
      </c>
    </row>
    <row r="122" spans="1:19" x14ac:dyDescent="0.25">
      <c r="A122" s="325">
        <v>13</v>
      </c>
      <c r="B122" s="325" t="s">
        <v>40</v>
      </c>
      <c r="C122" s="326">
        <v>285.804926829745</v>
      </c>
      <c r="D122" s="181">
        <v>285.804926829745</v>
      </c>
      <c r="E122" s="181">
        <f t="shared" si="7"/>
        <v>36</v>
      </c>
      <c r="F122" s="181">
        <f t="shared" si="8"/>
        <v>8</v>
      </c>
      <c r="G122" s="181">
        <f t="shared" si="9"/>
        <v>2</v>
      </c>
      <c r="H122" s="182">
        <v>56802.01437785085</v>
      </c>
      <c r="I122" s="181">
        <v>13200</v>
      </c>
      <c r="J122" s="183">
        <v>72.594451414755227</v>
      </c>
      <c r="K122" s="181">
        <f t="shared" si="10"/>
        <v>10</v>
      </c>
      <c r="L122" s="181">
        <f t="shared" si="11"/>
        <v>2</v>
      </c>
      <c r="M122" s="181">
        <f t="shared" si="12"/>
        <v>1</v>
      </c>
      <c r="N122" s="182">
        <v>14427.711651974116</v>
      </c>
      <c r="O122" s="181">
        <v>4800</v>
      </c>
      <c r="P122" s="181">
        <v>57160.985365949004</v>
      </c>
      <c r="Q122">
        <v>414</v>
      </c>
      <c r="R122">
        <v>1105.3024868650327</v>
      </c>
      <c r="S122" s="88">
        <f t="shared" si="13"/>
        <v>20747.014138839149</v>
      </c>
    </row>
    <row r="123" spans="1:19" x14ac:dyDescent="0.25">
      <c r="A123" s="325">
        <v>13</v>
      </c>
      <c r="B123" s="325" t="s">
        <v>41</v>
      </c>
      <c r="C123" s="326">
        <v>73.938503372355498</v>
      </c>
      <c r="D123" s="181">
        <v>73.938503372355498</v>
      </c>
      <c r="E123" s="181">
        <f t="shared" si="7"/>
        <v>10</v>
      </c>
      <c r="F123" s="181">
        <f t="shared" si="8"/>
        <v>2</v>
      </c>
      <c r="G123" s="181">
        <f t="shared" si="9"/>
        <v>1</v>
      </c>
      <c r="H123" s="182">
        <v>14694.833914235423</v>
      </c>
      <c r="I123" s="181">
        <v>4800</v>
      </c>
      <c r="J123" s="183">
        <v>18.780379856578296</v>
      </c>
      <c r="K123" s="181">
        <f t="shared" si="10"/>
        <v>3</v>
      </c>
      <c r="L123" s="181">
        <f t="shared" si="11"/>
        <v>1</v>
      </c>
      <c r="M123" s="181">
        <f t="shared" si="12"/>
        <v>1</v>
      </c>
      <c r="N123" s="182">
        <v>3732.4878142157972</v>
      </c>
      <c r="O123" s="181">
        <v>2100</v>
      </c>
      <c r="P123" s="181">
        <v>14787.7006744711</v>
      </c>
      <c r="Q123">
        <v>414</v>
      </c>
      <c r="R123">
        <v>1105.3024868650327</v>
      </c>
      <c r="S123" s="88">
        <f t="shared" si="13"/>
        <v>7351.7903010808295</v>
      </c>
    </row>
    <row r="124" spans="1:19" x14ac:dyDescent="0.25">
      <c r="A124" s="325">
        <v>13</v>
      </c>
      <c r="B124" s="325" t="s">
        <v>131</v>
      </c>
      <c r="C124" s="326">
        <v>51.749208643597797</v>
      </c>
      <c r="D124" s="181">
        <v>51.749208643597797</v>
      </c>
      <c r="E124" s="181">
        <f t="shared" si="7"/>
        <v>7</v>
      </c>
      <c r="F124" s="181">
        <f t="shared" si="8"/>
        <v>2</v>
      </c>
      <c r="G124" s="181">
        <f t="shared" si="9"/>
        <v>1</v>
      </c>
      <c r="H124" s="182">
        <v>10284.844722663202</v>
      </c>
      <c r="I124" s="181">
        <v>4800</v>
      </c>
      <c r="J124" s="183">
        <v>13.144298995473841</v>
      </c>
      <c r="K124" s="181">
        <f t="shared" si="10"/>
        <v>2</v>
      </c>
      <c r="L124" s="181">
        <f t="shared" si="11"/>
        <v>1</v>
      </c>
      <c r="M124" s="181">
        <f t="shared" si="12"/>
        <v>1</v>
      </c>
      <c r="N124" s="182">
        <v>2612.3505595564534</v>
      </c>
      <c r="O124" s="181">
        <v>1400</v>
      </c>
      <c r="P124" s="181">
        <v>10349.841728719559</v>
      </c>
      <c r="Q124">
        <v>414</v>
      </c>
      <c r="R124">
        <v>1105.3024868650327</v>
      </c>
      <c r="S124" s="88">
        <f t="shared" si="13"/>
        <v>5531.6530464214866</v>
      </c>
    </row>
    <row r="125" spans="1:19" x14ac:dyDescent="0.25">
      <c r="A125" s="325">
        <v>13</v>
      </c>
      <c r="B125" s="325" t="s">
        <v>42</v>
      </c>
      <c r="C125" s="326">
        <v>237.24007378688106</v>
      </c>
      <c r="D125" s="181">
        <v>237.24007378688106</v>
      </c>
      <c r="E125" s="181">
        <f t="shared" si="7"/>
        <v>30</v>
      </c>
      <c r="F125" s="181">
        <f t="shared" si="8"/>
        <v>6</v>
      </c>
      <c r="G125" s="181">
        <f t="shared" si="9"/>
        <v>2</v>
      </c>
      <c r="H125" s="182">
        <v>47150.041224699897</v>
      </c>
      <c r="I125" s="181">
        <v>13200</v>
      </c>
      <c r="J125" s="183">
        <v>60.258978741867786</v>
      </c>
      <c r="K125" s="181">
        <f t="shared" si="10"/>
        <v>8</v>
      </c>
      <c r="L125" s="181">
        <f t="shared" si="11"/>
        <v>2</v>
      </c>
      <c r="M125" s="181">
        <f t="shared" si="12"/>
        <v>1</v>
      </c>
      <c r="N125" s="182">
        <v>11976.110471073773</v>
      </c>
      <c r="O125" s="181">
        <v>4800</v>
      </c>
      <c r="P125" s="181">
        <v>47448.014757376208</v>
      </c>
      <c r="Q125">
        <v>414</v>
      </c>
      <c r="R125">
        <v>1105.3024868650327</v>
      </c>
      <c r="S125" s="88">
        <f t="shared" si="13"/>
        <v>18295.412957938806</v>
      </c>
    </row>
    <row r="126" spans="1:19" x14ac:dyDescent="0.25">
      <c r="A126" s="325">
        <v>13</v>
      </c>
      <c r="B126" s="325" t="s">
        <v>43</v>
      </c>
      <c r="C126" s="326">
        <v>497.33628658645318</v>
      </c>
      <c r="D126" s="181">
        <v>497.33628658645318</v>
      </c>
      <c r="E126" s="181">
        <f t="shared" si="7"/>
        <v>63</v>
      </c>
      <c r="F126" s="181">
        <f t="shared" si="8"/>
        <v>13</v>
      </c>
      <c r="G126" s="181">
        <f t="shared" si="9"/>
        <v>4</v>
      </c>
      <c r="H126" s="182">
        <v>98842.60294133806</v>
      </c>
      <c r="I126" s="181">
        <v>26400</v>
      </c>
      <c r="J126" s="183">
        <v>126.32341679295911</v>
      </c>
      <c r="K126" s="181">
        <f t="shared" si="10"/>
        <v>16</v>
      </c>
      <c r="L126" s="181">
        <f t="shared" si="11"/>
        <v>4</v>
      </c>
      <c r="M126" s="181">
        <f t="shared" si="12"/>
        <v>1</v>
      </c>
      <c r="N126" s="182">
        <v>25106.021147099869</v>
      </c>
      <c r="O126" s="181">
        <v>6600</v>
      </c>
      <c r="P126" s="181">
        <v>99467.257317290641</v>
      </c>
      <c r="Q126">
        <v>414</v>
      </c>
      <c r="R126">
        <v>1105.3024868650327</v>
      </c>
      <c r="S126" s="88">
        <f t="shared" si="13"/>
        <v>33225.323633964901</v>
      </c>
    </row>
    <row r="127" spans="1:19" x14ac:dyDescent="0.25">
      <c r="A127" s="325">
        <v>13</v>
      </c>
      <c r="B127" s="325" t="s">
        <v>44</v>
      </c>
      <c r="C127" s="326">
        <v>308.1101287298884</v>
      </c>
      <c r="D127" s="181">
        <v>308.1101287298884</v>
      </c>
      <c r="E127" s="181">
        <f t="shared" si="7"/>
        <v>39</v>
      </c>
      <c r="F127" s="181">
        <f t="shared" si="8"/>
        <v>8</v>
      </c>
      <c r="G127" s="181">
        <f t="shared" si="9"/>
        <v>2</v>
      </c>
      <c r="H127" s="182">
        <v>61235.039424292947</v>
      </c>
      <c r="I127" s="181">
        <v>13200</v>
      </c>
      <c r="J127" s="183">
        <v>78.25997269739166</v>
      </c>
      <c r="K127" s="181">
        <f t="shared" si="10"/>
        <v>10</v>
      </c>
      <c r="L127" s="181">
        <f t="shared" si="11"/>
        <v>2</v>
      </c>
      <c r="M127" s="181">
        <f t="shared" si="12"/>
        <v>1</v>
      </c>
      <c r="N127" s="182">
        <v>15553.700013770411</v>
      </c>
      <c r="O127" s="181">
        <v>4800</v>
      </c>
      <c r="P127" s="181">
        <v>61622.025745977677</v>
      </c>
      <c r="Q127">
        <v>414</v>
      </c>
      <c r="R127">
        <v>1105.3024868650327</v>
      </c>
      <c r="S127" s="88">
        <f t="shared" si="13"/>
        <v>21873.002500635444</v>
      </c>
    </row>
    <row r="128" spans="1:19" x14ac:dyDescent="0.25">
      <c r="A128" s="325">
        <v>13</v>
      </c>
      <c r="B128" s="325" t="s">
        <v>45</v>
      </c>
      <c r="C128" s="326">
        <v>104.36077465419243</v>
      </c>
      <c r="D128" s="181">
        <v>104.36077465419243</v>
      </c>
      <c r="E128" s="181">
        <f t="shared" si="7"/>
        <v>14</v>
      </c>
      <c r="F128" s="181">
        <f t="shared" si="8"/>
        <v>3</v>
      </c>
      <c r="G128" s="181">
        <f t="shared" si="9"/>
        <v>1</v>
      </c>
      <c r="H128" s="182">
        <v>20741.077797872822</v>
      </c>
      <c r="I128" s="181">
        <v>6600</v>
      </c>
      <c r="J128" s="183">
        <v>26.507636762164875</v>
      </c>
      <c r="K128" s="181">
        <f t="shared" si="10"/>
        <v>4</v>
      </c>
      <c r="L128" s="181">
        <f t="shared" si="11"/>
        <v>1</v>
      </c>
      <c r="M128" s="181">
        <f t="shared" si="12"/>
        <v>1</v>
      </c>
      <c r="N128" s="182">
        <v>5268.2337606596966</v>
      </c>
      <c r="O128" s="181">
        <v>2400</v>
      </c>
      <c r="P128" s="181">
        <v>20872.154930838486</v>
      </c>
      <c r="Q128">
        <v>414</v>
      </c>
      <c r="R128">
        <v>1105.3024868650327</v>
      </c>
      <c r="S128" s="88">
        <f t="shared" si="13"/>
        <v>9187.5362475247293</v>
      </c>
    </row>
    <row r="129" spans="1:19" x14ac:dyDescent="0.25">
      <c r="A129" s="325">
        <v>13</v>
      </c>
      <c r="B129" s="325" t="s">
        <v>46</v>
      </c>
      <c r="C129" s="326">
        <v>318.46770873005829</v>
      </c>
      <c r="D129" s="181">
        <v>318.46770873005829</v>
      </c>
      <c r="E129" s="181">
        <f t="shared" si="7"/>
        <v>40</v>
      </c>
      <c r="F129" s="181">
        <f t="shared" si="8"/>
        <v>8</v>
      </c>
      <c r="G129" s="181">
        <f t="shared" si="9"/>
        <v>2</v>
      </c>
      <c r="H129" s="182">
        <v>63293.546303846713</v>
      </c>
      <c r="I129" s="181">
        <v>13200</v>
      </c>
      <c r="J129" s="183">
        <v>80.890798017434804</v>
      </c>
      <c r="K129" s="181">
        <f t="shared" si="10"/>
        <v>11</v>
      </c>
      <c r="L129" s="181">
        <f t="shared" si="11"/>
        <v>3</v>
      </c>
      <c r="M129" s="181">
        <f t="shared" si="12"/>
        <v>1</v>
      </c>
      <c r="N129" s="182">
        <v>16076.560761177065</v>
      </c>
      <c r="O129" s="181">
        <v>6600</v>
      </c>
      <c r="P129" s="181">
        <v>63693.541746011659</v>
      </c>
      <c r="Q129">
        <v>414</v>
      </c>
      <c r="R129">
        <v>1105.3024868650327</v>
      </c>
      <c r="S129" s="88">
        <f t="shared" si="13"/>
        <v>24195.863248042097</v>
      </c>
    </row>
    <row r="130" spans="1:19" x14ac:dyDescent="0.25">
      <c r="A130" s="325">
        <v>13</v>
      </c>
      <c r="B130" s="325" t="s">
        <v>47</v>
      </c>
      <c r="C130" s="326">
        <v>379.46341693216021</v>
      </c>
      <c r="D130" s="181">
        <v>379.46341693216021</v>
      </c>
      <c r="E130" s="181">
        <f t="shared" si="7"/>
        <v>48</v>
      </c>
      <c r="F130" s="181">
        <f t="shared" si="8"/>
        <v>10</v>
      </c>
      <c r="G130" s="181">
        <f t="shared" si="9"/>
        <v>3</v>
      </c>
      <c r="H130" s="182">
        <v>75416.077334765258</v>
      </c>
      <c r="I130" s="181">
        <v>19800</v>
      </c>
      <c r="J130" s="183">
        <v>96.383707900768698</v>
      </c>
      <c r="K130" s="181">
        <f t="shared" si="10"/>
        <v>13</v>
      </c>
      <c r="L130" s="181">
        <f t="shared" si="11"/>
        <v>3</v>
      </c>
      <c r="M130" s="181">
        <f t="shared" si="12"/>
        <v>1</v>
      </c>
      <c r="N130" s="182">
        <v>19155.683643030377</v>
      </c>
      <c r="O130" s="181">
        <v>6600</v>
      </c>
      <c r="P130" s="181">
        <v>75892.683386432036</v>
      </c>
      <c r="Q130">
        <v>414</v>
      </c>
      <c r="R130">
        <v>1105.3024868650327</v>
      </c>
      <c r="S130" s="88">
        <f t="shared" si="13"/>
        <v>27274.986129895409</v>
      </c>
    </row>
    <row r="131" spans="1:19" x14ac:dyDescent="0.25">
      <c r="A131" s="325">
        <v>13</v>
      </c>
      <c r="B131" s="325" t="s">
        <v>48</v>
      </c>
      <c r="C131" s="326">
        <v>300.57263512681931</v>
      </c>
      <c r="D131" s="181">
        <v>300.57263512681931</v>
      </c>
      <c r="E131" s="181">
        <f t="shared" si="7"/>
        <v>38</v>
      </c>
      <c r="F131" s="181">
        <f t="shared" si="8"/>
        <v>8</v>
      </c>
      <c r="G131" s="181">
        <f t="shared" si="9"/>
        <v>2</v>
      </c>
      <c r="H131" s="182">
        <v>59737.007795644582</v>
      </c>
      <c r="I131" s="181">
        <v>13200</v>
      </c>
      <c r="J131" s="183">
        <v>76.345449322212104</v>
      </c>
      <c r="K131" s="181">
        <f t="shared" si="10"/>
        <v>10</v>
      </c>
      <c r="L131" s="181">
        <f t="shared" si="11"/>
        <v>2</v>
      </c>
      <c r="M131" s="181">
        <f t="shared" si="12"/>
        <v>1</v>
      </c>
      <c r="N131" s="182">
        <v>15173.199980093725</v>
      </c>
      <c r="O131" s="181">
        <v>4800</v>
      </c>
      <c r="P131" s="181">
        <v>60114.527025363859</v>
      </c>
      <c r="Q131">
        <v>414</v>
      </c>
      <c r="R131">
        <v>1105.3024868650327</v>
      </c>
      <c r="S131" s="88">
        <f t="shared" si="13"/>
        <v>21492.502466958758</v>
      </c>
    </row>
    <row r="132" spans="1:19" x14ac:dyDescent="0.25">
      <c r="A132" s="325">
        <v>13</v>
      </c>
      <c r="B132" s="325" t="s">
        <v>49</v>
      </c>
      <c r="C132" s="326">
        <v>403.13330647215156</v>
      </c>
      <c r="D132" s="181">
        <v>403.13330647215156</v>
      </c>
      <c r="E132" s="181">
        <f t="shared" ref="E132:E195" si="14">ROUNDUP(D132/8,0)</f>
        <v>51</v>
      </c>
      <c r="F132" s="181">
        <f t="shared" ref="F132:F195" si="15">ROUNDUP(D132/40,0)</f>
        <v>11</v>
      </c>
      <c r="G132" s="181">
        <f t="shared" ref="G132:G195" si="16">ROUNDUP(D132/(40*4),0)</f>
        <v>3</v>
      </c>
      <c r="H132" s="182">
        <v>80120.325861501304</v>
      </c>
      <c r="I132" s="181">
        <v>19800</v>
      </c>
      <c r="J132" s="183">
        <v>102.3958598439265</v>
      </c>
      <c r="K132" s="181">
        <f t="shared" ref="K132:K195" si="17">ROUNDUP(J132/8,0)</f>
        <v>13</v>
      </c>
      <c r="L132" s="181">
        <f t="shared" ref="L132:L195" si="18">ROUNDUP(J132/40,0)</f>
        <v>3</v>
      </c>
      <c r="M132" s="181">
        <f t="shared" ref="M132:M195" si="19">ROUNDUP(J132/(40*4),0)</f>
        <v>1</v>
      </c>
      <c r="N132" s="182">
        <v>20350.562768821332</v>
      </c>
      <c r="O132" s="181">
        <v>6600</v>
      </c>
      <c r="P132" s="181">
        <v>80626.661294430305</v>
      </c>
      <c r="Q132">
        <v>414</v>
      </c>
      <c r="R132">
        <v>1105.3024868650327</v>
      </c>
      <c r="S132" s="88">
        <f t="shared" ref="S132:S195" si="20">R132+Q132+N132+O132</f>
        <v>28469.865255686364</v>
      </c>
    </row>
    <row r="133" spans="1:19" x14ac:dyDescent="0.25">
      <c r="A133" s="325">
        <v>13</v>
      </c>
      <c r="B133" s="325" t="s">
        <v>50</v>
      </c>
      <c r="C133" s="326">
        <v>261.76065372653915</v>
      </c>
      <c r="D133" s="181">
        <v>261.76065372653915</v>
      </c>
      <c r="E133" s="181">
        <f t="shared" si="14"/>
        <v>33</v>
      </c>
      <c r="F133" s="181">
        <f t="shared" si="15"/>
        <v>7</v>
      </c>
      <c r="G133" s="181">
        <f t="shared" si="16"/>
        <v>2</v>
      </c>
      <c r="H133" s="182">
        <v>52023.359364227304</v>
      </c>
      <c r="I133" s="181">
        <v>13200</v>
      </c>
      <c r="J133" s="183">
        <v>66.487206046540948</v>
      </c>
      <c r="K133" s="181">
        <f t="shared" si="17"/>
        <v>9</v>
      </c>
      <c r="L133" s="181">
        <f t="shared" si="18"/>
        <v>2</v>
      </c>
      <c r="M133" s="181">
        <f t="shared" si="19"/>
        <v>1</v>
      </c>
      <c r="N133" s="182">
        <v>13213.933278513736</v>
      </c>
      <c r="O133" s="181">
        <v>4800</v>
      </c>
      <c r="P133" s="181">
        <v>52352.130745307826</v>
      </c>
      <c r="Q133">
        <v>414</v>
      </c>
      <c r="R133">
        <v>1105.3024868650327</v>
      </c>
      <c r="S133" s="88">
        <f t="shared" si="20"/>
        <v>19533.235765378769</v>
      </c>
    </row>
    <row r="134" spans="1:19" x14ac:dyDescent="0.25">
      <c r="A134" s="325">
        <v>13</v>
      </c>
      <c r="B134" s="325" t="s">
        <v>51</v>
      </c>
      <c r="C134" s="326">
        <v>221.82230493146375</v>
      </c>
      <c r="D134" s="181">
        <v>221.82230493146375</v>
      </c>
      <c r="E134" s="181">
        <f t="shared" si="14"/>
        <v>28</v>
      </c>
      <c r="F134" s="181">
        <f t="shared" si="15"/>
        <v>6</v>
      </c>
      <c r="G134" s="181">
        <f t="shared" si="16"/>
        <v>2</v>
      </c>
      <c r="H134" s="182">
        <v>44085.852171298837</v>
      </c>
      <c r="I134" s="181">
        <v>13200</v>
      </c>
      <c r="J134" s="183">
        <v>56.342865452591795</v>
      </c>
      <c r="K134" s="181">
        <f t="shared" si="17"/>
        <v>8</v>
      </c>
      <c r="L134" s="181">
        <f t="shared" si="18"/>
        <v>2</v>
      </c>
      <c r="M134" s="181">
        <f t="shared" si="19"/>
        <v>1</v>
      </c>
      <c r="N134" s="182">
        <v>11197.806451509905</v>
      </c>
      <c r="O134" s="181">
        <v>4800</v>
      </c>
      <c r="P134" s="181">
        <v>44364.460986292746</v>
      </c>
      <c r="Q134">
        <v>414</v>
      </c>
      <c r="R134">
        <v>1105.3024868650327</v>
      </c>
      <c r="S134" s="88">
        <f t="shared" si="20"/>
        <v>17517.108938374939</v>
      </c>
    </row>
    <row r="135" spans="1:19" x14ac:dyDescent="0.25">
      <c r="A135" s="325">
        <v>13</v>
      </c>
      <c r="B135" s="325" t="s">
        <v>52</v>
      </c>
      <c r="C135" s="326">
        <v>244.59045552333055</v>
      </c>
      <c r="D135" s="181">
        <v>244.59045552333055</v>
      </c>
      <c r="E135" s="181">
        <f t="shared" si="14"/>
        <v>31</v>
      </c>
      <c r="F135" s="181">
        <f t="shared" si="15"/>
        <v>7</v>
      </c>
      <c r="G135" s="181">
        <f t="shared" si="16"/>
        <v>2</v>
      </c>
      <c r="H135" s="182">
        <v>48610.885492528811</v>
      </c>
      <c r="I135" s="181">
        <v>13200</v>
      </c>
      <c r="J135" s="183">
        <v>62.125975702925963</v>
      </c>
      <c r="K135" s="181">
        <f t="shared" si="17"/>
        <v>8</v>
      </c>
      <c r="L135" s="181">
        <f t="shared" si="18"/>
        <v>2</v>
      </c>
      <c r="M135" s="181">
        <f t="shared" si="19"/>
        <v>1</v>
      </c>
      <c r="N135" s="182">
        <v>12347.164915102319</v>
      </c>
      <c r="O135" s="181">
        <v>4800</v>
      </c>
      <c r="P135" s="181">
        <v>48918.091104666106</v>
      </c>
      <c r="Q135">
        <v>414</v>
      </c>
      <c r="R135">
        <v>1105.3024868650327</v>
      </c>
      <c r="S135" s="88">
        <f t="shared" si="20"/>
        <v>18666.467401967351</v>
      </c>
    </row>
    <row r="136" spans="1:19" x14ac:dyDescent="0.25">
      <c r="A136" s="325">
        <v>13</v>
      </c>
      <c r="B136" s="325" t="s">
        <v>53</v>
      </c>
      <c r="C136" s="326">
        <v>113.81939225839545</v>
      </c>
      <c r="D136" s="181">
        <v>113.81939225839545</v>
      </c>
      <c r="E136" s="181">
        <f t="shared" si="14"/>
        <v>15</v>
      </c>
      <c r="F136" s="181">
        <f t="shared" si="15"/>
        <v>3</v>
      </c>
      <c r="G136" s="181">
        <f t="shared" si="16"/>
        <v>1</v>
      </c>
      <c r="H136" s="182">
        <v>22620.92129500255</v>
      </c>
      <c r="I136" s="181">
        <v>6600</v>
      </c>
      <c r="J136" s="183">
        <v>28.910125633632447</v>
      </c>
      <c r="K136" s="181">
        <f t="shared" si="17"/>
        <v>4</v>
      </c>
      <c r="L136" s="181">
        <f t="shared" si="18"/>
        <v>1</v>
      </c>
      <c r="M136" s="181">
        <f t="shared" si="19"/>
        <v>1</v>
      </c>
      <c r="N136" s="182">
        <v>5745.7140089306477</v>
      </c>
      <c r="O136" s="181">
        <v>2400</v>
      </c>
      <c r="P136" s="181">
        <v>22763.878451679091</v>
      </c>
      <c r="Q136">
        <v>414</v>
      </c>
      <c r="R136">
        <v>1105.3024868650327</v>
      </c>
      <c r="S136" s="88">
        <f t="shared" si="20"/>
        <v>9665.0164957956804</v>
      </c>
    </row>
    <row r="137" spans="1:19" x14ac:dyDescent="0.25">
      <c r="A137" s="325">
        <v>13</v>
      </c>
      <c r="B137" s="325" t="s">
        <v>54</v>
      </c>
      <c r="C137" s="326">
        <v>58.002061732068618</v>
      </c>
      <c r="D137" s="181">
        <v>58.002061732068618</v>
      </c>
      <c r="E137" s="181">
        <f t="shared" si="14"/>
        <v>8</v>
      </c>
      <c r="F137" s="181">
        <f t="shared" si="15"/>
        <v>2</v>
      </c>
      <c r="G137" s="181">
        <f t="shared" si="16"/>
        <v>1</v>
      </c>
      <c r="H137" s="182">
        <v>11527.561756878247</v>
      </c>
      <c r="I137" s="181">
        <v>4800</v>
      </c>
      <c r="J137" s="183">
        <v>14.732523679945428</v>
      </c>
      <c r="K137" s="181">
        <f t="shared" si="17"/>
        <v>2</v>
      </c>
      <c r="L137" s="181">
        <f t="shared" si="18"/>
        <v>1</v>
      </c>
      <c r="M137" s="181">
        <f t="shared" si="19"/>
        <v>1</v>
      </c>
      <c r="N137" s="182">
        <v>2928.0006862470746</v>
      </c>
      <c r="O137" s="181">
        <v>1400</v>
      </c>
      <c r="P137" s="181">
        <v>11600.412346413723</v>
      </c>
      <c r="Q137">
        <v>414</v>
      </c>
      <c r="R137">
        <v>1105.3024868650327</v>
      </c>
      <c r="S137" s="88">
        <f t="shared" si="20"/>
        <v>5847.3031731121073</v>
      </c>
    </row>
    <row r="138" spans="1:19" x14ac:dyDescent="0.25">
      <c r="A138" s="325">
        <v>13</v>
      </c>
      <c r="B138" s="325" t="s">
        <v>55</v>
      </c>
      <c r="C138" s="326">
        <v>98.122969491392709</v>
      </c>
      <c r="D138" s="181">
        <v>98.122969491392709</v>
      </c>
      <c r="E138" s="181">
        <f t="shared" si="14"/>
        <v>13</v>
      </c>
      <c r="F138" s="181">
        <f t="shared" si="15"/>
        <v>3</v>
      </c>
      <c r="G138" s="181">
        <f t="shared" si="16"/>
        <v>1</v>
      </c>
      <c r="H138" s="182">
        <v>19501.351448597354</v>
      </c>
      <c r="I138" s="181">
        <v>6600</v>
      </c>
      <c r="J138" s="183">
        <v>24.923234250813749</v>
      </c>
      <c r="K138" s="181">
        <f t="shared" si="17"/>
        <v>4</v>
      </c>
      <c r="L138" s="181">
        <f t="shared" si="18"/>
        <v>1</v>
      </c>
      <c r="M138" s="181">
        <f t="shared" si="19"/>
        <v>1</v>
      </c>
      <c r="N138" s="182">
        <v>4953.3432679437283</v>
      </c>
      <c r="O138" s="181">
        <v>2400</v>
      </c>
      <c r="P138" s="181">
        <v>19624.593898278541</v>
      </c>
      <c r="Q138">
        <v>414</v>
      </c>
      <c r="R138">
        <v>1105.3024868650327</v>
      </c>
      <c r="S138" s="88">
        <f t="shared" si="20"/>
        <v>8872.6457548087601</v>
      </c>
    </row>
    <row r="139" spans="1:19" x14ac:dyDescent="0.25">
      <c r="A139" s="325">
        <v>13</v>
      </c>
      <c r="B139" s="325" t="s">
        <v>56</v>
      </c>
      <c r="C139" s="326">
        <v>109.15537732199004</v>
      </c>
      <c r="D139" s="181">
        <v>109.15537732199004</v>
      </c>
      <c r="E139" s="181">
        <f t="shared" si="14"/>
        <v>14</v>
      </c>
      <c r="F139" s="181">
        <f t="shared" si="15"/>
        <v>3</v>
      </c>
      <c r="G139" s="181">
        <f t="shared" si="16"/>
        <v>1</v>
      </c>
      <c r="H139" s="182">
        <v>21693.976310481594</v>
      </c>
      <c r="I139" s="181">
        <v>6600</v>
      </c>
      <c r="J139" s="183">
        <v>27.725465839785471</v>
      </c>
      <c r="K139" s="181">
        <f t="shared" si="17"/>
        <v>4</v>
      </c>
      <c r="L139" s="181">
        <f t="shared" si="18"/>
        <v>1</v>
      </c>
      <c r="M139" s="181">
        <f t="shared" si="19"/>
        <v>1</v>
      </c>
      <c r="N139" s="182">
        <v>5510.2699828623245</v>
      </c>
      <c r="O139" s="181">
        <v>2400</v>
      </c>
      <c r="P139" s="181">
        <v>21831.075464398011</v>
      </c>
      <c r="Q139">
        <v>414</v>
      </c>
      <c r="R139">
        <v>1105.3024868650327</v>
      </c>
      <c r="S139" s="88">
        <f t="shared" si="20"/>
        <v>9429.5724697273581</v>
      </c>
    </row>
    <row r="140" spans="1:19" x14ac:dyDescent="0.25">
      <c r="A140" s="325">
        <v>13</v>
      </c>
      <c r="B140" s="325" t="s">
        <v>57</v>
      </c>
      <c r="C140" s="326">
        <v>133.48874696213281</v>
      </c>
      <c r="D140" s="181">
        <v>133.48874696213281</v>
      </c>
      <c r="E140" s="181">
        <f t="shared" si="14"/>
        <v>17</v>
      </c>
      <c r="F140" s="181">
        <f t="shared" si="15"/>
        <v>4</v>
      </c>
      <c r="G140" s="181">
        <f t="shared" si="16"/>
        <v>1</v>
      </c>
      <c r="H140" s="182">
        <v>26530.087526242125</v>
      </c>
      <c r="I140" s="181">
        <v>6600</v>
      </c>
      <c r="J140" s="183">
        <v>33.906141728381733</v>
      </c>
      <c r="K140" s="181">
        <f t="shared" si="17"/>
        <v>5</v>
      </c>
      <c r="L140" s="181">
        <f t="shared" si="18"/>
        <v>1</v>
      </c>
      <c r="M140" s="181">
        <f t="shared" si="19"/>
        <v>1</v>
      </c>
      <c r="N140" s="182">
        <v>6738.6422316654998</v>
      </c>
      <c r="O140" s="181">
        <v>2400</v>
      </c>
      <c r="P140" s="181">
        <v>26697.749392426562</v>
      </c>
      <c r="Q140">
        <v>414</v>
      </c>
      <c r="R140">
        <v>1105.3024868650327</v>
      </c>
      <c r="S140" s="88">
        <f t="shared" si="20"/>
        <v>10657.944718530533</v>
      </c>
    </row>
    <row r="141" spans="1:19" x14ac:dyDescent="0.25">
      <c r="A141" s="325">
        <v>13</v>
      </c>
      <c r="B141" s="325" t="s">
        <v>58</v>
      </c>
      <c r="C141" s="326">
        <v>159.75884087878768</v>
      </c>
      <c r="D141" s="181">
        <v>159.75884087878768</v>
      </c>
      <c r="E141" s="181">
        <f t="shared" si="14"/>
        <v>20</v>
      </c>
      <c r="F141" s="181">
        <f t="shared" si="15"/>
        <v>4</v>
      </c>
      <c r="G141" s="181">
        <f t="shared" si="16"/>
        <v>1</v>
      </c>
      <c r="H141" s="182">
        <v>31751.111071613785</v>
      </c>
      <c r="I141" s="181">
        <v>6600</v>
      </c>
      <c r="J141" s="183">
        <v>40.578745583212068</v>
      </c>
      <c r="K141" s="181">
        <f t="shared" si="17"/>
        <v>6</v>
      </c>
      <c r="L141" s="181">
        <f t="shared" si="18"/>
        <v>2</v>
      </c>
      <c r="M141" s="181">
        <f t="shared" si="19"/>
        <v>1</v>
      </c>
      <c r="N141" s="182">
        <v>8064.7822121899007</v>
      </c>
      <c r="O141" s="181">
        <v>4800</v>
      </c>
      <c r="P141" s="181">
        <v>31951.768175757537</v>
      </c>
      <c r="Q141">
        <v>414</v>
      </c>
      <c r="R141">
        <v>1105.3024868650327</v>
      </c>
      <c r="S141" s="88">
        <f t="shared" si="20"/>
        <v>14384.084699054933</v>
      </c>
    </row>
    <row r="142" spans="1:19" x14ac:dyDescent="0.25">
      <c r="A142" s="325">
        <v>13</v>
      </c>
      <c r="B142" s="325" t="s">
        <v>59</v>
      </c>
      <c r="C142" s="326">
        <v>370.12246094567041</v>
      </c>
      <c r="D142" s="181">
        <v>370.12246094567041</v>
      </c>
      <c r="E142" s="181">
        <f t="shared" si="14"/>
        <v>47</v>
      </c>
      <c r="F142" s="181">
        <f t="shared" si="15"/>
        <v>10</v>
      </c>
      <c r="G142" s="181">
        <f t="shared" si="16"/>
        <v>3</v>
      </c>
      <c r="H142" s="182">
        <v>73559.618378186336</v>
      </c>
      <c r="I142" s="181">
        <v>19800</v>
      </c>
      <c r="J142" s="183">
        <v>94.011105080200281</v>
      </c>
      <c r="K142" s="181">
        <f t="shared" si="17"/>
        <v>12</v>
      </c>
      <c r="L142" s="181">
        <f t="shared" si="18"/>
        <v>3</v>
      </c>
      <c r="M142" s="181">
        <f t="shared" si="19"/>
        <v>1</v>
      </c>
      <c r="N142" s="182">
        <v>18684.143068059326</v>
      </c>
      <c r="O142" s="181">
        <v>6600</v>
      </c>
      <c r="P142" s="181">
        <v>74024.492189134078</v>
      </c>
      <c r="Q142">
        <v>414</v>
      </c>
      <c r="R142">
        <v>1105.3024868650327</v>
      </c>
      <c r="S142" s="88">
        <f t="shared" si="20"/>
        <v>26803.445554924358</v>
      </c>
    </row>
    <row r="143" spans="1:19" x14ac:dyDescent="0.25">
      <c r="A143" s="325">
        <v>13</v>
      </c>
      <c r="B143" s="325" t="s">
        <v>60</v>
      </c>
      <c r="C143" s="326">
        <v>631.91001380577757</v>
      </c>
      <c r="D143" s="181">
        <v>631.91001380577757</v>
      </c>
      <c r="E143" s="181">
        <f t="shared" si="14"/>
        <v>79</v>
      </c>
      <c r="F143" s="181">
        <f t="shared" si="15"/>
        <v>16</v>
      </c>
      <c r="G143" s="181">
        <f t="shared" si="16"/>
        <v>4</v>
      </c>
      <c r="H143" s="182">
        <v>125588.32378381547</v>
      </c>
      <c r="I143" s="181">
        <v>26400</v>
      </c>
      <c r="J143" s="183">
        <v>160.50514350666751</v>
      </c>
      <c r="K143" s="181">
        <f t="shared" si="17"/>
        <v>21</v>
      </c>
      <c r="L143" s="181">
        <f t="shared" si="18"/>
        <v>5</v>
      </c>
      <c r="M143" s="181">
        <f t="shared" si="19"/>
        <v>2</v>
      </c>
      <c r="N143" s="182">
        <v>31899.434241089133</v>
      </c>
      <c r="O143" s="181">
        <v>13200</v>
      </c>
      <c r="P143" s="181">
        <v>126382.00276115551</v>
      </c>
      <c r="Q143">
        <v>414</v>
      </c>
      <c r="R143">
        <v>1105.3024868650327</v>
      </c>
      <c r="S143" s="88">
        <f t="shared" si="20"/>
        <v>46618.736727954165</v>
      </c>
    </row>
    <row r="144" spans="1:19" x14ac:dyDescent="0.25">
      <c r="A144" s="325">
        <v>13</v>
      </c>
      <c r="B144" s="325" t="s">
        <v>61</v>
      </c>
      <c r="C144" s="326">
        <v>152.06858979818344</v>
      </c>
      <c r="D144" s="181">
        <v>152.06858979818344</v>
      </c>
      <c r="E144" s="181">
        <f t="shared" si="14"/>
        <v>20</v>
      </c>
      <c r="F144" s="181">
        <f t="shared" si="15"/>
        <v>4</v>
      </c>
      <c r="G144" s="181">
        <f t="shared" si="16"/>
        <v>1</v>
      </c>
      <c r="H144" s="182">
        <v>30222.719810850173</v>
      </c>
      <c r="I144" s="181">
        <v>6600</v>
      </c>
      <c r="J144" s="183">
        <v>38.625421808738594</v>
      </c>
      <c r="K144" s="181">
        <f t="shared" si="17"/>
        <v>5</v>
      </c>
      <c r="L144" s="181">
        <f t="shared" si="18"/>
        <v>1</v>
      </c>
      <c r="M144" s="181">
        <f t="shared" si="19"/>
        <v>1</v>
      </c>
      <c r="N144" s="182">
        <v>7676.5708319559444</v>
      </c>
      <c r="O144" s="181">
        <v>2400</v>
      </c>
      <c r="P144" s="181">
        <v>30413.717959636688</v>
      </c>
      <c r="Q144">
        <v>414</v>
      </c>
      <c r="R144">
        <v>1105.3024868650327</v>
      </c>
      <c r="S144" s="88">
        <f t="shared" si="20"/>
        <v>11595.873318820977</v>
      </c>
    </row>
    <row r="145" spans="1:19" x14ac:dyDescent="0.25">
      <c r="A145" s="325">
        <v>13</v>
      </c>
      <c r="B145" s="325" t="s">
        <v>62</v>
      </c>
      <c r="C145" s="326">
        <v>216.90940478602056</v>
      </c>
      <c r="D145" s="181">
        <v>216.90940478602056</v>
      </c>
      <c r="E145" s="181">
        <f t="shared" si="14"/>
        <v>28</v>
      </c>
      <c r="F145" s="181">
        <f t="shared" si="15"/>
        <v>6</v>
      </c>
      <c r="G145" s="181">
        <f t="shared" si="16"/>
        <v>2</v>
      </c>
      <c r="H145" s="182">
        <v>43109.442744792876</v>
      </c>
      <c r="I145" s="181">
        <v>13200</v>
      </c>
      <c r="J145" s="183">
        <v>55.094988815649224</v>
      </c>
      <c r="K145" s="181">
        <f t="shared" si="17"/>
        <v>7</v>
      </c>
      <c r="L145" s="181">
        <f t="shared" si="18"/>
        <v>2</v>
      </c>
      <c r="M145" s="181">
        <f t="shared" si="19"/>
        <v>1</v>
      </c>
      <c r="N145" s="182">
        <v>10949.79845717739</v>
      </c>
      <c r="O145" s="181">
        <v>4800</v>
      </c>
      <c r="P145" s="181">
        <v>43381.880957204114</v>
      </c>
      <c r="Q145">
        <v>414</v>
      </c>
      <c r="R145">
        <v>1105.3024868650327</v>
      </c>
      <c r="S145" s="88">
        <f t="shared" si="20"/>
        <v>17269.100944042424</v>
      </c>
    </row>
    <row r="146" spans="1:19" x14ac:dyDescent="0.25">
      <c r="A146" s="325">
        <v>13</v>
      </c>
      <c r="B146" s="325" t="s">
        <v>63</v>
      </c>
      <c r="C146" s="326">
        <v>246.52419837847643</v>
      </c>
      <c r="D146" s="181">
        <v>246.52419837847643</v>
      </c>
      <c r="E146" s="181">
        <f t="shared" si="14"/>
        <v>31</v>
      </c>
      <c r="F146" s="181">
        <f t="shared" si="15"/>
        <v>7</v>
      </c>
      <c r="G146" s="181">
        <f t="shared" si="16"/>
        <v>2</v>
      </c>
      <c r="H146" s="182">
        <v>48995.205282531926</v>
      </c>
      <c r="I146" s="181">
        <v>13200</v>
      </c>
      <c r="J146" s="183">
        <v>62.617146388133015</v>
      </c>
      <c r="K146" s="181">
        <f t="shared" si="17"/>
        <v>8</v>
      </c>
      <c r="L146" s="181">
        <f t="shared" si="18"/>
        <v>2</v>
      </c>
      <c r="M146" s="181">
        <f t="shared" si="19"/>
        <v>1</v>
      </c>
      <c r="N146" s="182">
        <v>12444.782141763109</v>
      </c>
      <c r="O146" s="181">
        <v>4800</v>
      </c>
      <c r="P146" s="181">
        <v>49304.839675695286</v>
      </c>
      <c r="Q146">
        <v>414</v>
      </c>
      <c r="R146">
        <v>1105.3024868650327</v>
      </c>
      <c r="S146" s="88">
        <f t="shared" si="20"/>
        <v>18764.084628628141</v>
      </c>
    </row>
    <row r="147" spans="1:19" x14ac:dyDescent="0.25">
      <c r="A147" s="325">
        <v>13</v>
      </c>
      <c r="B147" s="325" t="s">
        <v>64</v>
      </c>
      <c r="C147" s="326">
        <v>184.81936050390803</v>
      </c>
      <c r="D147" s="181">
        <v>184.81936050390803</v>
      </c>
      <c r="E147" s="181">
        <f t="shared" si="14"/>
        <v>24</v>
      </c>
      <c r="F147" s="181">
        <f t="shared" si="15"/>
        <v>5</v>
      </c>
      <c r="G147" s="181">
        <f t="shared" si="16"/>
        <v>2</v>
      </c>
      <c r="H147" s="182">
        <v>36731.738983988704</v>
      </c>
      <c r="I147" s="181">
        <v>13200</v>
      </c>
      <c r="J147" s="183">
        <v>46.944117567992642</v>
      </c>
      <c r="K147" s="181">
        <f t="shared" si="17"/>
        <v>6</v>
      </c>
      <c r="L147" s="181">
        <f t="shared" si="18"/>
        <v>2</v>
      </c>
      <c r="M147" s="181">
        <f t="shared" si="19"/>
        <v>1</v>
      </c>
      <c r="N147" s="182">
        <v>9329.8617019331305</v>
      </c>
      <c r="O147" s="181">
        <v>4800</v>
      </c>
      <c r="P147" s="181">
        <v>36963.872100781606</v>
      </c>
      <c r="Q147">
        <v>414</v>
      </c>
      <c r="R147">
        <v>1105.3024868650327</v>
      </c>
      <c r="S147" s="88">
        <f t="shared" si="20"/>
        <v>15649.164188798164</v>
      </c>
    </row>
    <row r="148" spans="1:19" x14ac:dyDescent="0.25">
      <c r="A148" s="325">
        <v>13</v>
      </c>
      <c r="B148" s="325" t="s">
        <v>65</v>
      </c>
      <c r="C148" s="326">
        <v>192.15047761910407</v>
      </c>
      <c r="D148" s="181">
        <v>192.15047761910407</v>
      </c>
      <c r="E148" s="181">
        <f t="shared" si="14"/>
        <v>25</v>
      </c>
      <c r="F148" s="181">
        <f t="shared" si="15"/>
        <v>5</v>
      </c>
      <c r="G148" s="181">
        <f t="shared" si="16"/>
        <v>2</v>
      </c>
      <c r="H148" s="182">
        <v>38188.754523931224</v>
      </c>
      <c r="I148" s="181">
        <v>13200</v>
      </c>
      <c r="J148" s="183">
        <v>48.806221315252436</v>
      </c>
      <c r="K148" s="181">
        <f t="shared" si="17"/>
        <v>7</v>
      </c>
      <c r="L148" s="181">
        <f t="shared" si="18"/>
        <v>2</v>
      </c>
      <c r="M148" s="181">
        <f t="shared" si="19"/>
        <v>1</v>
      </c>
      <c r="N148" s="182">
        <v>9699.943649078532</v>
      </c>
      <c r="O148" s="181">
        <v>4800</v>
      </c>
      <c r="P148" s="181">
        <v>38430.095523820812</v>
      </c>
      <c r="Q148">
        <v>414</v>
      </c>
      <c r="R148">
        <v>1105.3024868650327</v>
      </c>
      <c r="S148" s="88">
        <f t="shared" si="20"/>
        <v>16019.246135943566</v>
      </c>
    </row>
    <row r="149" spans="1:19" x14ac:dyDescent="0.25">
      <c r="A149" s="325">
        <v>13</v>
      </c>
      <c r="B149" s="325" t="s">
        <v>66</v>
      </c>
      <c r="C149" s="326">
        <v>58.000141399815035</v>
      </c>
      <c r="D149" s="181">
        <v>58.000141399815035</v>
      </c>
      <c r="E149" s="181">
        <f t="shared" si="14"/>
        <v>8</v>
      </c>
      <c r="F149" s="181">
        <f t="shared" si="15"/>
        <v>2</v>
      </c>
      <c r="G149" s="181">
        <f t="shared" si="16"/>
        <v>1</v>
      </c>
      <c r="H149" s="182">
        <v>11527.18010236484</v>
      </c>
      <c r="I149" s="181">
        <v>4800</v>
      </c>
      <c r="J149" s="183">
        <v>14.73203591555302</v>
      </c>
      <c r="K149" s="181">
        <f t="shared" si="17"/>
        <v>2</v>
      </c>
      <c r="L149" s="181">
        <f t="shared" si="18"/>
        <v>1</v>
      </c>
      <c r="M149" s="181">
        <f t="shared" si="19"/>
        <v>1</v>
      </c>
      <c r="N149" s="182">
        <v>2927.9037460006698</v>
      </c>
      <c r="O149" s="181">
        <v>1400</v>
      </c>
      <c r="P149" s="181">
        <v>11600.028279963008</v>
      </c>
      <c r="Q149">
        <v>414</v>
      </c>
      <c r="R149">
        <v>1105.3024868650327</v>
      </c>
      <c r="S149" s="88">
        <f t="shared" si="20"/>
        <v>5847.206232865703</v>
      </c>
    </row>
    <row r="150" spans="1:19" x14ac:dyDescent="0.25">
      <c r="A150" s="325">
        <v>13</v>
      </c>
      <c r="B150" s="325" t="s">
        <v>67</v>
      </c>
      <c r="C150" s="326">
        <v>134.72447849462364</v>
      </c>
      <c r="D150" s="181">
        <v>134.72447849462364</v>
      </c>
      <c r="E150" s="181">
        <f t="shared" si="14"/>
        <v>17</v>
      </c>
      <c r="F150" s="181">
        <f t="shared" si="15"/>
        <v>4</v>
      </c>
      <c r="G150" s="181">
        <f t="shared" si="16"/>
        <v>1</v>
      </c>
      <c r="H150" s="182">
        <v>26775.681753935485</v>
      </c>
      <c r="I150" s="181">
        <v>6600</v>
      </c>
      <c r="J150" s="183">
        <v>34.220017537634405</v>
      </c>
      <c r="K150" s="181">
        <f t="shared" si="17"/>
        <v>5</v>
      </c>
      <c r="L150" s="181">
        <f t="shared" si="18"/>
        <v>1</v>
      </c>
      <c r="M150" s="181">
        <f t="shared" si="19"/>
        <v>1</v>
      </c>
      <c r="N150" s="182">
        <v>6801.0231654996132</v>
      </c>
      <c r="O150" s="181">
        <v>2400</v>
      </c>
      <c r="P150" s="181">
        <v>26944.895698924727</v>
      </c>
      <c r="Q150">
        <v>414</v>
      </c>
      <c r="R150">
        <v>1105.3024868650327</v>
      </c>
      <c r="S150" s="88">
        <f t="shared" si="20"/>
        <v>10720.325652364645</v>
      </c>
    </row>
    <row r="151" spans="1:19" x14ac:dyDescent="0.25">
      <c r="A151" s="325">
        <v>13</v>
      </c>
      <c r="B151" s="325" t="s">
        <v>132</v>
      </c>
      <c r="C151" s="326">
        <v>46.786372198214075</v>
      </c>
      <c r="D151" s="181">
        <v>46.786372198214075</v>
      </c>
      <c r="E151" s="181">
        <f t="shared" si="14"/>
        <v>6</v>
      </c>
      <c r="F151" s="181">
        <f t="shared" si="15"/>
        <v>2</v>
      </c>
      <c r="G151" s="181">
        <f t="shared" si="16"/>
        <v>1</v>
      </c>
      <c r="H151" s="182">
        <v>9298.5107561618588</v>
      </c>
      <c r="I151" s="181">
        <v>4800</v>
      </c>
      <c r="J151" s="183">
        <v>11.883738538346375</v>
      </c>
      <c r="K151" s="181">
        <f t="shared" si="17"/>
        <v>2</v>
      </c>
      <c r="L151" s="181">
        <f t="shared" si="18"/>
        <v>1</v>
      </c>
      <c r="M151" s="181">
        <f t="shared" si="19"/>
        <v>1</v>
      </c>
      <c r="N151" s="182">
        <v>2361.8217320651124</v>
      </c>
      <c r="O151" s="181">
        <v>1400</v>
      </c>
      <c r="P151" s="181">
        <v>9357.2744396428152</v>
      </c>
      <c r="Q151">
        <v>414</v>
      </c>
      <c r="R151">
        <v>1105.3024868650327</v>
      </c>
      <c r="S151" s="88">
        <f t="shared" si="20"/>
        <v>5281.1242189301447</v>
      </c>
    </row>
    <row r="152" spans="1:19" x14ac:dyDescent="0.25">
      <c r="A152" s="325">
        <v>13</v>
      </c>
      <c r="B152" s="325" t="s">
        <v>68</v>
      </c>
      <c r="C152" s="326">
        <v>82.602974408586618</v>
      </c>
      <c r="D152" s="181">
        <v>82.602974408586618</v>
      </c>
      <c r="E152" s="181">
        <f t="shared" si="14"/>
        <v>11</v>
      </c>
      <c r="F152" s="181">
        <f t="shared" si="15"/>
        <v>3</v>
      </c>
      <c r="G152" s="181">
        <f t="shared" si="16"/>
        <v>1</v>
      </c>
      <c r="H152" s="182">
        <v>16416.845545860142</v>
      </c>
      <c r="I152" s="181">
        <v>6600</v>
      </c>
      <c r="J152" s="183">
        <v>20.981155499781</v>
      </c>
      <c r="K152" s="181">
        <f t="shared" si="17"/>
        <v>3</v>
      </c>
      <c r="L152" s="181">
        <f t="shared" si="18"/>
        <v>1</v>
      </c>
      <c r="M152" s="181">
        <f t="shared" si="19"/>
        <v>1</v>
      </c>
      <c r="N152" s="182">
        <v>4169.8787686484757</v>
      </c>
      <c r="O152" s="181">
        <v>2100</v>
      </c>
      <c r="P152" s="181">
        <v>16520.594881717323</v>
      </c>
      <c r="Q152">
        <v>414</v>
      </c>
      <c r="R152">
        <v>1105.3024868650327</v>
      </c>
      <c r="S152" s="88">
        <f t="shared" si="20"/>
        <v>7789.1812555135084</v>
      </c>
    </row>
    <row r="153" spans="1:19" x14ac:dyDescent="0.25">
      <c r="A153" s="325">
        <v>13</v>
      </c>
      <c r="B153" s="325" t="s">
        <v>69</v>
      </c>
      <c r="C153" s="326">
        <v>246.59528571679039</v>
      </c>
      <c r="D153" s="181">
        <v>246.59528571679039</v>
      </c>
      <c r="E153" s="181">
        <f t="shared" si="14"/>
        <v>31</v>
      </c>
      <c r="F153" s="181">
        <f t="shared" si="15"/>
        <v>7</v>
      </c>
      <c r="G153" s="181">
        <f t="shared" si="16"/>
        <v>2</v>
      </c>
      <c r="H153" s="182">
        <v>49009.333464497795</v>
      </c>
      <c r="I153" s="181">
        <v>13200</v>
      </c>
      <c r="J153" s="183">
        <v>62.635202572064756</v>
      </c>
      <c r="K153" s="181">
        <f t="shared" si="17"/>
        <v>8</v>
      </c>
      <c r="L153" s="181">
        <f t="shared" si="18"/>
        <v>2</v>
      </c>
      <c r="M153" s="181">
        <f t="shared" si="19"/>
        <v>1</v>
      </c>
      <c r="N153" s="182">
        <v>12448.370699982439</v>
      </c>
      <c r="O153" s="181">
        <v>4800</v>
      </c>
      <c r="P153" s="181">
        <v>49319.057143358077</v>
      </c>
      <c r="Q153">
        <v>414</v>
      </c>
      <c r="R153">
        <v>1105.3024868650327</v>
      </c>
      <c r="S153" s="88">
        <f t="shared" si="20"/>
        <v>18767.673186847471</v>
      </c>
    </row>
    <row r="154" spans="1:19" x14ac:dyDescent="0.25">
      <c r="A154" s="325">
        <v>13</v>
      </c>
      <c r="B154" s="325" t="s">
        <v>70</v>
      </c>
      <c r="C154" s="326">
        <v>164.9192397109511</v>
      </c>
      <c r="D154" s="181">
        <v>164.9192397109511</v>
      </c>
      <c r="E154" s="181">
        <f t="shared" si="14"/>
        <v>21</v>
      </c>
      <c r="F154" s="181">
        <f t="shared" si="15"/>
        <v>5</v>
      </c>
      <c r="G154" s="181">
        <f t="shared" si="16"/>
        <v>2</v>
      </c>
      <c r="H154" s="182">
        <v>32776.709377113271</v>
      </c>
      <c r="I154" s="181">
        <v>13200</v>
      </c>
      <c r="J154" s="183">
        <v>41.889486886581579</v>
      </c>
      <c r="K154" s="181">
        <f t="shared" si="17"/>
        <v>6</v>
      </c>
      <c r="L154" s="181">
        <f t="shared" si="18"/>
        <v>2</v>
      </c>
      <c r="M154" s="181">
        <f t="shared" si="19"/>
        <v>1</v>
      </c>
      <c r="N154" s="182">
        <v>8325.2841817867702</v>
      </c>
      <c r="O154" s="181">
        <v>4800</v>
      </c>
      <c r="P154" s="181">
        <v>32983.847942190223</v>
      </c>
      <c r="Q154">
        <v>414</v>
      </c>
      <c r="R154">
        <v>1105.3024868650327</v>
      </c>
      <c r="S154" s="88">
        <f t="shared" si="20"/>
        <v>14644.586668651802</v>
      </c>
    </row>
    <row r="155" spans="1:19" x14ac:dyDescent="0.25">
      <c r="A155" s="325">
        <v>13</v>
      </c>
      <c r="B155" s="325" t="s">
        <v>71</v>
      </c>
      <c r="C155" s="326">
        <v>132.6036484183644</v>
      </c>
      <c r="D155" s="181">
        <v>132.6036484183644</v>
      </c>
      <c r="E155" s="181">
        <f t="shared" si="14"/>
        <v>17</v>
      </c>
      <c r="F155" s="181">
        <f t="shared" si="15"/>
        <v>4</v>
      </c>
      <c r="G155" s="181">
        <f t="shared" si="16"/>
        <v>1</v>
      </c>
      <c r="H155" s="182">
        <v>26354.179501259419</v>
      </c>
      <c r="I155" s="181">
        <v>6600</v>
      </c>
      <c r="J155" s="183">
        <v>33.681326698264556</v>
      </c>
      <c r="K155" s="181">
        <f t="shared" si="17"/>
        <v>5</v>
      </c>
      <c r="L155" s="181">
        <f t="shared" si="18"/>
        <v>1</v>
      </c>
      <c r="M155" s="181">
        <f t="shared" si="19"/>
        <v>1</v>
      </c>
      <c r="N155" s="182">
        <v>6693.961593319892</v>
      </c>
      <c r="O155" s="181">
        <v>2400</v>
      </c>
      <c r="P155" s="181">
        <v>26520.729683672878</v>
      </c>
      <c r="Q155">
        <v>414</v>
      </c>
      <c r="R155">
        <v>1105.3024868650327</v>
      </c>
      <c r="S155" s="88">
        <f t="shared" si="20"/>
        <v>10613.264080184925</v>
      </c>
    </row>
    <row r="156" spans="1:19" x14ac:dyDescent="0.25">
      <c r="A156" s="325">
        <v>13</v>
      </c>
      <c r="B156" s="325" t="s">
        <v>72</v>
      </c>
      <c r="C156" s="326">
        <v>70.501326896692476</v>
      </c>
      <c r="D156" s="181">
        <v>70.501326896692476</v>
      </c>
      <c r="E156" s="181">
        <f t="shared" si="14"/>
        <v>9</v>
      </c>
      <c r="F156" s="181">
        <f t="shared" si="15"/>
        <v>2</v>
      </c>
      <c r="G156" s="181">
        <f t="shared" si="16"/>
        <v>1</v>
      </c>
      <c r="H156" s="182">
        <v>14011.715712756251</v>
      </c>
      <c r="I156" s="181">
        <v>4800</v>
      </c>
      <c r="J156" s="183">
        <v>17.907337031759891</v>
      </c>
      <c r="K156" s="181">
        <f t="shared" si="17"/>
        <v>3</v>
      </c>
      <c r="L156" s="181">
        <f t="shared" si="18"/>
        <v>1</v>
      </c>
      <c r="M156" s="181">
        <f t="shared" si="19"/>
        <v>1</v>
      </c>
      <c r="N156" s="182">
        <v>3558.9757910400881</v>
      </c>
      <c r="O156" s="181">
        <v>2100</v>
      </c>
      <c r="P156" s="181">
        <v>14100.265379338494</v>
      </c>
      <c r="Q156">
        <v>414</v>
      </c>
      <c r="R156">
        <v>1105.3024868650327</v>
      </c>
      <c r="S156" s="88">
        <f t="shared" si="20"/>
        <v>7178.2782779051213</v>
      </c>
    </row>
    <row r="157" spans="1:19" x14ac:dyDescent="0.25">
      <c r="A157" s="325">
        <v>13</v>
      </c>
      <c r="B157" s="325" t="s">
        <v>133</v>
      </c>
      <c r="C157" s="326">
        <v>70.477716796856441</v>
      </c>
      <c r="D157" s="181">
        <v>70.477716796856441</v>
      </c>
      <c r="E157" s="181">
        <f t="shared" si="14"/>
        <v>9</v>
      </c>
      <c r="F157" s="181">
        <f t="shared" si="15"/>
        <v>2</v>
      </c>
      <c r="G157" s="181">
        <f t="shared" si="16"/>
        <v>1</v>
      </c>
      <c r="H157" s="182">
        <v>14007.023347074439</v>
      </c>
      <c r="I157" s="181">
        <v>4800</v>
      </c>
      <c r="J157" s="183">
        <v>17.901340066401538</v>
      </c>
      <c r="K157" s="181">
        <f t="shared" si="17"/>
        <v>3</v>
      </c>
      <c r="L157" s="181">
        <f t="shared" si="18"/>
        <v>1</v>
      </c>
      <c r="M157" s="181">
        <f t="shared" si="19"/>
        <v>1</v>
      </c>
      <c r="N157" s="182">
        <v>3557.7839301569079</v>
      </c>
      <c r="O157" s="181">
        <v>2100</v>
      </c>
      <c r="P157" s="181">
        <v>14095.543359371288</v>
      </c>
      <c r="Q157">
        <v>414</v>
      </c>
      <c r="R157">
        <v>1105.3024868650327</v>
      </c>
      <c r="S157" s="88">
        <f t="shared" si="20"/>
        <v>7177.0864170219411</v>
      </c>
    </row>
    <row r="158" spans="1:19" x14ac:dyDescent="0.25">
      <c r="A158" s="325">
        <v>13</v>
      </c>
      <c r="B158" s="325" t="s">
        <v>73</v>
      </c>
      <c r="C158" s="326">
        <v>188.14484490952873</v>
      </c>
      <c r="D158" s="181">
        <v>188.14484490952873</v>
      </c>
      <c r="E158" s="181">
        <f t="shared" si="14"/>
        <v>24</v>
      </c>
      <c r="F158" s="181">
        <f t="shared" si="15"/>
        <v>5</v>
      </c>
      <c r="G158" s="181">
        <f t="shared" si="16"/>
        <v>2</v>
      </c>
      <c r="H158" s="182">
        <v>37392.659056699384</v>
      </c>
      <c r="I158" s="181">
        <v>13200</v>
      </c>
      <c r="J158" s="183">
        <v>47.788790607020296</v>
      </c>
      <c r="K158" s="181">
        <f t="shared" si="17"/>
        <v>6</v>
      </c>
      <c r="L158" s="181">
        <f t="shared" si="18"/>
        <v>2</v>
      </c>
      <c r="M158" s="181">
        <f t="shared" si="19"/>
        <v>1</v>
      </c>
      <c r="N158" s="182">
        <v>9497.7354004016433</v>
      </c>
      <c r="O158" s="181">
        <v>4800</v>
      </c>
      <c r="P158" s="181">
        <v>37628.968981905746</v>
      </c>
      <c r="Q158">
        <v>414</v>
      </c>
      <c r="R158">
        <v>1105.3024868650327</v>
      </c>
      <c r="S158" s="88">
        <f t="shared" si="20"/>
        <v>15817.037887266677</v>
      </c>
    </row>
    <row r="159" spans="1:19" x14ac:dyDescent="0.25">
      <c r="A159" s="325">
        <v>13</v>
      </c>
      <c r="B159" s="325" t="s">
        <v>74</v>
      </c>
      <c r="C159" s="326">
        <v>395.284923772441</v>
      </c>
      <c r="D159" s="181">
        <v>395.284923772441</v>
      </c>
      <c r="E159" s="181">
        <f t="shared" si="14"/>
        <v>50</v>
      </c>
      <c r="F159" s="181">
        <f t="shared" si="15"/>
        <v>10</v>
      </c>
      <c r="G159" s="181">
        <f t="shared" si="16"/>
        <v>3</v>
      </c>
      <c r="H159" s="182">
        <v>78560.506890230026</v>
      </c>
      <c r="I159" s="181">
        <v>19800</v>
      </c>
      <c r="J159" s="183">
        <v>100.40237063820001</v>
      </c>
      <c r="K159" s="181">
        <f t="shared" si="17"/>
        <v>13</v>
      </c>
      <c r="L159" s="181">
        <f t="shared" si="18"/>
        <v>3</v>
      </c>
      <c r="M159" s="181">
        <f t="shared" si="19"/>
        <v>1</v>
      </c>
      <c r="N159" s="182">
        <v>19954.368750118425</v>
      </c>
      <c r="O159" s="181">
        <v>6600</v>
      </c>
      <c r="P159" s="181">
        <v>79056.984754488207</v>
      </c>
      <c r="Q159">
        <v>414</v>
      </c>
      <c r="R159">
        <v>1105.3024868650327</v>
      </c>
      <c r="S159" s="88">
        <f t="shared" si="20"/>
        <v>28073.671236983457</v>
      </c>
    </row>
    <row r="160" spans="1:19" x14ac:dyDescent="0.25">
      <c r="A160" s="325">
        <v>13</v>
      </c>
      <c r="B160" s="325" t="s">
        <v>75</v>
      </c>
      <c r="C160" s="326">
        <v>73.012608560000004</v>
      </c>
      <c r="D160" s="181">
        <v>73.012608560000004</v>
      </c>
      <c r="E160" s="181">
        <f t="shared" si="14"/>
        <v>10</v>
      </c>
      <c r="F160" s="181">
        <f t="shared" si="15"/>
        <v>2</v>
      </c>
      <c r="G160" s="181">
        <f t="shared" si="16"/>
        <v>1</v>
      </c>
      <c r="H160" s="182">
        <v>14510.817875648643</v>
      </c>
      <c r="I160" s="181">
        <v>4800</v>
      </c>
      <c r="J160" s="183">
        <v>18.545202574240001</v>
      </c>
      <c r="K160" s="181">
        <f t="shared" si="17"/>
        <v>3</v>
      </c>
      <c r="L160" s="181">
        <f t="shared" si="18"/>
        <v>1</v>
      </c>
      <c r="M160" s="181">
        <f t="shared" si="19"/>
        <v>1</v>
      </c>
      <c r="N160" s="182">
        <v>3685.7477404147553</v>
      </c>
      <c r="O160" s="181">
        <v>2100</v>
      </c>
      <c r="P160" s="181">
        <v>14602.521712000002</v>
      </c>
      <c r="Q160">
        <v>414</v>
      </c>
      <c r="R160">
        <v>1105.3024868650327</v>
      </c>
      <c r="S160" s="88">
        <f t="shared" si="20"/>
        <v>7305.0502272797876</v>
      </c>
    </row>
    <row r="161" spans="1:19" x14ac:dyDescent="0.25">
      <c r="A161" s="325">
        <v>13</v>
      </c>
      <c r="B161" s="325" t="s">
        <v>76</v>
      </c>
      <c r="C161" s="326">
        <v>80.804051682594817</v>
      </c>
      <c r="D161" s="181">
        <v>80.804051682594817</v>
      </c>
      <c r="E161" s="181">
        <f t="shared" si="14"/>
        <v>11</v>
      </c>
      <c r="F161" s="181">
        <f t="shared" si="15"/>
        <v>3</v>
      </c>
      <c r="G161" s="181">
        <f t="shared" si="16"/>
        <v>1</v>
      </c>
      <c r="H161" s="182">
        <v>16059.320447605627</v>
      </c>
      <c r="I161" s="181">
        <v>6600</v>
      </c>
      <c r="J161" s="183">
        <v>20.524229127379083</v>
      </c>
      <c r="K161" s="181">
        <f t="shared" si="17"/>
        <v>3</v>
      </c>
      <c r="L161" s="181">
        <f t="shared" si="18"/>
        <v>1</v>
      </c>
      <c r="M161" s="181">
        <f t="shared" si="19"/>
        <v>1</v>
      </c>
      <c r="N161" s="182">
        <v>4079.0673936918292</v>
      </c>
      <c r="O161" s="181">
        <v>2100</v>
      </c>
      <c r="P161" s="181">
        <v>16160.810336518964</v>
      </c>
      <c r="Q161">
        <v>414</v>
      </c>
      <c r="R161">
        <v>1105.3024868650327</v>
      </c>
      <c r="S161" s="88">
        <f t="shared" si="20"/>
        <v>7698.369880556862</v>
      </c>
    </row>
    <row r="162" spans="1:19" x14ac:dyDescent="0.25">
      <c r="A162" s="325">
        <v>13</v>
      </c>
      <c r="B162" s="325" t="s">
        <v>77</v>
      </c>
      <c r="C162" s="326">
        <v>120.98206863118006</v>
      </c>
      <c r="D162" s="181">
        <v>120.98206863118006</v>
      </c>
      <c r="E162" s="181">
        <f t="shared" si="14"/>
        <v>16</v>
      </c>
      <c r="F162" s="181">
        <f t="shared" si="15"/>
        <v>4</v>
      </c>
      <c r="G162" s="181">
        <f t="shared" si="16"/>
        <v>1</v>
      </c>
      <c r="H162" s="182">
        <v>24044.460248035251</v>
      </c>
      <c r="I162" s="181">
        <v>6600</v>
      </c>
      <c r="J162" s="183">
        <v>30.729445432319736</v>
      </c>
      <c r="K162" s="181">
        <f t="shared" si="17"/>
        <v>4</v>
      </c>
      <c r="L162" s="181">
        <f t="shared" si="18"/>
        <v>1</v>
      </c>
      <c r="M162" s="181">
        <f t="shared" si="19"/>
        <v>1</v>
      </c>
      <c r="N162" s="182">
        <v>6107.2929030009545</v>
      </c>
      <c r="O162" s="181">
        <v>2400</v>
      </c>
      <c r="P162" s="181">
        <v>24196.413726236013</v>
      </c>
      <c r="Q162">
        <v>414</v>
      </c>
      <c r="R162">
        <v>1105.3024868650327</v>
      </c>
      <c r="S162" s="88">
        <f t="shared" si="20"/>
        <v>10026.595389865986</v>
      </c>
    </row>
    <row r="163" spans="1:19" x14ac:dyDescent="0.25">
      <c r="A163" s="325">
        <v>13</v>
      </c>
      <c r="B163" s="325" t="s">
        <v>78</v>
      </c>
      <c r="C163" s="326">
        <v>195.50083327170233</v>
      </c>
      <c r="D163" s="181">
        <v>195.50083327170233</v>
      </c>
      <c r="E163" s="181">
        <f t="shared" si="14"/>
        <v>25</v>
      </c>
      <c r="F163" s="181">
        <f t="shared" si="15"/>
        <v>5</v>
      </c>
      <c r="G163" s="181">
        <f t="shared" si="16"/>
        <v>2</v>
      </c>
      <c r="H163" s="182">
        <v>38854.617607751214</v>
      </c>
      <c r="I163" s="181">
        <v>13200</v>
      </c>
      <c r="J163" s="183">
        <v>49.657211651012396</v>
      </c>
      <c r="K163" s="181">
        <f t="shared" si="17"/>
        <v>7</v>
      </c>
      <c r="L163" s="181">
        <f t="shared" si="18"/>
        <v>2</v>
      </c>
      <c r="M163" s="181">
        <f t="shared" si="19"/>
        <v>1</v>
      </c>
      <c r="N163" s="182">
        <v>9869.0728723688098</v>
      </c>
      <c r="O163" s="181">
        <v>4800</v>
      </c>
      <c r="P163" s="181">
        <v>39100.166654340464</v>
      </c>
      <c r="Q163">
        <v>414</v>
      </c>
      <c r="R163">
        <v>1105.3024868650327</v>
      </c>
      <c r="S163" s="88">
        <f t="shared" si="20"/>
        <v>16188.375359233843</v>
      </c>
    </row>
    <row r="164" spans="1:19" x14ac:dyDescent="0.25">
      <c r="A164" s="325">
        <v>13</v>
      </c>
      <c r="B164" s="325" t="s">
        <v>79</v>
      </c>
      <c r="C164" s="326">
        <v>207.401898335</v>
      </c>
      <c r="D164" s="181">
        <v>207.401898335</v>
      </c>
      <c r="E164" s="181">
        <f t="shared" si="14"/>
        <v>26</v>
      </c>
      <c r="F164" s="181">
        <f t="shared" si="15"/>
        <v>6</v>
      </c>
      <c r="G164" s="181">
        <f t="shared" si="16"/>
        <v>2</v>
      </c>
      <c r="H164" s="182">
        <v>41219.882882691243</v>
      </c>
      <c r="I164" s="181">
        <v>13200</v>
      </c>
      <c r="J164" s="183">
        <v>52.68008217709</v>
      </c>
      <c r="K164" s="181">
        <f t="shared" si="17"/>
        <v>7</v>
      </c>
      <c r="L164" s="181">
        <f t="shared" si="18"/>
        <v>2</v>
      </c>
      <c r="M164" s="181">
        <f t="shared" si="19"/>
        <v>1</v>
      </c>
      <c r="N164" s="182">
        <v>10469.850252203576</v>
      </c>
      <c r="O164" s="181">
        <v>4800</v>
      </c>
      <c r="P164" s="181">
        <v>41480.379667000001</v>
      </c>
      <c r="Q164">
        <v>414</v>
      </c>
      <c r="R164">
        <v>1105.3024868650327</v>
      </c>
      <c r="S164" s="88">
        <f t="shared" si="20"/>
        <v>16789.15273906861</v>
      </c>
    </row>
    <row r="165" spans="1:19" x14ac:dyDescent="0.25">
      <c r="A165" s="325">
        <v>13</v>
      </c>
      <c r="B165" s="325" t="s">
        <v>80</v>
      </c>
      <c r="C165" s="326">
        <v>92.239645092095401</v>
      </c>
      <c r="D165" s="181">
        <v>92.239645092095401</v>
      </c>
      <c r="E165" s="181">
        <f t="shared" si="14"/>
        <v>12</v>
      </c>
      <c r="F165" s="181">
        <f t="shared" si="15"/>
        <v>3</v>
      </c>
      <c r="G165" s="181">
        <f t="shared" si="16"/>
        <v>1</v>
      </c>
      <c r="H165" s="182">
        <v>18332.07602418341</v>
      </c>
      <c r="I165" s="181">
        <v>6600</v>
      </c>
      <c r="J165" s="183">
        <v>23.428869853392232</v>
      </c>
      <c r="K165" s="181">
        <f t="shared" si="17"/>
        <v>3</v>
      </c>
      <c r="L165" s="181">
        <f t="shared" si="18"/>
        <v>1</v>
      </c>
      <c r="M165" s="181">
        <f t="shared" si="19"/>
        <v>1</v>
      </c>
      <c r="N165" s="182">
        <v>4656.3473101425861</v>
      </c>
      <c r="O165" s="181">
        <v>2100</v>
      </c>
      <c r="P165" s="181">
        <v>18447.92901841908</v>
      </c>
      <c r="Q165">
        <v>414</v>
      </c>
      <c r="R165">
        <v>1105.3024868650327</v>
      </c>
      <c r="S165" s="88">
        <f t="shared" si="20"/>
        <v>8275.6497970076198</v>
      </c>
    </row>
    <row r="166" spans="1:19" x14ac:dyDescent="0.25">
      <c r="A166" s="325">
        <v>13</v>
      </c>
      <c r="B166" s="325" t="s">
        <v>134</v>
      </c>
      <c r="C166" s="326">
        <v>108.99399970712277</v>
      </c>
      <c r="D166" s="181">
        <v>108.99399970712277</v>
      </c>
      <c r="E166" s="181">
        <f t="shared" si="14"/>
        <v>14</v>
      </c>
      <c r="F166" s="181">
        <f t="shared" si="15"/>
        <v>3</v>
      </c>
      <c r="G166" s="181">
        <f t="shared" si="16"/>
        <v>1</v>
      </c>
      <c r="H166" s="182">
        <v>21661.90347779241</v>
      </c>
      <c r="I166" s="181">
        <v>6600</v>
      </c>
      <c r="J166" s="183">
        <v>27.684475925609185</v>
      </c>
      <c r="K166" s="181">
        <f t="shared" si="17"/>
        <v>4</v>
      </c>
      <c r="L166" s="181">
        <f t="shared" si="18"/>
        <v>1</v>
      </c>
      <c r="M166" s="181">
        <f t="shared" si="19"/>
        <v>1</v>
      </c>
      <c r="N166" s="182">
        <v>5502.1234833592725</v>
      </c>
      <c r="O166" s="181">
        <v>2400</v>
      </c>
      <c r="P166" s="181">
        <v>21798.799941424553</v>
      </c>
      <c r="Q166">
        <v>414</v>
      </c>
      <c r="R166">
        <v>1105.3024868650327</v>
      </c>
      <c r="S166" s="88">
        <f t="shared" si="20"/>
        <v>9421.4259702243053</v>
      </c>
    </row>
    <row r="167" spans="1:19" x14ac:dyDescent="0.25">
      <c r="A167" s="325">
        <v>13</v>
      </c>
      <c r="B167" s="325" t="s">
        <v>81</v>
      </c>
      <c r="C167" s="326">
        <v>191.35481541309937</v>
      </c>
      <c r="D167" s="181">
        <v>191.35481541309937</v>
      </c>
      <c r="E167" s="181">
        <f t="shared" si="14"/>
        <v>24</v>
      </c>
      <c r="F167" s="181">
        <f t="shared" si="15"/>
        <v>5</v>
      </c>
      <c r="G167" s="181">
        <f t="shared" si="16"/>
        <v>2</v>
      </c>
      <c r="H167" s="182">
        <v>38030.621434461027</v>
      </c>
      <c r="I167" s="181">
        <v>13200</v>
      </c>
      <c r="J167" s="183">
        <v>48.604123114927241</v>
      </c>
      <c r="K167" s="181">
        <f t="shared" si="17"/>
        <v>7</v>
      </c>
      <c r="L167" s="181">
        <f t="shared" si="18"/>
        <v>2</v>
      </c>
      <c r="M167" s="181">
        <f t="shared" si="19"/>
        <v>1</v>
      </c>
      <c r="N167" s="182">
        <v>9659.7778443531006</v>
      </c>
      <c r="O167" s="181">
        <v>4800</v>
      </c>
      <c r="P167" s="181">
        <v>38270.963082619877</v>
      </c>
      <c r="Q167">
        <v>414</v>
      </c>
      <c r="R167">
        <v>1105.3024868650327</v>
      </c>
      <c r="S167" s="88">
        <f t="shared" si="20"/>
        <v>15979.080331218134</v>
      </c>
    </row>
    <row r="168" spans="1:19" x14ac:dyDescent="0.25">
      <c r="A168" s="325">
        <v>13</v>
      </c>
      <c r="B168" s="325" t="s">
        <v>82</v>
      </c>
      <c r="C168" s="326">
        <v>40.5625</v>
      </c>
      <c r="D168" s="181">
        <v>40.5625</v>
      </c>
      <c r="E168" s="181">
        <f t="shared" si="14"/>
        <v>6</v>
      </c>
      <c r="F168" s="181">
        <f t="shared" si="15"/>
        <v>2</v>
      </c>
      <c r="G168" s="181">
        <f t="shared" si="16"/>
        <v>1</v>
      </c>
      <c r="H168" s="182">
        <v>8061.5535000000009</v>
      </c>
      <c r="I168" s="181">
        <v>4800</v>
      </c>
      <c r="J168" s="183">
        <v>10.302875</v>
      </c>
      <c r="K168" s="181">
        <f t="shared" si="17"/>
        <v>2</v>
      </c>
      <c r="L168" s="181">
        <f t="shared" si="18"/>
        <v>1</v>
      </c>
      <c r="M168" s="181">
        <f t="shared" si="19"/>
        <v>1</v>
      </c>
      <c r="N168" s="182">
        <v>2047.6345890000002</v>
      </c>
      <c r="O168" s="181">
        <v>1400</v>
      </c>
      <c r="P168" s="181">
        <v>8112.5</v>
      </c>
      <c r="Q168">
        <v>414</v>
      </c>
      <c r="R168">
        <v>1105.3024868650327</v>
      </c>
      <c r="S168" s="88">
        <f t="shared" si="20"/>
        <v>4966.937075865033</v>
      </c>
    </row>
    <row r="169" spans="1:19" x14ac:dyDescent="0.25">
      <c r="A169" s="325">
        <v>13</v>
      </c>
      <c r="B169" s="325" t="s">
        <v>83</v>
      </c>
      <c r="C169" s="326">
        <v>97.777666124650651</v>
      </c>
      <c r="D169" s="181">
        <v>97.777666124650651</v>
      </c>
      <c r="E169" s="181">
        <f t="shared" si="14"/>
        <v>13</v>
      </c>
      <c r="F169" s="181">
        <f t="shared" si="15"/>
        <v>3</v>
      </c>
      <c r="G169" s="181">
        <f t="shared" si="16"/>
        <v>1</v>
      </c>
      <c r="H169" s="182">
        <v>19432.72447627757</v>
      </c>
      <c r="I169" s="181">
        <v>6600</v>
      </c>
      <c r="J169" s="183">
        <v>24.835527195661264</v>
      </c>
      <c r="K169" s="181">
        <f t="shared" si="17"/>
        <v>4</v>
      </c>
      <c r="L169" s="181">
        <f t="shared" si="18"/>
        <v>1</v>
      </c>
      <c r="M169" s="181">
        <f t="shared" si="19"/>
        <v>1</v>
      </c>
      <c r="N169" s="182">
        <v>4935.9120169745029</v>
      </c>
      <c r="O169" s="181">
        <v>2400</v>
      </c>
      <c r="P169" s="181">
        <v>19555.533224930132</v>
      </c>
      <c r="Q169">
        <v>414</v>
      </c>
      <c r="R169">
        <v>1105.3024868650327</v>
      </c>
      <c r="S169" s="88">
        <f t="shared" si="20"/>
        <v>8855.2145038395356</v>
      </c>
    </row>
    <row r="170" spans="1:19" x14ac:dyDescent="0.25">
      <c r="A170" s="325">
        <v>13</v>
      </c>
      <c r="B170" s="325" t="s">
        <v>84</v>
      </c>
      <c r="C170" s="326">
        <v>211.59536098710157</v>
      </c>
      <c r="D170" s="181">
        <v>211.59536098710157</v>
      </c>
      <c r="E170" s="181">
        <f t="shared" si="14"/>
        <v>27</v>
      </c>
      <c r="F170" s="181">
        <f t="shared" si="15"/>
        <v>6</v>
      </c>
      <c r="G170" s="181">
        <f t="shared" si="16"/>
        <v>2</v>
      </c>
      <c r="H170" s="182">
        <v>42053.308424020521</v>
      </c>
      <c r="I170" s="181">
        <v>13200</v>
      </c>
      <c r="J170" s="183">
        <v>53.745221690723803</v>
      </c>
      <c r="K170" s="181">
        <f t="shared" si="17"/>
        <v>7</v>
      </c>
      <c r="L170" s="181">
        <f t="shared" si="18"/>
        <v>2</v>
      </c>
      <c r="M170" s="181">
        <f t="shared" si="19"/>
        <v>1</v>
      </c>
      <c r="N170" s="182">
        <v>10681.540339701212</v>
      </c>
      <c r="O170" s="181">
        <v>4800</v>
      </c>
      <c r="P170" s="181">
        <v>42319.072197420312</v>
      </c>
      <c r="Q170">
        <v>414</v>
      </c>
      <c r="R170">
        <v>1105.3024868650327</v>
      </c>
      <c r="S170" s="88">
        <f t="shared" si="20"/>
        <v>17000.842826566244</v>
      </c>
    </row>
    <row r="171" spans="1:19" x14ac:dyDescent="0.25">
      <c r="A171" s="325">
        <v>13</v>
      </c>
      <c r="B171" s="325" t="s">
        <v>85</v>
      </c>
      <c r="C171" s="326">
        <v>50.19945169905489</v>
      </c>
      <c r="D171" s="181">
        <v>50.19945169905489</v>
      </c>
      <c r="E171" s="181">
        <f t="shared" si="14"/>
        <v>7</v>
      </c>
      <c r="F171" s="181">
        <f t="shared" si="15"/>
        <v>2</v>
      </c>
      <c r="G171" s="181">
        <f t="shared" si="16"/>
        <v>1</v>
      </c>
      <c r="H171" s="182">
        <v>9976.8398284769664</v>
      </c>
      <c r="I171" s="181">
        <v>4800</v>
      </c>
      <c r="J171" s="183">
        <v>12.750660731559943</v>
      </c>
      <c r="K171" s="181">
        <f t="shared" si="17"/>
        <v>2</v>
      </c>
      <c r="L171" s="181">
        <f t="shared" si="18"/>
        <v>1</v>
      </c>
      <c r="M171" s="181">
        <f t="shared" si="19"/>
        <v>1</v>
      </c>
      <c r="N171" s="182">
        <v>2534.1173164331499</v>
      </c>
      <c r="O171" s="181">
        <v>1400</v>
      </c>
      <c r="P171" s="181">
        <v>10039.890339810978</v>
      </c>
      <c r="Q171">
        <v>414</v>
      </c>
      <c r="R171">
        <v>1105.3024868650327</v>
      </c>
      <c r="S171" s="88">
        <f t="shared" si="20"/>
        <v>5453.4198032981822</v>
      </c>
    </row>
    <row r="172" spans="1:19" x14ac:dyDescent="0.25">
      <c r="A172" s="325">
        <v>13</v>
      </c>
      <c r="B172" s="325" t="s">
        <v>86</v>
      </c>
      <c r="C172" s="326">
        <v>137.07950890885374</v>
      </c>
      <c r="D172" s="181">
        <v>137.07950890885374</v>
      </c>
      <c r="E172" s="181">
        <f t="shared" si="14"/>
        <v>18</v>
      </c>
      <c r="F172" s="181">
        <f t="shared" si="15"/>
        <v>4</v>
      </c>
      <c r="G172" s="181">
        <f t="shared" si="16"/>
        <v>1</v>
      </c>
      <c r="H172" s="182">
        <v>27243.72991858123</v>
      </c>
      <c r="I172" s="181">
        <v>6600</v>
      </c>
      <c r="J172" s="183">
        <v>34.818195262848853</v>
      </c>
      <c r="K172" s="181">
        <f t="shared" si="17"/>
        <v>5</v>
      </c>
      <c r="L172" s="181">
        <f t="shared" si="18"/>
        <v>1</v>
      </c>
      <c r="M172" s="181">
        <f t="shared" si="19"/>
        <v>1</v>
      </c>
      <c r="N172" s="182">
        <v>6919.9073993196334</v>
      </c>
      <c r="O172" s="181">
        <v>2400</v>
      </c>
      <c r="P172" s="181">
        <v>27415.901781770746</v>
      </c>
      <c r="Q172">
        <v>414</v>
      </c>
      <c r="R172">
        <v>1105.3024868650327</v>
      </c>
      <c r="S172" s="88">
        <f t="shared" si="20"/>
        <v>10839.209886184666</v>
      </c>
    </row>
    <row r="173" spans="1:19" x14ac:dyDescent="0.25">
      <c r="A173" s="325">
        <v>13</v>
      </c>
      <c r="B173" s="325" t="s">
        <v>87</v>
      </c>
      <c r="C173" s="326">
        <v>133.41053273231989</v>
      </c>
      <c r="D173" s="181">
        <v>133.41053273231989</v>
      </c>
      <c r="E173" s="181">
        <f t="shared" si="14"/>
        <v>17</v>
      </c>
      <c r="F173" s="181">
        <f t="shared" si="15"/>
        <v>4</v>
      </c>
      <c r="G173" s="181">
        <f t="shared" si="16"/>
        <v>1</v>
      </c>
      <c r="H173" s="182">
        <v>26514.542917352188</v>
      </c>
      <c r="I173" s="181">
        <v>6600</v>
      </c>
      <c r="J173" s="183">
        <v>33.886275314009254</v>
      </c>
      <c r="K173" s="181">
        <f t="shared" si="17"/>
        <v>5</v>
      </c>
      <c r="L173" s="181">
        <f t="shared" si="18"/>
        <v>1</v>
      </c>
      <c r="M173" s="181">
        <f t="shared" si="19"/>
        <v>1</v>
      </c>
      <c r="N173" s="182">
        <v>6734.6939010074557</v>
      </c>
      <c r="O173" s="181">
        <v>2400</v>
      </c>
      <c r="P173" s="181">
        <v>26682.10654646398</v>
      </c>
      <c r="Q173">
        <v>414</v>
      </c>
      <c r="R173">
        <v>1105.3024868650327</v>
      </c>
      <c r="S173" s="88">
        <f t="shared" si="20"/>
        <v>10653.996387872488</v>
      </c>
    </row>
    <row r="174" spans="1:19" x14ac:dyDescent="0.25">
      <c r="A174" s="325">
        <v>13</v>
      </c>
      <c r="B174" s="325" t="s">
        <v>88</v>
      </c>
      <c r="C174" s="326">
        <v>224.38300167600153</v>
      </c>
      <c r="D174" s="181">
        <v>224.38300167600153</v>
      </c>
      <c r="E174" s="181">
        <f t="shared" si="14"/>
        <v>29</v>
      </c>
      <c r="F174" s="181">
        <f t="shared" si="15"/>
        <v>6</v>
      </c>
      <c r="G174" s="181">
        <f t="shared" si="16"/>
        <v>2</v>
      </c>
      <c r="H174" s="182">
        <v>44594.775285095253</v>
      </c>
      <c r="I174" s="181">
        <v>13200</v>
      </c>
      <c r="J174" s="183">
        <v>56.993282425704386</v>
      </c>
      <c r="K174" s="181">
        <f t="shared" si="17"/>
        <v>8</v>
      </c>
      <c r="L174" s="181">
        <f t="shared" si="18"/>
        <v>2</v>
      </c>
      <c r="M174" s="181">
        <f t="shared" si="19"/>
        <v>1</v>
      </c>
      <c r="N174" s="182">
        <v>11327.072922414194</v>
      </c>
      <c r="O174" s="181">
        <v>4800</v>
      </c>
      <c r="P174" s="181">
        <v>44876.600335200303</v>
      </c>
      <c r="Q174">
        <v>414</v>
      </c>
      <c r="R174">
        <v>1105.3024868650327</v>
      </c>
      <c r="S174" s="88">
        <f t="shared" si="20"/>
        <v>17646.375409279226</v>
      </c>
    </row>
    <row r="175" spans="1:19" x14ac:dyDescent="0.25">
      <c r="A175" s="325">
        <v>13</v>
      </c>
      <c r="B175" s="325" t="s">
        <v>89</v>
      </c>
      <c r="C175" s="326">
        <v>138.43686825068926</v>
      </c>
      <c r="D175" s="181">
        <v>138.43686825068926</v>
      </c>
      <c r="E175" s="181">
        <f t="shared" si="14"/>
        <v>18</v>
      </c>
      <c r="F175" s="181">
        <f t="shared" si="15"/>
        <v>4</v>
      </c>
      <c r="G175" s="181">
        <f t="shared" si="16"/>
        <v>1</v>
      </c>
      <c r="H175" s="182">
        <v>27513.496943614991</v>
      </c>
      <c r="I175" s="181">
        <v>6600</v>
      </c>
      <c r="J175" s="183">
        <v>35.162964535675073</v>
      </c>
      <c r="K175" s="181">
        <f t="shared" si="17"/>
        <v>5</v>
      </c>
      <c r="L175" s="181">
        <f t="shared" si="18"/>
        <v>1</v>
      </c>
      <c r="M175" s="181">
        <f t="shared" si="19"/>
        <v>1</v>
      </c>
      <c r="N175" s="182">
        <v>6988.4282236782074</v>
      </c>
      <c r="O175" s="181">
        <v>2400</v>
      </c>
      <c r="P175" s="181">
        <v>27687.373650137852</v>
      </c>
      <c r="Q175">
        <v>414</v>
      </c>
      <c r="R175">
        <v>1105.3024868650327</v>
      </c>
      <c r="S175" s="88">
        <f t="shared" si="20"/>
        <v>10907.730710543241</v>
      </c>
    </row>
    <row r="176" spans="1:19" x14ac:dyDescent="0.25">
      <c r="A176" s="325">
        <v>13</v>
      </c>
      <c r="B176" s="325" t="s">
        <v>90</v>
      </c>
      <c r="C176" s="326">
        <v>135.49101592078932</v>
      </c>
      <c r="D176" s="181">
        <v>135.49101592078932</v>
      </c>
      <c r="E176" s="181">
        <f t="shared" si="14"/>
        <v>17</v>
      </c>
      <c r="F176" s="181">
        <f t="shared" si="15"/>
        <v>4</v>
      </c>
      <c r="G176" s="181">
        <f t="shared" si="16"/>
        <v>1</v>
      </c>
      <c r="H176" s="182">
        <v>26928.026468161355</v>
      </c>
      <c r="I176" s="181">
        <v>6600</v>
      </c>
      <c r="J176" s="183">
        <v>34.414718043880491</v>
      </c>
      <c r="K176" s="181">
        <f t="shared" si="17"/>
        <v>5</v>
      </c>
      <c r="L176" s="181">
        <f t="shared" si="18"/>
        <v>1</v>
      </c>
      <c r="M176" s="181">
        <f t="shared" si="19"/>
        <v>1</v>
      </c>
      <c r="N176" s="182">
        <v>6839.718722912985</v>
      </c>
      <c r="O176" s="181">
        <v>2400</v>
      </c>
      <c r="P176" s="181">
        <v>27098.203184157865</v>
      </c>
      <c r="Q176">
        <v>414</v>
      </c>
      <c r="R176">
        <v>1105.3024868650327</v>
      </c>
      <c r="S176" s="88">
        <f t="shared" si="20"/>
        <v>10759.021209778017</v>
      </c>
    </row>
    <row r="177" spans="1:19" x14ac:dyDescent="0.25">
      <c r="A177" s="325">
        <v>13</v>
      </c>
      <c r="B177" s="325" t="s">
        <v>91</v>
      </c>
      <c r="C177" s="326">
        <v>236.82670868654023</v>
      </c>
      <c r="D177" s="181">
        <v>236.82670868654023</v>
      </c>
      <c r="E177" s="181">
        <f t="shared" si="14"/>
        <v>30</v>
      </c>
      <c r="F177" s="181">
        <f t="shared" si="15"/>
        <v>6</v>
      </c>
      <c r="G177" s="181">
        <f t="shared" si="16"/>
        <v>2</v>
      </c>
      <c r="H177" s="182">
        <v>47067.887391197757</v>
      </c>
      <c r="I177" s="181">
        <v>13200</v>
      </c>
      <c r="J177" s="183">
        <v>60.153984006381222</v>
      </c>
      <c r="K177" s="181">
        <f t="shared" si="17"/>
        <v>8</v>
      </c>
      <c r="L177" s="181">
        <f t="shared" si="18"/>
        <v>2</v>
      </c>
      <c r="M177" s="181">
        <f t="shared" si="19"/>
        <v>1</v>
      </c>
      <c r="N177" s="182">
        <v>11955.243397364231</v>
      </c>
      <c r="O177" s="181">
        <v>4800</v>
      </c>
      <c r="P177" s="181">
        <v>47365.341737308045</v>
      </c>
      <c r="Q177">
        <v>414</v>
      </c>
      <c r="R177">
        <v>1105.3024868650327</v>
      </c>
      <c r="S177" s="88">
        <f t="shared" si="20"/>
        <v>18274.545884229265</v>
      </c>
    </row>
    <row r="178" spans="1:19" x14ac:dyDescent="0.25">
      <c r="A178" s="325">
        <v>13</v>
      </c>
      <c r="B178" s="325" t="s">
        <v>92</v>
      </c>
      <c r="C178" s="326">
        <v>89.021347704607791</v>
      </c>
      <c r="D178" s="181">
        <v>89.021347704607791</v>
      </c>
      <c r="E178" s="181">
        <f t="shared" si="14"/>
        <v>12</v>
      </c>
      <c r="F178" s="181">
        <f t="shared" si="15"/>
        <v>3</v>
      </c>
      <c r="G178" s="181">
        <f t="shared" si="16"/>
        <v>1</v>
      </c>
      <c r="H178" s="182">
        <v>17692.458728204572</v>
      </c>
      <c r="I178" s="181">
        <v>6600</v>
      </c>
      <c r="J178" s="183">
        <v>22.61142231697038</v>
      </c>
      <c r="K178" s="181">
        <f t="shared" si="17"/>
        <v>3</v>
      </c>
      <c r="L178" s="181">
        <f t="shared" si="18"/>
        <v>1</v>
      </c>
      <c r="M178" s="181">
        <f t="shared" si="19"/>
        <v>1</v>
      </c>
      <c r="N178" s="182">
        <v>4493.8845169639617</v>
      </c>
      <c r="O178" s="181">
        <v>2100</v>
      </c>
      <c r="P178" s="181">
        <v>17804.269540921559</v>
      </c>
      <c r="Q178">
        <v>414</v>
      </c>
      <c r="R178">
        <v>1105.3024868650327</v>
      </c>
      <c r="S178" s="88">
        <f t="shared" si="20"/>
        <v>8113.1870038289944</v>
      </c>
    </row>
    <row r="179" spans="1:19" x14ac:dyDescent="0.25">
      <c r="A179" s="325">
        <v>13</v>
      </c>
      <c r="B179" s="325" t="s">
        <v>93</v>
      </c>
      <c r="C179" s="326">
        <v>134.73703209853639</v>
      </c>
      <c r="D179" s="181">
        <v>134.73703209853639</v>
      </c>
      <c r="E179" s="181">
        <f t="shared" si="14"/>
        <v>17</v>
      </c>
      <c r="F179" s="181">
        <f t="shared" si="15"/>
        <v>4</v>
      </c>
      <c r="G179" s="181">
        <f t="shared" si="16"/>
        <v>1</v>
      </c>
      <c r="H179" s="182">
        <v>26778.176707391522</v>
      </c>
      <c r="I179" s="181">
        <v>6600</v>
      </c>
      <c r="J179" s="183">
        <v>34.223206153028244</v>
      </c>
      <c r="K179" s="181">
        <f t="shared" si="17"/>
        <v>5</v>
      </c>
      <c r="L179" s="181">
        <f t="shared" si="18"/>
        <v>1</v>
      </c>
      <c r="M179" s="181">
        <f t="shared" si="19"/>
        <v>1</v>
      </c>
      <c r="N179" s="182">
        <v>6801.6568836774459</v>
      </c>
      <c r="O179" s="181">
        <v>2400</v>
      </c>
      <c r="P179" s="181">
        <v>26947.406419707277</v>
      </c>
      <c r="Q179">
        <v>414</v>
      </c>
      <c r="R179">
        <v>1105.3024868650327</v>
      </c>
      <c r="S179" s="88">
        <f t="shared" si="20"/>
        <v>10720.959370542478</v>
      </c>
    </row>
    <row r="180" spans="1:19" x14ac:dyDescent="0.25">
      <c r="A180" s="325">
        <v>13</v>
      </c>
      <c r="B180" s="325" t="s">
        <v>94</v>
      </c>
      <c r="C180" s="326">
        <v>111.622621215885</v>
      </c>
      <c r="D180" s="181">
        <v>111.622621215885</v>
      </c>
      <c r="E180" s="181">
        <f t="shared" si="14"/>
        <v>14</v>
      </c>
      <c r="F180" s="181">
        <f t="shared" si="15"/>
        <v>3</v>
      </c>
      <c r="G180" s="181">
        <f t="shared" si="16"/>
        <v>1</v>
      </c>
      <c r="H180" s="182">
        <v>22184.326230929852</v>
      </c>
      <c r="I180" s="181">
        <v>6600</v>
      </c>
      <c r="J180" s="183">
        <v>28.352145788834793</v>
      </c>
      <c r="K180" s="181">
        <f t="shared" si="17"/>
        <v>4</v>
      </c>
      <c r="L180" s="181">
        <f t="shared" si="18"/>
        <v>1</v>
      </c>
      <c r="M180" s="181">
        <f t="shared" si="19"/>
        <v>1</v>
      </c>
      <c r="N180" s="182">
        <v>5634.8188626561832</v>
      </c>
      <c r="O180" s="181">
        <v>2400</v>
      </c>
      <c r="P180" s="181">
        <v>22324.524243177002</v>
      </c>
      <c r="Q180">
        <v>414</v>
      </c>
      <c r="R180">
        <v>1105.3024868650327</v>
      </c>
      <c r="S180" s="88">
        <f t="shared" si="20"/>
        <v>9554.121349521216</v>
      </c>
    </row>
    <row r="181" spans="1:19" x14ac:dyDescent="0.25">
      <c r="A181" s="325">
        <v>13</v>
      </c>
      <c r="B181" s="325" t="s">
        <v>95</v>
      </c>
      <c r="C181" s="326">
        <v>236.67429152665395</v>
      </c>
      <c r="D181" s="181">
        <v>236.67429152665395</v>
      </c>
      <c r="E181" s="181">
        <f t="shared" si="14"/>
        <v>30</v>
      </c>
      <c r="F181" s="181">
        <f t="shared" si="15"/>
        <v>6</v>
      </c>
      <c r="G181" s="181">
        <f t="shared" si="16"/>
        <v>2</v>
      </c>
      <c r="H181" s="182">
        <v>47037.595395173317</v>
      </c>
      <c r="I181" s="181">
        <v>13200</v>
      </c>
      <c r="J181" s="183">
        <v>60.115270047770103</v>
      </c>
      <c r="K181" s="181">
        <f t="shared" si="17"/>
        <v>8</v>
      </c>
      <c r="L181" s="181">
        <f t="shared" si="18"/>
        <v>2</v>
      </c>
      <c r="M181" s="181">
        <f t="shared" si="19"/>
        <v>1</v>
      </c>
      <c r="N181" s="182">
        <v>11947.549230374023</v>
      </c>
      <c r="O181" s="181">
        <v>4800</v>
      </c>
      <c r="P181" s="181">
        <v>47334.858305330788</v>
      </c>
      <c r="Q181">
        <v>414</v>
      </c>
      <c r="R181">
        <v>1105.3024868650327</v>
      </c>
      <c r="S181" s="88">
        <f t="shared" si="20"/>
        <v>18266.851717239057</v>
      </c>
    </row>
    <row r="182" spans="1:19" x14ac:dyDescent="0.25">
      <c r="A182" s="325">
        <v>13</v>
      </c>
      <c r="B182" s="325" t="s">
        <v>96</v>
      </c>
      <c r="C182" s="326">
        <v>159.50000000000003</v>
      </c>
      <c r="D182" s="181">
        <v>159.50000000000003</v>
      </c>
      <c r="E182" s="181">
        <f t="shared" si="14"/>
        <v>20</v>
      </c>
      <c r="F182" s="181">
        <f t="shared" si="15"/>
        <v>4</v>
      </c>
      <c r="G182" s="181">
        <f t="shared" si="16"/>
        <v>1</v>
      </c>
      <c r="H182" s="182">
        <v>31699.668000000009</v>
      </c>
      <c r="I182" s="181">
        <v>6600</v>
      </c>
      <c r="J182" s="183">
        <v>40.513000000000005</v>
      </c>
      <c r="K182" s="181">
        <f t="shared" si="17"/>
        <v>6</v>
      </c>
      <c r="L182" s="181">
        <f t="shared" si="18"/>
        <v>2</v>
      </c>
      <c r="M182" s="181">
        <f t="shared" si="19"/>
        <v>1</v>
      </c>
      <c r="N182" s="182">
        <v>8051.7156720000021</v>
      </c>
      <c r="O182" s="181">
        <v>4800</v>
      </c>
      <c r="P182" s="181">
        <v>31900.000000000007</v>
      </c>
      <c r="Q182">
        <v>414</v>
      </c>
      <c r="R182">
        <v>1105.3024868650327</v>
      </c>
      <c r="S182" s="88">
        <f t="shared" si="20"/>
        <v>14371.018158865034</v>
      </c>
    </row>
    <row r="183" spans="1:19" x14ac:dyDescent="0.25">
      <c r="A183" s="325">
        <v>13</v>
      </c>
      <c r="B183" s="325" t="s">
        <v>97</v>
      </c>
      <c r="C183" s="326">
        <v>139.68051696729742</v>
      </c>
      <c r="D183" s="181">
        <v>139.68051696729742</v>
      </c>
      <c r="E183" s="181">
        <f t="shared" si="14"/>
        <v>18</v>
      </c>
      <c r="F183" s="181">
        <f t="shared" si="15"/>
        <v>4</v>
      </c>
      <c r="G183" s="181">
        <f t="shared" si="16"/>
        <v>1</v>
      </c>
      <c r="H183" s="182">
        <v>27760.664664148564</v>
      </c>
      <c r="I183" s="181">
        <v>6600</v>
      </c>
      <c r="J183" s="183">
        <v>35.478851309693546</v>
      </c>
      <c r="K183" s="181">
        <f t="shared" si="17"/>
        <v>5</v>
      </c>
      <c r="L183" s="181">
        <f t="shared" si="18"/>
        <v>1</v>
      </c>
      <c r="M183" s="181">
        <f t="shared" si="19"/>
        <v>1</v>
      </c>
      <c r="N183" s="182">
        <v>7051.2088246937356</v>
      </c>
      <c r="O183" s="181">
        <v>2400</v>
      </c>
      <c r="P183" s="181">
        <v>27936.103393459485</v>
      </c>
      <c r="Q183">
        <v>414</v>
      </c>
      <c r="R183">
        <v>1105.3024868650327</v>
      </c>
      <c r="S183" s="88">
        <f t="shared" si="20"/>
        <v>10970.511311558768</v>
      </c>
    </row>
    <row r="184" spans="1:19" x14ac:dyDescent="0.25">
      <c r="A184" s="325">
        <v>13</v>
      </c>
      <c r="B184" s="325" t="s">
        <v>98</v>
      </c>
      <c r="C184" s="326">
        <v>312.30291293499999</v>
      </c>
      <c r="D184" s="181">
        <v>312.30291293499999</v>
      </c>
      <c r="E184" s="181">
        <f t="shared" si="14"/>
        <v>40</v>
      </c>
      <c r="F184" s="181">
        <f t="shared" si="15"/>
        <v>8</v>
      </c>
      <c r="G184" s="181">
        <f t="shared" si="16"/>
        <v>2</v>
      </c>
      <c r="H184" s="182">
        <v>62068.330128353649</v>
      </c>
      <c r="I184" s="181">
        <v>13200</v>
      </c>
      <c r="J184" s="183">
        <v>79.324939885489997</v>
      </c>
      <c r="K184" s="181">
        <f t="shared" si="17"/>
        <v>10</v>
      </c>
      <c r="L184" s="181">
        <f t="shared" si="18"/>
        <v>2</v>
      </c>
      <c r="M184" s="181">
        <f t="shared" si="19"/>
        <v>1</v>
      </c>
      <c r="N184" s="182">
        <v>15765.355852601826</v>
      </c>
      <c r="O184" s="181">
        <v>4800</v>
      </c>
      <c r="P184" s="181">
        <v>62460.582586999997</v>
      </c>
      <c r="Q184">
        <v>414</v>
      </c>
      <c r="R184">
        <v>1105.3024868650327</v>
      </c>
      <c r="S184" s="88">
        <f t="shared" si="20"/>
        <v>22084.65833946686</v>
      </c>
    </row>
    <row r="185" spans="1:19" x14ac:dyDescent="0.25">
      <c r="A185" s="325">
        <v>13</v>
      </c>
      <c r="B185" s="325" t="s">
        <v>135</v>
      </c>
      <c r="C185" s="326">
        <v>106.66666666666666</v>
      </c>
      <c r="D185" s="181">
        <v>106.66666666666666</v>
      </c>
      <c r="E185" s="181">
        <f t="shared" si="14"/>
        <v>14</v>
      </c>
      <c r="F185" s="181">
        <f t="shared" si="15"/>
        <v>3</v>
      </c>
      <c r="G185" s="181">
        <f t="shared" si="16"/>
        <v>1</v>
      </c>
      <c r="H185" s="182">
        <v>21199.360000000001</v>
      </c>
      <c r="I185" s="181">
        <v>6600</v>
      </c>
      <c r="J185" s="183">
        <v>27.09333333333333</v>
      </c>
      <c r="K185" s="181">
        <f t="shared" si="17"/>
        <v>4</v>
      </c>
      <c r="L185" s="181">
        <f t="shared" si="18"/>
        <v>1</v>
      </c>
      <c r="M185" s="181">
        <f t="shared" si="19"/>
        <v>1</v>
      </c>
      <c r="N185" s="182">
        <v>5384.6374400000004</v>
      </c>
      <c r="O185" s="181">
        <v>2400</v>
      </c>
      <c r="P185" s="181">
        <v>21333.333333333332</v>
      </c>
      <c r="Q185">
        <v>414</v>
      </c>
      <c r="R185">
        <v>1105.3024868650327</v>
      </c>
      <c r="S185" s="88">
        <f t="shared" si="20"/>
        <v>9303.9399268650341</v>
      </c>
    </row>
    <row r="186" spans="1:19" x14ac:dyDescent="0.25">
      <c r="A186" s="325">
        <v>13</v>
      </c>
      <c r="B186" s="325" t="s">
        <v>99</v>
      </c>
      <c r="C186" s="326">
        <v>136.91935941370068</v>
      </c>
      <c r="D186" s="181">
        <v>136.91935941370068</v>
      </c>
      <c r="E186" s="181">
        <f t="shared" si="14"/>
        <v>18</v>
      </c>
      <c r="F186" s="181">
        <f t="shared" si="15"/>
        <v>4</v>
      </c>
      <c r="G186" s="181">
        <f t="shared" si="16"/>
        <v>1</v>
      </c>
      <c r="H186" s="182">
        <v>27211.90116731653</v>
      </c>
      <c r="I186" s="181">
        <v>6600</v>
      </c>
      <c r="J186" s="183">
        <v>34.777517291079974</v>
      </c>
      <c r="K186" s="181">
        <f t="shared" si="17"/>
        <v>5</v>
      </c>
      <c r="L186" s="181">
        <f t="shared" si="18"/>
        <v>1</v>
      </c>
      <c r="M186" s="181">
        <f t="shared" si="19"/>
        <v>1</v>
      </c>
      <c r="N186" s="182">
        <v>6911.8228964983991</v>
      </c>
      <c r="O186" s="181">
        <v>2400</v>
      </c>
      <c r="P186" s="181">
        <v>27383.871882740135</v>
      </c>
      <c r="Q186">
        <v>414</v>
      </c>
      <c r="R186">
        <v>1105.3024868650327</v>
      </c>
      <c r="S186" s="88">
        <f t="shared" si="20"/>
        <v>10831.125383363433</v>
      </c>
    </row>
    <row r="187" spans="1:19" x14ac:dyDescent="0.25">
      <c r="A187" s="325">
        <v>13</v>
      </c>
      <c r="B187" s="325" t="s">
        <v>100</v>
      </c>
      <c r="C187" s="326">
        <v>194.12398238080777</v>
      </c>
      <c r="D187" s="181">
        <v>194.12398238080777</v>
      </c>
      <c r="E187" s="181">
        <f t="shared" si="14"/>
        <v>25</v>
      </c>
      <c r="F187" s="181">
        <f t="shared" si="15"/>
        <v>5</v>
      </c>
      <c r="G187" s="181">
        <f t="shared" si="16"/>
        <v>2</v>
      </c>
      <c r="H187" s="182">
        <v>38580.976754291267</v>
      </c>
      <c r="I187" s="181">
        <v>13200</v>
      </c>
      <c r="J187" s="183">
        <v>49.307491524725172</v>
      </c>
      <c r="K187" s="181">
        <f t="shared" si="17"/>
        <v>7</v>
      </c>
      <c r="L187" s="181">
        <f t="shared" si="18"/>
        <v>2</v>
      </c>
      <c r="M187" s="181">
        <f t="shared" si="19"/>
        <v>1</v>
      </c>
      <c r="N187" s="182">
        <v>9799.5680955899807</v>
      </c>
      <c r="O187" s="181">
        <v>4800</v>
      </c>
      <c r="P187" s="181">
        <v>38824.796476161559</v>
      </c>
      <c r="Q187">
        <v>414</v>
      </c>
      <c r="R187">
        <v>1105.3024868650327</v>
      </c>
      <c r="S187" s="88">
        <f t="shared" si="20"/>
        <v>16118.870582455012</v>
      </c>
    </row>
    <row r="188" spans="1:19" x14ac:dyDescent="0.25">
      <c r="A188" s="325">
        <v>13</v>
      </c>
      <c r="B188" s="325" t="s">
        <v>101</v>
      </c>
      <c r="C188" s="326">
        <v>297</v>
      </c>
      <c r="D188" s="181">
        <v>297</v>
      </c>
      <c r="E188" s="181">
        <f t="shared" si="14"/>
        <v>38</v>
      </c>
      <c r="F188" s="181">
        <f t="shared" si="15"/>
        <v>8</v>
      </c>
      <c r="G188" s="181">
        <f t="shared" si="16"/>
        <v>2</v>
      </c>
      <c r="H188" s="182">
        <v>59026.968000000008</v>
      </c>
      <c r="I188" s="181">
        <v>13200</v>
      </c>
      <c r="J188" s="183">
        <v>75.438000000000002</v>
      </c>
      <c r="K188" s="181">
        <f t="shared" si="17"/>
        <v>10</v>
      </c>
      <c r="L188" s="181">
        <f t="shared" si="18"/>
        <v>2</v>
      </c>
      <c r="M188" s="181">
        <f t="shared" si="19"/>
        <v>1</v>
      </c>
      <c r="N188" s="182">
        <v>14992.849872000003</v>
      </c>
      <c r="O188" s="181">
        <v>4800</v>
      </c>
      <c r="P188" s="181">
        <v>59400</v>
      </c>
      <c r="Q188">
        <v>414</v>
      </c>
      <c r="R188">
        <v>1105.3024868650327</v>
      </c>
      <c r="S188" s="88">
        <f t="shared" si="20"/>
        <v>21312.152358865034</v>
      </c>
    </row>
    <row r="189" spans="1:19" x14ac:dyDescent="0.25">
      <c r="A189" s="325">
        <v>13</v>
      </c>
      <c r="B189" s="325" t="s">
        <v>102</v>
      </c>
      <c r="C189" s="326">
        <v>45.800000000000018</v>
      </c>
      <c r="D189" s="181">
        <v>45.800000000000018</v>
      </c>
      <c r="E189" s="181">
        <f t="shared" si="14"/>
        <v>6</v>
      </c>
      <c r="F189" s="181">
        <f t="shared" si="15"/>
        <v>2</v>
      </c>
      <c r="G189" s="181">
        <f t="shared" si="16"/>
        <v>1</v>
      </c>
      <c r="H189" s="182">
        <v>9102.4752000000044</v>
      </c>
      <c r="I189" s="181">
        <v>4800</v>
      </c>
      <c r="J189" s="183">
        <v>11.633200000000004</v>
      </c>
      <c r="K189" s="181">
        <f t="shared" si="17"/>
        <v>2</v>
      </c>
      <c r="L189" s="181">
        <f t="shared" si="18"/>
        <v>1</v>
      </c>
      <c r="M189" s="181">
        <f t="shared" si="19"/>
        <v>1</v>
      </c>
      <c r="N189" s="182">
        <v>2312.0287008000009</v>
      </c>
      <c r="O189" s="181">
        <v>1400</v>
      </c>
      <c r="P189" s="181">
        <v>9160.0000000000036</v>
      </c>
      <c r="Q189">
        <v>414</v>
      </c>
      <c r="R189">
        <v>1105.3024868650327</v>
      </c>
      <c r="S189" s="88">
        <f t="shared" si="20"/>
        <v>5231.3311876650332</v>
      </c>
    </row>
    <row r="190" spans="1:19" x14ac:dyDescent="0.25">
      <c r="A190" s="325">
        <v>13</v>
      </c>
      <c r="B190" s="325" t="s">
        <v>103</v>
      </c>
      <c r="C190" s="326">
        <v>92.490646694128458</v>
      </c>
      <c r="D190" s="181">
        <v>92.490646694128458</v>
      </c>
      <c r="E190" s="181">
        <f t="shared" si="14"/>
        <v>12</v>
      </c>
      <c r="F190" s="181">
        <f t="shared" si="15"/>
        <v>3</v>
      </c>
      <c r="G190" s="181">
        <f t="shared" si="16"/>
        <v>1</v>
      </c>
      <c r="H190" s="182">
        <v>18381.96108657787</v>
      </c>
      <c r="I190" s="181">
        <v>6600</v>
      </c>
      <c r="J190" s="183">
        <v>23.492624260308627</v>
      </c>
      <c r="K190" s="181">
        <f t="shared" si="17"/>
        <v>3</v>
      </c>
      <c r="L190" s="181">
        <f t="shared" si="18"/>
        <v>1</v>
      </c>
      <c r="M190" s="181">
        <f t="shared" si="19"/>
        <v>1</v>
      </c>
      <c r="N190" s="182">
        <v>4669.0181159907788</v>
      </c>
      <c r="O190" s="181">
        <v>2100</v>
      </c>
      <c r="P190" s="181">
        <v>18498.129338825693</v>
      </c>
      <c r="Q190">
        <v>414</v>
      </c>
      <c r="R190">
        <v>1105.3024868650327</v>
      </c>
      <c r="S190" s="88">
        <f t="shared" si="20"/>
        <v>8288.3206028558125</v>
      </c>
    </row>
    <row r="191" spans="1:19" x14ac:dyDescent="0.25">
      <c r="A191" s="325">
        <v>13</v>
      </c>
      <c r="B191" s="325" t="s">
        <v>104</v>
      </c>
      <c r="C191" s="326">
        <v>26.985074626865668</v>
      </c>
      <c r="D191" s="181">
        <v>26.985074626865668</v>
      </c>
      <c r="E191" s="181">
        <f t="shared" si="14"/>
        <v>4</v>
      </c>
      <c r="F191" s="181">
        <f t="shared" si="15"/>
        <v>1</v>
      </c>
      <c r="G191" s="181">
        <f t="shared" si="16"/>
        <v>1</v>
      </c>
      <c r="H191" s="182">
        <v>5363.1216716417912</v>
      </c>
      <c r="I191" s="181">
        <v>2400</v>
      </c>
      <c r="J191" s="183">
        <v>6.8542089552238794</v>
      </c>
      <c r="K191" s="181">
        <f t="shared" si="17"/>
        <v>1</v>
      </c>
      <c r="L191" s="181">
        <f t="shared" si="18"/>
        <v>1</v>
      </c>
      <c r="M191" s="181">
        <f t="shared" si="19"/>
        <v>1</v>
      </c>
      <c r="N191" s="182">
        <v>1362.2329045970148</v>
      </c>
      <c r="O191" s="181">
        <v>700</v>
      </c>
      <c r="P191" s="181">
        <v>5397.0149253731333</v>
      </c>
      <c r="Q191">
        <v>414</v>
      </c>
      <c r="R191">
        <v>1105.3024868650327</v>
      </c>
      <c r="S191" s="88">
        <f t="shared" si="20"/>
        <v>3581.5353914620473</v>
      </c>
    </row>
    <row r="192" spans="1:19" x14ac:dyDescent="0.25">
      <c r="A192" s="325">
        <v>13</v>
      </c>
      <c r="B192" s="325" t="s">
        <v>105</v>
      </c>
      <c r="C192" s="326">
        <v>208.43780689677163</v>
      </c>
      <c r="D192" s="181">
        <v>208.43780689677163</v>
      </c>
      <c r="E192" s="181">
        <f t="shared" si="14"/>
        <v>27</v>
      </c>
      <c r="F192" s="181">
        <f t="shared" si="15"/>
        <v>6</v>
      </c>
      <c r="G192" s="181">
        <f t="shared" si="16"/>
        <v>2</v>
      </c>
      <c r="H192" s="182">
        <v>41425.763493891987</v>
      </c>
      <c r="I192" s="181">
        <v>13200</v>
      </c>
      <c r="J192" s="183">
        <v>52.943202951779995</v>
      </c>
      <c r="K192" s="181">
        <f t="shared" si="17"/>
        <v>7</v>
      </c>
      <c r="L192" s="181">
        <f t="shared" si="18"/>
        <v>2</v>
      </c>
      <c r="M192" s="181">
        <f t="shared" si="19"/>
        <v>1</v>
      </c>
      <c r="N192" s="182">
        <v>10522.143927448566</v>
      </c>
      <c r="O192" s="181">
        <v>4800</v>
      </c>
      <c r="P192" s="181">
        <v>41687.561379354323</v>
      </c>
      <c r="Q192">
        <v>414</v>
      </c>
      <c r="R192">
        <v>1105.3024868650327</v>
      </c>
      <c r="S192" s="88">
        <f t="shared" si="20"/>
        <v>16841.446414313599</v>
      </c>
    </row>
    <row r="193" spans="1:19" x14ac:dyDescent="0.25">
      <c r="A193" s="325">
        <v>13</v>
      </c>
      <c r="B193" s="325" t="s">
        <v>106</v>
      </c>
      <c r="C193" s="326">
        <v>197.6818503237796</v>
      </c>
      <c r="D193" s="181">
        <v>197.6818503237796</v>
      </c>
      <c r="E193" s="181">
        <f t="shared" si="14"/>
        <v>25</v>
      </c>
      <c r="F193" s="181">
        <f t="shared" si="15"/>
        <v>5</v>
      </c>
      <c r="G193" s="181">
        <f t="shared" si="16"/>
        <v>2</v>
      </c>
      <c r="H193" s="182">
        <v>39288.08166074926</v>
      </c>
      <c r="I193" s="181">
        <v>13200</v>
      </c>
      <c r="J193" s="183">
        <v>50.211189982240022</v>
      </c>
      <c r="K193" s="181">
        <f t="shared" si="17"/>
        <v>7</v>
      </c>
      <c r="L193" s="181">
        <f t="shared" si="18"/>
        <v>2</v>
      </c>
      <c r="M193" s="181">
        <f t="shared" si="19"/>
        <v>1</v>
      </c>
      <c r="N193" s="182">
        <v>9979.1727418303126</v>
      </c>
      <c r="O193" s="181">
        <v>4800</v>
      </c>
      <c r="P193" s="181">
        <v>39536.370064755916</v>
      </c>
      <c r="Q193">
        <v>414</v>
      </c>
      <c r="R193">
        <v>1105.3024868650327</v>
      </c>
      <c r="S193" s="88">
        <f t="shared" si="20"/>
        <v>16298.475228695344</v>
      </c>
    </row>
    <row r="194" spans="1:19" x14ac:dyDescent="0.25">
      <c r="A194" s="325">
        <v>13</v>
      </c>
      <c r="B194" s="325" t="s">
        <v>136</v>
      </c>
      <c r="C194" s="326">
        <v>232.51799537858369</v>
      </c>
      <c r="D194" s="181">
        <v>232.51799537858369</v>
      </c>
      <c r="E194" s="181">
        <f t="shared" si="14"/>
        <v>30</v>
      </c>
      <c r="F194" s="181">
        <f t="shared" si="15"/>
        <v>6</v>
      </c>
      <c r="G194" s="181">
        <f t="shared" si="16"/>
        <v>2</v>
      </c>
      <c r="H194" s="182">
        <v>46211.556473521247</v>
      </c>
      <c r="I194" s="181">
        <v>13200</v>
      </c>
      <c r="J194" s="183">
        <v>59.059570826160261</v>
      </c>
      <c r="K194" s="181">
        <f t="shared" si="17"/>
        <v>8</v>
      </c>
      <c r="L194" s="181">
        <f t="shared" si="18"/>
        <v>2</v>
      </c>
      <c r="M194" s="181">
        <f t="shared" si="19"/>
        <v>1</v>
      </c>
      <c r="N194" s="182">
        <v>11737.735344274397</v>
      </c>
      <c r="O194" s="181">
        <v>4800</v>
      </c>
      <c r="P194" s="181">
        <v>46503.599075716738</v>
      </c>
      <c r="Q194">
        <v>414</v>
      </c>
      <c r="R194">
        <v>1105.3024868650327</v>
      </c>
      <c r="S194" s="88">
        <f t="shared" si="20"/>
        <v>18057.037831139431</v>
      </c>
    </row>
    <row r="195" spans="1:19" x14ac:dyDescent="0.25">
      <c r="A195" s="325">
        <v>13</v>
      </c>
      <c r="B195" s="325" t="s">
        <v>107</v>
      </c>
      <c r="C195" s="326">
        <v>4.9230769230769234</v>
      </c>
      <c r="D195" s="181">
        <v>4.9230769230769234</v>
      </c>
      <c r="E195" s="181">
        <f t="shared" si="14"/>
        <v>1</v>
      </c>
      <c r="F195" s="181">
        <f t="shared" si="15"/>
        <v>1</v>
      </c>
      <c r="G195" s="181">
        <f t="shared" si="16"/>
        <v>1</v>
      </c>
      <c r="H195" s="182">
        <v>978.43200000000024</v>
      </c>
      <c r="I195" s="181">
        <v>700</v>
      </c>
      <c r="J195" s="183">
        <v>1.2504615384615385</v>
      </c>
      <c r="K195" s="181">
        <f t="shared" si="17"/>
        <v>1</v>
      </c>
      <c r="L195" s="181">
        <f t="shared" si="18"/>
        <v>1</v>
      </c>
      <c r="M195" s="181">
        <f t="shared" si="19"/>
        <v>1</v>
      </c>
      <c r="N195" s="182">
        <v>248.52172800000005</v>
      </c>
      <c r="O195" s="181">
        <v>700</v>
      </c>
      <c r="P195" s="181">
        <v>984.61538461538464</v>
      </c>
      <c r="Q195">
        <v>414</v>
      </c>
      <c r="R195">
        <v>1105.3024868650327</v>
      </c>
      <c r="S195" s="88">
        <f t="shared" si="20"/>
        <v>2467.8242148650329</v>
      </c>
    </row>
    <row r="196" spans="1:19" x14ac:dyDescent="0.25">
      <c r="A196" s="325">
        <v>13</v>
      </c>
      <c r="B196" s="325" t="s">
        <v>108</v>
      </c>
      <c r="C196" s="326">
        <v>138.87934817515463</v>
      </c>
      <c r="D196" s="181">
        <v>138.87934817515463</v>
      </c>
      <c r="E196" s="181">
        <f t="shared" ref="E196:E259" si="21">ROUNDUP(D196/8,0)</f>
        <v>18</v>
      </c>
      <c r="F196" s="181">
        <f t="shared" ref="F196:F259" si="22">ROUNDUP(D196/40,0)</f>
        <v>4</v>
      </c>
      <c r="G196" s="181">
        <f t="shared" ref="G196:G259" si="23">ROUNDUP(D196/(40*4),0)</f>
        <v>1</v>
      </c>
      <c r="H196" s="182">
        <v>27601.437173722938</v>
      </c>
      <c r="I196" s="181">
        <v>6600</v>
      </c>
      <c r="J196" s="183">
        <v>35.27535443648928</v>
      </c>
      <c r="K196" s="181">
        <f t="shared" ref="K196:K259" si="24">ROUNDUP(J196/8,0)</f>
        <v>5</v>
      </c>
      <c r="L196" s="181">
        <f t="shared" ref="L196:L259" si="25">ROUNDUP(J196/40,0)</f>
        <v>1</v>
      </c>
      <c r="M196" s="181">
        <f t="shared" ref="M196:M259" si="26">ROUNDUP(J196/(40*4),0)</f>
        <v>1</v>
      </c>
      <c r="N196" s="182">
        <v>7010.7650421256267</v>
      </c>
      <c r="O196" s="181">
        <v>2400</v>
      </c>
      <c r="P196" s="181">
        <v>27775.869635030926</v>
      </c>
      <c r="Q196">
        <v>414</v>
      </c>
      <c r="R196">
        <v>1105.3024868650327</v>
      </c>
      <c r="S196" s="88">
        <f t="shared" ref="S196:S259" si="27">R196+Q196+N196+O196</f>
        <v>10930.067528990659</v>
      </c>
    </row>
    <row r="197" spans="1:19" x14ac:dyDescent="0.25">
      <c r="A197" s="325">
        <v>13</v>
      </c>
      <c r="B197" s="325" t="s">
        <v>109</v>
      </c>
      <c r="C197" s="326">
        <v>91.990681474356819</v>
      </c>
      <c r="D197" s="181">
        <v>91.990681474356819</v>
      </c>
      <c r="E197" s="181">
        <f t="shared" si="21"/>
        <v>12</v>
      </c>
      <c r="F197" s="181">
        <f t="shared" si="22"/>
        <v>3</v>
      </c>
      <c r="G197" s="181">
        <f t="shared" si="23"/>
        <v>1</v>
      </c>
      <c r="H197" s="182">
        <v>18282.595998939574</v>
      </c>
      <c r="I197" s="181">
        <v>6600</v>
      </c>
      <c r="J197" s="183">
        <v>23.365633094486633</v>
      </c>
      <c r="K197" s="181">
        <f t="shared" si="24"/>
        <v>3</v>
      </c>
      <c r="L197" s="181">
        <f t="shared" si="25"/>
        <v>1</v>
      </c>
      <c r="M197" s="181">
        <f t="shared" si="26"/>
        <v>1</v>
      </c>
      <c r="N197" s="182">
        <v>4643.7793837306517</v>
      </c>
      <c r="O197" s="181">
        <v>2100</v>
      </c>
      <c r="P197" s="181">
        <v>18398.136294871365</v>
      </c>
      <c r="Q197">
        <v>414</v>
      </c>
      <c r="R197">
        <v>1105.3024868650327</v>
      </c>
      <c r="S197" s="88">
        <f t="shared" si="27"/>
        <v>8263.0818705956844</v>
      </c>
    </row>
    <row r="198" spans="1:19" x14ac:dyDescent="0.25">
      <c r="A198" s="325">
        <v>13</v>
      </c>
      <c r="B198" s="325" t="s">
        <v>110</v>
      </c>
      <c r="C198" s="326">
        <v>103.3780736465706</v>
      </c>
      <c r="D198" s="181">
        <v>103.3780736465706</v>
      </c>
      <c r="E198" s="181">
        <f t="shared" si="21"/>
        <v>13</v>
      </c>
      <c r="F198" s="181">
        <f t="shared" si="22"/>
        <v>3</v>
      </c>
      <c r="G198" s="181">
        <f t="shared" si="23"/>
        <v>1</v>
      </c>
      <c r="H198" s="182">
        <v>20545.77186881403</v>
      </c>
      <c r="I198" s="181">
        <v>6600</v>
      </c>
      <c r="J198" s="183">
        <v>26.258030706228933</v>
      </c>
      <c r="K198" s="181">
        <f t="shared" si="24"/>
        <v>4</v>
      </c>
      <c r="L198" s="181">
        <f t="shared" si="25"/>
        <v>1</v>
      </c>
      <c r="M198" s="181">
        <f t="shared" si="26"/>
        <v>1</v>
      </c>
      <c r="N198" s="182">
        <v>5218.6260546787635</v>
      </c>
      <c r="O198" s="181">
        <v>2400</v>
      </c>
      <c r="P198" s="181">
        <v>20675.614729314118</v>
      </c>
      <c r="Q198">
        <v>414</v>
      </c>
      <c r="R198">
        <v>1105.3024868650327</v>
      </c>
      <c r="S198" s="88">
        <f t="shared" si="27"/>
        <v>9137.9285415437953</v>
      </c>
    </row>
    <row r="199" spans="1:19" x14ac:dyDescent="0.25">
      <c r="A199" s="325">
        <v>13</v>
      </c>
      <c r="B199" s="325" t="s">
        <v>111</v>
      </c>
      <c r="C199" s="326">
        <v>228.10388571416377</v>
      </c>
      <c r="D199" s="181">
        <v>228.10388571416377</v>
      </c>
      <c r="E199" s="181">
        <f t="shared" si="21"/>
        <v>29</v>
      </c>
      <c r="F199" s="181">
        <f t="shared" si="22"/>
        <v>6</v>
      </c>
      <c r="G199" s="181">
        <f t="shared" si="23"/>
        <v>2</v>
      </c>
      <c r="H199" s="182">
        <v>45334.278662375771</v>
      </c>
      <c r="I199" s="181">
        <v>13200</v>
      </c>
      <c r="J199" s="183">
        <v>57.938386971397598</v>
      </c>
      <c r="K199" s="181">
        <f t="shared" si="24"/>
        <v>8</v>
      </c>
      <c r="L199" s="181">
        <f t="shared" si="25"/>
        <v>2</v>
      </c>
      <c r="M199" s="181">
        <f t="shared" si="26"/>
        <v>1</v>
      </c>
      <c r="N199" s="182">
        <v>11514.906780243446</v>
      </c>
      <c r="O199" s="181">
        <v>4800</v>
      </c>
      <c r="P199" s="181">
        <v>45620.777142832754</v>
      </c>
      <c r="Q199">
        <v>414</v>
      </c>
      <c r="R199">
        <v>1105.3024868650327</v>
      </c>
      <c r="S199" s="88">
        <f t="shared" si="27"/>
        <v>17834.209267108479</v>
      </c>
    </row>
    <row r="200" spans="1:19" x14ac:dyDescent="0.25">
      <c r="A200" s="325">
        <v>13</v>
      </c>
      <c r="B200" s="325" t="s">
        <v>137</v>
      </c>
      <c r="C200" s="326">
        <v>76.047058823529412</v>
      </c>
      <c r="D200" s="181">
        <v>76.047058823529412</v>
      </c>
      <c r="E200" s="181">
        <f t="shared" si="21"/>
        <v>10</v>
      </c>
      <c r="F200" s="181">
        <f t="shared" si="22"/>
        <v>2</v>
      </c>
      <c r="G200" s="181">
        <f t="shared" si="23"/>
        <v>1</v>
      </c>
      <c r="H200" s="182">
        <v>15113.896658823531</v>
      </c>
      <c r="I200" s="181">
        <v>4800</v>
      </c>
      <c r="J200" s="183">
        <v>19.315952941176469</v>
      </c>
      <c r="K200" s="181">
        <f t="shared" si="24"/>
        <v>3</v>
      </c>
      <c r="L200" s="181">
        <f t="shared" si="25"/>
        <v>1</v>
      </c>
      <c r="M200" s="181">
        <f t="shared" si="26"/>
        <v>1</v>
      </c>
      <c r="N200" s="182">
        <v>3838.9297513411766</v>
      </c>
      <c r="O200" s="181">
        <v>2100</v>
      </c>
      <c r="P200" s="181">
        <v>15209.411764705883</v>
      </c>
      <c r="Q200">
        <v>414</v>
      </c>
      <c r="R200">
        <v>1105.3024868650327</v>
      </c>
      <c r="S200" s="88">
        <f t="shared" si="27"/>
        <v>7458.2322382062093</v>
      </c>
    </row>
    <row r="201" spans="1:19" x14ac:dyDescent="0.25">
      <c r="A201" s="325">
        <v>13</v>
      </c>
      <c r="B201" s="325" t="s">
        <v>112</v>
      </c>
      <c r="C201" s="326">
        <v>123.22471910112358</v>
      </c>
      <c r="D201" s="181">
        <v>123.22471910112358</v>
      </c>
      <c r="E201" s="181">
        <f t="shared" si="21"/>
        <v>16</v>
      </c>
      <c r="F201" s="181">
        <f t="shared" si="22"/>
        <v>4</v>
      </c>
      <c r="G201" s="181">
        <f t="shared" si="23"/>
        <v>1</v>
      </c>
      <c r="H201" s="182">
        <v>24490.17357303371</v>
      </c>
      <c r="I201" s="181">
        <v>6600</v>
      </c>
      <c r="J201" s="183">
        <v>31.299078651685392</v>
      </c>
      <c r="K201" s="181">
        <f t="shared" si="24"/>
        <v>4</v>
      </c>
      <c r="L201" s="181">
        <f t="shared" si="25"/>
        <v>1</v>
      </c>
      <c r="M201" s="181">
        <f t="shared" si="26"/>
        <v>1</v>
      </c>
      <c r="N201" s="182">
        <v>6220.504087550562</v>
      </c>
      <c r="O201" s="181">
        <v>2400</v>
      </c>
      <c r="P201" s="181">
        <v>24644.943820224718</v>
      </c>
      <c r="Q201">
        <v>414</v>
      </c>
      <c r="R201">
        <v>1105.3024868650327</v>
      </c>
      <c r="S201" s="88">
        <f t="shared" si="27"/>
        <v>10139.806574415594</v>
      </c>
    </row>
    <row r="202" spans="1:19" x14ac:dyDescent="0.25">
      <c r="A202" s="325">
        <v>13</v>
      </c>
      <c r="B202" s="325" t="s">
        <v>113</v>
      </c>
      <c r="C202" s="326">
        <v>720.73551186206521</v>
      </c>
      <c r="D202" s="181">
        <v>720.73551186206521</v>
      </c>
      <c r="E202" s="181">
        <f t="shared" si="21"/>
        <v>91</v>
      </c>
      <c r="F202" s="181">
        <f t="shared" si="22"/>
        <v>19</v>
      </c>
      <c r="G202" s="181">
        <f t="shared" si="23"/>
        <v>5</v>
      </c>
      <c r="H202" s="182">
        <v>143241.8585695143</v>
      </c>
      <c r="I202" s="181">
        <v>33000</v>
      </c>
      <c r="J202" s="183">
        <v>183.06682001296457</v>
      </c>
      <c r="K202" s="181">
        <f t="shared" si="24"/>
        <v>23</v>
      </c>
      <c r="L202" s="181">
        <f t="shared" si="25"/>
        <v>5</v>
      </c>
      <c r="M202" s="181">
        <f t="shared" si="26"/>
        <v>2</v>
      </c>
      <c r="N202" s="182">
        <v>36383.432076656638</v>
      </c>
      <c r="O202" s="181">
        <v>13200</v>
      </c>
      <c r="P202" s="181">
        <v>144147.10237241304</v>
      </c>
      <c r="Q202">
        <v>414</v>
      </c>
      <c r="R202">
        <v>1105.3024868650327</v>
      </c>
      <c r="S202" s="88">
        <f t="shared" si="27"/>
        <v>51102.73456352167</v>
      </c>
    </row>
    <row r="203" spans="1:19" x14ac:dyDescent="0.25">
      <c r="A203" s="325">
        <v>13</v>
      </c>
      <c r="B203" s="325" t="s">
        <v>138</v>
      </c>
      <c r="C203" s="326">
        <v>126.94854206673827</v>
      </c>
      <c r="D203" s="181">
        <v>126.94854206673827</v>
      </c>
      <c r="E203" s="181">
        <f t="shared" si="21"/>
        <v>16</v>
      </c>
      <c r="F203" s="181">
        <f t="shared" si="22"/>
        <v>4</v>
      </c>
      <c r="G203" s="181">
        <f t="shared" si="23"/>
        <v>1</v>
      </c>
      <c r="H203" s="182">
        <v>25230.261044511833</v>
      </c>
      <c r="I203" s="181">
        <v>6600</v>
      </c>
      <c r="J203" s="183">
        <v>32.244929684951522</v>
      </c>
      <c r="K203" s="181">
        <f t="shared" si="24"/>
        <v>5</v>
      </c>
      <c r="L203" s="181">
        <f t="shared" si="25"/>
        <v>1</v>
      </c>
      <c r="M203" s="181">
        <f t="shared" si="26"/>
        <v>1</v>
      </c>
      <c r="N203" s="182">
        <v>6408.4863053060062</v>
      </c>
      <c r="O203" s="181">
        <v>2400</v>
      </c>
      <c r="P203" s="181">
        <v>25389.708413347653</v>
      </c>
      <c r="Q203">
        <v>414</v>
      </c>
      <c r="R203">
        <v>1105.3024868650327</v>
      </c>
      <c r="S203" s="88">
        <f t="shared" si="27"/>
        <v>10327.788792171039</v>
      </c>
    </row>
    <row r="204" spans="1:19" x14ac:dyDescent="0.25">
      <c r="A204" s="325">
        <v>13</v>
      </c>
      <c r="B204" s="325" t="s">
        <v>139</v>
      </c>
      <c r="C204" s="326">
        <v>91.901114103595106</v>
      </c>
      <c r="D204" s="181">
        <v>91.901114103595106</v>
      </c>
      <c r="E204" s="181">
        <f t="shared" si="21"/>
        <v>12</v>
      </c>
      <c r="F204" s="181">
        <f t="shared" si="22"/>
        <v>3</v>
      </c>
      <c r="G204" s="181">
        <f t="shared" si="23"/>
        <v>1</v>
      </c>
      <c r="H204" s="182">
        <v>18264.795021404909</v>
      </c>
      <c r="I204" s="181">
        <v>6600</v>
      </c>
      <c r="J204" s="183">
        <v>23.342882982313157</v>
      </c>
      <c r="K204" s="181">
        <f t="shared" si="24"/>
        <v>3</v>
      </c>
      <c r="L204" s="181">
        <f t="shared" si="25"/>
        <v>1</v>
      </c>
      <c r="M204" s="181">
        <f t="shared" si="26"/>
        <v>1</v>
      </c>
      <c r="N204" s="182">
        <v>4639.2579354368463</v>
      </c>
      <c r="O204" s="181">
        <v>2100</v>
      </c>
      <c r="P204" s="181">
        <v>18380.22282071902</v>
      </c>
      <c r="Q204">
        <v>414</v>
      </c>
      <c r="R204">
        <v>1105.3024868650327</v>
      </c>
      <c r="S204" s="88">
        <f t="shared" si="27"/>
        <v>8258.5604223018781</v>
      </c>
    </row>
    <row r="205" spans="1:19" x14ac:dyDescent="0.25">
      <c r="A205" s="325">
        <v>13</v>
      </c>
      <c r="B205" s="325" t="s">
        <v>114</v>
      </c>
      <c r="C205" s="326">
        <v>102.03960171350714</v>
      </c>
      <c r="D205" s="181">
        <v>102.03960171350714</v>
      </c>
      <c r="E205" s="181">
        <f t="shared" si="21"/>
        <v>13</v>
      </c>
      <c r="F205" s="181">
        <f t="shared" si="22"/>
        <v>3</v>
      </c>
      <c r="G205" s="181">
        <f t="shared" si="23"/>
        <v>1</v>
      </c>
      <c r="H205" s="182">
        <v>20279.758602949267</v>
      </c>
      <c r="I205" s="181">
        <v>6600</v>
      </c>
      <c r="J205" s="183">
        <v>25.918058835230813</v>
      </c>
      <c r="K205" s="181">
        <f t="shared" si="24"/>
        <v>4</v>
      </c>
      <c r="L205" s="181">
        <f t="shared" si="25"/>
        <v>1</v>
      </c>
      <c r="M205" s="181">
        <f t="shared" si="26"/>
        <v>1</v>
      </c>
      <c r="N205" s="182">
        <v>5151.0586851491134</v>
      </c>
      <c r="O205" s="181">
        <v>2400</v>
      </c>
      <c r="P205" s="181">
        <v>20407.920342701429</v>
      </c>
      <c r="Q205">
        <v>414</v>
      </c>
      <c r="R205">
        <v>1105.3024868650327</v>
      </c>
      <c r="S205" s="88">
        <f t="shared" si="27"/>
        <v>9070.3611720141453</v>
      </c>
    </row>
    <row r="206" spans="1:19" x14ac:dyDescent="0.25">
      <c r="A206" s="325">
        <v>13</v>
      </c>
      <c r="B206" s="325" t="s">
        <v>115</v>
      </c>
      <c r="C206" s="326">
        <v>62.672446429530943</v>
      </c>
      <c r="D206" s="181">
        <v>62.672446429530943</v>
      </c>
      <c r="E206" s="181">
        <f t="shared" si="21"/>
        <v>8</v>
      </c>
      <c r="F206" s="181">
        <f t="shared" si="22"/>
        <v>2</v>
      </c>
      <c r="G206" s="181">
        <f t="shared" si="23"/>
        <v>1</v>
      </c>
      <c r="H206" s="182">
        <v>12455.7726931907</v>
      </c>
      <c r="I206" s="181">
        <v>4800</v>
      </c>
      <c r="J206" s="183">
        <v>15.918801393100861</v>
      </c>
      <c r="K206" s="181">
        <f t="shared" si="24"/>
        <v>2</v>
      </c>
      <c r="L206" s="181">
        <f t="shared" si="25"/>
        <v>1</v>
      </c>
      <c r="M206" s="181">
        <f t="shared" si="26"/>
        <v>1</v>
      </c>
      <c r="N206" s="182">
        <v>3163.766264070438</v>
      </c>
      <c r="O206" s="181">
        <v>1400</v>
      </c>
      <c r="P206" s="181">
        <v>12534.489285906189</v>
      </c>
      <c r="Q206">
        <v>414</v>
      </c>
      <c r="R206">
        <v>1105.3024868650327</v>
      </c>
      <c r="S206" s="88">
        <f t="shared" si="27"/>
        <v>6083.0687509354702</v>
      </c>
    </row>
    <row r="207" spans="1:19" x14ac:dyDescent="0.25">
      <c r="A207" s="325">
        <v>13</v>
      </c>
      <c r="B207" s="325" t="s">
        <v>116</v>
      </c>
      <c r="C207" s="326">
        <v>122.47774000000001</v>
      </c>
      <c r="D207" s="181">
        <v>122.47774000000001</v>
      </c>
      <c r="E207" s="181">
        <f t="shared" si="21"/>
        <v>16</v>
      </c>
      <c r="F207" s="181">
        <f t="shared" si="22"/>
        <v>4</v>
      </c>
      <c r="G207" s="181">
        <f t="shared" si="23"/>
        <v>1</v>
      </c>
      <c r="H207" s="182">
        <v>24341.715958560006</v>
      </c>
      <c r="I207" s="181">
        <v>6600</v>
      </c>
      <c r="J207" s="183">
        <v>31.109345960000002</v>
      </c>
      <c r="K207" s="181">
        <f t="shared" si="24"/>
        <v>4</v>
      </c>
      <c r="L207" s="181">
        <f t="shared" si="25"/>
        <v>1</v>
      </c>
      <c r="M207" s="181">
        <f t="shared" si="26"/>
        <v>1</v>
      </c>
      <c r="N207" s="182">
        <v>6182.7958534742411</v>
      </c>
      <c r="O207" s="181">
        <v>2400</v>
      </c>
      <c r="P207" s="181">
        <v>24495.548000000003</v>
      </c>
      <c r="Q207">
        <v>414</v>
      </c>
      <c r="R207">
        <v>1105.3024868650327</v>
      </c>
      <c r="S207" s="88">
        <f t="shared" si="27"/>
        <v>10102.098340339275</v>
      </c>
    </row>
    <row r="208" spans="1:19" x14ac:dyDescent="0.25">
      <c r="A208" s="325">
        <v>13</v>
      </c>
      <c r="B208" s="325" t="s">
        <v>117</v>
      </c>
      <c r="C208" s="326">
        <v>145.8014140129923</v>
      </c>
      <c r="D208" s="181">
        <v>145.8014140129923</v>
      </c>
      <c r="E208" s="181">
        <f t="shared" si="21"/>
        <v>19</v>
      </c>
      <c r="F208" s="181">
        <f t="shared" si="22"/>
        <v>4</v>
      </c>
      <c r="G208" s="181">
        <f t="shared" si="23"/>
        <v>1</v>
      </c>
      <c r="H208" s="182">
        <v>28977.156226598145</v>
      </c>
      <c r="I208" s="181">
        <v>6600</v>
      </c>
      <c r="J208" s="183">
        <v>37.033559159300047</v>
      </c>
      <c r="K208" s="181">
        <f t="shared" si="24"/>
        <v>5</v>
      </c>
      <c r="L208" s="181">
        <f t="shared" si="25"/>
        <v>1</v>
      </c>
      <c r="M208" s="181">
        <f t="shared" si="26"/>
        <v>1</v>
      </c>
      <c r="N208" s="182">
        <v>7360.1976815559292</v>
      </c>
      <c r="O208" s="181">
        <v>2400</v>
      </c>
      <c r="P208" s="181">
        <v>29160.28280259846</v>
      </c>
      <c r="Q208">
        <v>414</v>
      </c>
      <c r="R208">
        <v>1105.3024868650327</v>
      </c>
      <c r="S208" s="88">
        <f t="shared" si="27"/>
        <v>11279.500168420962</v>
      </c>
    </row>
    <row r="209" spans="1:19" x14ac:dyDescent="0.25">
      <c r="A209" s="325">
        <v>13</v>
      </c>
      <c r="B209" s="325" t="s">
        <v>118</v>
      </c>
      <c r="C209" s="326">
        <v>176.6535768992868</v>
      </c>
      <c r="D209" s="181">
        <v>176.6535768992868</v>
      </c>
      <c r="E209" s="181">
        <f t="shared" si="21"/>
        <v>23</v>
      </c>
      <c r="F209" s="181">
        <f t="shared" si="22"/>
        <v>5</v>
      </c>
      <c r="G209" s="181">
        <f t="shared" si="23"/>
        <v>2</v>
      </c>
      <c r="H209" s="182">
        <v>35108.83848727186</v>
      </c>
      <c r="I209" s="181">
        <v>13200</v>
      </c>
      <c r="J209" s="183">
        <v>44.870008532418851</v>
      </c>
      <c r="K209" s="181">
        <f t="shared" si="24"/>
        <v>6</v>
      </c>
      <c r="L209" s="181">
        <f t="shared" si="25"/>
        <v>2</v>
      </c>
      <c r="M209" s="181">
        <f t="shared" si="26"/>
        <v>1</v>
      </c>
      <c r="N209" s="182">
        <v>8917.6449757670525</v>
      </c>
      <c r="O209" s="181">
        <v>4800</v>
      </c>
      <c r="P209" s="181">
        <v>35330.715379857364</v>
      </c>
      <c r="Q209">
        <v>414</v>
      </c>
      <c r="R209">
        <v>1105.3024868650327</v>
      </c>
      <c r="S209" s="88">
        <f t="shared" si="27"/>
        <v>15236.947462632084</v>
      </c>
    </row>
    <row r="210" spans="1:19" x14ac:dyDescent="0.25">
      <c r="A210" s="325">
        <v>13</v>
      </c>
      <c r="B210" s="325" t="s">
        <v>119</v>
      </c>
      <c r="C210" s="326">
        <v>278.8178263714683</v>
      </c>
      <c r="D210" s="181">
        <v>278.8178263714683</v>
      </c>
      <c r="E210" s="181">
        <f t="shared" si="21"/>
        <v>35</v>
      </c>
      <c r="F210" s="181">
        <f t="shared" si="22"/>
        <v>7</v>
      </c>
      <c r="G210" s="181">
        <f t="shared" si="23"/>
        <v>2</v>
      </c>
      <c r="H210" s="182">
        <v>55413.370084371105</v>
      </c>
      <c r="I210" s="181">
        <v>13200</v>
      </c>
      <c r="J210" s="183">
        <v>70.819727898352951</v>
      </c>
      <c r="K210" s="181">
        <f t="shared" si="24"/>
        <v>9</v>
      </c>
      <c r="L210" s="181">
        <f t="shared" si="25"/>
        <v>2</v>
      </c>
      <c r="M210" s="181">
        <f t="shared" si="26"/>
        <v>1</v>
      </c>
      <c r="N210" s="182">
        <v>14074.996001430261</v>
      </c>
      <c r="O210" s="181">
        <v>4800</v>
      </c>
      <c r="P210" s="181">
        <v>55763.565274293658</v>
      </c>
      <c r="Q210">
        <v>414</v>
      </c>
      <c r="R210">
        <v>1105.3024868650327</v>
      </c>
      <c r="S210" s="88">
        <f t="shared" si="27"/>
        <v>20394.298488295295</v>
      </c>
    </row>
    <row r="211" spans="1:19" x14ac:dyDescent="0.25">
      <c r="A211" s="325">
        <v>13</v>
      </c>
      <c r="B211" s="325" t="s">
        <v>120</v>
      </c>
      <c r="C211" s="326">
        <v>288.99423960000001</v>
      </c>
      <c r="D211" s="181">
        <v>288.99423960000001</v>
      </c>
      <c r="E211" s="181">
        <f t="shared" si="21"/>
        <v>37</v>
      </c>
      <c r="F211" s="181">
        <f t="shared" si="22"/>
        <v>8</v>
      </c>
      <c r="G211" s="181">
        <f t="shared" si="23"/>
        <v>2</v>
      </c>
      <c r="H211" s="182">
        <v>57435.871155062414</v>
      </c>
      <c r="I211" s="181">
        <v>13200</v>
      </c>
      <c r="J211" s="183">
        <v>73.404536858400007</v>
      </c>
      <c r="K211" s="181">
        <f t="shared" si="24"/>
        <v>10</v>
      </c>
      <c r="L211" s="181">
        <f t="shared" si="25"/>
        <v>2</v>
      </c>
      <c r="M211" s="181">
        <f t="shared" si="26"/>
        <v>1</v>
      </c>
      <c r="N211" s="182">
        <v>14588.711273385854</v>
      </c>
      <c r="O211" s="181">
        <v>4800</v>
      </c>
      <c r="P211" s="181">
        <v>57798.84792</v>
      </c>
      <c r="Q211">
        <v>414</v>
      </c>
      <c r="R211">
        <v>1105.3024868650327</v>
      </c>
      <c r="S211" s="88">
        <f t="shared" si="27"/>
        <v>20908.013760250888</v>
      </c>
    </row>
    <row r="212" spans="1:19" x14ac:dyDescent="0.25">
      <c r="A212" s="325">
        <v>13</v>
      </c>
      <c r="B212" s="325" t="s">
        <v>121</v>
      </c>
      <c r="C212" s="326">
        <v>110.42159877156134</v>
      </c>
      <c r="D212" s="181">
        <v>110.42159877156134</v>
      </c>
      <c r="E212" s="181">
        <f t="shared" si="21"/>
        <v>14</v>
      </c>
      <c r="F212" s="181">
        <f t="shared" si="22"/>
        <v>3</v>
      </c>
      <c r="G212" s="181">
        <f t="shared" si="23"/>
        <v>1</v>
      </c>
      <c r="H212" s="182">
        <v>21945.630226255191</v>
      </c>
      <c r="I212" s="181">
        <v>6600</v>
      </c>
      <c r="J212" s="183">
        <v>28.047086087976581</v>
      </c>
      <c r="K212" s="181">
        <f t="shared" si="24"/>
        <v>4</v>
      </c>
      <c r="L212" s="181">
        <f t="shared" si="25"/>
        <v>1</v>
      </c>
      <c r="M212" s="181">
        <f t="shared" si="26"/>
        <v>1</v>
      </c>
      <c r="N212" s="182">
        <v>5574.1900774688183</v>
      </c>
      <c r="O212" s="181">
        <v>2400</v>
      </c>
      <c r="P212" s="181">
        <v>22084.319754312266</v>
      </c>
      <c r="Q212">
        <v>414</v>
      </c>
      <c r="R212">
        <v>1105.3024868650327</v>
      </c>
      <c r="S212" s="88">
        <f t="shared" si="27"/>
        <v>9493.4925643338502</v>
      </c>
    </row>
    <row r="213" spans="1:19" x14ac:dyDescent="0.25">
      <c r="A213" s="325">
        <v>13</v>
      </c>
      <c r="B213" s="325" t="s">
        <v>122</v>
      </c>
      <c r="C213" s="326">
        <v>161.08878018797668</v>
      </c>
      <c r="D213" s="181">
        <v>161.08878018797668</v>
      </c>
      <c r="E213" s="181">
        <f t="shared" si="21"/>
        <v>21</v>
      </c>
      <c r="F213" s="181">
        <f t="shared" si="22"/>
        <v>5</v>
      </c>
      <c r="G213" s="181">
        <f t="shared" si="23"/>
        <v>2</v>
      </c>
      <c r="H213" s="182">
        <v>32015.42852967924</v>
      </c>
      <c r="I213" s="181">
        <v>13200</v>
      </c>
      <c r="J213" s="183">
        <v>40.916550167746081</v>
      </c>
      <c r="K213" s="181">
        <f t="shared" si="24"/>
        <v>6</v>
      </c>
      <c r="L213" s="181">
        <f t="shared" si="25"/>
        <v>2</v>
      </c>
      <c r="M213" s="181">
        <f t="shared" si="26"/>
        <v>1</v>
      </c>
      <c r="N213" s="182">
        <v>8131.9188465385287</v>
      </c>
      <c r="O213" s="181">
        <v>4800</v>
      </c>
      <c r="P213" s="181">
        <v>32217.756037595336</v>
      </c>
      <c r="Q213">
        <v>414</v>
      </c>
      <c r="R213">
        <v>1105.3024868650327</v>
      </c>
      <c r="S213" s="88">
        <f t="shared" si="27"/>
        <v>14451.221333403562</v>
      </c>
    </row>
    <row r="214" spans="1:19" x14ac:dyDescent="0.25">
      <c r="A214" s="325">
        <v>13</v>
      </c>
      <c r="B214" s="325" t="s">
        <v>123</v>
      </c>
      <c r="C214" s="326">
        <v>312.42742939289917</v>
      </c>
      <c r="D214" s="181">
        <v>312.42742939289917</v>
      </c>
      <c r="E214" s="181">
        <f t="shared" si="21"/>
        <v>40</v>
      </c>
      <c r="F214" s="181">
        <f t="shared" si="22"/>
        <v>8</v>
      </c>
      <c r="G214" s="181">
        <f t="shared" si="23"/>
        <v>2</v>
      </c>
      <c r="H214" s="182">
        <v>62093.077027262363</v>
      </c>
      <c r="I214" s="181">
        <v>13200</v>
      </c>
      <c r="J214" s="183">
        <v>79.356567065796384</v>
      </c>
      <c r="K214" s="181">
        <f t="shared" si="24"/>
        <v>10</v>
      </c>
      <c r="L214" s="181">
        <f t="shared" si="25"/>
        <v>2</v>
      </c>
      <c r="M214" s="181">
        <f t="shared" si="26"/>
        <v>1</v>
      </c>
      <c r="N214" s="182">
        <v>15771.641564924639</v>
      </c>
      <c r="O214" s="181">
        <v>4800</v>
      </c>
      <c r="P214" s="181">
        <v>62485.485878579835</v>
      </c>
      <c r="Q214">
        <v>414</v>
      </c>
      <c r="R214">
        <v>1105.3024868650327</v>
      </c>
      <c r="S214" s="88">
        <f t="shared" si="27"/>
        <v>22090.944051789673</v>
      </c>
    </row>
    <row r="215" spans="1:19" x14ac:dyDescent="0.25">
      <c r="A215" s="325">
        <v>13</v>
      </c>
      <c r="B215" s="325" t="s">
        <v>140</v>
      </c>
      <c r="C215" s="326">
        <v>44.061859780383116</v>
      </c>
      <c r="D215" s="181">
        <v>44.061859780383116</v>
      </c>
      <c r="E215" s="181">
        <f t="shared" si="21"/>
        <v>6</v>
      </c>
      <c r="F215" s="181">
        <f t="shared" si="22"/>
        <v>2</v>
      </c>
      <c r="G215" s="181">
        <f t="shared" si="23"/>
        <v>1</v>
      </c>
      <c r="H215" s="182">
        <v>8757.0302601924632</v>
      </c>
      <c r="I215" s="181">
        <v>4800</v>
      </c>
      <c r="J215" s="183">
        <v>11.191712384217311</v>
      </c>
      <c r="K215" s="181">
        <f t="shared" si="24"/>
        <v>2</v>
      </c>
      <c r="L215" s="181">
        <f t="shared" si="25"/>
        <v>1</v>
      </c>
      <c r="M215" s="181">
        <f t="shared" si="26"/>
        <v>1</v>
      </c>
      <c r="N215" s="182">
        <v>2224.2856860888855</v>
      </c>
      <c r="O215" s="181">
        <v>1400</v>
      </c>
      <c r="P215" s="181">
        <v>8812.371956076624</v>
      </c>
      <c r="Q215">
        <v>414</v>
      </c>
      <c r="R215">
        <v>1105.3024868650327</v>
      </c>
      <c r="S215" s="88">
        <f t="shared" si="27"/>
        <v>5143.5881729539178</v>
      </c>
    </row>
    <row r="216" spans="1:19" x14ac:dyDescent="0.25">
      <c r="A216" s="325">
        <v>13</v>
      </c>
      <c r="B216" s="325" t="s">
        <v>124</v>
      </c>
      <c r="C216" s="326">
        <v>76.78506422431083</v>
      </c>
      <c r="D216" s="181">
        <v>76.78506422431083</v>
      </c>
      <c r="E216" s="181">
        <f t="shared" si="21"/>
        <v>10</v>
      </c>
      <c r="F216" s="181">
        <f t="shared" si="22"/>
        <v>2</v>
      </c>
      <c r="G216" s="181">
        <f t="shared" si="23"/>
        <v>1</v>
      </c>
      <c r="H216" s="182">
        <v>15260.570804196434</v>
      </c>
      <c r="I216" s="181">
        <v>4800</v>
      </c>
      <c r="J216" s="183">
        <v>19.503406312974953</v>
      </c>
      <c r="K216" s="181">
        <f t="shared" si="24"/>
        <v>3</v>
      </c>
      <c r="L216" s="181">
        <f t="shared" si="25"/>
        <v>1</v>
      </c>
      <c r="M216" s="181">
        <f t="shared" si="26"/>
        <v>1</v>
      </c>
      <c r="N216" s="182">
        <v>3876.1849842658944</v>
      </c>
      <c r="O216" s="181">
        <v>2100</v>
      </c>
      <c r="P216" s="181">
        <v>15357.012844862165</v>
      </c>
      <c r="Q216">
        <v>414</v>
      </c>
      <c r="R216">
        <v>1105.3024868650327</v>
      </c>
      <c r="S216" s="88">
        <f t="shared" si="27"/>
        <v>7495.4874711309276</v>
      </c>
    </row>
    <row r="217" spans="1:19" x14ac:dyDescent="0.25">
      <c r="A217" s="325">
        <v>13</v>
      </c>
      <c r="B217" s="325" t="s">
        <v>125</v>
      </c>
      <c r="C217" s="326">
        <v>213.05221757501099</v>
      </c>
      <c r="D217" s="181">
        <v>213.05221757501099</v>
      </c>
      <c r="E217" s="181">
        <f t="shared" si="21"/>
        <v>27</v>
      </c>
      <c r="F217" s="181">
        <f t="shared" si="22"/>
        <v>6</v>
      </c>
      <c r="G217" s="181">
        <f t="shared" si="23"/>
        <v>2</v>
      </c>
      <c r="H217" s="182">
        <v>42342.849929727992</v>
      </c>
      <c r="I217" s="181">
        <v>13200</v>
      </c>
      <c r="J217" s="183">
        <v>54.115263264052793</v>
      </c>
      <c r="K217" s="181">
        <f t="shared" si="24"/>
        <v>7</v>
      </c>
      <c r="L217" s="181">
        <f t="shared" si="25"/>
        <v>2</v>
      </c>
      <c r="M217" s="181">
        <f t="shared" si="26"/>
        <v>1</v>
      </c>
      <c r="N217" s="182">
        <v>10755.08388215091</v>
      </c>
      <c r="O217" s="181">
        <v>4800</v>
      </c>
      <c r="P217" s="181">
        <v>42610.443515002196</v>
      </c>
      <c r="Q217">
        <v>414</v>
      </c>
      <c r="R217">
        <v>1105.3024868650327</v>
      </c>
      <c r="S217" s="88">
        <f t="shared" si="27"/>
        <v>17074.386369015941</v>
      </c>
    </row>
    <row r="218" spans="1:19" x14ac:dyDescent="0.25">
      <c r="A218" s="325">
        <v>13</v>
      </c>
      <c r="B218" s="325" t="s">
        <v>126</v>
      </c>
      <c r="C218" s="326">
        <v>134.21581760669304</v>
      </c>
      <c r="D218" s="181">
        <v>134.21581760669304</v>
      </c>
      <c r="E218" s="181">
        <f t="shared" si="21"/>
        <v>17</v>
      </c>
      <c r="F218" s="181">
        <f t="shared" si="22"/>
        <v>4</v>
      </c>
      <c r="G218" s="181">
        <f t="shared" si="23"/>
        <v>1</v>
      </c>
      <c r="H218" s="182">
        <v>26674.588454424604</v>
      </c>
      <c r="I218" s="181">
        <v>6600</v>
      </c>
      <c r="J218" s="183">
        <v>34.09081767210003</v>
      </c>
      <c r="K218" s="181">
        <f t="shared" si="24"/>
        <v>5</v>
      </c>
      <c r="L218" s="181">
        <f t="shared" si="25"/>
        <v>1</v>
      </c>
      <c r="M218" s="181">
        <f t="shared" si="26"/>
        <v>1</v>
      </c>
      <c r="N218" s="182">
        <v>6775.3454674238492</v>
      </c>
      <c r="O218" s="181">
        <v>2400</v>
      </c>
      <c r="P218" s="181">
        <v>26843.163521338607</v>
      </c>
      <c r="Q218">
        <v>414</v>
      </c>
      <c r="R218">
        <v>1105.3024868650327</v>
      </c>
      <c r="S218" s="88">
        <f t="shared" si="27"/>
        <v>10694.647954288881</v>
      </c>
    </row>
    <row r="219" spans="1:19" x14ac:dyDescent="0.25">
      <c r="A219" s="325">
        <v>13</v>
      </c>
      <c r="B219" s="325" t="s">
        <v>127</v>
      </c>
      <c r="C219" s="326">
        <v>70.718336839976246</v>
      </c>
      <c r="D219" s="181">
        <v>70.718336839976246</v>
      </c>
      <c r="E219" s="181">
        <f t="shared" si="21"/>
        <v>9</v>
      </c>
      <c r="F219" s="181">
        <f t="shared" si="22"/>
        <v>2</v>
      </c>
      <c r="G219" s="181">
        <f t="shared" si="23"/>
        <v>1</v>
      </c>
      <c r="H219" s="182">
        <v>14054.845136924241</v>
      </c>
      <c r="I219" s="181">
        <v>4800</v>
      </c>
      <c r="J219" s="183">
        <v>17.962457557353968</v>
      </c>
      <c r="K219" s="181">
        <f t="shared" si="24"/>
        <v>3</v>
      </c>
      <c r="L219" s="181">
        <f t="shared" si="25"/>
        <v>1</v>
      </c>
      <c r="M219" s="181">
        <f t="shared" si="26"/>
        <v>1</v>
      </c>
      <c r="N219" s="182">
        <v>3569.9306647787575</v>
      </c>
      <c r="O219" s="181">
        <v>2100</v>
      </c>
      <c r="P219" s="181">
        <v>14143.667367995249</v>
      </c>
      <c r="Q219">
        <v>414</v>
      </c>
      <c r="R219">
        <v>1105.3024868650327</v>
      </c>
      <c r="S219" s="88">
        <f t="shared" si="27"/>
        <v>7189.2331516437898</v>
      </c>
    </row>
    <row r="220" spans="1:19" x14ac:dyDescent="0.25">
      <c r="A220" s="325">
        <v>13</v>
      </c>
      <c r="B220" s="325" t="s">
        <v>128</v>
      </c>
      <c r="C220" s="326">
        <v>69.596508344150223</v>
      </c>
      <c r="D220" s="181">
        <v>69.596508344150223</v>
      </c>
      <c r="E220" s="181">
        <f t="shared" si="21"/>
        <v>9</v>
      </c>
      <c r="F220" s="181">
        <f t="shared" si="22"/>
        <v>2</v>
      </c>
      <c r="G220" s="181">
        <f t="shared" si="23"/>
        <v>1</v>
      </c>
      <c r="H220" s="182">
        <v>13831.888454349793</v>
      </c>
      <c r="I220" s="181">
        <v>4800</v>
      </c>
      <c r="J220" s="183">
        <v>17.677513119414158</v>
      </c>
      <c r="K220" s="181">
        <f t="shared" si="24"/>
        <v>3</v>
      </c>
      <c r="L220" s="181">
        <f t="shared" si="25"/>
        <v>1</v>
      </c>
      <c r="M220" s="181">
        <f t="shared" si="26"/>
        <v>1</v>
      </c>
      <c r="N220" s="182">
        <v>3513.2996674048477</v>
      </c>
      <c r="O220" s="181">
        <v>2100</v>
      </c>
      <c r="P220" s="181">
        <v>13919.301668830045</v>
      </c>
      <c r="Q220">
        <v>414</v>
      </c>
      <c r="R220">
        <v>1105.3024868650327</v>
      </c>
      <c r="S220" s="88">
        <f t="shared" si="27"/>
        <v>7132.60215426988</v>
      </c>
    </row>
    <row r="221" spans="1:19" x14ac:dyDescent="0.25">
      <c r="A221" s="325">
        <v>15</v>
      </c>
      <c r="B221" s="325" t="s">
        <v>25</v>
      </c>
      <c r="C221" s="326">
        <v>197.42831247180905</v>
      </c>
      <c r="D221" s="181">
        <v>197.42831247180905</v>
      </c>
      <c r="E221" s="181">
        <f t="shared" si="21"/>
        <v>25</v>
      </c>
      <c r="F221" s="181">
        <f t="shared" si="22"/>
        <v>5</v>
      </c>
      <c r="G221" s="181">
        <f t="shared" si="23"/>
        <v>2</v>
      </c>
      <c r="H221" s="182">
        <v>39237.692533897221</v>
      </c>
      <c r="I221" s="181">
        <v>13200</v>
      </c>
      <c r="J221" s="183">
        <v>50.146791367839498</v>
      </c>
      <c r="K221" s="181">
        <f t="shared" si="24"/>
        <v>7</v>
      </c>
      <c r="L221" s="181">
        <f t="shared" si="25"/>
        <v>2</v>
      </c>
      <c r="M221" s="181">
        <f t="shared" si="26"/>
        <v>1</v>
      </c>
      <c r="N221" s="182">
        <v>9966.3739036098941</v>
      </c>
      <c r="O221" s="181">
        <v>4800</v>
      </c>
      <c r="P221" s="181">
        <v>39485.662494361808</v>
      </c>
      <c r="Q221">
        <v>414</v>
      </c>
      <c r="R221">
        <v>1105.3024868650327</v>
      </c>
      <c r="S221" s="88">
        <f t="shared" si="27"/>
        <v>16285.676390474928</v>
      </c>
    </row>
    <row r="222" spans="1:19" x14ac:dyDescent="0.25">
      <c r="A222" s="325">
        <v>15</v>
      </c>
      <c r="B222" s="325" t="s">
        <v>27</v>
      </c>
      <c r="C222" s="326">
        <v>178.19977075000003</v>
      </c>
      <c r="D222" s="181">
        <v>178.19977075000003</v>
      </c>
      <c r="E222" s="181">
        <f t="shared" si="21"/>
        <v>23</v>
      </c>
      <c r="F222" s="181">
        <f t="shared" si="22"/>
        <v>5</v>
      </c>
      <c r="G222" s="181">
        <f t="shared" si="23"/>
        <v>2</v>
      </c>
      <c r="H222" s="182">
        <v>35416.135237938011</v>
      </c>
      <c r="I222" s="181">
        <v>13200</v>
      </c>
      <c r="J222" s="183">
        <v>45.262741770500007</v>
      </c>
      <c r="K222" s="181">
        <f t="shared" si="24"/>
        <v>6</v>
      </c>
      <c r="L222" s="181">
        <f t="shared" si="25"/>
        <v>2</v>
      </c>
      <c r="M222" s="181">
        <f t="shared" si="26"/>
        <v>1</v>
      </c>
      <c r="N222" s="182">
        <v>8995.6983504362543</v>
      </c>
      <c r="O222" s="181">
        <v>4800</v>
      </c>
      <c r="P222" s="181">
        <v>35639.954150000005</v>
      </c>
      <c r="Q222">
        <v>414</v>
      </c>
      <c r="R222">
        <v>1105.3024868650327</v>
      </c>
      <c r="S222" s="88">
        <f t="shared" si="27"/>
        <v>15315.000837301286</v>
      </c>
    </row>
    <row r="223" spans="1:19" x14ac:dyDescent="0.25">
      <c r="A223" s="325">
        <v>15</v>
      </c>
      <c r="B223" s="325" t="s">
        <v>28</v>
      </c>
      <c r="C223" s="326">
        <v>74.29312637135213</v>
      </c>
      <c r="D223" s="181">
        <v>74.29312637135213</v>
      </c>
      <c r="E223" s="181">
        <f t="shared" si="21"/>
        <v>10</v>
      </c>
      <c r="F223" s="181">
        <f t="shared" si="22"/>
        <v>2</v>
      </c>
      <c r="G223" s="181">
        <f t="shared" si="23"/>
        <v>1</v>
      </c>
      <c r="H223" s="182">
        <v>14765.313107548011</v>
      </c>
      <c r="I223" s="181">
        <v>4800</v>
      </c>
      <c r="J223" s="183">
        <v>18.870454098323442</v>
      </c>
      <c r="K223" s="181">
        <f t="shared" si="24"/>
        <v>3</v>
      </c>
      <c r="L223" s="181">
        <f t="shared" si="25"/>
        <v>1</v>
      </c>
      <c r="M223" s="181">
        <f t="shared" si="26"/>
        <v>1</v>
      </c>
      <c r="N223" s="182">
        <v>3750.389529317195</v>
      </c>
      <c r="O223" s="181">
        <v>2100</v>
      </c>
      <c r="P223" s="181">
        <v>14858.625274270426</v>
      </c>
      <c r="Q223">
        <v>414</v>
      </c>
      <c r="R223">
        <v>1105.3024868650327</v>
      </c>
      <c r="S223" s="88">
        <f t="shared" si="27"/>
        <v>7369.6920161822272</v>
      </c>
    </row>
    <row r="224" spans="1:19" x14ac:dyDescent="0.25">
      <c r="A224" s="325">
        <v>15</v>
      </c>
      <c r="B224" s="325" t="s">
        <v>29</v>
      </c>
      <c r="C224" s="326">
        <v>162.48001511528099</v>
      </c>
      <c r="D224" s="181">
        <v>162.48001511528099</v>
      </c>
      <c r="E224" s="181">
        <f t="shared" si="21"/>
        <v>21</v>
      </c>
      <c r="F224" s="181">
        <f t="shared" si="22"/>
        <v>5</v>
      </c>
      <c r="G224" s="181">
        <f t="shared" si="23"/>
        <v>2</v>
      </c>
      <c r="H224" s="182">
        <v>32291.928124071412</v>
      </c>
      <c r="I224" s="181">
        <v>13200</v>
      </c>
      <c r="J224" s="183">
        <v>41.269923839281375</v>
      </c>
      <c r="K224" s="181">
        <f t="shared" si="24"/>
        <v>6</v>
      </c>
      <c r="L224" s="181">
        <f t="shared" si="25"/>
        <v>2</v>
      </c>
      <c r="M224" s="181">
        <f t="shared" si="26"/>
        <v>1</v>
      </c>
      <c r="N224" s="182">
        <v>8202.1497435141391</v>
      </c>
      <c r="O224" s="181">
        <v>4800</v>
      </c>
      <c r="P224" s="181">
        <v>32496.003023056197</v>
      </c>
      <c r="Q224">
        <v>414</v>
      </c>
      <c r="R224">
        <v>1105.3024868650327</v>
      </c>
      <c r="S224" s="88">
        <f t="shared" si="27"/>
        <v>14521.452230379171</v>
      </c>
    </row>
    <row r="225" spans="1:19" x14ac:dyDescent="0.25">
      <c r="A225" s="325">
        <v>15</v>
      </c>
      <c r="B225" s="325" t="s">
        <v>129</v>
      </c>
      <c r="C225" s="326">
        <v>94.75793128240332</v>
      </c>
      <c r="D225" s="181">
        <v>94.75793128240332</v>
      </c>
      <c r="E225" s="181">
        <f t="shared" si="21"/>
        <v>12</v>
      </c>
      <c r="F225" s="181">
        <f t="shared" si="22"/>
        <v>3</v>
      </c>
      <c r="G225" s="181">
        <f t="shared" si="23"/>
        <v>1</v>
      </c>
      <c r="H225" s="182">
        <v>18832.570294789966</v>
      </c>
      <c r="I225" s="181">
        <v>6600</v>
      </c>
      <c r="J225" s="183">
        <v>24.068514545730444</v>
      </c>
      <c r="K225" s="181">
        <f t="shared" si="24"/>
        <v>4</v>
      </c>
      <c r="L225" s="181">
        <f t="shared" si="25"/>
        <v>1</v>
      </c>
      <c r="M225" s="181">
        <f t="shared" si="26"/>
        <v>1</v>
      </c>
      <c r="N225" s="182">
        <v>4783.4728548766525</v>
      </c>
      <c r="O225" s="181">
        <v>2400</v>
      </c>
      <c r="P225" s="181">
        <v>18951.586256480663</v>
      </c>
      <c r="Q225">
        <v>414</v>
      </c>
      <c r="R225">
        <v>1105.3024868650327</v>
      </c>
      <c r="S225" s="88">
        <f t="shared" si="27"/>
        <v>8702.7753417416861</v>
      </c>
    </row>
    <row r="226" spans="1:19" x14ac:dyDescent="0.25">
      <c r="A226" s="325">
        <v>15</v>
      </c>
      <c r="B226" s="325" t="s">
        <v>30</v>
      </c>
      <c r="C226" s="326">
        <v>223.56586605260006</v>
      </c>
      <c r="D226" s="181">
        <v>223.56586605260006</v>
      </c>
      <c r="E226" s="181">
        <f t="shared" si="21"/>
        <v>28</v>
      </c>
      <c r="F226" s="181">
        <f t="shared" si="22"/>
        <v>6</v>
      </c>
      <c r="G226" s="181">
        <f t="shared" si="23"/>
        <v>2</v>
      </c>
      <c r="H226" s="182">
        <v>44432.37448275795</v>
      </c>
      <c r="I226" s="181">
        <v>13200</v>
      </c>
      <c r="J226" s="183">
        <v>56.785729977360418</v>
      </c>
      <c r="K226" s="181">
        <f t="shared" si="24"/>
        <v>8</v>
      </c>
      <c r="L226" s="181">
        <f t="shared" si="25"/>
        <v>2</v>
      </c>
      <c r="M226" s="181">
        <f t="shared" si="26"/>
        <v>1</v>
      </c>
      <c r="N226" s="182">
        <v>11285.823118620521</v>
      </c>
      <c r="O226" s="181">
        <v>4800</v>
      </c>
      <c r="P226" s="181">
        <v>44713.173210520014</v>
      </c>
      <c r="Q226">
        <v>414</v>
      </c>
      <c r="R226">
        <v>1105.3024868650327</v>
      </c>
      <c r="S226" s="88">
        <f t="shared" si="27"/>
        <v>17605.125605485555</v>
      </c>
    </row>
    <row r="227" spans="1:19" x14ac:dyDescent="0.25">
      <c r="A227" s="325">
        <v>15</v>
      </c>
      <c r="B227" s="325" t="s">
        <v>31</v>
      </c>
      <c r="C227" s="326">
        <v>46.4</v>
      </c>
      <c r="D227" s="181">
        <v>46.4</v>
      </c>
      <c r="E227" s="181">
        <f t="shared" si="21"/>
        <v>6</v>
      </c>
      <c r="F227" s="181">
        <f t="shared" si="22"/>
        <v>2</v>
      </c>
      <c r="G227" s="181">
        <f t="shared" si="23"/>
        <v>1</v>
      </c>
      <c r="H227" s="182">
        <v>9221.7216000000008</v>
      </c>
      <c r="I227" s="181">
        <v>4800</v>
      </c>
      <c r="J227" s="183">
        <v>11.785600000000001</v>
      </c>
      <c r="K227" s="181">
        <f t="shared" si="24"/>
        <v>2</v>
      </c>
      <c r="L227" s="181">
        <f t="shared" si="25"/>
        <v>1</v>
      </c>
      <c r="M227" s="181">
        <f t="shared" si="26"/>
        <v>1</v>
      </c>
      <c r="N227" s="182">
        <v>2342.3172864000003</v>
      </c>
      <c r="O227" s="181">
        <v>1400</v>
      </c>
      <c r="P227" s="181">
        <v>9280</v>
      </c>
      <c r="Q227">
        <v>414</v>
      </c>
      <c r="R227">
        <v>1105.3024868650327</v>
      </c>
      <c r="S227" s="88">
        <f t="shared" si="27"/>
        <v>5261.6197732650326</v>
      </c>
    </row>
    <row r="228" spans="1:19" x14ac:dyDescent="0.25">
      <c r="A228" s="325">
        <v>15</v>
      </c>
      <c r="B228" s="325" t="s">
        <v>32</v>
      </c>
      <c r="C228" s="326">
        <v>371.27867026419102</v>
      </c>
      <c r="D228" s="181">
        <v>371.27867026419102</v>
      </c>
      <c r="E228" s="181">
        <f t="shared" si="21"/>
        <v>47</v>
      </c>
      <c r="F228" s="181">
        <f t="shared" si="22"/>
        <v>10</v>
      </c>
      <c r="G228" s="181">
        <f t="shared" si="23"/>
        <v>3</v>
      </c>
      <c r="H228" s="182">
        <v>73789.408042986397</v>
      </c>
      <c r="I228" s="181">
        <v>19800</v>
      </c>
      <c r="J228" s="183">
        <v>94.304782247104527</v>
      </c>
      <c r="K228" s="181">
        <f t="shared" si="24"/>
        <v>12</v>
      </c>
      <c r="L228" s="181">
        <f t="shared" si="25"/>
        <v>3</v>
      </c>
      <c r="M228" s="181">
        <f t="shared" si="26"/>
        <v>1</v>
      </c>
      <c r="N228" s="182">
        <v>18742.509642918543</v>
      </c>
      <c r="O228" s="181">
        <v>6600</v>
      </c>
      <c r="P228" s="181">
        <v>74255.734052838205</v>
      </c>
      <c r="Q228">
        <v>414</v>
      </c>
      <c r="R228">
        <v>1105.3024868650327</v>
      </c>
      <c r="S228" s="88">
        <f t="shared" si="27"/>
        <v>26861.812129783575</v>
      </c>
    </row>
    <row r="229" spans="1:19" x14ac:dyDescent="0.25">
      <c r="A229" s="325">
        <v>15</v>
      </c>
      <c r="B229" s="325" t="s">
        <v>33</v>
      </c>
      <c r="C229" s="326">
        <v>327.867497813608</v>
      </c>
      <c r="D229" s="181">
        <v>327.867497813608</v>
      </c>
      <c r="E229" s="181">
        <f t="shared" si="21"/>
        <v>41</v>
      </c>
      <c r="F229" s="181">
        <f t="shared" si="22"/>
        <v>9</v>
      </c>
      <c r="G229" s="181">
        <f t="shared" si="23"/>
        <v>3</v>
      </c>
      <c r="H229" s="182">
        <v>65161.697985467719</v>
      </c>
      <c r="I229" s="181">
        <v>19800</v>
      </c>
      <c r="J229" s="183">
        <v>83.278344444656426</v>
      </c>
      <c r="K229" s="181">
        <f t="shared" si="24"/>
        <v>11</v>
      </c>
      <c r="L229" s="181">
        <f t="shared" si="25"/>
        <v>3</v>
      </c>
      <c r="M229" s="181">
        <f t="shared" si="26"/>
        <v>1</v>
      </c>
      <c r="N229" s="182">
        <v>16551.071288308798</v>
      </c>
      <c r="O229" s="181">
        <v>6600</v>
      </c>
      <c r="P229" s="181">
        <v>65573.499562721598</v>
      </c>
      <c r="Q229">
        <v>414</v>
      </c>
      <c r="R229">
        <v>1105.3024868650327</v>
      </c>
      <c r="S229" s="88">
        <f t="shared" si="27"/>
        <v>24670.37377517383</v>
      </c>
    </row>
    <row r="230" spans="1:19" x14ac:dyDescent="0.25">
      <c r="A230" s="325">
        <v>15</v>
      </c>
      <c r="B230" s="325" t="s">
        <v>34</v>
      </c>
      <c r="C230" s="326">
        <v>159.03044196828702</v>
      </c>
      <c r="D230" s="181">
        <v>159.03044196828702</v>
      </c>
      <c r="E230" s="181">
        <f t="shared" si="21"/>
        <v>20</v>
      </c>
      <c r="F230" s="181">
        <f t="shared" si="22"/>
        <v>4</v>
      </c>
      <c r="G230" s="181">
        <f t="shared" si="23"/>
        <v>1</v>
      </c>
      <c r="H230" s="182">
        <v>31606.346158545239</v>
      </c>
      <c r="I230" s="181">
        <v>6600</v>
      </c>
      <c r="J230" s="183">
        <v>40.393732259944905</v>
      </c>
      <c r="K230" s="181">
        <f t="shared" si="24"/>
        <v>6</v>
      </c>
      <c r="L230" s="181">
        <f t="shared" si="25"/>
        <v>2</v>
      </c>
      <c r="M230" s="181">
        <f t="shared" si="26"/>
        <v>1</v>
      </c>
      <c r="N230" s="182">
        <v>8028.0119242704914</v>
      </c>
      <c r="O230" s="181">
        <v>4800</v>
      </c>
      <c r="P230" s="181">
        <v>31806.088393657403</v>
      </c>
      <c r="Q230">
        <v>414</v>
      </c>
      <c r="R230">
        <v>1105.3024868650327</v>
      </c>
      <c r="S230" s="88">
        <f t="shared" si="27"/>
        <v>14347.314411135525</v>
      </c>
    </row>
    <row r="231" spans="1:19" x14ac:dyDescent="0.25">
      <c r="A231" s="325">
        <v>15</v>
      </c>
      <c r="B231" s="325" t="s">
        <v>130</v>
      </c>
      <c r="C231" s="326">
        <v>110.44864117532499</v>
      </c>
      <c r="D231" s="181">
        <v>110.44864117532499</v>
      </c>
      <c r="E231" s="181">
        <f t="shared" si="21"/>
        <v>14</v>
      </c>
      <c r="F231" s="181">
        <f t="shared" si="22"/>
        <v>3</v>
      </c>
      <c r="G231" s="181">
        <f t="shared" si="23"/>
        <v>1</v>
      </c>
      <c r="H231" s="182">
        <v>21951.004741748795</v>
      </c>
      <c r="I231" s="181">
        <v>6600</v>
      </c>
      <c r="J231" s="183">
        <v>28.053954858532549</v>
      </c>
      <c r="K231" s="181">
        <f t="shared" si="24"/>
        <v>4</v>
      </c>
      <c r="L231" s="181">
        <f t="shared" si="25"/>
        <v>1</v>
      </c>
      <c r="M231" s="181">
        <f t="shared" si="26"/>
        <v>1</v>
      </c>
      <c r="N231" s="182">
        <v>5575.5552044041933</v>
      </c>
      <c r="O231" s="181">
        <v>2400</v>
      </c>
      <c r="P231" s="181">
        <v>22089.728235064998</v>
      </c>
      <c r="Q231">
        <v>414</v>
      </c>
      <c r="R231">
        <v>1105.3024868650327</v>
      </c>
      <c r="S231" s="88">
        <f t="shared" si="27"/>
        <v>9494.8576912692261</v>
      </c>
    </row>
    <row r="232" spans="1:19" x14ac:dyDescent="0.25">
      <c r="A232" s="325">
        <v>15</v>
      </c>
      <c r="B232" s="325" t="s">
        <v>35</v>
      </c>
      <c r="C232" s="326">
        <v>92.825640409695595</v>
      </c>
      <c r="D232" s="181">
        <v>92.825640409695595</v>
      </c>
      <c r="E232" s="181">
        <f t="shared" si="21"/>
        <v>12</v>
      </c>
      <c r="F232" s="181">
        <f t="shared" si="22"/>
        <v>3</v>
      </c>
      <c r="G232" s="181">
        <f t="shared" si="23"/>
        <v>1</v>
      </c>
      <c r="H232" s="182">
        <v>18448.539077584544</v>
      </c>
      <c r="I232" s="181">
        <v>6600</v>
      </c>
      <c r="J232" s="183">
        <v>23.57771266406268</v>
      </c>
      <c r="K232" s="181">
        <f t="shared" si="24"/>
        <v>3</v>
      </c>
      <c r="L232" s="181">
        <f t="shared" si="25"/>
        <v>1</v>
      </c>
      <c r="M232" s="181">
        <f t="shared" si="26"/>
        <v>1</v>
      </c>
      <c r="N232" s="182">
        <v>4685.9289257064738</v>
      </c>
      <c r="O232" s="181">
        <v>2100</v>
      </c>
      <c r="P232" s="181">
        <v>18565.128081939118</v>
      </c>
      <c r="Q232">
        <v>414</v>
      </c>
      <c r="R232">
        <v>1105.3024868650327</v>
      </c>
      <c r="S232" s="88">
        <f t="shared" si="27"/>
        <v>8305.2314125715056</v>
      </c>
    </row>
    <row r="233" spans="1:19" x14ac:dyDescent="0.25">
      <c r="A233" s="325">
        <v>15</v>
      </c>
      <c r="B233" s="325" t="s">
        <v>36</v>
      </c>
      <c r="C233" s="326">
        <v>248.03090243499986</v>
      </c>
      <c r="D233" s="181">
        <v>248.03090243499986</v>
      </c>
      <c r="E233" s="181">
        <f t="shared" si="21"/>
        <v>32</v>
      </c>
      <c r="F233" s="181">
        <f t="shared" si="22"/>
        <v>7</v>
      </c>
      <c r="G233" s="181">
        <f t="shared" si="23"/>
        <v>2</v>
      </c>
      <c r="H233" s="182">
        <v>49294.653673541616</v>
      </c>
      <c r="I233" s="181">
        <v>13200</v>
      </c>
      <c r="J233" s="183">
        <v>62.999849218489963</v>
      </c>
      <c r="K233" s="181">
        <f t="shared" si="24"/>
        <v>8</v>
      </c>
      <c r="L233" s="181">
        <f t="shared" si="25"/>
        <v>2</v>
      </c>
      <c r="M233" s="181">
        <f t="shared" si="26"/>
        <v>1</v>
      </c>
      <c r="N233" s="182">
        <v>12520.842033079571</v>
      </c>
      <c r="O233" s="181">
        <v>4800</v>
      </c>
      <c r="P233" s="181">
        <v>49606.180486999969</v>
      </c>
      <c r="Q233">
        <v>414</v>
      </c>
      <c r="R233">
        <v>1105.3024868650327</v>
      </c>
      <c r="S233" s="88">
        <f t="shared" si="27"/>
        <v>18840.144519944603</v>
      </c>
    </row>
    <row r="234" spans="1:19" x14ac:dyDescent="0.25">
      <c r="A234" s="325">
        <v>15</v>
      </c>
      <c r="B234" s="325" t="s">
        <v>37</v>
      </c>
      <c r="C234" s="326">
        <v>182.43984170529504</v>
      </c>
      <c r="D234" s="181">
        <v>182.43984170529504</v>
      </c>
      <c r="E234" s="181">
        <f t="shared" si="21"/>
        <v>23</v>
      </c>
      <c r="F234" s="181">
        <f t="shared" si="22"/>
        <v>5</v>
      </c>
      <c r="G234" s="181">
        <f t="shared" si="23"/>
        <v>2</v>
      </c>
      <c r="H234" s="182">
        <v>36258.823899877163</v>
      </c>
      <c r="I234" s="181">
        <v>13200</v>
      </c>
      <c r="J234" s="183">
        <v>46.339719793144937</v>
      </c>
      <c r="K234" s="181">
        <f t="shared" si="24"/>
        <v>6</v>
      </c>
      <c r="L234" s="181">
        <f t="shared" si="25"/>
        <v>2</v>
      </c>
      <c r="M234" s="181">
        <f t="shared" si="26"/>
        <v>1</v>
      </c>
      <c r="N234" s="182">
        <v>9209.7412705687984</v>
      </c>
      <c r="O234" s="181">
        <v>4800</v>
      </c>
      <c r="P234" s="181">
        <v>36487.968341059008</v>
      </c>
      <c r="Q234">
        <v>414</v>
      </c>
      <c r="R234">
        <v>1105.3024868650327</v>
      </c>
      <c r="S234" s="88">
        <f t="shared" si="27"/>
        <v>15529.043757433832</v>
      </c>
    </row>
    <row r="235" spans="1:19" x14ac:dyDescent="0.25">
      <c r="A235" s="325">
        <v>15</v>
      </c>
      <c r="B235" s="325" t="s">
        <v>38</v>
      </c>
      <c r="C235" s="326">
        <v>105.527376954738</v>
      </c>
      <c r="D235" s="181">
        <v>105.527376954738</v>
      </c>
      <c r="E235" s="181">
        <f t="shared" si="21"/>
        <v>14</v>
      </c>
      <c r="F235" s="181">
        <f t="shared" si="22"/>
        <v>3</v>
      </c>
      <c r="G235" s="181">
        <f t="shared" si="23"/>
        <v>1</v>
      </c>
      <c r="H235" s="182">
        <v>20972.933005492454</v>
      </c>
      <c r="I235" s="181">
        <v>6600</v>
      </c>
      <c r="J235" s="183">
        <v>26.803953746503453</v>
      </c>
      <c r="K235" s="181">
        <f t="shared" si="24"/>
        <v>4</v>
      </c>
      <c r="L235" s="181">
        <f t="shared" si="25"/>
        <v>1</v>
      </c>
      <c r="M235" s="181">
        <f t="shared" si="26"/>
        <v>1</v>
      </c>
      <c r="N235" s="182">
        <v>5327.1249833950833</v>
      </c>
      <c r="O235" s="181">
        <v>2400</v>
      </c>
      <c r="P235" s="181">
        <v>21105.475390947602</v>
      </c>
      <c r="Q235">
        <v>414</v>
      </c>
      <c r="R235">
        <v>1105.3024868650327</v>
      </c>
      <c r="S235" s="88">
        <f t="shared" si="27"/>
        <v>9246.427470260116</v>
      </c>
    </row>
    <row r="236" spans="1:19" x14ac:dyDescent="0.25">
      <c r="A236" s="325">
        <v>15</v>
      </c>
      <c r="B236" s="325" t="s">
        <v>39</v>
      </c>
      <c r="C236" s="326">
        <v>144.47236140497617</v>
      </c>
      <c r="D236" s="181">
        <v>144.47236140497617</v>
      </c>
      <c r="E236" s="181">
        <f t="shared" si="21"/>
        <v>19</v>
      </c>
      <c r="F236" s="181">
        <f t="shared" si="22"/>
        <v>4</v>
      </c>
      <c r="G236" s="181">
        <f t="shared" si="23"/>
        <v>1</v>
      </c>
      <c r="H236" s="182">
        <v>28713.014995070589</v>
      </c>
      <c r="I236" s="181">
        <v>6600</v>
      </c>
      <c r="J236" s="183">
        <v>36.695979796863945</v>
      </c>
      <c r="K236" s="181">
        <f t="shared" si="24"/>
        <v>5</v>
      </c>
      <c r="L236" s="181">
        <f t="shared" si="25"/>
        <v>1</v>
      </c>
      <c r="M236" s="181">
        <f t="shared" si="26"/>
        <v>1</v>
      </c>
      <c r="N236" s="182">
        <v>7293.1058087479287</v>
      </c>
      <c r="O236" s="181">
        <v>2400</v>
      </c>
      <c r="P236" s="181">
        <v>28894.472280995233</v>
      </c>
      <c r="Q236">
        <v>414</v>
      </c>
      <c r="R236">
        <v>1105.3024868650327</v>
      </c>
      <c r="S236" s="88">
        <f t="shared" si="27"/>
        <v>11212.408295612961</v>
      </c>
    </row>
    <row r="237" spans="1:19" x14ac:dyDescent="0.25">
      <c r="A237" s="325">
        <v>15</v>
      </c>
      <c r="B237" s="325" t="s">
        <v>40</v>
      </c>
      <c r="C237" s="326">
        <v>285.804926829745</v>
      </c>
      <c r="D237" s="181">
        <v>285.804926829745</v>
      </c>
      <c r="E237" s="181">
        <f t="shared" si="21"/>
        <v>36</v>
      </c>
      <c r="F237" s="181">
        <f t="shared" si="22"/>
        <v>8</v>
      </c>
      <c r="G237" s="181">
        <f t="shared" si="23"/>
        <v>2</v>
      </c>
      <c r="H237" s="182">
        <v>56802.01437785085</v>
      </c>
      <c r="I237" s="181">
        <v>13200</v>
      </c>
      <c r="J237" s="183">
        <v>72.594451414755227</v>
      </c>
      <c r="K237" s="181">
        <f t="shared" si="24"/>
        <v>10</v>
      </c>
      <c r="L237" s="181">
        <f t="shared" si="25"/>
        <v>2</v>
      </c>
      <c r="M237" s="181">
        <f t="shared" si="26"/>
        <v>1</v>
      </c>
      <c r="N237" s="182">
        <v>14427.711651974116</v>
      </c>
      <c r="O237" s="181">
        <v>4800</v>
      </c>
      <c r="P237" s="181">
        <v>57160.985365949004</v>
      </c>
      <c r="Q237">
        <v>414</v>
      </c>
      <c r="R237">
        <v>1105.3024868650327</v>
      </c>
      <c r="S237" s="88">
        <f t="shared" si="27"/>
        <v>20747.014138839149</v>
      </c>
    </row>
    <row r="238" spans="1:19" x14ac:dyDescent="0.25">
      <c r="A238" s="325">
        <v>15</v>
      </c>
      <c r="B238" s="325" t="s">
        <v>41</v>
      </c>
      <c r="C238" s="326">
        <v>73.938503372355498</v>
      </c>
      <c r="D238" s="181">
        <v>73.938503372355498</v>
      </c>
      <c r="E238" s="181">
        <f t="shared" si="21"/>
        <v>10</v>
      </c>
      <c r="F238" s="181">
        <f t="shared" si="22"/>
        <v>2</v>
      </c>
      <c r="G238" s="181">
        <f t="shared" si="23"/>
        <v>1</v>
      </c>
      <c r="H238" s="182">
        <v>14694.833914235423</v>
      </c>
      <c r="I238" s="181">
        <v>4800</v>
      </c>
      <c r="J238" s="183">
        <v>18.780379856578296</v>
      </c>
      <c r="K238" s="181">
        <f t="shared" si="24"/>
        <v>3</v>
      </c>
      <c r="L238" s="181">
        <f t="shared" si="25"/>
        <v>1</v>
      </c>
      <c r="M238" s="181">
        <f t="shared" si="26"/>
        <v>1</v>
      </c>
      <c r="N238" s="182">
        <v>3732.4878142157972</v>
      </c>
      <c r="O238" s="181">
        <v>2100</v>
      </c>
      <c r="P238" s="181">
        <v>14787.7006744711</v>
      </c>
      <c r="Q238">
        <v>414</v>
      </c>
      <c r="R238">
        <v>1105.3024868650327</v>
      </c>
      <c r="S238" s="88">
        <f t="shared" si="27"/>
        <v>7351.7903010808295</v>
      </c>
    </row>
    <row r="239" spans="1:19" x14ac:dyDescent="0.25">
      <c r="A239" s="325">
        <v>15</v>
      </c>
      <c r="B239" s="325" t="s">
        <v>131</v>
      </c>
      <c r="C239" s="326">
        <v>51.749208643597797</v>
      </c>
      <c r="D239" s="181">
        <v>51.749208643597797</v>
      </c>
      <c r="E239" s="181">
        <f t="shared" si="21"/>
        <v>7</v>
      </c>
      <c r="F239" s="181">
        <f t="shared" si="22"/>
        <v>2</v>
      </c>
      <c r="G239" s="181">
        <f t="shared" si="23"/>
        <v>1</v>
      </c>
      <c r="H239" s="182">
        <v>10284.844722663202</v>
      </c>
      <c r="I239" s="181">
        <v>4800</v>
      </c>
      <c r="J239" s="183">
        <v>13.144298995473841</v>
      </c>
      <c r="K239" s="181">
        <f t="shared" si="24"/>
        <v>2</v>
      </c>
      <c r="L239" s="181">
        <f t="shared" si="25"/>
        <v>1</v>
      </c>
      <c r="M239" s="181">
        <f t="shared" si="26"/>
        <v>1</v>
      </c>
      <c r="N239" s="182">
        <v>2612.3505595564534</v>
      </c>
      <c r="O239" s="181">
        <v>1400</v>
      </c>
      <c r="P239" s="181">
        <v>10349.841728719559</v>
      </c>
      <c r="Q239">
        <v>414</v>
      </c>
      <c r="R239">
        <v>1105.3024868650327</v>
      </c>
      <c r="S239" s="88">
        <f t="shared" si="27"/>
        <v>5531.6530464214866</v>
      </c>
    </row>
    <row r="240" spans="1:19" x14ac:dyDescent="0.25">
      <c r="A240" s="325">
        <v>15</v>
      </c>
      <c r="B240" s="325" t="s">
        <v>42</v>
      </c>
      <c r="C240" s="326">
        <v>237.24007378688106</v>
      </c>
      <c r="D240" s="181">
        <v>237.24007378688106</v>
      </c>
      <c r="E240" s="181">
        <f t="shared" si="21"/>
        <v>30</v>
      </c>
      <c r="F240" s="181">
        <f t="shared" si="22"/>
        <v>6</v>
      </c>
      <c r="G240" s="181">
        <f t="shared" si="23"/>
        <v>2</v>
      </c>
      <c r="H240" s="182">
        <v>47150.041224699897</v>
      </c>
      <c r="I240" s="181">
        <v>13200</v>
      </c>
      <c r="J240" s="183">
        <v>60.258978741867786</v>
      </c>
      <c r="K240" s="181">
        <f t="shared" si="24"/>
        <v>8</v>
      </c>
      <c r="L240" s="181">
        <f t="shared" si="25"/>
        <v>2</v>
      </c>
      <c r="M240" s="181">
        <f t="shared" si="26"/>
        <v>1</v>
      </c>
      <c r="N240" s="182">
        <v>11976.110471073773</v>
      </c>
      <c r="O240" s="181">
        <v>4800</v>
      </c>
      <c r="P240" s="181">
        <v>47448.014757376208</v>
      </c>
      <c r="Q240">
        <v>414</v>
      </c>
      <c r="R240">
        <v>1105.3024868650327</v>
      </c>
      <c r="S240" s="88">
        <f t="shared" si="27"/>
        <v>18295.412957938806</v>
      </c>
    </row>
    <row r="241" spans="1:19" x14ac:dyDescent="0.25">
      <c r="A241" s="325">
        <v>15</v>
      </c>
      <c r="B241" s="325" t="s">
        <v>43</v>
      </c>
      <c r="C241" s="326">
        <v>497.33628658645318</v>
      </c>
      <c r="D241" s="181">
        <v>497.33628658645318</v>
      </c>
      <c r="E241" s="181">
        <f t="shared" si="21"/>
        <v>63</v>
      </c>
      <c r="F241" s="181">
        <f t="shared" si="22"/>
        <v>13</v>
      </c>
      <c r="G241" s="181">
        <f t="shared" si="23"/>
        <v>4</v>
      </c>
      <c r="H241" s="182">
        <v>98842.60294133806</v>
      </c>
      <c r="I241" s="181">
        <v>26400</v>
      </c>
      <c r="J241" s="183">
        <v>126.32341679295911</v>
      </c>
      <c r="K241" s="181">
        <f t="shared" si="24"/>
        <v>16</v>
      </c>
      <c r="L241" s="181">
        <f t="shared" si="25"/>
        <v>4</v>
      </c>
      <c r="M241" s="181">
        <f t="shared" si="26"/>
        <v>1</v>
      </c>
      <c r="N241" s="182">
        <v>25106.021147099869</v>
      </c>
      <c r="O241" s="181">
        <v>6600</v>
      </c>
      <c r="P241" s="181">
        <v>99467.257317290641</v>
      </c>
      <c r="Q241">
        <v>414</v>
      </c>
      <c r="R241">
        <v>1105.3024868650327</v>
      </c>
      <c r="S241" s="88">
        <f t="shared" si="27"/>
        <v>33225.323633964901</v>
      </c>
    </row>
    <row r="242" spans="1:19" x14ac:dyDescent="0.25">
      <c r="A242" s="325">
        <v>15</v>
      </c>
      <c r="B242" s="325" t="s">
        <v>44</v>
      </c>
      <c r="C242" s="326">
        <v>308.1101287298884</v>
      </c>
      <c r="D242" s="181">
        <v>308.1101287298884</v>
      </c>
      <c r="E242" s="181">
        <f t="shared" si="21"/>
        <v>39</v>
      </c>
      <c r="F242" s="181">
        <f t="shared" si="22"/>
        <v>8</v>
      </c>
      <c r="G242" s="181">
        <f t="shared" si="23"/>
        <v>2</v>
      </c>
      <c r="H242" s="182">
        <v>61235.039424292947</v>
      </c>
      <c r="I242" s="181">
        <v>13200</v>
      </c>
      <c r="J242" s="183">
        <v>78.25997269739166</v>
      </c>
      <c r="K242" s="181">
        <f t="shared" si="24"/>
        <v>10</v>
      </c>
      <c r="L242" s="181">
        <f t="shared" si="25"/>
        <v>2</v>
      </c>
      <c r="M242" s="181">
        <f t="shared" si="26"/>
        <v>1</v>
      </c>
      <c r="N242" s="182">
        <v>15553.700013770411</v>
      </c>
      <c r="O242" s="181">
        <v>4800</v>
      </c>
      <c r="P242" s="181">
        <v>61622.025745977677</v>
      </c>
      <c r="Q242">
        <v>414</v>
      </c>
      <c r="R242">
        <v>1105.3024868650327</v>
      </c>
      <c r="S242" s="88">
        <f t="shared" si="27"/>
        <v>21873.002500635444</v>
      </c>
    </row>
    <row r="243" spans="1:19" x14ac:dyDescent="0.25">
      <c r="A243" s="325">
        <v>15</v>
      </c>
      <c r="B243" s="325" t="s">
        <v>45</v>
      </c>
      <c r="C243" s="326">
        <v>104.36077465419243</v>
      </c>
      <c r="D243" s="181">
        <v>104.36077465419243</v>
      </c>
      <c r="E243" s="181">
        <f t="shared" si="21"/>
        <v>14</v>
      </c>
      <c r="F243" s="181">
        <f t="shared" si="22"/>
        <v>3</v>
      </c>
      <c r="G243" s="181">
        <f t="shared" si="23"/>
        <v>1</v>
      </c>
      <c r="H243" s="182">
        <v>20741.077797872822</v>
      </c>
      <c r="I243" s="181">
        <v>6600</v>
      </c>
      <c r="J243" s="183">
        <v>26.507636762164875</v>
      </c>
      <c r="K243" s="181">
        <f t="shared" si="24"/>
        <v>4</v>
      </c>
      <c r="L243" s="181">
        <f t="shared" si="25"/>
        <v>1</v>
      </c>
      <c r="M243" s="181">
        <f t="shared" si="26"/>
        <v>1</v>
      </c>
      <c r="N243" s="182">
        <v>5268.2337606596966</v>
      </c>
      <c r="O243" s="181">
        <v>2400</v>
      </c>
      <c r="P243" s="181">
        <v>20872.154930838486</v>
      </c>
      <c r="Q243">
        <v>414</v>
      </c>
      <c r="R243">
        <v>1105.3024868650327</v>
      </c>
      <c r="S243" s="88">
        <f t="shared" si="27"/>
        <v>9187.5362475247293</v>
      </c>
    </row>
    <row r="244" spans="1:19" x14ac:dyDescent="0.25">
      <c r="A244" s="325">
        <v>15</v>
      </c>
      <c r="B244" s="325" t="s">
        <v>46</v>
      </c>
      <c r="C244" s="326">
        <v>318.46770873005829</v>
      </c>
      <c r="D244" s="181">
        <v>318.46770873005829</v>
      </c>
      <c r="E244" s="181">
        <f t="shared" si="21"/>
        <v>40</v>
      </c>
      <c r="F244" s="181">
        <f t="shared" si="22"/>
        <v>8</v>
      </c>
      <c r="G244" s="181">
        <f t="shared" si="23"/>
        <v>2</v>
      </c>
      <c r="H244" s="182">
        <v>63293.546303846713</v>
      </c>
      <c r="I244" s="181">
        <v>13200</v>
      </c>
      <c r="J244" s="183">
        <v>80.890798017434804</v>
      </c>
      <c r="K244" s="181">
        <f t="shared" si="24"/>
        <v>11</v>
      </c>
      <c r="L244" s="181">
        <f t="shared" si="25"/>
        <v>3</v>
      </c>
      <c r="M244" s="181">
        <f t="shared" si="26"/>
        <v>1</v>
      </c>
      <c r="N244" s="182">
        <v>16076.560761177065</v>
      </c>
      <c r="O244" s="181">
        <v>6600</v>
      </c>
      <c r="P244" s="181">
        <v>63693.541746011659</v>
      </c>
      <c r="Q244">
        <v>414</v>
      </c>
      <c r="R244">
        <v>1105.3024868650327</v>
      </c>
      <c r="S244" s="88">
        <f t="shared" si="27"/>
        <v>24195.863248042097</v>
      </c>
    </row>
    <row r="245" spans="1:19" x14ac:dyDescent="0.25">
      <c r="A245" s="325">
        <v>15</v>
      </c>
      <c r="B245" s="325" t="s">
        <v>47</v>
      </c>
      <c r="C245" s="326">
        <v>379.46341693216021</v>
      </c>
      <c r="D245" s="181">
        <v>379.46341693216021</v>
      </c>
      <c r="E245" s="181">
        <f t="shared" si="21"/>
        <v>48</v>
      </c>
      <c r="F245" s="181">
        <f t="shared" si="22"/>
        <v>10</v>
      </c>
      <c r="G245" s="181">
        <f t="shared" si="23"/>
        <v>3</v>
      </c>
      <c r="H245" s="182">
        <v>75416.077334765258</v>
      </c>
      <c r="I245" s="181">
        <v>19800</v>
      </c>
      <c r="J245" s="183">
        <v>96.383707900768698</v>
      </c>
      <c r="K245" s="181">
        <f t="shared" si="24"/>
        <v>13</v>
      </c>
      <c r="L245" s="181">
        <f t="shared" si="25"/>
        <v>3</v>
      </c>
      <c r="M245" s="181">
        <f t="shared" si="26"/>
        <v>1</v>
      </c>
      <c r="N245" s="182">
        <v>19155.683643030377</v>
      </c>
      <c r="O245" s="181">
        <v>6600</v>
      </c>
      <c r="P245" s="181">
        <v>75892.683386432036</v>
      </c>
      <c r="Q245">
        <v>414</v>
      </c>
      <c r="R245">
        <v>1105.3024868650327</v>
      </c>
      <c r="S245" s="88">
        <f t="shared" si="27"/>
        <v>27274.986129895409</v>
      </c>
    </row>
    <row r="246" spans="1:19" x14ac:dyDescent="0.25">
      <c r="A246" s="325">
        <v>15</v>
      </c>
      <c r="B246" s="325" t="s">
        <v>48</v>
      </c>
      <c r="C246" s="326">
        <v>300.57263512681931</v>
      </c>
      <c r="D246" s="181">
        <v>300.57263512681931</v>
      </c>
      <c r="E246" s="181">
        <f t="shared" si="21"/>
        <v>38</v>
      </c>
      <c r="F246" s="181">
        <f t="shared" si="22"/>
        <v>8</v>
      </c>
      <c r="G246" s="181">
        <f t="shared" si="23"/>
        <v>2</v>
      </c>
      <c r="H246" s="182">
        <v>59737.007795644582</v>
      </c>
      <c r="I246" s="181">
        <v>13200</v>
      </c>
      <c r="J246" s="183">
        <v>76.345449322212104</v>
      </c>
      <c r="K246" s="181">
        <f t="shared" si="24"/>
        <v>10</v>
      </c>
      <c r="L246" s="181">
        <f t="shared" si="25"/>
        <v>2</v>
      </c>
      <c r="M246" s="181">
        <f t="shared" si="26"/>
        <v>1</v>
      </c>
      <c r="N246" s="182">
        <v>15173.199980093725</v>
      </c>
      <c r="O246" s="181">
        <v>4800</v>
      </c>
      <c r="P246" s="181">
        <v>60114.527025363859</v>
      </c>
      <c r="Q246">
        <v>414</v>
      </c>
      <c r="R246">
        <v>1105.3024868650327</v>
      </c>
      <c r="S246" s="88">
        <f t="shared" si="27"/>
        <v>21492.502466958758</v>
      </c>
    </row>
    <row r="247" spans="1:19" x14ac:dyDescent="0.25">
      <c r="A247" s="325">
        <v>15</v>
      </c>
      <c r="B247" s="325" t="s">
        <v>49</v>
      </c>
      <c r="C247" s="326">
        <v>403.13330647215156</v>
      </c>
      <c r="D247" s="181">
        <v>403.13330647215156</v>
      </c>
      <c r="E247" s="181">
        <f t="shared" si="21"/>
        <v>51</v>
      </c>
      <c r="F247" s="181">
        <f t="shared" si="22"/>
        <v>11</v>
      </c>
      <c r="G247" s="181">
        <f t="shared" si="23"/>
        <v>3</v>
      </c>
      <c r="H247" s="182">
        <v>80120.325861501304</v>
      </c>
      <c r="I247" s="181">
        <v>19800</v>
      </c>
      <c r="J247" s="183">
        <v>102.3958598439265</v>
      </c>
      <c r="K247" s="181">
        <f t="shared" si="24"/>
        <v>13</v>
      </c>
      <c r="L247" s="181">
        <f t="shared" si="25"/>
        <v>3</v>
      </c>
      <c r="M247" s="181">
        <f t="shared" si="26"/>
        <v>1</v>
      </c>
      <c r="N247" s="182">
        <v>20350.562768821332</v>
      </c>
      <c r="O247" s="181">
        <v>6600</v>
      </c>
      <c r="P247" s="181">
        <v>80626.661294430305</v>
      </c>
      <c r="Q247">
        <v>414</v>
      </c>
      <c r="R247">
        <v>1105.3024868650327</v>
      </c>
      <c r="S247" s="88">
        <f t="shared" si="27"/>
        <v>28469.865255686364</v>
      </c>
    </row>
    <row r="248" spans="1:19" x14ac:dyDescent="0.25">
      <c r="A248" s="325">
        <v>15</v>
      </c>
      <c r="B248" s="325" t="s">
        <v>50</v>
      </c>
      <c r="C248" s="326">
        <v>261.76065372653915</v>
      </c>
      <c r="D248" s="181">
        <v>261.76065372653915</v>
      </c>
      <c r="E248" s="181">
        <f t="shared" si="21"/>
        <v>33</v>
      </c>
      <c r="F248" s="181">
        <f t="shared" si="22"/>
        <v>7</v>
      </c>
      <c r="G248" s="181">
        <f t="shared" si="23"/>
        <v>2</v>
      </c>
      <c r="H248" s="182">
        <v>52023.359364227304</v>
      </c>
      <c r="I248" s="181">
        <v>13200</v>
      </c>
      <c r="J248" s="183">
        <v>66.487206046540948</v>
      </c>
      <c r="K248" s="181">
        <f t="shared" si="24"/>
        <v>9</v>
      </c>
      <c r="L248" s="181">
        <f t="shared" si="25"/>
        <v>2</v>
      </c>
      <c r="M248" s="181">
        <f t="shared" si="26"/>
        <v>1</v>
      </c>
      <c r="N248" s="182">
        <v>13213.933278513736</v>
      </c>
      <c r="O248" s="181">
        <v>4800</v>
      </c>
      <c r="P248" s="181">
        <v>52352.130745307826</v>
      </c>
      <c r="Q248">
        <v>414</v>
      </c>
      <c r="R248">
        <v>1105.3024868650327</v>
      </c>
      <c r="S248" s="88">
        <f t="shared" si="27"/>
        <v>19533.235765378769</v>
      </c>
    </row>
    <row r="249" spans="1:19" x14ac:dyDescent="0.25">
      <c r="A249" s="325">
        <v>15</v>
      </c>
      <c r="B249" s="325" t="s">
        <v>51</v>
      </c>
      <c r="C249" s="326">
        <v>221.82230493146375</v>
      </c>
      <c r="D249" s="181">
        <v>221.82230493146375</v>
      </c>
      <c r="E249" s="181">
        <f t="shared" si="21"/>
        <v>28</v>
      </c>
      <c r="F249" s="181">
        <f t="shared" si="22"/>
        <v>6</v>
      </c>
      <c r="G249" s="181">
        <f t="shared" si="23"/>
        <v>2</v>
      </c>
      <c r="H249" s="182">
        <v>44085.852171298837</v>
      </c>
      <c r="I249" s="181">
        <v>13200</v>
      </c>
      <c r="J249" s="183">
        <v>56.342865452591795</v>
      </c>
      <c r="K249" s="181">
        <f t="shared" si="24"/>
        <v>8</v>
      </c>
      <c r="L249" s="181">
        <f t="shared" si="25"/>
        <v>2</v>
      </c>
      <c r="M249" s="181">
        <f t="shared" si="26"/>
        <v>1</v>
      </c>
      <c r="N249" s="182">
        <v>11197.806451509905</v>
      </c>
      <c r="O249" s="181">
        <v>4800</v>
      </c>
      <c r="P249" s="181">
        <v>44364.460986292746</v>
      </c>
      <c r="Q249">
        <v>414</v>
      </c>
      <c r="R249">
        <v>1105.3024868650327</v>
      </c>
      <c r="S249" s="88">
        <f t="shared" si="27"/>
        <v>17517.108938374939</v>
      </c>
    </row>
    <row r="250" spans="1:19" x14ac:dyDescent="0.25">
      <c r="A250" s="325">
        <v>15</v>
      </c>
      <c r="B250" s="325" t="s">
        <v>52</v>
      </c>
      <c r="C250" s="326">
        <v>244.59045552333055</v>
      </c>
      <c r="D250" s="181">
        <v>244.59045552333055</v>
      </c>
      <c r="E250" s="181">
        <f t="shared" si="21"/>
        <v>31</v>
      </c>
      <c r="F250" s="181">
        <f t="shared" si="22"/>
        <v>7</v>
      </c>
      <c r="G250" s="181">
        <f t="shared" si="23"/>
        <v>2</v>
      </c>
      <c r="H250" s="182">
        <v>48610.885492528811</v>
      </c>
      <c r="I250" s="181">
        <v>13200</v>
      </c>
      <c r="J250" s="183">
        <v>62.125975702925963</v>
      </c>
      <c r="K250" s="181">
        <f t="shared" si="24"/>
        <v>8</v>
      </c>
      <c r="L250" s="181">
        <f t="shared" si="25"/>
        <v>2</v>
      </c>
      <c r="M250" s="181">
        <f t="shared" si="26"/>
        <v>1</v>
      </c>
      <c r="N250" s="182">
        <v>12347.164915102319</v>
      </c>
      <c r="O250" s="181">
        <v>4800</v>
      </c>
      <c r="P250" s="181">
        <v>48918.091104666106</v>
      </c>
      <c r="Q250">
        <v>414</v>
      </c>
      <c r="R250">
        <v>1105.3024868650327</v>
      </c>
      <c r="S250" s="88">
        <f t="shared" si="27"/>
        <v>18666.467401967351</v>
      </c>
    </row>
    <row r="251" spans="1:19" x14ac:dyDescent="0.25">
      <c r="A251" s="325">
        <v>15</v>
      </c>
      <c r="B251" s="325" t="s">
        <v>53</v>
      </c>
      <c r="C251" s="326">
        <v>113.81939225839545</v>
      </c>
      <c r="D251" s="181">
        <v>113.81939225839545</v>
      </c>
      <c r="E251" s="181">
        <f t="shared" si="21"/>
        <v>15</v>
      </c>
      <c r="F251" s="181">
        <f t="shared" si="22"/>
        <v>3</v>
      </c>
      <c r="G251" s="181">
        <f t="shared" si="23"/>
        <v>1</v>
      </c>
      <c r="H251" s="182">
        <v>22620.92129500255</v>
      </c>
      <c r="I251" s="181">
        <v>6600</v>
      </c>
      <c r="J251" s="183">
        <v>28.910125633632447</v>
      </c>
      <c r="K251" s="181">
        <f t="shared" si="24"/>
        <v>4</v>
      </c>
      <c r="L251" s="181">
        <f t="shared" si="25"/>
        <v>1</v>
      </c>
      <c r="M251" s="181">
        <f t="shared" si="26"/>
        <v>1</v>
      </c>
      <c r="N251" s="182">
        <v>5745.7140089306477</v>
      </c>
      <c r="O251" s="181">
        <v>2400</v>
      </c>
      <c r="P251" s="181">
        <v>22763.878451679091</v>
      </c>
      <c r="Q251">
        <v>414</v>
      </c>
      <c r="R251">
        <v>1105.3024868650327</v>
      </c>
      <c r="S251" s="88">
        <f t="shared" si="27"/>
        <v>9665.0164957956804</v>
      </c>
    </row>
    <row r="252" spans="1:19" x14ac:dyDescent="0.25">
      <c r="A252" s="325">
        <v>15</v>
      </c>
      <c r="B252" s="325" t="s">
        <v>54</v>
      </c>
      <c r="C252" s="326">
        <v>58.002061732068618</v>
      </c>
      <c r="D252" s="181">
        <v>58.002061732068618</v>
      </c>
      <c r="E252" s="181">
        <f t="shared" si="21"/>
        <v>8</v>
      </c>
      <c r="F252" s="181">
        <f t="shared" si="22"/>
        <v>2</v>
      </c>
      <c r="G252" s="181">
        <f t="shared" si="23"/>
        <v>1</v>
      </c>
      <c r="H252" s="182">
        <v>11527.561756878247</v>
      </c>
      <c r="I252" s="181">
        <v>4800</v>
      </c>
      <c r="J252" s="183">
        <v>14.732523679945428</v>
      </c>
      <c r="K252" s="181">
        <f t="shared" si="24"/>
        <v>2</v>
      </c>
      <c r="L252" s="181">
        <f t="shared" si="25"/>
        <v>1</v>
      </c>
      <c r="M252" s="181">
        <f t="shared" si="26"/>
        <v>1</v>
      </c>
      <c r="N252" s="182">
        <v>2928.0006862470746</v>
      </c>
      <c r="O252" s="181">
        <v>1400</v>
      </c>
      <c r="P252" s="181">
        <v>11600.412346413723</v>
      </c>
      <c r="Q252">
        <v>414</v>
      </c>
      <c r="R252">
        <v>1105.3024868650327</v>
      </c>
      <c r="S252" s="88">
        <f t="shared" si="27"/>
        <v>5847.3031731121073</v>
      </c>
    </row>
    <row r="253" spans="1:19" x14ac:dyDescent="0.25">
      <c r="A253" s="325">
        <v>15</v>
      </c>
      <c r="B253" s="325" t="s">
        <v>55</v>
      </c>
      <c r="C253" s="326">
        <v>98.122969491392709</v>
      </c>
      <c r="D253" s="181">
        <v>98.122969491392709</v>
      </c>
      <c r="E253" s="181">
        <f t="shared" si="21"/>
        <v>13</v>
      </c>
      <c r="F253" s="181">
        <f t="shared" si="22"/>
        <v>3</v>
      </c>
      <c r="G253" s="181">
        <f t="shared" si="23"/>
        <v>1</v>
      </c>
      <c r="H253" s="182">
        <v>19501.351448597354</v>
      </c>
      <c r="I253" s="181">
        <v>6600</v>
      </c>
      <c r="J253" s="183">
        <v>24.923234250813749</v>
      </c>
      <c r="K253" s="181">
        <f t="shared" si="24"/>
        <v>4</v>
      </c>
      <c r="L253" s="181">
        <f t="shared" si="25"/>
        <v>1</v>
      </c>
      <c r="M253" s="181">
        <f t="shared" si="26"/>
        <v>1</v>
      </c>
      <c r="N253" s="182">
        <v>4953.3432679437283</v>
      </c>
      <c r="O253" s="181">
        <v>2400</v>
      </c>
      <c r="P253" s="181">
        <v>19624.593898278541</v>
      </c>
      <c r="Q253">
        <v>414</v>
      </c>
      <c r="R253">
        <v>1105.3024868650327</v>
      </c>
      <c r="S253" s="88">
        <f t="shared" si="27"/>
        <v>8872.6457548087601</v>
      </c>
    </row>
    <row r="254" spans="1:19" x14ac:dyDescent="0.25">
      <c r="A254" s="325">
        <v>15</v>
      </c>
      <c r="B254" s="325" t="s">
        <v>56</v>
      </c>
      <c r="C254" s="326">
        <v>109.15537732199004</v>
      </c>
      <c r="D254" s="181">
        <v>109.15537732199004</v>
      </c>
      <c r="E254" s="181">
        <f t="shared" si="21"/>
        <v>14</v>
      </c>
      <c r="F254" s="181">
        <f t="shared" si="22"/>
        <v>3</v>
      </c>
      <c r="G254" s="181">
        <f t="shared" si="23"/>
        <v>1</v>
      </c>
      <c r="H254" s="182">
        <v>21693.976310481594</v>
      </c>
      <c r="I254" s="181">
        <v>6600</v>
      </c>
      <c r="J254" s="183">
        <v>27.725465839785471</v>
      </c>
      <c r="K254" s="181">
        <f t="shared" si="24"/>
        <v>4</v>
      </c>
      <c r="L254" s="181">
        <f t="shared" si="25"/>
        <v>1</v>
      </c>
      <c r="M254" s="181">
        <f t="shared" si="26"/>
        <v>1</v>
      </c>
      <c r="N254" s="182">
        <v>5510.2699828623245</v>
      </c>
      <c r="O254" s="181">
        <v>2400</v>
      </c>
      <c r="P254" s="181">
        <v>21831.075464398011</v>
      </c>
      <c r="Q254">
        <v>414</v>
      </c>
      <c r="R254">
        <v>1105.3024868650327</v>
      </c>
      <c r="S254" s="88">
        <f t="shared" si="27"/>
        <v>9429.5724697273581</v>
      </c>
    </row>
    <row r="255" spans="1:19" x14ac:dyDescent="0.25">
      <c r="A255" s="325">
        <v>15</v>
      </c>
      <c r="B255" s="325" t="s">
        <v>57</v>
      </c>
      <c r="C255" s="326">
        <v>133.48874696213281</v>
      </c>
      <c r="D255" s="181">
        <v>133.48874696213281</v>
      </c>
      <c r="E255" s="181">
        <f t="shared" si="21"/>
        <v>17</v>
      </c>
      <c r="F255" s="181">
        <f t="shared" si="22"/>
        <v>4</v>
      </c>
      <c r="G255" s="181">
        <f t="shared" si="23"/>
        <v>1</v>
      </c>
      <c r="H255" s="182">
        <v>26530.087526242125</v>
      </c>
      <c r="I255" s="181">
        <v>6600</v>
      </c>
      <c r="J255" s="183">
        <v>33.906141728381733</v>
      </c>
      <c r="K255" s="181">
        <f t="shared" si="24"/>
        <v>5</v>
      </c>
      <c r="L255" s="181">
        <f t="shared" si="25"/>
        <v>1</v>
      </c>
      <c r="M255" s="181">
        <f t="shared" si="26"/>
        <v>1</v>
      </c>
      <c r="N255" s="182">
        <v>6738.6422316654998</v>
      </c>
      <c r="O255" s="181">
        <v>2400</v>
      </c>
      <c r="P255" s="181">
        <v>26697.749392426562</v>
      </c>
      <c r="Q255">
        <v>414</v>
      </c>
      <c r="R255">
        <v>1105.3024868650327</v>
      </c>
      <c r="S255" s="88">
        <f t="shared" si="27"/>
        <v>10657.944718530533</v>
      </c>
    </row>
    <row r="256" spans="1:19" x14ac:dyDescent="0.25">
      <c r="A256" s="325">
        <v>15</v>
      </c>
      <c r="B256" s="325" t="s">
        <v>58</v>
      </c>
      <c r="C256" s="326">
        <v>159.75884087878768</v>
      </c>
      <c r="D256" s="181">
        <v>159.75884087878768</v>
      </c>
      <c r="E256" s="181">
        <f t="shared" si="21"/>
        <v>20</v>
      </c>
      <c r="F256" s="181">
        <f t="shared" si="22"/>
        <v>4</v>
      </c>
      <c r="G256" s="181">
        <f t="shared" si="23"/>
        <v>1</v>
      </c>
      <c r="H256" s="182">
        <v>31751.111071613785</v>
      </c>
      <c r="I256" s="181">
        <v>6600</v>
      </c>
      <c r="J256" s="183">
        <v>40.578745583212068</v>
      </c>
      <c r="K256" s="181">
        <f t="shared" si="24"/>
        <v>6</v>
      </c>
      <c r="L256" s="181">
        <f t="shared" si="25"/>
        <v>2</v>
      </c>
      <c r="M256" s="181">
        <f t="shared" si="26"/>
        <v>1</v>
      </c>
      <c r="N256" s="182">
        <v>8064.7822121899007</v>
      </c>
      <c r="O256" s="181">
        <v>4800</v>
      </c>
      <c r="P256" s="181">
        <v>31951.768175757537</v>
      </c>
      <c r="Q256">
        <v>414</v>
      </c>
      <c r="R256">
        <v>1105.3024868650327</v>
      </c>
      <c r="S256" s="88">
        <f t="shared" si="27"/>
        <v>14384.084699054933</v>
      </c>
    </row>
    <row r="257" spans="1:19" x14ac:dyDescent="0.25">
      <c r="A257" s="325">
        <v>15</v>
      </c>
      <c r="B257" s="325" t="s">
        <v>59</v>
      </c>
      <c r="C257" s="326">
        <v>370.12246094567041</v>
      </c>
      <c r="D257" s="181">
        <v>370.12246094567041</v>
      </c>
      <c r="E257" s="181">
        <f t="shared" si="21"/>
        <v>47</v>
      </c>
      <c r="F257" s="181">
        <f t="shared" si="22"/>
        <v>10</v>
      </c>
      <c r="G257" s="181">
        <f t="shared" si="23"/>
        <v>3</v>
      </c>
      <c r="H257" s="182">
        <v>73559.618378186336</v>
      </c>
      <c r="I257" s="181">
        <v>19800</v>
      </c>
      <c r="J257" s="183">
        <v>94.011105080200281</v>
      </c>
      <c r="K257" s="181">
        <f t="shared" si="24"/>
        <v>12</v>
      </c>
      <c r="L257" s="181">
        <f t="shared" si="25"/>
        <v>3</v>
      </c>
      <c r="M257" s="181">
        <f t="shared" si="26"/>
        <v>1</v>
      </c>
      <c r="N257" s="182">
        <v>18684.143068059326</v>
      </c>
      <c r="O257" s="181">
        <v>6600</v>
      </c>
      <c r="P257" s="181">
        <v>74024.492189134078</v>
      </c>
      <c r="Q257">
        <v>414</v>
      </c>
      <c r="R257">
        <v>1105.3024868650327</v>
      </c>
      <c r="S257" s="88">
        <f t="shared" si="27"/>
        <v>26803.445554924358</v>
      </c>
    </row>
    <row r="258" spans="1:19" x14ac:dyDescent="0.25">
      <c r="A258" s="325">
        <v>15</v>
      </c>
      <c r="B258" s="325" t="s">
        <v>60</v>
      </c>
      <c r="C258" s="326">
        <v>631.91001380577757</v>
      </c>
      <c r="D258" s="181">
        <v>631.91001380577757</v>
      </c>
      <c r="E258" s="181">
        <f t="shared" si="21"/>
        <v>79</v>
      </c>
      <c r="F258" s="181">
        <f t="shared" si="22"/>
        <v>16</v>
      </c>
      <c r="G258" s="181">
        <f t="shared" si="23"/>
        <v>4</v>
      </c>
      <c r="H258" s="182">
        <v>125588.32378381547</v>
      </c>
      <c r="I258" s="181">
        <v>26400</v>
      </c>
      <c r="J258" s="183">
        <v>160.50514350666751</v>
      </c>
      <c r="K258" s="181">
        <f t="shared" si="24"/>
        <v>21</v>
      </c>
      <c r="L258" s="181">
        <f t="shared" si="25"/>
        <v>5</v>
      </c>
      <c r="M258" s="181">
        <f t="shared" si="26"/>
        <v>2</v>
      </c>
      <c r="N258" s="182">
        <v>31899.434241089133</v>
      </c>
      <c r="O258" s="181">
        <v>13200</v>
      </c>
      <c r="P258" s="181">
        <v>126382.00276115551</v>
      </c>
      <c r="Q258">
        <v>414</v>
      </c>
      <c r="R258">
        <v>1105.3024868650327</v>
      </c>
      <c r="S258" s="88">
        <f t="shared" si="27"/>
        <v>46618.736727954165</v>
      </c>
    </row>
    <row r="259" spans="1:19" x14ac:dyDescent="0.25">
      <c r="A259" s="325">
        <v>15</v>
      </c>
      <c r="B259" s="325" t="s">
        <v>61</v>
      </c>
      <c r="C259" s="326">
        <v>152.06858979818344</v>
      </c>
      <c r="D259" s="181">
        <v>152.06858979818344</v>
      </c>
      <c r="E259" s="181">
        <f t="shared" si="21"/>
        <v>20</v>
      </c>
      <c r="F259" s="181">
        <f t="shared" si="22"/>
        <v>4</v>
      </c>
      <c r="G259" s="181">
        <f t="shared" si="23"/>
        <v>1</v>
      </c>
      <c r="H259" s="182">
        <v>30222.719810850173</v>
      </c>
      <c r="I259" s="181">
        <v>6600</v>
      </c>
      <c r="J259" s="183">
        <v>38.625421808738594</v>
      </c>
      <c r="K259" s="181">
        <f t="shared" si="24"/>
        <v>5</v>
      </c>
      <c r="L259" s="181">
        <f t="shared" si="25"/>
        <v>1</v>
      </c>
      <c r="M259" s="181">
        <f t="shared" si="26"/>
        <v>1</v>
      </c>
      <c r="N259" s="182">
        <v>7676.5708319559444</v>
      </c>
      <c r="O259" s="181">
        <v>2400</v>
      </c>
      <c r="P259" s="181">
        <v>30413.717959636688</v>
      </c>
      <c r="Q259">
        <v>414</v>
      </c>
      <c r="R259">
        <v>1105.3024868650327</v>
      </c>
      <c r="S259" s="88">
        <f t="shared" si="27"/>
        <v>11595.873318820977</v>
      </c>
    </row>
    <row r="260" spans="1:19" x14ac:dyDescent="0.25">
      <c r="A260" s="325">
        <v>15</v>
      </c>
      <c r="B260" s="325" t="s">
        <v>62</v>
      </c>
      <c r="C260" s="326">
        <v>216.90940478602056</v>
      </c>
      <c r="D260" s="181">
        <v>216.90940478602056</v>
      </c>
      <c r="E260" s="181">
        <f t="shared" ref="E260:E323" si="28">ROUNDUP(D260/8,0)</f>
        <v>28</v>
      </c>
      <c r="F260" s="181">
        <f t="shared" ref="F260:F323" si="29">ROUNDUP(D260/40,0)</f>
        <v>6</v>
      </c>
      <c r="G260" s="181">
        <f t="shared" ref="G260:G323" si="30">ROUNDUP(D260/(40*4),0)</f>
        <v>2</v>
      </c>
      <c r="H260" s="182">
        <v>43109.442744792876</v>
      </c>
      <c r="I260" s="181">
        <v>13200</v>
      </c>
      <c r="J260" s="183">
        <v>55.094988815649224</v>
      </c>
      <c r="K260" s="181">
        <f t="shared" ref="K260:K323" si="31">ROUNDUP(J260/8,0)</f>
        <v>7</v>
      </c>
      <c r="L260" s="181">
        <f t="shared" ref="L260:L323" si="32">ROUNDUP(J260/40,0)</f>
        <v>2</v>
      </c>
      <c r="M260" s="181">
        <f t="shared" ref="M260:M323" si="33">ROUNDUP(J260/(40*4),0)</f>
        <v>1</v>
      </c>
      <c r="N260" s="182">
        <v>10949.79845717739</v>
      </c>
      <c r="O260" s="181">
        <v>4800</v>
      </c>
      <c r="P260" s="181">
        <v>43381.880957204114</v>
      </c>
      <c r="Q260">
        <v>414</v>
      </c>
      <c r="R260">
        <v>1105.3024868650327</v>
      </c>
      <c r="S260" s="88">
        <f t="shared" ref="S260:S323" si="34">R260+Q260+N260+O260</f>
        <v>17269.100944042424</v>
      </c>
    </row>
    <row r="261" spans="1:19" x14ac:dyDescent="0.25">
      <c r="A261" s="325">
        <v>15</v>
      </c>
      <c r="B261" s="325" t="s">
        <v>63</v>
      </c>
      <c r="C261" s="326">
        <v>246.52419837847643</v>
      </c>
      <c r="D261" s="181">
        <v>246.52419837847643</v>
      </c>
      <c r="E261" s="181">
        <f t="shared" si="28"/>
        <v>31</v>
      </c>
      <c r="F261" s="181">
        <f t="shared" si="29"/>
        <v>7</v>
      </c>
      <c r="G261" s="181">
        <f t="shared" si="30"/>
        <v>2</v>
      </c>
      <c r="H261" s="182">
        <v>48995.205282531926</v>
      </c>
      <c r="I261" s="181">
        <v>13200</v>
      </c>
      <c r="J261" s="183">
        <v>62.617146388133015</v>
      </c>
      <c r="K261" s="181">
        <f t="shared" si="31"/>
        <v>8</v>
      </c>
      <c r="L261" s="181">
        <f t="shared" si="32"/>
        <v>2</v>
      </c>
      <c r="M261" s="181">
        <f t="shared" si="33"/>
        <v>1</v>
      </c>
      <c r="N261" s="182">
        <v>12444.782141763109</v>
      </c>
      <c r="O261" s="181">
        <v>4800</v>
      </c>
      <c r="P261" s="181">
        <v>49304.839675695286</v>
      </c>
      <c r="Q261">
        <v>414</v>
      </c>
      <c r="R261">
        <v>1105.3024868650327</v>
      </c>
      <c r="S261" s="88">
        <f t="shared" si="34"/>
        <v>18764.084628628141</v>
      </c>
    </row>
    <row r="262" spans="1:19" x14ac:dyDescent="0.25">
      <c r="A262" s="325">
        <v>15</v>
      </c>
      <c r="B262" s="325" t="s">
        <v>64</v>
      </c>
      <c r="C262" s="326">
        <v>184.81936050390803</v>
      </c>
      <c r="D262" s="181">
        <v>184.81936050390803</v>
      </c>
      <c r="E262" s="181">
        <f t="shared" si="28"/>
        <v>24</v>
      </c>
      <c r="F262" s="181">
        <f t="shared" si="29"/>
        <v>5</v>
      </c>
      <c r="G262" s="181">
        <f t="shared" si="30"/>
        <v>2</v>
      </c>
      <c r="H262" s="182">
        <v>36731.738983988704</v>
      </c>
      <c r="I262" s="181">
        <v>13200</v>
      </c>
      <c r="J262" s="183">
        <v>46.944117567992642</v>
      </c>
      <c r="K262" s="181">
        <f t="shared" si="31"/>
        <v>6</v>
      </c>
      <c r="L262" s="181">
        <f t="shared" si="32"/>
        <v>2</v>
      </c>
      <c r="M262" s="181">
        <f t="shared" si="33"/>
        <v>1</v>
      </c>
      <c r="N262" s="182">
        <v>9329.8617019331305</v>
      </c>
      <c r="O262" s="181">
        <v>4800</v>
      </c>
      <c r="P262" s="181">
        <v>36963.872100781606</v>
      </c>
      <c r="Q262">
        <v>414</v>
      </c>
      <c r="R262">
        <v>1105.3024868650327</v>
      </c>
      <c r="S262" s="88">
        <f t="shared" si="34"/>
        <v>15649.164188798164</v>
      </c>
    </row>
    <row r="263" spans="1:19" x14ac:dyDescent="0.25">
      <c r="A263" s="325">
        <v>15</v>
      </c>
      <c r="B263" s="325" t="s">
        <v>65</v>
      </c>
      <c r="C263" s="326">
        <v>192.15047761910407</v>
      </c>
      <c r="D263" s="181">
        <v>192.15047761910407</v>
      </c>
      <c r="E263" s="181">
        <f t="shared" si="28"/>
        <v>25</v>
      </c>
      <c r="F263" s="181">
        <f t="shared" si="29"/>
        <v>5</v>
      </c>
      <c r="G263" s="181">
        <f t="shared" si="30"/>
        <v>2</v>
      </c>
      <c r="H263" s="182">
        <v>38188.754523931224</v>
      </c>
      <c r="I263" s="181">
        <v>13200</v>
      </c>
      <c r="J263" s="183">
        <v>48.806221315252436</v>
      </c>
      <c r="K263" s="181">
        <f t="shared" si="31"/>
        <v>7</v>
      </c>
      <c r="L263" s="181">
        <f t="shared" si="32"/>
        <v>2</v>
      </c>
      <c r="M263" s="181">
        <f t="shared" si="33"/>
        <v>1</v>
      </c>
      <c r="N263" s="182">
        <v>9699.943649078532</v>
      </c>
      <c r="O263" s="181">
        <v>4800</v>
      </c>
      <c r="P263" s="181">
        <v>38430.095523820812</v>
      </c>
      <c r="Q263">
        <v>414</v>
      </c>
      <c r="R263">
        <v>1105.3024868650327</v>
      </c>
      <c r="S263" s="88">
        <f t="shared" si="34"/>
        <v>16019.246135943566</v>
      </c>
    </row>
    <row r="264" spans="1:19" x14ac:dyDescent="0.25">
      <c r="A264" s="325">
        <v>15</v>
      </c>
      <c r="B264" s="325" t="s">
        <v>66</v>
      </c>
      <c r="C264" s="326">
        <v>58.000141399815035</v>
      </c>
      <c r="D264" s="181">
        <v>58.000141399815035</v>
      </c>
      <c r="E264" s="181">
        <f t="shared" si="28"/>
        <v>8</v>
      </c>
      <c r="F264" s="181">
        <f t="shared" si="29"/>
        <v>2</v>
      </c>
      <c r="G264" s="181">
        <f t="shared" si="30"/>
        <v>1</v>
      </c>
      <c r="H264" s="182">
        <v>11527.18010236484</v>
      </c>
      <c r="I264" s="181">
        <v>4800</v>
      </c>
      <c r="J264" s="183">
        <v>14.73203591555302</v>
      </c>
      <c r="K264" s="181">
        <f t="shared" si="31"/>
        <v>2</v>
      </c>
      <c r="L264" s="181">
        <f t="shared" si="32"/>
        <v>1</v>
      </c>
      <c r="M264" s="181">
        <f t="shared" si="33"/>
        <v>1</v>
      </c>
      <c r="N264" s="182">
        <v>2927.9037460006698</v>
      </c>
      <c r="O264" s="181">
        <v>1400</v>
      </c>
      <c r="P264" s="181">
        <v>11600.028279963008</v>
      </c>
      <c r="Q264">
        <v>414</v>
      </c>
      <c r="R264">
        <v>1105.3024868650327</v>
      </c>
      <c r="S264" s="88">
        <f t="shared" si="34"/>
        <v>5847.206232865703</v>
      </c>
    </row>
    <row r="265" spans="1:19" x14ac:dyDescent="0.25">
      <c r="A265" s="325">
        <v>15</v>
      </c>
      <c r="B265" s="325" t="s">
        <v>67</v>
      </c>
      <c r="C265" s="326">
        <v>134.72447849462364</v>
      </c>
      <c r="D265" s="181">
        <v>134.72447849462364</v>
      </c>
      <c r="E265" s="181">
        <f t="shared" si="28"/>
        <v>17</v>
      </c>
      <c r="F265" s="181">
        <f t="shared" si="29"/>
        <v>4</v>
      </c>
      <c r="G265" s="181">
        <f t="shared" si="30"/>
        <v>1</v>
      </c>
      <c r="H265" s="182">
        <v>26775.681753935485</v>
      </c>
      <c r="I265" s="181">
        <v>6600</v>
      </c>
      <c r="J265" s="183">
        <v>34.220017537634405</v>
      </c>
      <c r="K265" s="181">
        <f t="shared" si="31"/>
        <v>5</v>
      </c>
      <c r="L265" s="181">
        <f t="shared" si="32"/>
        <v>1</v>
      </c>
      <c r="M265" s="181">
        <f t="shared" si="33"/>
        <v>1</v>
      </c>
      <c r="N265" s="182">
        <v>6801.0231654996132</v>
      </c>
      <c r="O265" s="181">
        <v>2400</v>
      </c>
      <c r="P265" s="181">
        <v>26944.895698924727</v>
      </c>
      <c r="Q265">
        <v>414</v>
      </c>
      <c r="R265">
        <v>1105.3024868650327</v>
      </c>
      <c r="S265" s="88">
        <f t="shared" si="34"/>
        <v>10720.325652364645</v>
      </c>
    </row>
    <row r="266" spans="1:19" x14ac:dyDescent="0.25">
      <c r="A266" s="325">
        <v>15</v>
      </c>
      <c r="B266" s="325" t="s">
        <v>132</v>
      </c>
      <c r="C266" s="326">
        <v>46.786372198214075</v>
      </c>
      <c r="D266" s="181">
        <v>46.786372198214075</v>
      </c>
      <c r="E266" s="181">
        <f t="shared" si="28"/>
        <v>6</v>
      </c>
      <c r="F266" s="181">
        <f t="shared" si="29"/>
        <v>2</v>
      </c>
      <c r="G266" s="181">
        <f t="shared" si="30"/>
        <v>1</v>
      </c>
      <c r="H266" s="182">
        <v>9298.5107561618588</v>
      </c>
      <c r="I266" s="181">
        <v>4800</v>
      </c>
      <c r="J266" s="183">
        <v>11.883738538346375</v>
      </c>
      <c r="K266" s="181">
        <f t="shared" si="31"/>
        <v>2</v>
      </c>
      <c r="L266" s="181">
        <f t="shared" si="32"/>
        <v>1</v>
      </c>
      <c r="M266" s="181">
        <f t="shared" si="33"/>
        <v>1</v>
      </c>
      <c r="N266" s="182">
        <v>2361.8217320651124</v>
      </c>
      <c r="O266" s="181">
        <v>1400</v>
      </c>
      <c r="P266" s="181">
        <v>9357.2744396428152</v>
      </c>
      <c r="Q266">
        <v>414</v>
      </c>
      <c r="R266">
        <v>1105.3024868650327</v>
      </c>
      <c r="S266" s="88">
        <f t="shared" si="34"/>
        <v>5281.1242189301447</v>
      </c>
    </row>
    <row r="267" spans="1:19" x14ac:dyDescent="0.25">
      <c r="A267" s="325">
        <v>15</v>
      </c>
      <c r="B267" s="325" t="s">
        <v>68</v>
      </c>
      <c r="C267" s="326">
        <v>82.602974408586618</v>
      </c>
      <c r="D267" s="181">
        <v>82.602974408586618</v>
      </c>
      <c r="E267" s="181">
        <f t="shared" si="28"/>
        <v>11</v>
      </c>
      <c r="F267" s="181">
        <f t="shared" si="29"/>
        <v>3</v>
      </c>
      <c r="G267" s="181">
        <f t="shared" si="30"/>
        <v>1</v>
      </c>
      <c r="H267" s="182">
        <v>16416.845545860142</v>
      </c>
      <c r="I267" s="181">
        <v>6600</v>
      </c>
      <c r="J267" s="183">
        <v>20.981155499781</v>
      </c>
      <c r="K267" s="181">
        <f t="shared" si="31"/>
        <v>3</v>
      </c>
      <c r="L267" s="181">
        <f t="shared" si="32"/>
        <v>1</v>
      </c>
      <c r="M267" s="181">
        <f t="shared" si="33"/>
        <v>1</v>
      </c>
      <c r="N267" s="182">
        <v>4169.8787686484757</v>
      </c>
      <c r="O267" s="181">
        <v>2100</v>
      </c>
      <c r="P267" s="181">
        <v>16520.594881717323</v>
      </c>
      <c r="Q267">
        <v>414</v>
      </c>
      <c r="R267">
        <v>1105.3024868650327</v>
      </c>
      <c r="S267" s="88">
        <f t="shared" si="34"/>
        <v>7789.1812555135084</v>
      </c>
    </row>
    <row r="268" spans="1:19" x14ac:dyDescent="0.25">
      <c r="A268" s="325">
        <v>15</v>
      </c>
      <c r="B268" s="325" t="s">
        <v>69</v>
      </c>
      <c r="C268" s="326">
        <v>246.59528571679039</v>
      </c>
      <c r="D268" s="181">
        <v>246.59528571679039</v>
      </c>
      <c r="E268" s="181">
        <f t="shared" si="28"/>
        <v>31</v>
      </c>
      <c r="F268" s="181">
        <f t="shared" si="29"/>
        <v>7</v>
      </c>
      <c r="G268" s="181">
        <f t="shared" si="30"/>
        <v>2</v>
      </c>
      <c r="H268" s="182">
        <v>49009.333464497795</v>
      </c>
      <c r="I268" s="181">
        <v>13200</v>
      </c>
      <c r="J268" s="183">
        <v>62.635202572064756</v>
      </c>
      <c r="K268" s="181">
        <f t="shared" si="31"/>
        <v>8</v>
      </c>
      <c r="L268" s="181">
        <f t="shared" si="32"/>
        <v>2</v>
      </c>
      <c r="M268" s="181">
        <f t="shared" si="33"/>
        <v>1</v>
      </c>
      <c r="N268" s="182">
        <v>12448.370699982439</v>
      </c>
      <c r="O268" s="181">
        <v>4800</v>
      </c>
      <c r="P268" s="181">
        <v>49319.057143358077</v>
      </c>
      <c r="Q268">
        <v>414</v>
      </c>
      <c r="R268">
        <v>1105.3024868650327</v>
      </c>
      <c r="S268" s="88">
        <f t="shared" si="34"/>
        <v>18767.673186847471</v>
      </c>
    </row>
    <row r="269" spans="1:19" x14ac:dyDescent="0.25">
      <c r="A269" s="325">
        <v>15</v>
      </c>
      <c r="B269" s="325" t="s">
        <v>70</v>
      </c>
      <c r="C269" s="326">
        <v>164.9192397109511</v>
      </c>
      <c r="D269" s="181">
        <v>164.9192397109511</v>
      </c>
      <c r="E269" s="181">
        <f t="shared" si="28"/>
        <v>21</v>
      </c>
      <c r="F269" s="181">
        <f t="shared" si="29"/>
        <v>5</v>
      </c>
      <c r="G269" s="181">
        <f t="shared" si="30"/>
        <v>2</v>
      </c>
      <c r="H269" s="182">
        <v>32776.709377113271</v>
      </c>
      <c r="I269" s="181">
        <v>13200</v>
      </c>
      <c r="J269" s="183">
        <v>41.889486886581579</v>
      </c>
      <c r="K269" s="181">
        <f t="shared" si="31"/>
        <v>6</v>
      </c>
      <c r="L269" s="181">
        <f t="shared" si="32"/>
        <v>2</v>
      </c>
      <c r="M269" s="181">
        <f t="shared" si="33"/>
        <v>1</v>
      </c>
      <c r="N269" s="182">
        <v>8325.2841817867702</v>
      </c>
      <c r="O269" s="181">
        <v>4800</v>
      </c>
      <c r="P269" s="181">
        <v>32983.847942190223</v>
      </c>
      <c r="Q269">
        <v>414</v>
      </c>
      <c r="R269">
        <v>1105.3024868650327</v>
      </c>
      <c r="S269" s="88">
        <f t="shared" si="34"/>
        <v>14644.586668651802</v>
      </c>
    </row>
    <row r="270" spans="1:19" x14ac:dyDescent="0.25">
      <c r="A270" s="325">
        <v>15</v>
      </c>
      <c r="B270" s="325" t="s">
        <v>71</v>
      </c>
      <c r="C270" s="326">
        <v>132.6036484183644</v>
      </c>
      <c r="D270" s="181">
        <v>132.6036484183644</v>
      </c>
      <c r="E270" s="181">
        <f t="shared" si="28"/>
        <v>17</v>
      </c>
      <c r="F270" s="181">
        <f t="shared" si="29"/>
        <v>4</v>
      </c>
      <c r="G270" s="181">
        <f t="shared" si="30"/>
        <v>1</v>
      </c>
      <c r="H270" s="182">
        <v>26354.179501259419</v>
      </c>
      <c r="I270" s="181">
        <v>6600</v>
      </c>
      <c r="J270" s="183">
        <v>33.681326698264556</v>
      </c>
      <c r="K270" s="181">
        <f t="shared" si="31"/>
        <v>5</v>
      </c>
      <c r="L270" s="181">
        <f t="shared" si="32"/>
        <v>1</v>
      </c>
      <c r="M270" s="181">
        <f t="shared" si="33"/>
        <v>1</v>
      </c>
      <c r="N270" s="182">
        <v>6693.961593319892</v>
      </c>
      <c r="O270" s="181">
        <v>2400</v>
      </c>
      <c r="P270" s="181">
        <v>26520.729683672878</v>
      </c>
      <c r="Q270">
        <v>414</v>
      </c>
      <c r="R270">
        <v>1105.3024868650327</v>
      </c>
      <c r="S270" s="88">
        <f t="shared" si="34"/>
        <v>10613.264080184925</v>
      </c>
    </row>
    <row r="271" spans="1:19" x14ac:dyDescent="0.25">
      <c r="A271" s="325">
        <v>15</v>
      </c>
      <c r="B271" s="325" t="s">
        <v>72</v>
      </c>
      <c r="C271" s="326">
        <v>70.501326896692476</v>
      </c>
      <c r="D271" s="181">
        <v>70.501326896692476</v>
      </c>
      <c r="E271" s="181">
        <f t="shared" si="28"/>
        <v>9</v>
      </c>
      <c r="F271" s="181">
        <f t="shared" si="29"/>
        <v>2</v>
      </c>
      <c r="G271" s="181">
        <f t="shared" si="30"/>
        <v>1</v>
      </c>
      <c r="H271" s="182">
        <v>14011.715712756251</v>
      </c>
      <c r="I271" s="181">
        <v>4800</v>
      </c>
      <c r="J271" s="183">
        <v>17.907337031759891</v>
      </c>
      <c r="K271" s="181">
        <f t="shared" si="31"/>
        <v>3</v>
      </c>
      <c r="L271" s="181">
        <f t="shared" si="32"/>
        <v>1</v>
      </c>
      <c r="M271" s="181">
        <f t="shared" si="33"/>
        <v>1</v>
      </c>
      <c r="N271" s="182">
        <v>3558.9757910400881</v>
      </c>
      <c r="O271" s="181">
        <v>2100</v>
      </c>
      <c r="P271" s="181">
        <v>14100.265379338494</v>
      </c>
      <c r="Q271">
        <v>414</v>
      </c>
      <c r="R271">
        <v>1105.3024868650327</v>
      </c>
      <c r="S271" s="88">
        <f t="shared" si="34"/>
        <v>7178.2782779051213</v>
      </c>
    </row>
    <row r="272" spans="1:19" x14ac:dyDescent="0.25">
      <c r="A272" s="325">
        <v>15</v>
      </c>
      <c r="B272" s="325" t="s">
        <v>133</v>
      </c>
      <c r="C272" s="326">
        <v>70.477716796856441</v>
      </c>
      <c r="D272" s="181">
        <v>70.477716796856441</v>
      </c>
      <c r="E272" s="181">
        <f t="shared" si="28"/>
        <v>9</v>
      </c>
      <c r="F272" s="181">
        <f t="shared" si="29"/>
        <v>2</v>
      </c>
      <c r="G272" s="181">
        <f t="shared" si="30"/>
        <v>1</v>
      </c>
      <c r="H272" s="182">
        <v>14007.023347074439</v>
      </c>
      <c r="I272" s="181">
        <v>4800</v>
      </c>
      <c r="J272" s="183">
        <v>17.901340066401538</v>
      </c>
      <c r="K272" s="181">
        <f t="shared" si="31"/>
        <v>3</v>
      </c>
      <c r="L272" s="181">
        <f t="shared" si="32"/>
        <v>1</v>
      </c>
      <c r="M272" s="181">
        <f t="shared" si="33"/>
        <v>1</v>
      </c>
      <c r="N272" s="182">
        <v>3557.7839301569079</v>
      </c>
      <c r="O272" s="181">
        <v>2100</v>
      </c>
      <c r="P272" s="181">
        <v>14095.543359371288</v>
      </c>
      <c r="Q272">
        <v>414</v>
      </c>
      <c r="R272">
        <v>1105.3024868650327</v>
      </c>
      <c r="S272" s="88">
        <f t="shared" si="34"/>
        <v>7177.0864170219411</v>
      </c>
    </row>
    <row r="273" spans="1:19" x14ac:dyDescent="0.25">
      <c r="A273" s="325">
        <v>15</v>
      </c>
      <c r="B273" s="325" t="s">
        <v>73</v>
      </c>
      <c r="C273" s="326">
        <v>188.14484490952873</v>
      </c>
      <c r="D273" s="181">
        <v>188.14484490952873</v>
      </c>
      <c r="E273" s="181">
        <f t="shared" si="28"/>
        <v>24</v>
      </c>
      <c r="F273" s="181">
        <f t="shared" si="29"/>
        <v>5</v>
      </c>
      <c r="G273" s="181">
        <f t="shared" si="30"/>
        <v>2</v>
      </c>
      <c r="H273" s="182">
        <v>37392.659056699384</v>
      </c>
      <c r="I273" s="181">
        <v>13200</v>
      </c>
      <c r="J273" s="183">
        <v>47.788790607020296</v>
      </c>
      <c r="K273" s="181">
        <f t="shared" si="31"/>
        <v>6</v>
      </c>
      <c r="L273" s="181">
        <f t="shared" si="32"/>
        <v>2</v>
      </c>
      <c r="M273" s="181">
        <f t="shared" si="33"/>
        <v>1</v>
      </c>
      <c r="N273" s="182">
        <v>9497.7354004016433</v>
      </c>
      <c r="O273" s="181">
        <v>4800</v>
      </c>
      <c r="P273" s="181">
        <v>37628.968981905746</v>
      </c>
      <c r="Q273">
        <v>414</v>
      </c>
      <c r="R273">
        <v>1105.3024868650327</v>
      </c>
      <c r="S273" s="88">
        <f t="shared" si="34"/>
        <v>15817.037887266677</v>
      </c>
    </row>
    <row r="274" spans="1:19" x14ac:dyDescent="0.25">
      <c r="A274" s="325">
        <v>15</v>
      </c>
      <c r="B274" s="325" t="s">
        <v>74</v>
      </c>
      <c r="C274" s="326">
        <v>395.284923772441</v>
      </c>
      <c r="D274" s="181">
        <v>395.284923772441</v>
      </c>
      <c r="E274" s="181">
        <f t="shared" si="28"/>
        <v>50</v>
      </c>
      <c r="F274" s="181">
        <f t="shared" si="29"/>
        <v>10</v>
      </c>
      <c r="G274" s="181">
        <f t="shared" si="30"/>
        <v>3</v>
      </c>
      <c r="H274" s="182">
        <v>78560.506890230026</v>
      </c>
      <c r="I274" s="181">
        <v>19800</v>
      </c>
      <c r="J274" s="183">
        <v>100.40237063820001</v>
      </c>
      <c r="K274" s="181">
        <f t="shared" si="31"/>
        <v>13</v>
      </c>
      <c r="L274" s="181">
        <f t="shared" si="32"/>
        <v>3</v>
      </c>
      <c r="M274" s="181">
        <f t="shared" si="33"/>
        <v>1</v>
      </c>
      <c r="N274" s="182">
        <v>19954.368750118425</v>
      </c>
      <c r="O274" s="181">
        <v>6600</v>
      </c>
      <c r="P274" s="181">
        <v>79056.984754488207</v>
      </c>
      <c r="Q274">
        <v>414</v>
      </c>
      <c r="R274">
        <v>1105.3024868650327</v>
      </c>
      <c r="S274" s="88">
        <f t="shared" si="34"/>
        <v>28073.671236983457</v>
      </c>
    </row>
    <row r="275" spans="1:19" x14ac:dyDescent="0.25">
      <c r="A275" s="325">
        <v>15</v>
      </c>
      <c r="B275" s="325" t="s">
        <v>75</v>
      </c>
      <c r="C275" s="326">
        <v>73.012608560000004</v>
      </c>
      <c r="D275" s="181">
        <v>73.012608560000004</v>
      </c>
      <c r="E275" s="181">
        <f t="shared" si="28"/>
        <v>10</v>
      </c>
      <c r="F275" s="181">
        <f t="shared" si="29"/>
        <v>2</v>
      </c>
      <c r="G275" s="181">
        <f t="shared" si="30"/>
        <v>1</v>
      </c>
      <c r="H275" s="182">
        <v>14510.817875648643</v>
      </c>
      <c r="I275" s="181">
        <v>4800</v>
      </c>
      <c r="J275" s="183">
        <v>18.545202574240001</v>
      </c>
      <c r="K275" s="181">
        <f t="shared" si="31"/>
        <v>3</v>
      </c>
      <c r="L275" s="181">
        <f t="shared" si="32"/>
        <v>1</v>
      </c>
      <c r="M275" s="181">
        <f t="shared" si="33"/>
        <v>1</v>
      </c>
      <c r="N275" s="182">
        <v>3685.7477404147553</v>
      </c>
      <c r="O275" s="181">
        <v>2100</v>
      </c>
      <c r="P275" s="181">
        <v>14602.521712000002</v>
      </c>
      <c r="Q275">
        <v>414</v>
      </c>
      <c r="R275">
        <v>1105.3024868650327</v>
      </c>
      <c r="S275" s="88">
        <f t="shared" si="34"/>
        <v>7305.0502272797876</v>
      </c>
    </row>
    <row r="276" spans="1:19" x14ac:dyDescent="0.25">
      <c r="A276" s="325">
        <v>15</v>
      </c>
      <c r="B276" s="325" t="s">
        <v>76</v>
      </c>
      <c r="C276" s="326">
        <v>80.804051682594817</v>
      </c>
      <c r="D276" s="181">
        <v>80.804051682594817</v>
      </c>
      <c r="E276" s="181">
        <f t="shared" si="28"/>
        <v>11</v>
      </c>
      <c r="F276" s="181">
        <f t="shared" si="29"/>
        <v>3</v>
      </c>
      <c r="G276" s="181">
        <f t="shared" si="30"/>
        <v>1</v>
      </c>
      <c r="H276" s="182">
        <v>16059.320447605627</v>
      </c>
      <c r="I276" s="181">
        <v>6600</v>
      </c>
      <c r="J276" s="183">
        <v>20.524229127379083</v>
      </c>
      <c r="K276" s="181">
        <f t="shared" si="31"/>
        <v>3</v>
      </c>
      <c r="L276" s="181">
        <f t="shared" si="32"/>
        <v>1</v>
      </c>
      <c r="M276" s="181">
        <f t="shared" si="33"/>
        <v>1</v>
      </c>
      <c r="N276" s="182">
        <v>4079.0673936918292</v>
      </c>
      <c r="O276" s="181">
        <v>2100</v>
      </c>
      <c r="P276" s="181">
        <v>16160.810336518964</v>
      </c>
      <c r="Q276">
        <v>414</v>
      </c>
      <c r="R276">
        <v>1105.3024868650327</v>
      </c>
      <c r="S276" s="88">
        <f t="shared" si="34"/>
        <v>7698.369880556862</v>
      </c>
    </row>
    <row r="277" spans="1:19" x14ac:dyDescent="0.25">
      <c r="A277" s="325">
        <v>15</v>
      </c>
      <c r="B277" s="325" t="s">
        <v>77</v>
      </c>
      <c r="C277" s="326">
        <v>120.98206863118006</v>
      </c>
      <c r="D277" s="181">
        <v>120.98206863118006</v>
      </c>
      <c r="E277" s="181">
        <f t="shared" si="28"/>
        <v>16</v>
      </c>
      <c r="F277" s="181">
        <f t="shared" si="29"/>
        <v>4</v>
      </c>
      <c r="G277" s="181">
        <f t="shared" si="30"/>
        <v>1</v>
      </c>
      <c r="H277" s="182">
        <v>24044.460248035251</v>
      </c>
      <c r="I277" s="181">
        <v>6600</v>
      </c>
      <c r="J277" s="183">
        <v>30.729445432319736</v>
      </c>
      <c r="K277" s="181">
        <f t="shared" si="31"/>
        <v>4</v>
      </c>
      <c r="L277" s="181">
        <f t="shared" si="32"/>
        <v>1</v>
      </c>
      <c r="M277" s="181">
        <f t="shared" si="33"/>
        <v>1</v>
      </c>
      <c r="N277" s="182">
        <v>6107.2929030009545</v>
      </c>
      <c r="O277" s="181">
        <v>2400</v>
      </c>
      <c r="P277" s="181">
        <v>24196.413726236013</v>
      </c>
      <c r="Q277">
        <v>414</v>
      </c>
      <c r="R277">
        <v>1105.3024868650327</v>
      </c>
      <c r="S277" s="88">
        <f t="shared" si="34"/>
        <v>10026.595389865986</v>
      </c>
    </row>
    <row r="278" spans="1:19" x14ac:dyDescent="0.25">
      <c r="A278" s="325">
        <v>15</v>
      </c>
      <c r="B278" s="325" t="s">
        <v>78</v>
      </c>
      <c r="C278" s="326">
        <v>195.50083327170233</v>
      </c>
      <c r="D278" s="181">
        <v>195.50083327170233</v>
      </c>
      <c r="E278" s="181">
        <f t="shared" si="28"/>
        <v>25</v>
      </c>
      <c r="F278" s="181">
        <f t="shared" si="29"/>
        <v>5</v>
      </c>
      <c r="G278" s="181">
        <f t="shared" si="30"/>
        <v>2</v>
      </c>
      <c r="H278" s="182">
        <v>38854.617607751214</v>
      </c>
      <c r="I278" s="181">
        <v>13200</v>
      </c>
      <c r="J278" s="183">
        <v>49.657211651012396</v>
      </c>
      <c r="K278" s="181">
        <f t="shared" si="31"/>
        <v>7</v>
      </c>
      <c r="L278" s="181">
        <f t="shared" si="32"/>
        <v>2</v>
      </c>
      <c r="M278" s="181">
        <f t="shared" si="33"/>
        <v>1</v>
      </c>
      <c r="N278" s="182">
        <v>9869.0728723688098</v>
      </c>
      <c r="O278" s="181">
        <v>4800</v>
      </c>
      <c r="P278" s="181">
        <v>39100.166654340464</v>
      </c>
      <c r="Q278">
        <v>414</v>
      </c>
      <c r="R278">
        <v>1105.3024868650327</v>
      </c>
      <c r="S278" s="88">
        <f t="shared" si="34"/>
        <v>16188.375359233843</v>
      </c>
    </row>
    <row r="279" spans="1:19" x14ac:dyDescent="0.25">
      <c r="A279" s="325">
        <v>15</v>
      </c>
      <c r="B279" s="325" t="s">
        <v>79</v>
      </c>
      <c r="C279" s="326">
        <v>207.401898335</v>
      </c>
      <c r="D279" s="181">
        <v>207.401898335</v>
      </c>
      <c r="E279" s="181">
        <f t="shared" si="28"/>
        <v>26</v>
      </c>
      <c r="F279" s="181">
        <f t="shared" si="29"/>
        <v>6</v>
      </c>
      <c r="G279" s="181">
        <f t="shared" si="30"/>
        <v>2</v>
      </c>
      <c r="H279" s="182">
        <v>41219.882882691243</v>
      </c>
      <c r="I279" s="181">
        <v>13200</v>
      </c>
      <c r="J279" s="183">
        <v>52.68008217709</v>
      </c>
      <c r="K279" s="181">
        <f t="shared" si="31"/>
        <v>7</v>
      </c>
      <c r="L279" s="181">
        <f t="shared" si="32"/>
        <v>2</v>
      </c>
      <c r="M279" s="181">
        <f t="shared" si="33"/>
        <v>1</v>
      </c>
      <c r="N279" s="182">
        <v>10469.850252203576</v>
      </c>
      <c r="O279" s="181">
        <v>4800</v>
      </c>
      <c r="P279" s="181">
        <v>41480.379667000001</v>
      </c>
      <c r="Q279">
        <v>414</v>
      </c>
      <c r="R279">
        <v>1105.3024868650327</v>
      </c>
      <c r="S279" s="88">
        <f t="shared" si="34"/>
        <v>16789.15273906861</v>
      </c>
    </row>
    <row r="280" spans="1:19" x14ac:dyDescent="0.25">
      <c r="A280" s="325">
        <v>15</v>
      </c>
      <c r="B280" s="325" t="s">
        <v>80</v>
      </c>
      <c r="C280" s="326">
        <v>92.239645092095401</v>
      </c>
      <c r="D280" s="181">
        <v>92.239645092095401</v>
      </c>
      <c r="E280" s="181">
        <f t="shared" si="28"/>
        <v>12</v>
      </c>
      <c r="F280" s="181">
        <f t="shared" si="29"/>
        <v>3</v>
      </c>
      <c r="G280" s="181">
        <f t="shared" si="30"/>
        <v>1</v>
      </c>
      <c r="H280" s="182">
        <v>18332.07602418341</v>
      </c>
      <c r="I280" s="181">
        <v>6600</v>
      </c>
      <c r="J280" s="183">
        <v>23.428869853392232</v>
      </c>
      <c r="K280" s="181">
        <f t="shared" si="31"/>
        <v>3</v>
      </c>
      <c r="L280" s="181">
        <f t="shared" si="32"/>
        <v>1</v>
      </c>
      <c r="M280" s="181">
        <f t="shared" si="33"/>
        <v>1</v>
      </c>
      <c r="N280" s="182">
        <v>4656.3473101425861</v>
      </c>
      <c r="O280" s="181">
        <v>2100</v>
      </c>
      <c r="P280" s="181">
        <v>18447.92901841908</v>
      </c>
      <c r="Q280">
        <v>414</v>
      </c>
      <c r="R280">
        <v>1105.3024868650327</v>
      </c>
      <c r="S280" s="88">
        <f t="shared" si="34"/>
        <v>8275.6497970076198</v>
      </c>
    </row>
    <row r="281" spans="1:19" x14ac:dyDescent="0.25">
      <c r="A281" s="325">
        <v>15</v>
      </c>
      <c r="B281" s="325" t="s">
        <v>134</v>
      </c>
      <c r="C281" s="326">
        <v>108.99399970712277</v>
      </c>
      <c r="D281" s="181">
        <v>108.99399970712277</v>
      </c>
      <c r="E281" s="181">
        <f t="shared" si="28"/>
        <v>14</v>
      </c>
      <c r="F281" s="181">
        <f t="shared" si="29"/>
        <v>3</v>
      </c>
      <c r="G281" s="181">
        <f t="shared" si="30"/>
        <v>1</v>
      </c>
      <c r="H281" s="182">
        <v>21661.90347779241</v>
      </c>
      <c r="I281" s="181">
        <v>6600</v>
      </c>
      <c r="J281" s="183">
        <v>27.684475925609185</v>
      </c>
      <c r="K281" s="181">
        <f t="shared" si="31"/>
        <v>4</v>
      </c>
      <c r="L281" s="181">
        <f t="shared" si="32"/>
        <v>1</v>
      </c>
      <c r="M281" s="181">
        <f t="shared" si="33"/>
        <v>1</v>
      </c>
      <c r="N281" s="182">
        <v>5502.1234833592725</v>
      </c>
      <c r="O281" s="181">
        <v>2400</v>
      </c>
      <c r="P281" s="181">
        <v>21798.799941424553</v>
      </c>
      <c r="Q281">
        <v>414</v>
      </c>
      <c r="R281">
        <v>1105.3024868650327</v>
      </c>
      <c r="S281" s="88">
        <f t="shared" si="34"/>
        <v>9421.4259702243053</v>
      </c>
    </row>
    <row r="282" spans="1:19" x14ac:dyDescent="0.25">
      <c r="A282" s="325">
        <v>15</v>
      </c>
      <c r="B282" s="325" t="s">
        <v>81</v>
      </c>
      <c r="C282" s="326">
        <v>191.35481541309937</v>
      </c>
      <c r="D282" s="181">
        <v>191.35481541309937</v>
      </c>
      <c r="E282" s="181">
        <f t="shared" si="28"/>
        <v>24</v>
      </c>
      <c r="F282" s="181">
        <f t="shared" si="29"/>
        <v>5</v>
      </c>
      <c r="G282" s="181">
        <f t="shared" si="30"/>
        <v>2</v>
      </c>
      <c r="H282" s="182">
        <v>38030.621434461027</v>
      </c>
      <c r="I282" s="181">
        <v>13200</v>
      </c>
      <c r="J282" s="183">
        <v>48.604123114927241</v>
      </c>
      <c r="K282" s="181">
        <f t="shared" si="31"/>
        <v>7</v>
      </c>
      <c r="L282" s="181">
        <f t="shared" si="32"/>
        <v>2</v>
      </c>
      <c r="M282" s="181">
        <f t="shared" si="33"/>
        <v>1</v>
      </c>
      <c r="N282" s="182">
        <v>9659.7778443531006</v>
      </c>
      <c r="O282" s="181">
        <v>4800</v>
      </c>
      <c r="P282" s="181">
        <v>38270.963082619877</v>
      </c>
      <c r="Q282">
        <v>414</v>
      </c>
      <c r="R282">
        <v>1105.3024868650327</v>
      </c>
      <c r="S282" s="88">
        <f t="shared" si="34"/>
        <v>15979.080331218134</v>
      </c>
    </row>
    <row r="283" spans="1:19" x14ac:dyDescent="0.25">
      <c r="A283" s="325">
        <v>15</v>
      </c>
      <c r="B283" s="325" t="s">
        <v>82</v>
      </c>
      <c r="C283" s="326">
        <v>40.5625</v>
      </c>
      <c r="D283" s="181">
        <v>40.5625</v>
      </c>
      <c r="E283" s="181">
        <f t="shared" si="28"/>
        <v>6</v>
      </c>
      <c r="F283" s="181">
        <f t="shared" si="29"/>
        <v>2</v>
      </c>
      <c r="G283" s="181">
        <f t="shared" si="30"/>
        <v>1</v>
      </c>
      <c r="H283" s="182">
        <v>8061.5535000000009</v>
      </c>
      <c r="I283" s="181">
        <v>4800</v>
      </c>
      <c r="J283" s="183">
        <v>10.302875</v>
      </c>
      <c r="K283" s="181">
        <f t="shared" si="31"/>
        <v>2</v>
      </c>
      <c r="L283" s="181">
        <f t="shared" si="32"/>
        <v>1</v>
      </c>
      <c r="M283" s="181">
        <f t="shared" si="33"/>
        <v>1</v>
      </c>
      <c r="N283" s="182">
        <v>2047.6345890000002</v>
      </c>
      <c r="O283" s="181">
        <v>1400</v>
      </c>
      <c r="P283" s="181">
        <v>8112.5</v>
      </c>
      <c r="Q283">
        <v>414</v>
      </c>
      <c r="R283">
        <v>1105.3024868650327</v>
      </c>
      <c r="S283" s="88">
        <f t="shared" si="34"/>
        <v>4966.937075865033</v>
      </c>
    </row>
    <row r="284" spans="1:19" x14ac:dyDescent="0.25">
      <c r="A284" s="325">
        <v>15</v>
      </c>
      <c r="B284" s="325" t="s">
        <v>83</v>
      </c>
      <c r="C284" s="326">
        <v>97.777666124650651</v>
      </c>
      <c r="D284" s="181">
        <v>97.777666124650651</v>
      </c>
      <c r="E284" s="181">
        <f t="shared" si="28"/>
        <v>13</v>
      </c>
      <c r="F284" s="181">
        <f t="shared" si="29"/>
        <v>3</v>
      </c>
      <c r="G284" s="181">
        <f t="shared" si="30"/>
        <v>1</v>
      </c>
      <c r="H284" s="182">
        <v>19432.72447627757</v>
      </c>
      <c r="I284" s="181">
        <v>6600</v>
      </c>
      <c r="J284" s="183">
        <v>24.835527195661264</v>
      </c>
      <c r="K284" s="181">
        <f t="shared" si="31"/>
        <v>4</v>
      </c>
      <c r="L284" s="181">
        <f t="shared" si="32"/>
        <v>1</v>
      </c>
      <c r="M284" s="181">
        <f t="shared" si="33"/>
        <v>1</v>
      </c>
      <c r="N284" s="182">
        <v>4935.9120169745029</v>
      </c>
      <c r="O284" s="181">
        <v>2400</v>
      </c>
      <c r="P284" s="181">
        <v>19555.533224930132</v>
      </c>
      <c r="Q284">
        <v>414</v>
      </c>
      <c r="R284">
        <v>1105.3024868650327</v>
      </c>
      <c r="S284" s="88">
        <f t="shared" si="34"/>
        <v>8855.2145038395356</v>
      </c>
    </row>
    <row r="285" spans="1:19" x14ac:dyDescent="0.25">
      <c r="A285" s="325">
        <v>15</v>
      </c>
      <c r="B285" s="325" t="s">
        <v>84</v>
      </c>
      <c r="C285" s="326">
        <v>211.59536098710157</v>
      </c>
      <c r="D285" s="181">
        <v>211.59536098710157</v>
      </c>
      <c r="E285" s="181">
        <f t="shared" si="28"/>
        <v>27</v>
      </c>
      <c r="F285" s="181">
        <f t="shared" si="29"/>
        <v>6</v>
      </c>
      <c r="G285" s="181">
        <f t="shared" si="30"/>
        <v>2</v>
      </c>
      <c r="H285" s="182">
        <v>42053.308424020521</v>
      </c>
      <c r="I285" s="181">
        <v>13200</v>
      </c>
      <c r="J285" s="183">
        <v>53.745221690723803</v>
      </c>
      <c r="K285" s="181">
        <f t="shared" si="31"/>
        <v>7</v>
      </c>
      <c r="L285" s="181">
        <f t="shared" si="32"/>
        <v>2</v>
      </c>
      <c r="M285" s="181">
        <f t="shared" si="33"/>
        <v>1</v>
      </c>
      <c r="N285" s="182">
        <v>10681.540339701212</v>
      </c>
      <c r="O285" s="181">
        <v>4800</v>
      </c>
      <c r="P285" s="181">
        <v>42319.072197420312</v>
      </c>
      <c r="Q285">
        <v>414</v>
      </c>
      <c r="R285">
        <v>1105.3024868650327</v>
      </c>
      <c r="S285" s="88">
        <f t="shared" si="34"/>
        <v>17000.842826566244</v>
      </c>
    </row>
    <row r="286" spans="1:19" x14ac:dyDescent="0.25">
      <c r="A286" s="325">
        <v>15</v>
      </c>
      <c r="B286" s="325" t="s">
        <v>85</v>
      </c>
      <c r="C286" s="326">
        <v>50.19945169905489</v>
      </c>
      <c r="D286" s="181">
        <v>50.19945169905489</v>
      </c>
      <c r="E286" s="181">
        <f t="shared" si="28"/>
        <v>7</v>
      </c>
      <c r="F286" s="181">
        <f t="shared" si="29"/>
        <v>2</v>
      </c>
      <c r="G286" s="181">
        <f t="shared" si="30"/>
        <v>1</v>
      </c>
      <c r="H286" s="182">
        <v>9976.8398284769664</v>
      </c>
      <c r="I286" s="181">
        <v>4800</v>
      </c>
      <c r="J286" s="183">
        <v>12.750660731559943</v>
      </c>
      <c r="K286" s="181">
        <f t="shared" si="31"/>
        <v>2</v>
      </c>
      <c r="L286" s="181">
        <f t="shared" si="32"/>
        <v>1</v>
      </c>
      <c r="M286" s="181">
        <f t="shared" si="33"/>
        <v>1</v>
      </c>
      <c r="N286" s="182">
        <v>2534.1173164331499</v>
      </c>
      <c r="O286" s="181">
        <v>1400</v>
      </c>
      <c r="P286" s="181">
        <v>10039.890339810978</v>
      </c>
      <c r="Q286">
        <v>414</v>
      </c>
      <c r="R286">
        <v>1105.3024868650327</v>
      </c>
      <c r="S286" s="88">
        <f t="shared" si="34"/>
        <v>5453.4198032981822</v>
      </c>
    </row>
    <row r="287" spans="1:19" x14ac:dyDescent="0.25">
      <c r="A287" s="325">
        <v>15</v>
      </c>
      <c r="B287" s="325" t="s">
        <v>86</v>
      </c>
      <c r="C287" s="326">
        <v>137.07950890885374</v>
      </c>
      <c r="D287" s="181">
        <v>137.07950890885374</v>
      </c>
      <c r="E287" s="181">
        <f t="shared" si="28"/>
        <v>18</v>
      </c>
      <c r="F287" s="181">
        <f t="shared" si="29"/>
        <v>4</v>
      </c>
      <c r="G287" s="181">
        <f t="shared" si="30"/>
        <v>1</v>
      </c>
      <c r="H287" s="182">
        <v>27243.72991858123</v>
      </c>
      <c r="I287" s="181">
        <v>6600</v>
      </c>
      <c r="J287" s="183">
        <v>34.818195262848853</v>
      </c>
      <c r="K287" s="181">
        <f t="shared" si="31"/>
        <v>5</v>
      </c>
      <c r="L287" s="181">
        <f t="shared" si="32"/>
        <v>1</v>
      </c>
      <c r="M287" s="181">
        <f t="shared" si="33"/>
        <v>1</v>
      </c>
      <c r="N287" s="182">
        <v>6919.9073993196334</v>
      </c>
      <c r="O287" s="181">
        <v>2400</v>
      </c>
      <c r="P287" s="181">
        <v>27415.901781770746</v>
      </c>
      <c r="Q287">
        <v>414</v>
      </c>
      <c r="R287">
        <v>1105.3024868650327</v>
      </c>
      <c r="S287" s="88">
        <f t="shared" si="34"/>
        <v>10839.209886184666</v>
      </c>
    </row>
    <row r="288" spans="1:19" x14ac:dyDescent="0.25">
      <c r="A288" s="325">
        <v>15</v>
      </c>
      <c r="B288" s="325" t="s">
        <v>87</v>
      </c>
      <c r="C288" s="326">
        <v>133.41053273231989</v>
      </c>
      <c r="D288" s="181">
        <v>133.41053273231989</v>
      </c>
      <c r="E288" s="181">
        <f t="shared" si="28"/>
        <v>17</v>
      </c>
      <c r="F288" s="181">
        <f t="shared" si="29"/>
        <v>4</v>
      </c>
      <c r="G288" s="181">
        <f t="shared" si="30"/>
        <v>1</v>
      </c>
      <c r="H288" s="182">
        <v>26514.542917352188</v>
      </c>
      <c r="I288" s="181">
        <v>6600</v>
      </c>
      <c r="J288" s="183">
        <v>33.886275314009254</v>
      </c>
      <c r="K288" s="181">
        <f t="shared" si="31"/>
        <v>5</v>
      </c>
      <c r="L288" s="181">
        <f t="shared" si="32"/>
        <v>1</v>
      </c>
      <c r="M288" s="181">
        <f t="shared" si="33"/>
        <v>1</v>
      </c>
      <c r="N288" s="182">
        <v>6734.6939010074557</v>
      </c>
      <c r="O288" s="181">
        <v>2400</v>
      </c>
      <c r="P288" s="181">
        <v>26682.10654646398</v>
      </c>
      <c r="Q288">
        <v>414</v>
      </c>
      <c r="R288">
        <v>1105.3024868650327</v>
      </c>
      <c r="S288" s="88">
        <f t="shared" si="34"/>
        <v>10653.996387872488</v>
      </c>
    </row>
    <row r="289" spans="1:19" x14ac:dyDescent="0.25">
      <c r="A289" s="325">
        <v>15</v>
      </c>
      <c r="B289" s="325" t="s">
        <v>88</v>
      </c>
      <c r="C289" s="326">
        <v>224.38300167600153</v>
      </c>
      <c r="D289" s="181">
        <v>224.38300167600153</v>
      </c>
      <c r="E289" s="181">
        <f t="shared" si="28"/>
        <v>29</v>
      </c>
      <c r="F289" s="181">
        <f t="shared" si="29"/>
        <v>6</v>
      </c>
      <c r="G289" s="181">
        <f t="shared" si="30"/>
        <v>2</v>
      </c>
      <c r="H289" s="182">
        <v>44594.775285095253</v>
      </c>
      <c r="I289" s="181">
        <v>13200</v>
      </c>
      <c r="J289" s="183">
        <v>56.993282425704386</v>
      </c>
      <c r="K289" s="181">
        <f t="shared" si="31"/>
        <v>8</v>
      </c>
      <c r="L289" s="181">
        <f t="shared" si="32"/>
        <v>2</v>
      </c>
      <c r="M289" s="181">
        <f t="shared" si="33"/>
        <v>1</v>
      </c>
      <c r="N289" s="182">
        <v>11327.072922414194</v>
      </c>
      <c r="O289" s="181">
        <v>4800</v>
      </c>
      <c r="P289" s="181">
        <v>44876.600335200303</v>
      </c>
      <c r="Q289">
        <v>414</v>
      </c>
      <c r="R289">
        <v>1105.3024868650327</v>
      </c>
      <c r="S289" s="88">
        <f t="shared" si="34"/>
        <v>17646.375409279226</v>
      </c>
    </row>
    <row r="290" spans="1:19" x14ac:dyDescent="0.25">
      <c r="A290" s="325">
        <v>15</v>
      </c>
      <c r="B290" s="325" t="s">
        <v>89</v>
      </c>
      <c r="C290" s="326">
        <v>138.43686825068926</v>
      </c>
      <c r="D290" s="181">
        <v>138.43686825068926</v>
      </c>
      <c r="E290" s="181">
        <f t="shared" si="28"/>
        <v>18</v>
      </c>
      <c r="F290" s="181">
        <f t="shared" si="29"/>
        <v>4</v>
      </c>
      <c r="G290" s="181">
        <f t="shared" si="30"/>
        <v>1</v>
      </c>
      <c r="H290" s="182">
        <v>27513.496943614991</v>
      </c>
      <c r="I290" s="181">
        <v>6600</v>
      </c>
      <c r="J290" s="183">
        <v>35.162964535675073</v>
      </c>
      <c r="K290" s="181">
        <f t="shared" si="31"/>
        <v>5</v>
      </c>
      <c r="L290" s="181">
        <f t="shared" si="32"/>
        <v>1</v>
      </c>
      <c r="M290" s="181">
        <f t="shared" si="33"/>
        <v>1</v>
      </c>
      <c r="N290" s="182">
        <v>6988.4282236782074</v>
      </c>
      <c r="O290" s="181">
        <v>2400</v>
      </c>
      <c r="P290" s="181">
        <v>27687.373650137852</v>
      </c>
      <c r="Q290">
        <v>414</v>
      </c>
      <c r="R290">
        <v>1105.3024868650327</v>
      </c>
      <c r="S290" s="88">
        <f t="shared" si="34"/>
        <v>10907.730710543241</v>
      </c>
    </row>
    <row r="291" spans="1:19" x14ac:dyDescent="0.25">
      <c r="A291" s="325">
        <v>15</v>
      </c>
      <c r="B291" s="325" t="s">
        <v>90</v>
      </c>
      <c r="C291" s="326">
        <v>135.49101592078932</v>
      </c>
      <c r="D291" s="181">
        <v>135.49101592078932</v>
      </c>
      <c r="E291" s="181">
        <f t="shared" si="28"/>
        <v>17</v>
      </c>
      <c r="F291" s="181">
        <f t="shared" si="29"/>
        <v>4</v>
      </c>
      <c r="G291" s="181">
        <f t="shared" si="30"/>
        <v>1</v>
      </c>
      <c r="H291" s="182">
        <v>26928.026468161355</v>
      </c>
      <c r="I291" s="181">
        <v>6600</v>
      </c>
      <c r="J291" s="183">
        <v>34.414718043880491</v>
      </c>
      <c r="K291" s="181">
        <f t="shared" si="31"/>
        <v>5</v>
      </c>
      <c r="L291" s="181">
        <f t="shared" si="32"/>
        <v>1</v>
      </c>
      <c r="M291" s="181">
        <f t="shared" si="33"/>
        <v>1</v>
      </c>
      <c r="N291" s="182">
        <v>6839.718722912985</v>
      </c>
      <c r="O291" s="181">
        <v>2400</v>
      </c>
      <c r="P291" s="181">
        <v>27098.203184157865</v>
      </c>
      <c r="Q291">
        <v>414</v>
      </c>
      <c r="R291">
        <v>1105.3024868650327</v>
      </c>
      <c r="S291" s="88">
        <f t="shared" si="34"/>
        <v>10759.021209778017</v>
      </c>
    </row>
    <row r="292" spans="1:19" x14ac:dyDescent="0.25">
      <c r="A292" s="325">
        <v>15</v>
      </c>
      <c r="B292" s="325" t="s">
        <v>91</v>
      </c>
      <c r="C292" s="326">
        <v>236.82670868654023</v>
      </c>
      <c r="D292" s="181">
        <v>236.82670868654023</v>
      </c>
      <c r="E292" s="181">
        <f t="shared" si="28"/>
        <v>30</v>
      </c>
      <c r="F292" s="181">
        <f t="shared" si="29"/>
        <v>6</v>
      </c>
      <c r="G292" s="181">
        <f t="shared" si="30"/>
        <v>2</v>
      </c>
      <c r="H292" s="182">
        <v>47067.887391197757</v>
      </c>
      <c r="I292" s="181">
        <v>13200</v>
      </c>
      <c r="J292" s="183">
        <v>60.153984006381222</v>
      </c>
      <c r="K292" s="181">
        <f t="shared" si="31"/>
        <v>8</v>
      </c>
      <c r="L292" s="181">
        <f t="shared" si="32"/>
        <v>2</v>
      </c>
      <c r="M292" s="181">
        <f t="shared" si="33"/>
        <v>1</v>
      </c>
      <c r="N292" s="182">
        <v>11955.243397364231</v>
      </c>
      <c r="O292" s="181">
        <v>4800</v>
      </c>
      <c r="P292" s="181">
        <v>47365.341737308045</v>
      </c>
      <c r="Q292">
        <v>414</v>
      </c>
      <c r="R292">
        <v>1105.3024868650327</v>
      </c>
      <c r="S292" s="88">
        <f t="shared" si="34"/>
        <v>18274.545884229265</v>
      </c>
    </row>
    <row r="293" spans="1:19" x14ac:dyDescent="0.25">
      <c r="A293" s="325">
        <v>15</v>
      </c>
      <c r="B293" s="325" t="s">
        <v>92</v>
      </c>
      <c r="C293" s="326">
        <v>89.021347704607791</v>
      </c>
      <c r="D293" s="181">
        <v>89.021347704607791</v>
      </c>
      <c r="E293" s="181">
        <f t="shared" si="28"/>
        <v>12</v>
      </c>
      <c r="F293" s="181">
        <f t="shared" si="29"/>
        <v>3</v>
      </c>
      <c r="G293" s="181">
        <f t="shared" si="30"/>
        <v>1</v>
      </c>
      <c r="H293" s="182">
        <v>17692.458728204572</v>
      </c>
      <c r="I293" s="181">
        <v>6600</v>
      </c>
      <c r="J293" s="183">
        <v>22.61142231697038</v>
      </c>
      <c r="K293" s="181">
        <f t="shared" si="31"/>
        <v>3</v>
      </c>
      <c r="L293" s="181">
        <f t="shared" si="32"/>
        <v>1</v>
      </c>
      <c r="M293" s="181">
        <f t="shared" si="33"/>
        <v>1</v>
      </c>
      <c r="N293" s="182">
        <v>4493.8845169639617</v>
      </c>
      <c r="O293" s="181">
        <v>2100</v>
      </c>
      <c r="P293" s="181">
        <v>17804.269540921559</v>
      </c>
      <c r="Q293">
        <v>414</v>
      </c>
      <c r="R293">
        <v>1105.3024868650327</v>
      </c>
      <c r="S293" s="88">
        <f t="shared" si="34"/>
        <v>8113.1870038289944</v>
      </c>
    </row>
    <row r="294" spans="1:19" x14ac:dyDescent="0.25">
      <c r="A294" s="325">
        <v>15</v>
      </c>
      <c r="B294" s="325" t="s">
        <v>93</v>
      </c>
      <c r="C294" s="326">
        <v>134.73703209853639</v>
      </c>
      <c r="D294" s="181">
        <v>134.73703209853639</v>
      </c>
      <c r="E294" s="181">
        <f t="shared" si="28"/>
        <v>17</v>
      </c>
      <c r="F294" s="181">
        <f t="shared" si="29"/>
        <v>4</v>
      </c>
      <c r="G294" s="181">
        <f t="shared" si="30"/>
        <v>1</v>
      </c>
      <c r="H294" s="182">
        <v>26778.176707391522</v>
      </c>
      <c r="I294" s="181">
        <v>6600</v>
      </c>
      <c r="J294" s="183">
        <v>34.223206153028244</v>
      </c>
      <c r="K294" s="181">
        <f t="shared" si="31"/>
        <v>5</v>
      </c>
      <c r="L294" s="181">
        <f t="shared" si="32"/>
        <v>1</v>
      </c>
      <c r="M294" s="181">
        <f t="shared" si="33"/>
        <v>1</v>
      </c>
      <c r="N294" s="182">
        <v>6801.6568836774459</v>
      </c>
      <c r="O294" s="181">
        <v>2400</v>
      </c>
      <c r="P294" s="181">
        <v>26947.406419707277</v>
      </c>
      <c r="Q294">
        <v>414</v>
      </c>
      <c r="R294">
        <v>1105.3024868650327</v>
      </c>
      <c r="S294" s="88">
        <f t="shared" si="34"/>
        <v>10720.959370542478</v>
      </c>
    </row>
    <row r="295" spans="1:19" x14ac:dyDescent="0.25">
      <c r="A295" s="325">
        <v>15</v>
      </c>
      <c r="B295" s="325" t="s">
        <v>94</v>
      </c>
      <c r="C295" s="326">
        <v>111.622621215885</v>
      </c>
      <c r="D295" s="181">
        <v>111.622621215885</v>
      </c>
      <c r="E295" s="181">
        <f t="shared" si="28"/>
        <v>14</v>
      </c>
      <c r="F295" s="181">
        <f t="shared" si="29"/>
        <v>3</v>
      </c>
      <c r="G295" s="181">
        <f t="shared" si="30"/>
        <v>1</v>
      </c>
      <c r="H295" s="182">
        <v>22184.326230929852</v>
      </c>
      <c r="I295" s="181">
        <v>6600</v>
      </c>
      <c r="J295" s="183">
        <v>28.352145788834793</v>
      </c>
      <c r="K295" s="181">
        <f t="shared" si="31"/>
        <v>4</v>
      </c>
      <c r="L295" s="181">
        <f t="shared" si="32"/>
        <v>1</v>
      </c>
      <c r="M295" s="181">
        <f t="shared" si="33"/>
        <v>1</v>
      </c>
      <c r="N295" s="182">
        <v>5634.8188626561832</v>
      </c>
      <c r="O295" s="181">
        <v>2400</v>
      </c>
      <c r="P295" s="181">
        <v>22324.524243177002</v>
      </c>
      <c r="Q295">
        <v>414</v>
      </c>
      <c r="R295">
        <v>1105.3024868650327</v>
      </c>
      <c r="S295" s="88">
        <f t="shared" si="34"/>
        <v>9554.121349521216</v>
      </c>
    </row>
    <row r="296" spans="1:19" x14ac:dyDescent="0.25">
      <c r="A296" s="325">
        <v>15</v>
      </c>
      <c r="B296" s="325" t="s">
        <v>95</v>
      </c>
      <c r="C296" s="326">
        <v>236.67429152665395</v>
      </c>
      <c r="D296" s="181">
        <v>236.67429152665395</v>
      </c>
      <c r="E296" s="181">
        <f t="shared" si="28"/>
        <v>30</v>
      </c>
      <c r="F296" s="181">
        <f t="shared" si="29"/>
        <v>6</v>
      </c>
      <c r="G296" s="181">
        <f t="shared" si="30"/>
        <v>2</v>
      </c>
      <c r="H296" s="182">
        <v>47037.595395173317</v>
      </c>
      <c r="I296" s="181">
        <v>13200</v>
      </c>
      <c r="J296" s="183">
        <v>60.115270047770103</v>
      </c>
      <c r="K296" s="181">
        <f t="shared" si="31"/>
        <v>8</v>
      </c>
      <c r="L296" s="181">
        <f t="shared" si="32"/>
        <v>2</v>
      </c>
      <c r="M296" s="181">
        <f t="shared" si="33"/>
        <v>1</v>
      </c>
      <c r="N296" s="182">
        <v>11947.549230374023</v>
      </c>
      <c r="O296" s="181">
        <v>4800</v>
      </c>
      <c r="P296" s="181">
        <v>47334.858305330788</v>
      </c>
      <c r="Q296">
        <v>414</v>
      </c>
      <c r="R296">
        <v>1105.3024868650327</v>
      </c>
      <c r="S296" s="88">
        <f t="shared" si="34"/>
        <v>18266.851717239057</v>
      </c>
    </row>
    <row r="297" spans="1:19" x14ac:dyDescent="0.25">
      <c r="A297" s="325">
        <v>15</v>
      </c>
      <c r="B297" s="325" t="s">
        <v>96</v>
      </c>
      <c r="C297" s="326">
        <v>159.50000000000003</v>
      </c>
      <c r="D297" s="181">
        <v>159.50000000000003</v>
      </c>
      <c r="E297" s="181">
        <f t="shared" si="28"/>
        <v>20</v>
      </c>
      <c r="F297" s="181">
        <f t="shared" si="29"/>
        <v>4</v>
      </c>
      <c r="G297" s="181">
        <f t="shared" si="30"/>
        <v>1</v>
      </c>
      <c r="H297" s="182">
        <v>31699.668000000009</v>
      </c>
      <c r="I297" s="181">
        <v>6600</v>
      </c>
      <c r="J297" s="183">
        <v>40.513000000000005</v>
      </c>
      <c r="K297" s="181">
        <f t="shared" si="31"/>
        <v>6</v>
      </c>
      <c r="L297" s="181">
        <f t="shared" si="32"/>
        <v>2</v>
      </c>
      <c r="M297" s="181">
        <f t="shared" si="33"/>
        <v>1</v>
      </c>
      <c r="N297" s="182">
        <v>8051.7156720000021</v>
      </c>
      <c r="O297" s="181">
        <v>4800</v>
      </c>
      <c r="P297" s="181">
        <v>31900.000000000007</v>
      </c>
      <c r="Q297">
        <v>414</v>
      </c>
      <c r="R297">
        <v>1105.3024868650327</v>
      </c>
      <c r="S297" s="88">
        <f t="shared" si="34"/>
        <v>14371.018158865034</v>
      </c>
    </row>
    <row r="298" spans="1:19" x14ac:dyDescent="0.25">
      <c r="A298" s="325">
        <v>15</v>
      </c>
      <c r="B298" s="325" t="s">
        <v>97</v>
      </c>
      <c r="C298" s="326">
        <v>139.68051696729742</v>
      </c>
      <c r="D298" s="181">
        <v>139.68051696729742</v>
      </c>
      <c r="E298" s="181">
        <f t="shared" si="28"/>
        <v>18</v>
      </c>
      <c r="F298" s="181">
        <f t="shared" si="29"/>
        <v>4</v>
      </c>
      <c r="G298" s="181">
        <f t="shared" si="30"/>
        <v>1</v>
      </c>
      <c r="H298" s="182">
        <v>27760.664664148564</v>
      </c>
      <c r="I298" s="181">
        <v>6600</v>
      </c>
      <c r="J298" s="183">
        <v>35.478851309693546</v>
      </c>
      <c r="K298" s="181">
        <f t="shared" si="31"/>
        <v>5</v>
      </c>
      <c r="L298" s="181">
        <f t="shared" si="32"/>
        <v>1</v>
      </c>
      <c r="M298" s="181">
        <f t="shared" si="33"/>
        <v>1</v>
      </c>
      <c r="N298" s="182">
        <v>7051.2088246937356</v>
      </c>
      <c r="O298" s="181">
        <v>2400</v>
      </c>
      <c r="P298" s="181">
        <v>27936.103393459485</v>
      </c>
      <c r="Q298">
        <v>414</v>
      </c>
      <c r="R298">
        <v>1105.3024868650327</v>
      </c>
      <c r="S298" s="88">
        <f t="shared" si="34"/>
        <v>10970.511311558768</v>
      </c>
    </row>
    <row r="299" spans="1:19" x14ac:dyDescent="0.25">
      <c r="A299" s="325">
        <v>15</v>
      </c>
      <c r="B299" s="325" t="s">
        <v>98</v>
      </c>
      <c r="C299" s="326">
        <v>312.30291293499999</v>
      </c>
      <c r="D299" s="181">
        <v>312.30291293499999</v>
      </c>
      <c r="E299" s="181">
        <f t="shared" si="28"/>
        <v>40</v>
      </c>
      <c r="F299" s="181">
        <f t="shared" si="29"/>
        <v>8</v>
      </c>
      <c r="G299" s="181">
        <f t="shared" si="30"/>
        <v>2</v>
      </c>
      <c r="H299" s="182">
        <v>62068.330128353649</v>
      </c>
      <c r="I299" s="181">
        <v>13200</v>
      </c>
      <c r="J299" s="183">
        <v>79.324939885489997</v>
      </c>
      <c r="K299" s="181">
        <f t="shared" si="31"/>
        <v>10</v>
      </c>
      <c r="L299" s="181">
        <f t="shared" si="32"/>
        <v>2</v>
      </c>
      <c r="M299" s="181">
        <f t="shared" si="33"/>
        <v>1</v>
      </c>
      <c r="N299" s="182">
        <v>15765.355852601826</v>
      </c>
      <c r="O299" s="181">
        <v>4800</v>
      </c>
      <c r="P299" s="181">
        <v>62460.582586999997</v>
      </c>
      <c r="Q299">
        <v>414</v>
      </c>
      <c r="R299">
        <v>1105.3024868650327</v>
      </c>
      <c r="S299" s="88">
        <f t="shared" si="34"/>
        <v>22084.65833946686</v>
      </c>
    </row>
    <row r="300" spans="1:19" x14ac:dyDescent="0.25">
      <c r="A300" s="325">
        <v>15</v>
      </c>
      <c r="B300" s="325" t="s">
        <v>141</v>
      </c>
      <c r="C300" s="326">
        <v>82.034208136116476</v>
      </c>
      <c r="D300" s="181">
        <v>82.034208136116476</v>
      </c>
      <c r="E300" s="181">
        <f t="shared" si="28"/>
        <v>11</v>
      </c>
      <c r="F300" s="181">
        <f t="shared" si="29"/>
        <v>3</v>
      </c>
      <c r="G300" s="181">
        <f t="shared" si="30"/>
        <v>1</v>
      </c>
      <c r="H300" s="182">
        <v>16303.806661804336</v>
      </c>
      <c r="I300" s="181">
        <v>6600</v>
      </c>
      <c r="J300" s="183">
        <v>20.836688866573585</v>
      </c>
      <c r="K300" s="181">
        <f t="shared" si="31"/>
        <v>3</v>
      </c>
      <c r="L300" s="181">
        <f t="shared" si="32"/>
        <v>1</v>
      </c>
      <c r="M300" s="181">
        <f t="shared" si="33"/>
        <v>1</v>
      </c>
      <c r="N300" s="182">
        <v>4141.1668920983011</v>
      </c>
      <c r="O300" s="181">
        <v>2100</v>
      </c>
      <c r="P300" s="181">
        <v>16406.841627223293</v>
      </c>
      <c r="Q300">
        <v>414</v>
      </c>
      <c r="R300">
        <v>1105.3024868650327</v>
      </c>
      <c r="S300" s="88">
        <f t="shared" si="34"/>
        <v>7760.4693789633338</v>
      </c>
    </row>
    <row r="301" spans="1:19" x14ac:dyDescent="0.25">
      <c r="A301" s="325">
        <v>15</v>
      </c>
      <c r="B301" s="325" t="s">
        <v>135</v>
      </c>
      <c r="C301" s="326">
        <v>106.66666666666666</v>
      </c>
      <c r="D301" s="181">
        <v>106.66666666666666</v>
      </c>
      <c r="E301" s="181">
        <f t="shared" si="28"/>
        <v>14</v>
      </c>
      <c r="F301" s="181">
        <f t="shared" si="29"/>
        <v>3</v>
      </c>
      <c r="G301" s="181">
        <f t="shared" si="30"/>
        <v>1</v>
      </c>
      <c r="H301" s="182">
        <v>21199.360000000001</v>
      </c>
      <c r="I301" s="181">
        <v>6600</v>
      </c>
      <c r="J301" s="183">
        <v>27.09333333333333</v>
      </c>
      <c r="K301" s="181">
        <f t="shared" si="31"/>
        <v>4</v>
      </c>
      <c r="L301" s="181">
        <f t="shared" si="32"/>
        <v>1</v>
      </c>
      <c r="M301" s="181">
        <f t="shared" si="33"/>
        <v>1</v>
      </c>
      <c r="N301" s="182">
        <v>5384.6374400000004</v>
      </c>
      <c r="O301" s="181">
        <v>2400</v>
      </c>
      <c r="P301" s="181">
        <v>21333.333333333332</v>
      </c>
      <c r="Q301">
        <v>414</v>
      </c>
      <c r="R301">
        <v>1105.3024868650327</v>
      </c>
      <c r="S301" s="88">
        <f t="shared" si="34"/>
        <v>9303.9399268650341</v>
      </c>
    </row>
    <row r="302" spans="1:19" x14ac:dyDescent="0.25">
      <c r="A302" s="325">
        <v>15</v>
      </c>
      <c r="B302" s="325" t="s">
        <v>99</v>
      </c>
      <c r="C302" s="326">
        <v>136.91935941370068</v>
      </c>
      <c r="D302" s="181">
        <v>136.91935941370068</v>
      </c>
      <c r="E302" s="181">
        <f t="shared" si="28"/>
        <v>18</v>
      </c>
      <c r="F302" s="181">
        <f t="shared" si="29"/>
        <v>4</v>
      </c>
      <c r="G302" s="181">
        <f t="shared" si="30"/>
        <v>1</v>
      </c>
      <c r="H302" s="182">
        <v>27211.90116731653</v>
      </c>
      <c r="I302" s="181">
        <v>6600</v>
      </c>
      <c r="J302" s="183">
        <v>34.777517291079974</v>
      </c>
      <c r="K302" s="181">
        <f t="shared" si="31"/>
        <v>5</v>
      </c>
      <c r="L302" s="181">
        <f t="shared" si="32"/>
        <v>1</v>
      </c>
      <c r="M302" s="181">
        <f t="shared" si="33"/>
        <v>1</v>
      </c>
      <c r="N302" s="182">
        <v>6911.8228964983991</v>
      </c>
      <c r="O302" s="181">
        <v>2400</v>
      </c>
      <c r="P302" s="181">
        <v>27383.871882740135</v>
      </c>
      <c r="Q302">
        <v>414</v>
      </c>
      <c r="R302">
        <v>1105.3024868650327</v>
      </c>
      <c r="S302" s="88">
        <f t="shared" si="34"/>
        <v>10831.125383363433</v>
      </c>
    </row>
    <row r="303" spans="1:19" x14ac:dyDescent="0.25">
      <c r="A303" s="325">
        <v>15</v>
      </c>
      <c r="B303" s="325" t="s">
        <v>100</v>
      </c>
      <c r="C303" s="326">
        <v>194.12398238080777</v>
      </c>
      <c r="D303" s="181">
        <v>194.12398238080777</v>
      </c>
      <c r="E303" s="181">
        <f t="shared" si="28"/>
        <v>25</v>
      </c>
      <c r="F303" s="181">
        <f t="shared" si="29"/>
        <v>5</v>
      </c>
      <c r="G303" s="181">
        <f t="shared" si="30"/>
        <v>2</v>
      </c>
      <c r="H303" s="182">
        <v>38580.976754291267</v>
      </c>
      <c r="I303" s="181">
        <v>13200</v>
      </c>
      <c r="J303" s="183">
        <v>49.307491524725172</v>
      </c>
      <c r="K303" s="181">
        <f t="shared" si="31"/>
        <v>7</v>
      </c>
      <c r="L303" s="181">
        <f t="shared" si="32"/>
        <v>2</v>
      </c>
      <c r="M303" s="181">
        <f t="shared" si="33"/>
        <v>1</v>
      </c>
      <c r="N303" s="182">
        <v>9799.5680955899807</v>
      </c>
      <c r="O303" s="181">
        <v>4800</v>
      </c>
      <c r="P303" s="181">
        <v>38824.796476161559</v>
      </c>
      <c r="Q303">
        <v>414</v>
      </c>
      <c r="R303">
        <v>1105.3024868650327</v>
      </c>
      <c r="S303" s="88">
        <f t="shared" si="34"/>
        <v>16118.870582455012</v>
      </c>
    </row>
    <row r="304" spans="1:19" x14ac:dyDescent="0.25">
      <c r="A304" s="325">
        <v>15</v>
      </c>
      <c r="B304" s="325" t="s">
        <v>101</v>
      </c>
      <c r="C304" s="326">
        <v>297</v>
      </c>
      <c r="D304" s="181">
        <v>297</v>
      </c>
      <c r="E304" s="181">
        <f t="shared" si="28"/>
        <v>38</v>
      </c>
      <c r="F304" s="181">
        <f t="shared" si="29"/>
        <v>8</v>
      </c>
      <c r="G304" s="181">
        <f t="shared" si="30"/>
        <v>2</v>
      </c>
      <c r="H304" s="182">
        <v>59026.968000000008</v>
      </c>
      <c r="I304" s="181">
        <v>13200</v>
      </c>
      <c r="J304" s="183">
        <v>75.438000000000002</v>
      </c>
      <c r="K304" s="181">
        <f t="shared" si="31"/>
        <v>10</v>
      </c>
      <c r="L304" s="181">
        <f t="shared" si="32"/>
        <v>2</v>
      </c>
      <c r="M304" s="181">
        <f t="shared" si="33"/>
        <v>1</v>
      </c>
      <c r="N304" s="182">
        <v>14992.849872000003</v>
      </c>
      <c r="O304" s="181">
        <v>4800</v>
      </c>
      <c r="P304" s="181">
        <v>59400</v>
      </c>
      <c r="Q304">
        <v>414</v>
      </c>
      <c r="R304">
        <v>1105.3024868650327</v>
      </c>
      <c r="S304" s="88">
        <f t="shared" si="34"/>
        <v>21312.152358865034</v>
      </c>
    </row>
    <row r="305" spans="1:19" x14ac:dyDescent="0.25">
      <c r="A305" s="325">
        <v>15</v>
      </c>
      <c r="B305" s="325" t="s">
        <v>102</v>
      </c>
      <c r="C305" s="326">
        <v>45.800000000000018</v>
      </c>
      <c r="D305" s="181">
        <v>45.800000000000018</v>
      </c>
      <c r="E305" s="181">
        <f t="shared" si="28"/>
        <v>6</v>
      </c>
      <c r="F305" s="181">
        <f t="shared" si="29"/>
        <v>2</v>
      </c>
      <c r="G305" s="181">
        <f t="shared" si="30"/>
        <v>1</v>
      </c>
      <c r="H305" s="182">
        <v>9102.4752000000044</v>
      </c>
      <c r="I305" s="181">
        <v>4800</v>
      </c>
      <c r="J305" s="183">
        <v>11.633200000000004</v>
      </c>
      <c r="K305" s="181">
        <f t="shared" si="31"/>
        <v>2</v>
      </c>
      <c r="L305" s="181">
        <f t="shared" si="32"/>
        <v>1</v>
      </c>
      <c r="M305" s="181">
        <f t="shared" si="33"/>
        <v>1</v>
      </c>
      <c r="N305" s="182">
        <v>2312.0287008000009</v>
      </c>
      <c r="O305" s="181">
        <v>1400</v>
      </c>
      <c r="P305" s="181">
        <v>9160.0000000000036</v>
      </c>
      <c r="Q305">
        <v>414</v>
      </c>
      <c r="R305">
        <v>1105.3024868650327</v>
      </c>
      <c r="S305" s="88">
        <f t="shared" si="34"/>
        <v>5231.3311876650332</v>
      </c>
    </row>
    <row r="306" spans="1:19" x14ac:dyDescent="0.25">
      <c r="A306" s="325">
        <v>15</v>
      </c>
      <c r="B306" s="325" t="s">
        <v>103</v>
      </c>
      <c r="C306" s="326">
        <v>92.490646694128458</v>
      </c>
      <c r="D306" s="181">
        <v>92.490646694128458</v>
      </c>
      <c r="E306" s="181">
        <f t="shared" si="28"/>
        <v>12</v>
      </c>
      <c r="F306" s="181">
        <f t="shared" si="29"/>
        <v>3</v>
      </c>
      <c r="G306" s="181">
        <f t="shared" si="30"/>
        <v>1</v>
      </c>
      <c r="H306" s="182">
        <v>18381.96108657787</v>
      </c>
      <c r="I306" s="181">
        <v>6600</v>
      </c>
      <c r="J306" s="183">
        <v>23.492624260308627</v>
      </c>
      <c r="K306" s="181">
        <f t="shared" si="31"/>
        <v>3</v>
      </c>
      <c r="L306" s="181">
        <f t="shared" si="32"/>
        <v>1</v>
      </c>
      <c r="M306" s="181">
        <f t="shared" si="33"/>
        <v>1</v>
      </c>
      <c r="N306" s="182">
        <v>4669.0181159907788</v>
      </c>
      <c r="O306" s="181">
        <v>2100</v>
      </c>
      <c r="P306" s="181">
        <v>18498.129338825693</v>
      </c>
      <c r="Q306">
        <v>414</v>
      </c>
      <c r="R306">
        <v>1105.3024868650327</v>
      </c>
      <c r="S306" s="88">
        <f t="shared" si="34"/>
        <v>8288.3206028558125</v>
      </c>
    </row>
    <row r="307" spans="1:19" x14ac:dyDescent="0.25">
      <c r="A307" s="325">
        <v>15</v>
      </c>
      <c r="B307" s="325" t="s">
        <v>104</v>
      </c>
      <c r="C307" s="326">
        <v>26.985074626865668</v>
      </c>
      <c r="D307" s="181">
        <v>26.985074626865668</v>
      </c>
      <c r="E307" s="181">
        <f t="shared" si="28"/>
        <v>4</v>
      </c>
      <c r="F307" s="181">
        <f t="shared" si="29"/>
        <v>1</v>
      </c>
      <c r="G307" s="181">
        <f t="shared" si="30"/>
        <v>1</v>
      </c>
      <c r="H307" s="182">
        <v>5363.1216716417912</v>
      </c>
      <c r="I307" s="181">
        <v>2400</v>
      </c>
      <c r="J307" s="183">
        <v>6.8542089552238794</v>
      </c>
      <c r="K307" s="181">
        <f t="shared" si="31"/>
        <v>1</v>
      </c>
      <c r="L307" s="181">
        <f t="shared" si="32"/>
        <v>1</v>
      </c>
      <c r="M307" s="181">
        <f t="shared" si="33"/>
        <v>1</v>
      </c>
      <c r="N307" s="182">
        <v>1362.2329045970148</v>
      </c>
      <c r="O307" s="181">
        <v>700</v>
      </c>
      <c r="P307" s="181">
        <v>5397.0149253731333</v>
      </c>
      <c r="Q307">
        <v>414</v>
      </c>
      <c r="R307">
        <v>1105.3024868650327</v>
      </c>
      <c r="S307" s="88">
        <f t="shared" si="34"/>
        <v>3581.5353914620473</v>
      </c>
    </row>
    <row r="308" spans="1:19" x14ac:dyDescent="0.25">
      <c r="A308" s="325">
        <v>15</v>
      </c>
      <c r="B308" s="325" t="s">
        <v>105</v>
      </c>
      <c r="C308" s="326">
        <v>208.43780689677163</v>
      </c>
      <c r="D308" s="181">
        <v>208.43780689677163</v>
      </c>
      <c r="E308" s="181">
        <f t="shared" si="28"/>
        <v>27</v>
      </c>
      <c r="F308" s="181">
        <f t="shared" si="29"/>
        <v>6</v>
      </c>
      <c r="G308" s="181">
        <f t="shared" si="30"/>
        <v>2</v>
      </c>
      <c r="H308" s="182">
        <v>41425.763493891987</v>
      </c>
      <c r="I308" s="181">
        <v>13200</v>
      </c>
      <c r="J308" s="183">
        <v>52.943202951779995</v>
      </c>
      <c r="K308" s="181">
        <f t="shared" si="31"/>
        <v>7</v>
      </c>
      <c r="L308" s="181">
        <f t="shared" si="32"/>
        <v>2</v>
      </c>
      <c r="M308" s="181">
        <f t="shared" si="33"/>
        <v>1</v>
      </c>
      <c r="N308" s="182">
        <v>10522.143927448566</v>
      </c>
      <c r="O308" s="181">
        <v>4800</v>
      </c>
      <c r="P308" s="181">
        <v>41687.561379354323</v>
      </c>
      <c r="Q308">
        <v>414</v>
      </c>
      <c r="R308">
        <v>1105.3024868650327</v>
      </c>
      <c r="S308" s="88">
        <f t="shared" si="34"/>
        <v>16841.446414313599</v>
      </c>
    </row>
    <row r="309" spans="1:19" x14ac:dyDescent="0.25">
      <c r="A309" s="325">
        <v>15</v>
      </c>
      <c r="B309" s="325" t="s">
        <v>106</v>
      </c>
      <c r="C309" s="326">
        <v>197.6818503237796</v>
      </c>
      <c r="D309" s="181">
        <v>197.6818503237796</v>
      </c>
      <c r="E309" s="181">
        <f t="shared" si="28"/>
        <v>25</v>
      </c>
      <c r="F309" s="181">
        <f t="shared" si="29"/>
        <v>5</v>
      </c>
      <c r="G309" s="181">
        <f t="shared" si="30"/>
        <v>2</v>
      </c>
      <c r="H309" s="182">
        <v>39288.08166074926</v>
      </c>
      <c r="I309" s="181">
        <v>13200</v>
      </c>
      <c r="J309" s="183">
        <v>50.211189982240022</v>
      </c>
      <c r="K309" s="181">
        <f t="shared" si="31"/>
        <v>7</v>
      </c>
      <c r="L309" s="181">
        <f t="shared" si="32"/>
        <v>2</v>
      </c>
      <c r="M309" s="181">
        <f t="shared" si="33"/>
        <v>1</v>
      </c>
      <c r="N309" s="182">
        <v>9979.1727418303126</v>
      </c>
      <c r="O309" s="181">
        <v>4800</v>
      </c>
      <c r="P309" s="181">
        <v>39536.370064755916</v>
      </c>
      <c r="Q309">
        <v>414</v>
      </c>
      <c r="R309">
        <v>1105.3024868650327</v>
      </c>
      <c r="S309" s="88">
        <f t="shared" si="34"/>
        <v>16298.475228695344</v>
      </c>
    </row>
    <row r="310" spans="1:19" x14ac:dyDescent="0.25">
      <c r="A310" s="325">
        <v>15</v>
      </c>
      <c r="B310" s="325" t="s">
        <v>136</v>
      </c>
      <c r="C310" s="326">
        <v>232.51799537858369</v>
      </c>
      <c r="D310" s="181">
        <v>232.51799537858369</v>
      </c>
      <c r="E310" s="181">
        <f t="shared" si="28"/>
        <v>30</v>
      </c>
      <c r="F310" s="181">
        <f t="shared" si="29"/>
        <v>6</v>
      </c>
      <c r="G310" s="181">
        <f t="shared" si="30"/>
        <v>2</v>
      </c>
      <c r="H310" s="182">
        <v>46211.556473521247</v>
      </c>
      <c r="I310" s="181">
        <v>13200</v>
      </c>
      <c r="J310" s="183">
        <v>59.059570826160261</v>
      </c>
      <c r="K310" s="181">
        <f t="shared" si="31"/>
        <v>8</v>
      </c>
      <c r="L310" s="181">
        <f t="shared" si="32"/>
        <v>2</v>
      </c>
      <c r="M310" s="181">
        <f t="shared" si="33"/>
        <v>1</v>
      </c>
      <c r="N310" s="182">
        <v>11737.735344274397</v>
      </c>
      <c r="O310" s="181">
        <v>4800</v>
      </c>
      <c r="P310" s="181">
        <v>46503.599075716738</v>
      </c>
      <c r="Q310">
        <v>414</v>
      </c>
      <c r="R310">
        <v>1105.3024868650327</v>
      </c>
      <c r="S310" s="88">
        <f t="shared" si="34"/>
        <v>18057.037831139431</v>
      </c>
    </row>
    <row r="311" spans="1:19" x14ac:dyDescent="0.25">
      <c r="A311" s="325">
        <v>15</v>
      </c>
      <c r="B311" s="325" t="s">
        <v>107</v>
      </c>
      <c r="C311" s="326">
        <v>4.9230769230769234</v>
      </c>
      <c r="D311" s="181">
        <v>4.9230769230769234</v>
      </c>
      <c r="E311" s="181">
        <f t="shared" si="28"/>
        <v>1</v>
      </c>
      <c r="F311" s="181">
        <f t="shared" si="29"/>
        <v>1</v>
      </c>
      <c r="G311" s="181">
        <f t="shared" si="30"/>
        <v>1</v>
      </c>
      <c r="H311" s="182">
        <v>978.43200000000024</v>
      </c>
      <c r="I311" s="181">
        <v>700</v>
      </c>
      <c r="J311" s="183">
        <v>1.2504615384615385</v>
      </c>
      <c r="K311" s="181">
        <f t="shared" si="31"/>
        <v>1</v>
      </c>
      <c r="L311" s="181">
        <f t="shared" si="32"/>
        <v>1</v>
      </c>
      <c r="M311" s="181">
        <f t="shared" si="33"/>
        <v>1</v>
      </c>
      <c r="N311" s="182">
        <v>248.52172800000005</v>
      </c>
      <c r="O311" s="181">
        <v>700</v>
      </c>
      <c r="P311" s="181">
        <v>984.61538461538464</v>
      </c>
      <c r="Q311">
        <v>414</v>
      </c>
      <c r="R311">
        <v>1105.3024868650327</v>
      </c>
      <c r="S311" s="88">
        <f t="shared" si="34"/>
        <v>2467.8242148650329</v>
      </c>
    </row>
    <row r="312" spans="1:19" x14ac:dyDescent="0.25">
      <c r="A312" s="325">
        <v>15</v>
      </c>
      <c r="B312" s="325" t="s">
        <v>108</v>
      </c>
      <c r="C312" s="326">
        <v>138.87934817515463</v>
      </c>
      <c r="D312" s="181">
        <v>138.87934817515463</v>
      </c>
      <c r="E312" s="181">
        <f t="shared" si="28"/>
        <v>18</v>
      </c>
      <c r="F312" s="181">
        <f t="shared" si="29"/>
        <v>4</v>
      </c>
      <c r="G312" s="181">
        <f t="shared" si="30"/>
        <v>1</v>
      </c>
      <c r="H312" s="182">
        <v>27601.437173722938</v>
      </c>
      <c r="I312" s="181">
        <v>6600</v>
      </c>
      <c r="J312" s="183">
        <v>35.27535443648928</v>
      </c>
      <c r="K312" s="181">
        <f t="shared" si="31"/>
        <v>5</v>
      </c>
      <c r="L312" s="181">
        <f t="shared" si="32"/>
        <v>1</v>
      </c>
      <c r="M312" s="181">
        <f t="shared" si="33"/>
        <v>1</v>
      </c>
      <c r="N312" s="182">
        <v>7010.7650421256267</v>
      </c>
      <c r="O312" s="181">
        <v>2400</v>
      </c>
      <c r="P312" s="181">
        <v>27775.869635030926</v>
      </c>
      <c r="Q312">
        <v>414</v>
      </c>
      <c r="R312">
        <v>1105.3024868650327</v>
      </c>
      <c r="S312" s="88">
        <f t="shared" si="34"/>
        <v>10930.067528990659</v>
      </c>
    </row>
    <row r="313" spans="1:19" x14ac:dyDescent="0.25">
      <c r="A313" s="325">
        <v>15</v>
      </c>
      <c r="B313" s="325" t="s">
        <v>109</v>
      </c>
      <c r="C313" s="326">
        <v>91.990681474356819</v>
      </c>
      <c r="D313" s="181">
        <v>91.990681474356819</v>
      </c>
      <c r="E313" s="181">
        <f t="shared" si="28"/>
        <v>12</v>
      </c>
      <c r="F313" s="181">
        <f t="shared" si="29"/>
        <v>3</v>
      </c>
      <c r="G313" s="181">
        <f t="shared" si="30"/>
        <v>1</v>
      </c>
      <c r="H313" s="182">
        <v>18282.595998939574</v>
      </c>
      <c r="I313" s="181">
        <v>6600</v>
      </c>
      <c r="J313" s="183">
        <v>23.365633094486633</v>
      </c>
      <c r="K313" s="181">
        <f t="shared" si="31"/>
        <v>3</v>
      </c>
      <c r="L313" s="181">
        <f t="shared" si="32"/>
        <v>1</v>
      </c>
      <c r="M313" s="181">
        <f t="shared" si="33"/>
        <v>1</v>
      </c>
      <c r="N313" s="182">
        <v>4643.7793837306517</v>
      </c>
      <c r="O313" s="181">
        <v>2100</v>
      </c>
      <c r="P313" s="181">
        <v>18398.136294871365</v>
      </c>
      <c r="Q313">
        <v>414</v>
      </c>
      <c r="R313">
        <v>1105.3024868650327</v>
      </c>
      <c r="S313" s="88">
        <f t="shared" si="34"/>
        <v>8263.0818705956844</v>
      </c>
    </row>
    <row r="314" spans="1:19" x14ac:dyDescent="0.25">
      <c r="A314" s="325">
        <v>15</v>
      </c>
      <c r="B314" s="325" t="s">
        <v>110</v>
      </c>
      <c r="C314" s="326">
        <v>103.3780736465706</v>
      </c>
      <c r="D314" s="181">
        <v>103.3780736465706</v>
      </c>
      <c r="E314" s="181">
        <f t="shared" si="28"/>
        <v>13</v>
      </c>
      <c r="F314" s="181">
        <f t="shared" si="29"/>
        <v>3</v>
      </c>
      <c r="G314" s="181">
        <f t="shared" si="30"/>
        <v>1</v>
      </c>
      <c r="H314" s="182">
        <v>20545.77186881403</v>
      </c>
      <c r="I314" s="181">
        <v>6600</v>
      </c>
      <c r="J314" s="183">
        <v>26.258030706228933</v>
      </c>
      <c r="K314" s="181">
        <f t="shared" si="31"/>
        <v>4</v>
      </c>
      <c r="L314" s="181">
        <f t="shared" si="32"/>
        <v>1</v>
      </c>
      <c r="M314" s="181">
        <f t="shared" si="33"/>
        <v>1</v>
      </c>
      <c r="N314" s="182">
        <v>5218.6260546787635</v>
      </c>
      <c r="O314" s="181">
        <v>2400</v>
      </c>
      <c r="P314" s="181">
        <v>20675.614729314118</v>
      </c>
      <c r="Q314">
        <v>414</v>
      </c>
      <c r="R314">
        <v>1105.3024868650327</v>
      </c>
      <c r="S314" s="88">
        <f t="shared" si="34"/>
        <v>9137.9285415437953</v>
      </c>
    </row>
    <row r="315" spans="1:19" x14ac:dyDescent="0.25">
      <c r="A315" s="325">
        <v>15</v>
      </c>
      <c r="B315" s="325" t="s">
        <v>111</v>
      </c>
      <c r="C315" s="326">
        <v>228.10388571416377</v>
      </c>
      <c r="D315" s="181">
        <v>228.10388571416377</v>
      </c>
      <c r="E315" s="181">
        <f t="shared" si="28"/>
        <v>29</v>
      </c>
      <c r="F315" s="181">
        <f t="shared" si="29"/>
        <v>6</v>
      </c>
      <c r="G315" s="181">
        <f t="shared" si="30"/>
        <v>2</v>
      </c>
      <c r="H315" s="182">
        <v>45334.278662375771</v>
      </c>
      <c r="I315" s="181">
        <v>13200</v>
      </c>
      <c r="J315" s="183">
        <v>57.938386971397598</v>
      </c>
      <c r="K315" s="181">
        <f t="shared" si="31"/>
        <v>8</v>
      </c>
      <c r="L315" s="181">
        <f t="shared" si="32"/>
        <v>2</v>
      </c>
      <c r="M315" s="181">
        <f t="shared" si="33"/>
        <v>1</v>
      </c>
      <c r="N315" s="182">
        <v>11514.906780243446</v>
      </c>
      <c r="O315" s="181">
        <v>4800</v>
      </c>
      <c r="P315" s="181">
        <v>45620.777142832754</v>
      </c>
      <c r="Q315">
        <v>414</v>
      </c>
      <c r="R315">
        <v>1105.3024868650327</v>
      </c>
      <c r="S315" s="88">
        <f t="shared" si="34"/>
        <v>17834.209267108479</v>
      </c>
    </row>
    <row r="316" spans="1:19" x14ac:dyDescent="0.25">
      <c r="A316" s="325">
        <v>15</v>
      </c>
      <c r="B316" s="325" t="s">
        <v>137</v>
      </c>
      <c r="C316" s="326">
        <v>76.047058823529412</v>
      </c>
      <c r="D316" s="181">
        <v>76.047058823529412</v>
      </c>
      <c r="E316" s="181">
        <f t="shared" si="28"/>
        <v>10</v>
      </c>
      <c r="F316" s="181">
        <f t="shared" si="29"/>
        <v>2</v>
      </c>
      <c r="G316" s="181">
        <f t="shared" si="30"/>
        <v>1</v>
      </c>
      <c r="H316" s="182">
        <v>15113.896658823531</v>
      </c>
      <c r="I316" s="181">
        <v>4800</v>
      </c>
      <c r="J316" s="183">
        <v>19.315952941176469</v>
      </c>
      <c r="K316" s="181">
        <f t="shared" si="31"/>
        <v>3</v>
      </c>
      <c r="L316" s="181">
        <f t="shared" si="32"/>
        <v>1</v>
      </c>
      <c r="M316" s="181">
        <f t="shared" si="33"/>
        <v>1</v>
      </c>
      <c r="N316" s="182">
        <v>3838.9297513411766</v>
      </c>
      <c r="O316" s="181">
        <v>2100</v>
      </c>
      <c r="P316" s="181">
        <v>15209.411764705883</v>
      </c>
      <c r="Q316">
        <v>414</v>
      </c>
      <c r="R316">
        <v>1105.3024868650327</v>
      </c>
      <c r="S316" s="88">
        <f t="shared" si="34"/>
        <v>7458.2322382062093</v>
      </c>
    </row>
    <row r="317" spans="1:19" x14ac:dyDescent="0.25">
      <c r="A317" s="325">
        <v>15</v>
      </c>
      <c r="B317" s="325" t="s">
        <v>112</v>
      </c>
      <c r="C317" s="326">
        <v>123.22471910112358</v>
      </c>
      <c r="D317" s="181">
        <v>123.22471910112358</v>
      </c>
      <c r="E317" s="181">
        <f t="shared" si="28"/>
        <v>16</v>
      </c>
      <c r="F317" s="181">
        <f t="shared" si="29"/>
        <v>4</v>
      </c>
      <c r="G317" s="181">
        <f t="shared" si="30"/>
        <v>1</v>
      </c>
      <c r="H317" s="182">
        <v>24490.17357303371</v>
      </c>
      <c r="I317" s="181">
        <v>6600</v>
      </c>
      <c r="J317" s="183">
        <v>31.299078651685392</v>
      </c>
      <c r="K317" s="181">
        <f t="shared" si="31"/>
        <v>4</v>
      </c>
      <c r="L317" s="181">
        <f t="shared" si="32"/>
        <v>1</v>
      </c>
      <c r="M317" s="181">
        <f t="shared" si="33"/>
        <v>1</v>
      </c>
      <c r="N317" s="182">
        <v>6220.504087550562</v>
      </c>
      <c r="O317" s="181">
        <v>2400</v>
      </c>
      <c r="P317" s="181">
        <v>24644.943820224718</v>
      </c>
      <c r="Q317">
        <v>414</v>
      </c>
      <c r="R317">
        <v>1105.3024868650327</v>
      </c>
      <c r="S317" s="88">
        <f t="shared" si="34"/>
        <v>10139.806574415594</v>
      </c>
    </row>
    <row r="318" spans="1:19" x14ac:dyDescent="0.25">
      <c r="A318" s="325">
        <v>15</v>
      </c>
      <c r="B318" s="325" t="s">
        <v>113</v>
      </c>
      <c r="C318" s="326">
        <v>720.73551186206521</v>
      </c>
      <c r="D318" s="181">
        <v>720.73551186206521</v>
      </c>
      <c r="E318" s="181">
        <f t="shared" si="28"/>
        <v>91</v>
      </c>
      <c r="F318" s="181">
        <f t="shared" si="29"/>
        <v>19</v>
      </c>
      <c r="G318" s="181">
        <f t="shared" si="30"/>
        <v>5</v>
      </c>
      <c r="H318" s="182">
        <v>143241.8585695143</v>
      </c>
      <c r="I318" s="181">
        <v>33000</v>
      </c>
      <c r="J318" s="183">
        <v>183.06682001296457</v>
      </c>
      <c r="K318" s="181">
        <f t="shared" si="31"/>
        <v>23</v>
      </c>
      <c r="L318" s="181">
        <f t="shared" si="32"/>
        <v>5</v>
      </c>
      <c r="M318" s="181">
        <f t="shared" si="33"/>
        <v>2</v>
      </c>
      <c r="N318" s="182">
        <v>36383.432076656638</v>
      </c>
      <c r="O318" s="181">
        <v>13200</v>
      </c>
      <c r="P318" s="181">
        <v>144147.10237241304</v>
      </c>
      <c r="Q318">
        <v>414</v>
      </c>
      <c r="R318">
        <v>1105.3024868650327</v>
      </c>
      <c r="S318" s="88">
        <f t="shared" si="34"/>
        <v>51102.73456352167</v>
      </c>
    </row>
    <row r="319" spans="1:19" x14ac:dyDescent="0.25">
      <c r="A319" s="325">
        <v>15</v>
      </c>
      <c r="B319" s="325" t="s">
        <v>138</v>
      </c>
      <c r="C319" s="326">
        <v>126.94854206673827</v>
      </c>
      <c r="D319" s="181">
        <v>126.94854206673827</v>
      </c>
      <c r="E319" s="181">
        <f t="shared" si="28"/>
        <v>16</v>
      </c>
      <c r="F319" s="181">
        <f t="shared" si="29"/>
        <v>4</v>
      </c>
      <c r="G319" s="181">
        <f t="shared" si="30"/>
        <v>1</v>
      </c>
      <c r="H319" s="182">
        <v>25230.261044511833</v>
      </c>
      <c r="I319" s="181">
        <v>6600</v>
      </c>
      <c r="J319" s="183">
        <v>32.244929684951522</v>
      </c>
      <c r="K319" s="181">
        <f t="shared" si="31"/>
        <v>5</v>
      </c>
      <c r="L319" s="181">
        <f t="shared" si="32"/>
        <v>1</v>
      </c>
      <c r="M319" s="181">
        <f t="shared" si="33"/>
        <v>1</v>
      </c>
      <c r="N319" s="182">
        <v>6408.4863053060062</v>
      </c>
      <c r="O319" s="181">
        <v>2400</v>
      </c>
      <c r="P319" s="181">
        <v>25389.708413347653</v>
      </c>
      <c r="Q319">
        <v>414</v>
      </c>
      <c r="R319">
        <v>1105.3024868650327</v>
      </c>
      <c r="S319" s="88">
        <f t="shared" si="34"/>
        <v>10327.788792171039</v>
      </c>
    </row>
    <row r="320" spans="1:19" x14ac:dyDescent="0.25">
      <c r="A320" s="325">
        <v>15</v>
      </c>
      <c r="B320" s="325" t="s">
        <v>139</v>
      </c>
      <c r="C320" s="326">
        <v>91.901114103595106</v>
      </c>
      <c r="D320" s="181">
        <v>91.901114103595106</v>
      </c>
      <c r="E320" s="181">
        <f t="shared" si="28"/>
        <v>12</v>
      </c>
      <c r="F320" s="181">
        <f t="shared" si="29"/>
        <v>3</v>
      </c>
      <c r="G320" s="181">
        <f t="shared" si="30"/>
        <v>1</v>
      </c>
      <c r="H320" s="182">
        <v>18264.795021404909</v>
      </c>
      <c r="I320" s="181">
        <v>6600</v>
      </c>
      <c r="J320" s="183">
        <v>23.342882982313157</v>
      </c>
      <c r="K320" s="181">
        <f t="shared" si="31"/>
        <v>3</v>
      </c>
      <c r="L320" s="181">
        <f t="shared" si="32"/>
        <v>1</v>
      </c>
      <c r="M320" s="181">
        <f t="shared" si="33"/>
        <v>1</v>
      </c>
      <c r="N320" s="182">
        <v>4639.2579354368463</v>
      </c>
      <c r="O320" s="181">
        <v>2100</v>
      </c>
      <c r="P320" s="181">
        <v>18380.22282071902</v>
      </c>
      <c r="Q320">
        <v>414</v>
      </c>
      <c r="R320">
        <v>1105.3024868650327</v>
      </c>
      <c r="S320" s="88">
        <f t="shared" si="34"/>
        <v>8258.5604223018781</v>
      </c>
    </row>
    <row r="321" spans="1:19" x14ac:dyDescent="0.25">
      <c r="A321" s="325">
        <v>15</v>
      </c>
      <c r="B321" s="325" t="s">
        <v>114</v>
      </c>
      <c r="C321" s="326">
        <v>102.03960171350714</v>
      </c>
      <c r="D321" s="181">
        <v>102.03960171350714</v>
      </c>
      <c r="E321" s="181">
        <f t="shared" si="28"/>
        <v>13</v>
      </c>
      <c r="F321" s="181">
        <f t="shared" si="29"/>
        <v>3</v>
      </c>
      <c r="G321" s="181">
        <f t="shared" si="30"/>
        <v>1</v>
      </c>
      <c r="H321" s="182">
        <v>20279.758602949267</v>
      </c>
      <c r="I321" s="181">
        <v>6600</v>
      </c>
      <c r="J321" s="183">
        <v>25.918058835230813</v>
      </c>
      <c r="K321" s="181">
        <f t="shared" si="31"/>
        <v>4</v>
      </c>
      <c r="L321" s="181">
        <f t="shared" si="32"/>
        <v>1</v>
      </c>
      <c r="M321" s="181">
        <f t="shared" si="33"/>
        <v>1</v>
      </c>
      <c r="N321" s="182">
        <v>5151.0586851491134</v>
      </c>
      <c r="O321" s="181">
        <v>2400</v>
      </c>
      <c r="P321" s="181">
        <v>20407.920342701429</v>
      </c>
      <c r="Q321">
        <v>414</v>
      </c>
      <c r="R321">
        <v>1105.3024868650327</v>
      </c>
      <c r="S321" s="88">
        <f t="shared" si="34"/>
        <v>9070.3611720141453</v>
      </c>
    </row>
    <row r="322" spans="1:19" x14ac:dyDescent="0.25">
      <c r="A322" s="325">
        <v>15</v>
      </c>
      <c r="B322" s="325" t="s">
        <v>115</v>
      </c>
      <c r="C322" s="326">
        <v>62.672446429530943</v>
      </c>
      <c r="D322" s="181">
        <v>62.672446429530943</v>
      </c>
      <c r="E322" s="181">
        <f t="shared" si="28"/>
        <v>8</v>
      </c>
      <c r="F322" s="181">
        <f t="shared" si="29"/>
        <v>2</v>
      </c>
      <c r="G322" s="181">
        <f t="shared" si="30"/>
        <v>1</v>
      </c>
      <c r="H322" s="182">
        <v>12455.7726931907</v>
      </c>
      <c r="I322" s="181">
        <v>4800</v>
      </c>
      <c r="J322" s="183">
        <v>15.918801393100861</v>
      </c>
      <c r="K322" s="181">
        <f t="shared" si="31"/>
        <v>2</v>
      </c>
      <c r="L322" s="181">
        <f t="shared" si="32"/>
        <v>1</v>
      </c>
      <c r="M322" s="181">
        <f t="shared" si="33"/>
        <v>1</v>
      </c>
      <c r="N322" s="182">
        <v>3163.766264070438</v>
      </c>
      <c r="O322" s="181">
        <v>1400</v>
      </c>
      <c r="P322" s="181">
        <v>12534.489285906189</v>
      </c>
      <c r="Q322">
        <v>414</v>
      </c>
      <c r="R322">
        <v>1105.3024868650327</v>
      </c>
      <c r="S322" s="88">
        <f t="shared" si="34"/>
        <v>6083.0687509354702</v>
      </c>
    </row>
    <row r="323" spans="1:19" x14ac:dyDescent="0.25">
      <c r="A323" s="325">
        <v>15</v>
      </c>
      <c r="B323" s="325" t="s">
        <v>116</v>
      </c>
      <c r="C323" s="326">
        <v>122.47774000000001</v>
      </c>
      <c r="D323" s="181">
        <v>122.47774000000001</v>
      </c>
      <c r="E323" s="181">
        <f t="shared" si="28"/>
        <v>16</v>
      </c>
      <c r="F323" s="181">
        <f t="shared" si="29"/>
        <v>4</v>
      </c>
      <c r="G323" s="181">
        <f t="shared" si="30"/>
        <v>1</v>
      </c>
      <c r="H323" s="182">
        <v>24341.715958560006</v>
      </c>
      <c r="I323" s="181">
        <v>6600</v>
      </c>
      <c r="J323" s="183">
        <v>31.109345960000002</v>
      </c>
      <c r="K323" s="181">
        <f t="shared" si="31"/>
        <v>4</v>
      </c>
      <c r="L323" s="181">
        <f t="shared" si="32"/>
        <v>1</v>
      </c>
      <c r="M323" s="181">
        <f t="shared" si="33"/>
        <v>1</v>
      </c>
      <c r="N323" s="182">
        <v>6182.7958534742411</v>
      </c>
      <c r="O323" s="181">
        <v>2400</v>
      </c>
      <c r="P323" s="181">
        <v>24495.548000000003</v>
      </c>
      <c r="Q323">
        <v>414</v>
      </c>
      <c r="R323">
        <v>1105.3024868650327</v>
      </c>
      <c r="S323" s="88">
        <f t="shared" si="34"/>
        <v>10102.098340339275</v>
      </c>
    </row>
    <row r="324" spans="1:19" x14ac:dyDescent="0.25">
      <c r="A324" s="325">
        <v>15</v>
      </c>
      <c r="B324" s="325" t="s">
        <v>117</v>
      </c>
      <c r="C324" s="326">
        <v>145.8014140129923</v>
      </c>
      <c r="D324" s="181">
        <v>145.8014140129923</v>
      </c>
      <c r="E324" s="181">
        <f t="shared" ref="E324:E387" si="35">ROUNDUP(D324/8,0)</f>
        <v>19</v>
      </c>
      <c r="F324" s="181">
        <f t="shared" ref="F324:F387" si="36">ROUNDUP(D324/40,0)</f>
        <v>4</v>
      </c>
      <c r="G324" s="181">
        <f t="shared" ref="G324:G387" si="37">ROUNDUP(D324/(40*4),0)</f>
        <v>1</v>
      </c>
      <c r="H324" s="182">
        <v>28977.156226598145</v>
      </c>
      <c r="I324" s="181">
        <v>6600</v>
      </c>
      <c r="J324" s="183">
        <v>37.033559159300047</v>
      </c>
      <c r="K324" s="181">
        <f t="shared" ref="K324:K387" si="38">ROUNDUP(J324/8,0)</f>
        <v>5</v>
      </c>
      <c r="L324" s="181">
        <f t="shared" ref="L324:L387" si="39">ROUNDUP(J324/40,0)</f>
        <v>1</v>
      </c>
      <c r="M324" s="181">
        <f t="shared" ref="M324:M387" si="40">ROUNDUP(J324/(40*4),0)</f>
        <v>1</v>
      </c>
      <c r="N324" s="182">
        <v>7360.1976815559292</v>
      </c>
      <c r="O324" s="181">
        <v>2400</v>
      </c>
      <c r="P324" s="181">
        <v>29160.28280259846</v>
      </c>
      <c r="Q324">
        <v>414</v>
      </c>
      <c r="R324">
        <v>1105.3024868650327</v>
      </c>
      <c r="S324" s="88">
        <f t="shared" ref="S324:S387" si="41">R324+Q324+N324+O324</f>
        <v>11279.500168420962</v>
      </c>
    </row>
    <row r="325" spans="1:19" x14ac:dyDescent="0.25">
      <c r="A325" s="325">
        <v>15</v>
      </c>
      <c r="B325" s="325" t="s">
        <v>118</v>
      </c>
      <c r="C325" s="326">
        <v>176.6535768992868</v>
      </c>
      <c r="D325" s="181">
        <v>176.6535768992868</v>
      </c>
      <c r="E325" s="181">
        <f t="shared" si="35"/>
        <v>23</v>
      </c>
      <c r="F325" s="181">
        <f t="shared" si="36"/>
        <v>5</v>
      </c>
      <c r="G325" s="181">
        <f t="shared" si="37"/>
        <v>2</v>
      </c>
      <c r="H325" s="182">
        <v>35108.83848727186</v>
      </c>
      <c r="I325" s="181">
        <v>13200</v>
      </c>
      <c r="J325" s="183">
        <v>44.870008532418851</v>
      </c>
      <c r="K325" s="181">
        <f t="shared" si="38"/>
        <v>6</v>
      </c>
      <c r="L325" s="181">
        <f t="shared" si="39"/>
        <v>2</v>
      </c>
      <c r="M325" s="181">
        <f t="shared" si="40"/>
        <v>1</v>
      </c>
      <c r="N325" s="182">
        <v>8917.6449757670525</v>
      </c>
      <c r="O325" s="181">
        <v>4800</v>
      </c>
      <c r="P325" s="181">
        <v>35330.715379857364</v>
      </c>
      <c r="Q325">
        <v>414</v>
      </c>
      <c r="R325">
        <v>1105.3024868650327</v>
      </c>
      <c r="S325" s="88">
        <f t="shared" si="41"/>
        <v>15236.947462632084</v>
      </c>
    </row>
    <row r="326" spans="1:19" x14ac:dyDescent="0.25">
      <c r="A326" s="325">
        <v>15</v>
      </c>
      <c r="B326" s="325" t="s">
        <v>119</v>
      </c>
      <c r="C326" s="326">
        <v>278.8178263714683</v>
      </c>
      <c r="D326" s="181">
        <v>278.8178263714683</v>
      </c>
      <c r="E326" s="181">
        <f t="shared" si="35"/>
        <v>35</v>
      </c>
      <c r="F326" s="181">
        <f t="shared" si="36"/>
        <v>7</v>
      </c>
      <c r="G326" s="181">
        <f t="shared" si="37"/>
        <v>2</v>
      </c>
      <c r="H326" s="182">
        <v>55413.370084371105</v>
      </c>
      <c r="I326" s="181">
        <v>13200</v>
      </c>
      <c r="J326" s="183">
        <v>70.819727898352951</v>
      </c>
      <c r="K326" s="181">
        <f t="shared" si="38"/>
        <v>9</v>
      </c>
      <c r="L326" s="181">
        <f t="shared" si="39"/>
        <v>2</v>
      </c>
      <c r="M326" s="181">
        <f t="shared" si="40"/>
        <v>1</v>
      </c>
      <c r="N326" s="182">
        <v>14074.996001430261</v>
      </c>
      <c r="O326" s="181">
        <v>4800</v>
      </c>
      <c r="P326" s="181">
        <v>55763.565274293658</v>
      </c>
      <c r="Q326">
        <v>414</v>
      </c>
      <c r="R326">
        <v>1105.3024868650327</v>
      </c>
      <c r="S326" s="88">
        <f t="shared" si="41"/>
        <v>20394.298488295295</v>
      </c>
    </row>
    <row r="327" spans="1:19" x14ac:dyDescent="0.25">
      <c r="A327" s="325">
        <v>15</v>
      </c>
      <c r="B327" s="325" t="s">
        <v>120</v>
      </c>
      <c r="C327" s="326">
        <v>288.99423960000001</v>
      </c>
      <c r="D327" s="181">
        <v>288.99423960000001</v>
      </c>
      <c r="E327" s="181">
        <f t="shared" si="35"/>
        <v>37</v>
      </c>
      <c r="F327" s="181">
        <f t="shared" si="36"/>
        <v>8</v>
      </c>
      <c r="G327" s="181">
        <f t="shared" si="37"/>
        <v>2</v>
      </c>
      <c r="H327" s="182">
        <v>57435.871155062414</v>
      </c>
      <c r="I327" s="181">
        <v>13200</v>
      </c>
      <c r="J327" s="183">
        <v>73.404536858400007</v>
      </c>
      <c r="K327" s="181">
        <f t="shared" si="38"/>
        <v>10</v>
      </c>
      <c r="L327" s="181">
        <f t="shared" si="39"/>
        <v>2</v>
      </c>
      <c r="M327" s="181">
        <f t="shared" si="40"/>
        <v>1</v>
      </c>
      <c r="N327" s="182">
        <v>14588.711273385854</v>
      </c>
      <c r="O327" s="181">
        <v>4800</v>
      </c>
      <c r="P327" s="181">
        <v>57798.84792</v>
      </c>
      <c r="Q327">
        <v>414</v>
      </c>
      <c r="R327">
        <v>1105.3024868650327</v>
      </c>
      <c r="S327" s="88">
        <f t="shared" si="41"/>
        <v>20908.013760250888</v>
      </c>
    </row>
    <row r="328" spans="1:19" x14ac:dyDescent="0.25">
      <c r="A328" s="325">
        <v>15</v>
      </c>
      <c r="B328" s="325" t="s">
        <v>121</v>
      </c>
      <c r="C328" s="326">
        <v>110.42159877156134</v>
      </c>
      <c r="D328" s="181">
        <v>110.42159877156134</v>
      </c>
      <c r="E328" s="181">
        <f t="shared" si="35"/>
        <v>14</v>
      </c>
      <c r="F328" s="181">
        <f t="shared" si="36"/>
        <v>3</v>
      </c>
      <c r="G328" s="181">
        <f t="shared" si="37"/>
        <v>1</v>
      </c>
      <c r="H328" s="182">
        <v>21945.630226255191</v>
      </c>
      <c r="I328" s="181">
        <v>6600</v>
      </c>
      <c r="J328" s="183">
        <v>28.047086087976581</v>
      </c>
      <c r="K328" s="181">
        <f t="shared" si="38"/>
        <v>4</v>
      </c>
      <c r="L328" s="181">
        <f t="shared" si="39"/>
        <v>1</v>
      </c>
      <c r="M328" s="181">
        <f t="shared" si="40"/>
        <v>1</v>
      </c>
      <c r="N328" s="182">
        <v>5574.1900774688183</v>
      </c>
      <c r="O328" s="181">
        <v>2400</v>
      </c>
      <c r="P328" s="181">
        <v>22084.319754312266</v>
      </c>
      <c r="Q328">
        <v>414</v>
      </c>
      <c r="R328">
        <v>1105.3024868650327</v>
      </c>
      <c r="S328" s="88">
        <f t="shared" si="41"/>
        <v>9493.4925643338502</v>
      </c>
    </row>
    <row r="329" spans="1:19" x14ac:dyDescent="0.25">
      <c r="A329" s="325">
        <v>15</v>
      </c>
      <c r="B329" s="325" t="s">
        <v>122</v>
      </c>
      <c r="C329" s="326">
        <v>161.08878018797668</v>
      </c>
      <c r="D329" s="181">
        <v>161.08878018797668</v>
      </c>
      <c r="E329" s="181">
        <f t="shared" si="35"/>
        <v>21</v>
      </c>
      <c r="F329" s="181">
        <f t="shared" si="36"/>
        <v>5</v>
      </c>
      <c r="G329" s="181">
        <f t="shared" si="37"/>
        <v>2</v>
      </c>
      <c r="H329" s="182">
        <v>32015.42852967924</v>
      </c>
      <c r="I329" s="181">
        <v>13200</v>
      </c>
      <c r="J329" s="183">
        <v>40.916550167746081</v>
      </c>
      <c r="K329" s="181">
        <f t="shared" si="38"/>
        <v>6</v>
      </c>
      <c r="L329" s="181">
        <f t="shared" si="39"/>
        <v>2</v>
      </c>
      <c r="M329" s="181">
        <f t="shared" si="40"/>
        <v>1</v>
      </c>
      <c r="N329" s="182">
        <v>8131.9188465385287</v>
      </c>
      <c r="O329" s="181">
        <v>4800</v>
      </c>
      <c r="P329" s="181">
        <v>32217.756037595336</v>
      </c>
      <c r="Q329">
        <v>414</v>
      </c>
      <c r="R329">
        <v>1105.3024868650327</v>
      </c>
      <c r="S329" s="88">
        <f t="shared" si="41"/>
        <v>14451.221333403562</v>
      </c>
    </row>
    <row r="330" spans="1:19" x14ac:dyDescent="0.25">
      <c r="A330" s="325">
        <v>15</v>
      </c>
      <c r="B330" s="325" t="s">
        <v>123</v>
      </c>
      <c r="C330" s="326">
        <v>312.42742939289917</v>
      </c>
      <c r="D330" s="181">
        <v>312.42742939289917</v>
      </c>
      <c r="E330" s="181">
        <f t="shared" si="35"/>
        <v>40</v>
      </c>
      <c r="F330" s="181">
        <f t="shared" si="36"/>
        <v>8</v>
      </c>
      <c r="G330" s="181">
        <f t="shared" si="37"/>
        <v>2</v>
      </c>
      <c r="H330" s="182">
        <v>62093.077027262363</v>
      </c>
      <c r="I330" s="181">
        <v>13200</v>
      </c>
      <c r="J330" s="183">
        <v>79.356567065796384</v>
      </c>
      <c r="K330" s="181">
        <f t="shared" si="38"/>
        <v>10</v>
      </c>
      <c r="L330" s="181">
        <f t="shared" si="39"/>
        <v>2</v>
      </c>
      <c r="M330" s="181">
        <f t="shared" si="40"/>
        <v>1</v>
      </c>
      <c r="N330" s="182">
        <v>15771.641564924639</v>
      </c>
      <c r="O330" s="181">
        <v>4800</v>
      </c>
      <c r="P330" s="181">
        <v>62485.485878579835</v>
      </c>
      <c r="Q330">
        <v>414</v>
      </c>
      <c r="R330">
        <v>1105.3024868650327</v>
      </c>
      <c r="S330" s="88">
        <f t="shared" si="41"/>
        <v>22090.944051789673</v>
      </c>
    </row>
    <row r="331" spans="1:19" x14ac:dyDescent="0.25">
      <c r="A331" s="325">
        <v>15</v>
      </c>
      <c r="B331" s="325" t="s">
        <v>140</v>
      </c>
      <c r="C331" s="326">
        <v>44.061859780383116</v>
      </c>
      <c r="D331" s="181">
        <v>44.061859780383116</v>
      </c>
      <c r="E331" s="181">
        <f t="shared" si="35"/>
        <v>6</v>
      </c>
      <c r="F331" s="181">
        <f t="shared" si="36"/>
        <v>2</v>
      </c>
      <c r="G331" s="181">
        <f t="shared" si="37"/>
        <v>1</v>
      </c>
      <c r="H331" s="182">
        <v>8757.0302601924632</v>
      </c>
      <c r="I331" s="181">
        <v>4800</v>
      </c>
      <c r="J331" s="183">
        <v>11.191712384217311</v>
      </c>
      <c r="K331" s="181">
        <f t="shared" si="38"/>
        <v>2</v>
      </c>
      <c r="L331" s="181">
        <f t="shared" si="39"/>
        <v>1</v>
      </c>
      <c r="M331" s="181">
        <f t="shared" si="40"/>
        <v>1</v>
      </c>
      <c r="N331" s="182">
        <v>2224.2856860888855</v>
      </c>
      <c r="O331" s="181">
        <v>1400</v>
      </c>
      <c r="P331" s="181">
        <v>8812.371956076624</v>
      </c>
      <c r="Q331">
        <v>414</v>
      </c>
      <c r="R331">
        <v>1105.3024868650327</v>
      </c>
      <c r="S331" s="88">
        <f t="shared" si="41"/>
        <v>5143.5881729539178</v>
      </c>
    </row>
    <row r="332" spans="1:19" x14ac:dyDescent="0.25">
      <c r="A332" s="325">
        <v>15</v>
      </c>
      <c r="B332" s="325" t="s">
        <v>124</v>
      </c>
      <c r="C332" s="326">
        <v>76.78506422431083</v>
      </c>
      <c r="D332" s="181">
        <v>76.78506422431083</v>
      </c>
      <c r="E332" s="181">
        <f t="shared" si="35"/>
        <v>10</v>
      </c>
      <c r="F332" s="181">
        <f t="shared" si="36"/>
        <v>2</v>
      </c>
      <c r="G332" s="181">
        <f t="shared" si="37"/>
        <v>1</v>
      </c>
      <c r="H332" s="182">
        <v>15260.570804196434</v>
      </c>
      <c r="I332" s="181">
        <v>4800</v>
      </c>
      <c r="J332" s="183">
        <v>19.503406312974953</v>
      </c>
      <c r="K332" s="181">
        <f t="shared" si="38"/>
        <v>3</v>
      </c>
      <c r="L332" s="181">
        <f t="shared" si="39"/>
        <v>1</v>
      </c>
      <c r="M332" s="181">
        <f t="shared" si="40"/>
        <v>1</v>
      </c>
      <c r="N332" s="182">
        <v>3876.1849842658944</v>
      </c>
      <c r="O332" s="181">
        <v>2100</v>
      </c>
      <c r="P332" s="181">
        <v>15357.012844862165</v>
      </c>
      <c r="Q332">
        <v>414</v>
      </c>
      <c r="R332">
        <v>1105.3024868650327</v>
      </c>
      <c r="S332" s="88">
        <f t="shared" si="41"/>
        <v>7495.4874711309276</v>
      </c>
    </row>
    <row r="333" spans="1:19" x14ac:dyDescent="0.25">
      <c r="A333" s="325">
        <v>15</v>
      </c>
      <c r="B333" s="325" t="s">
        <v>125</v>
      </c>
      <c r="C333" s="326">
        <v>213.05221757501099</v>
      </c>
      <c r="D333" s="181">
        <v>213.05221757501099</v>
      </c>
      <c r="E333" s="181">
        <f t="shared" si="35"/>
        <v>27</v>
      </c>
      <c r="F333" s="181">
        <f t="shared" si="36"/>
        <v>6</v>
      </c>
      <c r="G333" s="181">
        <f t="shared" si="37"/>
        <v>2</v>
      </c>
      <c r="H333" s="182">
        <v>42342.849929727992</v>
      </c>
      <c r="I333" s="181">
        <v>13200</v>
      </c>
      <c r="J333" s="183">
        <v>54.115263264052793</v>
      </c>
      <c r="K333" s="181">
        <f t="shared" si="38"/>
        <v>7</v>
      </c>
      <c r="L333" s="181">
        <f t="shared" si="39"/>
        <v>2</v>
      </c>
      <c r="M333" s="181">
        <f t="shared" si="40"/>
        <v>1</v>
      </c>
      <c r="N333" s="182">
        <v>10755.08388215091</v>
      </c>
      <c r="O333" s="181">
        <v>4800</v>
      </c>
      <c r="P333" s="181">
        <v>42610.443515002196</v>
      </c>
      <c r="Q333">
        <v>414</v>
      </c>
      <c r="R333">
        <v>1105.3024868650327</v>
      </c>
      <c r="S333" s="88">
        <f t="shared" si="41"/>
        <v>17074.386369015941</v>
      </c>
    </row>
    <row r="334" spans="1:19" x14ac:dyDescent="0.25">
      <c r="A334" s="325">
        <v>15</v>
      </c>
      <c r="B334" s="325" t="s">
        <v>126</v>
      </c>
      <c r="C334" s="326">
        <v>134.21581760669304</v>
      </c>
      <c r="D334" s="181">
        <v>134.21581760669304</v>
      </c>
      <c r="E334" s="181">
        <f t="shared" si="35"/>
        <v>17</v>
      </c>
      <c r="F334" s="181">
        <f t="shared" si="36"/>
        <v>4</v>
      </c>
      <c r="G334" s="181">
        <f t="shared" si="37"/>
        <v>1</v>
      </c>
      <c r="H334" s="182">
        <v>26674.588454424604</v>
      </c>
      <c r="I334" s="181">
        <v>6600</v>
      </c>
      <c r="J334" s="183">
        <v>34.09081767210003</v>
      </c>
      <c r="K334" s="181">
        <f t="shared" si="38"/>
        <v>5</v>
      </c>
      <c r="L334" s="181">
        <f t="shared" si="39"/>
        <v>1</v>
      </c>
      <c r="M334" s="181">
        <f t="shared" si="40"/>
        <v>1</v>
      </c>
      <c r="N334" s="182">
        <v>6775.3454674238492</v>
      </c>
      <c r="O334" s="181">
        <v>2400</v>
      </c>
      <c r="P334" s="181">
        <v>26843.163521338607</v>
      </c>
      <c r="Q334">
        <v>414</v>
      </c>
      <c r="R334">
        <v>1105.3024868650327</v>
      </c>
      <c r="S334" s="88">
        <f t="shared" si="41"/>
        <v>10694.647954288881</v>
      </c>
    </row>
    <row r="335" spans="1:19" x14ac:dyDescent="0.25">
      <c r="A335" s="325">
        <v>15</v>
      </c>
      <c r="B335" s="325" t="s">
        <v>127</v>
      </c>
      <c r="C335" s="326">
        <v>70.718336839976246</v>
      </c>
      <c r="D335" s="181">
        <v>70.718336839976246</v>
      </c>
      <c r="E335" s="181">
        <f t="shared" si="35"/>
        <v>9</v>
      </c>
      <c r="F335" s="181">
        <f t="shared" si="36"/>
        <v>2</v>
      </c>
      <c r="G335" s="181">
        <f t="shared" si="37"/>
        <v>1</v>
      </c>
      <c r="H335" s="182">
        <v>14054.845136924241</v>
      </c>
      <c r="I335" s="181">
        <v>4800</v>
      </c>
      <c r="J335" s="183">
        <v>17.962457557353968</v>
      </c>
      <c r="K335" s="181">
        <f t="shared" si="38"/>
        <v>3</v>
      </c>
      <c r="L335" s="181">
        <f t="shared" si="39"/>
        <v>1</v>
      </c>
      <c r="M335" s="181">
        <f t="shared" si="40"/>
        <v>1</v>
      </c>
      <c r="N335" s="182">
        <v>3569.9306647787575</v>
      </c>
      <c r="O335" s="181">
        <v>2100</v>
      </c>
      <c r="P335" s="181">
        <v>14143.667367995249</v>
      </c>
      <c r="Q335">
        <v>414</v>
      </c>
      <c r="R335">
        <v>1105.3024868650327</v>
      </c>
      <c r="S335" s="88">
        <f t="shared" si="41"/>
        <v>7189.2331516437898</v>
      </c>
    </row>
    <row r="336" spans="1:19" x14ac:dyDescent="0.25">
      <c r="A336" s="325">
        <v>15</v>
      </c>
      <c r="B336" s="325" t="s">
        <v>128</v>
      </c>
      <c r="C336" s="326">
        <v>69.596508344150223</v>
      </c>
      <c r="D336" s="181">
        <v>69.596508344150223</v>
      </c>
      <c r="E336" s="181">
        <f t="shared" si="35"/>
        <v>9</v>
      </c>
      <c r="F336" s="181">
        <f t="shared" si="36"/>
        <v>2</v>
      </c>
      <c r="G336" s="181">
        <f t="shared" si="37"/>
        <v>1</v>
      </c>
      <c r="H336" s="182">
        <v>13831.888454349793</v>
      </c>
      <c r="I336" s="181">
        <v>4800</v>
      </c>
      <c r="J336" s="183">
        <v>17.677513119414158</v>
      </c>
      <c r="K336" s="181">
        <f t="shared" si="38"/>
        <v>3</v>
      </c>
      <c r="L336" s="181">
        <f t="shared" si="39"/>
        <v>1</v>
      </c>
      <c r="M336" s="181">
        <f t="shared" si="40"/>
        <v>1</v>
      </c>
      <c r="N336" s="182">
        <v>3513.2996674048477</v>
      </c>
      <c r="O336" s="181">
        <v>2100</v>
      </c>
      <c r="P336" s="181">
        <v>13919.301668830045</v>
      </c>
      <c r="Q336">
        <v>414</v>
      </c>
      <c r="R336">
        <v>1105.3024868650327</v>
      </c>
      <c r="S336" s="88">
        <f t="shared" si="41"/>
        <v>7132.60215426988</v>
      </c>
    </row>
    <row r="337" spans="1:19" x14ac:dyDescent="0.25">
      <c r="A337" s="325">
        <v>3</v>
      </c>
      <c r="B337" s="325" t="s">
        <v>25</v>
      </c>
      <c r="C337" s="326">
        <v>197.42831247180905</v>
      </c>
      <c r="D337" s="181">
        <v>197.42831247180905</v>
      </c>
      <c r="E337" s="181">
        <f t="shared" si="35"/>
        <v>25</v>
      </c>
      <c r="F337" s="181">
        <f t="shared" si="36"/>
        <v>5</v>
      </c>
      <c r="G337" s="181">
        <f t="shared" si="37"/>
        <v>2</v>
      </c>
      <c r="H337" s="182">
        <v>39237.692533897221</v>
      </c>
      <c r="I337" s="181">
        <v>13200</v>
      </c>
      <c r="J337" s="183">
        <v>50.146791367839498</v>
      </c>
      <c r="K337" s="181">
        <f t="shared" si="38"/>
        <v>7</v>
      </c>
      <c r="L337" s="181">
        <f t="shared" si="39"/>
        <v>2</v>
      </c>
      <c r="M337" s="181">
        <f t="shared" si="40"/>
        <v>1</v>
      </c>
      <c r="N337" s="182">
        <v>9966.3739036098941</v>
      </c>
      <c r="O337" s="181">
        <v>4800</v>
      </c>
      <c r="P337" s="181">
        <v>39485.662494361808</v>
      </c>
      <c r="Q337">
        <v>414</v>
      </c>
      <c r="R337">
        <v>1105.3024868650327</v>
      </c>
      <c r="S337" s="88">
        <f t="shared" si="41"/>
        <v>16285.676390474928</v>
      </c>
    </row>
    <row r="338" spans="1:19" x14ac:dyDescent="0.25">
      <c r="A338" s="325">
        <v>3</v>
      </c>
      <c r="B338" s="325" t="s">
        <v>27</v>
      </c>
      <c r="C338" s="326">
        <v>178.19977075000003</v>
      </c>
      <c r="D338" s="181">
        <v>178.19977075000003</v>
      </c>
      <c r="E338" s="181">
        <f t="shared" si="35"/>
        <v>23</v>
      </c>
      <c r="F338" s="181">
        <f t="shared" si="36"/>
        <v>5</v>
      </c>
      <c r="G338" s="181">
        <f t="shared" si="37"/>
        <v>2</v>
      </c>
      <c r="H338" s="182">
        <v>35416.135237938011</v>
      </c>
      <c r="I338" s="181">
        <v>13200</v>
      </c>
      <c r="J338" s="183">
        <v>45.262741770500007</v>
      </c>
      <c r="K338" s="181">
        <f t="shared" si="38"/>
        <v>6</v>
      </c>
      <c r="L338" s="181">
        <f t="shared" si="39"/>
        <v>2</v>
      </c>
      <c r="M338" s="181">
        <f t="shared" si="40"/>
        <v>1</v>
      </c>
      <c r="N338" s="182">
        <v>8995.6983504362543</v>
      </c>
      <c r="O338" s="181">
        <v>4800</v>
      </c>
      <c r="P338" s="181">
        <v>35639.954150000005</v>
      </c>
      <c r="Q338">
        <v>414</v>
      </c>
      <c r="R338">
        <v>1105.3024868650327</v>
      </c>
      <c r="S338" s="88">
        <f t="shared" si="41"/>
        <v>15315.000837301286</v>
      </c>
    </row>
    <row r="339" spans="1:19" x14ac:dyDescent="0.25">
      <c r="A339" s="325">
        <v>3</v>
      </c>
      <c r="B339" s="325" t="s">
        <v>28</v>
      </c>
      <c r="C339" s="326">
        <v>74.29312637135213</v>
      </c>
      <c r="D339" s="181">
        <v>74.29312637135213</v>
      </c>
      <c r="E339" s="181">
        <f t="shared" si="35"/>
        <v>10</v>
      </c>
      <c r="F339" s="181">
        <f t="shared" si="36"/>
        <v>2</v>
      </c>
      <c r="G339" s="181">
        <f t="shared" si="37"/>
        <v>1</v>
      </c>
      <c r="H339" s="182">
        <v>14765.313107548011</v>
      </c>
      <c r="I339" s="181">
        <v>4800</v>
      </c>
      <c r="J339" s="183">
        <v>18.870454098323442</v>
      </c>
      <c r="K339" s="181">
        <f t="shared" si="38"/>
        <v>3</v>
      </c>
      <c r="L339" s="181">
        <f t="shared" si="39"/>
        <v>1</v>
      </c>
      <c r="M339" s="181">
        <f t="shared" si="40"/>
        <v>1</v>
      </c>
      <c r="N339" s="182">
        <v>3750.389529317195</v>
      </c>
      <c r="O339" s="181">
        <v>2100</v>
      </c>
      <c r="P339" s="181">
        <v>14858.625274270426</v>
      </c>
      <c r="Q339">
        <v>414</v>
      </c>
      <c r="R339">
        <v>1105.3024868650327</v>
      </c>
      <c r="S339" s="88">
        <f t="shared" si="41"/>
        <v>7369.6920161822272</v>
      </c>
    </row>
    <row r="340" spans="1:19" x14ac:dyDescent="0.25">
      <c r="A340" s="325">
        <v>3</v>
      </c>
      <c r="B340" s="325" t="s">
        <v>29</v>
      </c>
      <c r="C340" s="326">
        <v>162.48001511528099</v>
      </c>
      <c r="D340" s="181">
        <v>162.48001511528099</v>
      </c>
      <c r="E340" s="181">
        <f t="shared" si="35"/>
        <v>21</v>
      </c>
      <c r="F340" s="181">
        <f t="shared" si="36"/>
        <v>5</v>
      </c>
      <c r="G340" s="181">
        <f t="shared" si="37"/>
        <v>2</v>
      </c>
      <c r="H340" s="182">
        <v>32291.928124071412</v>
      </c>
      <c r="I340" s="181">
        <v>13200</v>
      </c>
      <c r="J340" s="183">
        <v>41.269923839281375</v>
      </c>
      <c r="K340" s="181">
        <f t="shared" si="38"/>
        <v>6</v>
      </c>
      <c r="L340" s="181">
        <f t="shared" si="39"/>
        <v>2</v>
      </c>
      <c r="M340" s="181">
        <f t="shared" si="40"/>
        <v>1</v>
      </c>
      <c r="N340" s="182">
        <v>8202.1497435141391</v>
      </c>
      <c r="O340" s="181">
        <v>4800</v>
      </c>
      <c r="P340" s="181">
        <v>32496.003023056197</v>
      </c>
      <c r="Q340">
        <v>414</v>
      </c>
      <c r="R340">
        <v>1105.3024868650327</v>
      </c>
      <c r="S340" s="88">
        <f t="shared" si="41"/>
        <v>14521.452230379171</v>
      </c>
    </row>
    <row r="341" spans="1:19" x14ac:dyDescent="0.25">
      <c r="A341" s="325">
        <v>3</v>
      </c>
      <c r="B341" s="325" t="s">
        <v>129</v>
      </c>
      <c r="C341" s="326">
        <v>94.75793128240332</v>
      </c>
      <c r="D341" s="181">
        <v>94.75793128240332</v>
      </c>
      <c r="E341" s="181">
        <f t="shared" si="35"/>
        <v>12</v>
      </c>
      <c r="F341" s="181">
        <f t="shared" si="36"/>
        <v>3</v>
      </c>
      <c r="G341" s="181">
        <f t="shared" si="37"/>
        <v>1</v>
      </c>
      <c r="H341" s="182">
        <v>18832.570294789966</v>
      </c>
      <c r="I341" s="181">
        <v>6600</v>
      </c>
      <c r="J341" s="183">
        <v>24.068514545730444</v>
      </c>
      <c r="K341" s="181">
        <f t="shared" si="38"/>
        <v>4</v>
      </c>
      <c r="L341" s="181">
        <f t="shared" si="39"/>
        <v>1</v>
      </c>
      <c r="M341" s="181">
        <f t="shared" si="40"/>
        <v>1</v>
      </c>
      <c r="N341" s="182">
        <v>4783.4728548766525</v>
      </c>
      <c r="O341" s="181">
        <v>2400</v>
      </c>
      <c r="P341" s="181">
        <v>18951.586256480663</v>
      </c>
      <c r="Q341">
        <v>414</v>
      </c>
      <c r="R341">
        <v>1105.3024868650327</v>
      </c>
      <c r="S341" s="88">
        <f t="shared" si="41"/>
        <v>8702.7753417416861</v>
      </c>
    </row>
    <row r="342" spans="1:19" x14ac:dyDescent="0.25">
      <c r="A342" s="325">
        <v>3</v>
      </c>
      <c r="B342" s="325" t="s">
        <v>30</v>
      </c>
      <c r="C342" s="326">
        <v>223.56586605260006</v>
      </c>
      <c r="D342" s="181">
        <v>223.56586605260006</v>
      </c>
      <c r="E342" s="181">
        <f t="shared" si="35"/>
        <v>28</v>
      </c>
      <c r="F342" s="181">
        <f t="shared" si="36"/>
        <v>6</v>
      </c>
      <c r="G342" s="181">
        <f t="shared" si="37"/>
        <v>2</v>
      </c>
      <c r="H342" s="182">
        <v>44432.37448275795</v>
      </c>
      <c r="I342" s="181">
        <v>13200</v>
      </c>
      <c r="J342" s="183">
        <v>56.785729977360418</v>
      </c>
      <c r="K342" s="181">
        <f t="shared" si="38"/>
        <v>8</v>
      </c>
      <c r="L342" s="181">
        <f t="shared" si="39"/>
        <v>2</v>
      </c>
      <c r="M342" s="181">
        <f t="shared" si="40"/>
        <v>1</v>
      </c>
      <c r="N342" s="182">
        <v>11285.823118620521</v>
      </c>
      <c r="O342" s="181">
        <v>4800</v>
      </c>
      <c r="P342" s="181">
        <v>44713.173210520014</v>
      </c>
      <c r="Q342">
        <v>414</v>
      </c>
      <c r="R342">
        <v>1105.3024868650327</v>
      </c>
      <c r="S342" s="88">
        <f t="shared" si="41"/>
        <v>17605.125605485555</v>
      </c>
    </row>
    <row r="343" spans="1:19" x14ac:dyDescent="0.25">
      <c r="A343" s="325">
        <v>3</v>
      </c>
      <c r="B343" s="325" t="s">
        <v>31</v>
      </c>
      <c r="C343" s="326">
        <v>46.4</v>
      </c>
      <c r="D343" s="181">
        <v>46.4</v>
      </c>
      <c r="E343" s="181">
        <f t="shared" si="35"/>
        <v>6</v>
      </c>
      <c r="F343" s="181">
        <f t="shared" si="36"/>
        <v>2</v>
      </c>
      <c r="G343" s="181">
        <f t="shared" si="37"/>
        <v>1</v>
      </c>
      <c r="H343" s="182">
        <v>9221.7216000000008</v>
      </c>
      <c r="I343" s="181">
        <v>4800</v>
      </c>
      <c r="J343" s="183">
        <v>11.785600000000001</v>
      </c>
      <c r="K343" s="181">
        <f t="shared" si="38"/>
        <v>2</v>
      </c>
      <c r="L343" s="181">
        <f t="shared" si="39"/>
        <v>1</v>
      </c>
      <c r="M343" s="181">
        <f t="shared" si="40"/>
        <v>1</v>
      </c>
      <c r="N343" s="182">
        <v>2342.3172864000003</v>
      </c>
      <c r="O343" s="181">
        <v>1400</v>
      </c>
      <c r="P343" s="181">
        <v>9280</v>
      </c>
      <c r="Q343">
        <v>414</v>
      </c>
      <c r="R343">
        <v>1105.3024868650327</v>
      </c>
      <c r="S343" s="88">
        <f t="shared" si="41"/>
        <v>5261.6197732650326</v>
      </c>
    </row>
    <row r="344" spans="1:19" x14ac:dyDescent="0.25">
      <c r="A344" s="325">
        <v>3</v>
      </c>
      <c r="B344" s="325" t="s">
        <v>32</v>
      </c>
      <c r="C344" s="326">
        <v>371.27867026419102</v>
      </c>
      <c r="D344" s="181">
        <v>371.27867026419102</v>
      </c>
      <c r="E344" s="181">
        <f t="shared" si="35"/>
        <v>47</v>
      </c>
      <c r="F344" s="181">
        <f t="shared" si="36"/>
        <v>10</v>
      </c>
      <c r="G344" s="181">
        <f t="shared" si="37"/>
        <v>3</v>
      </c>
      <c r="H344" s="182">
        <v>73789.408042986397</v>
      </c>
      <c r="I344" s="181">
        <v>19800</v>
      </c>
      <c r="J344" s="183">
        <v>94.304782247104527</v>
      </c>
      <c r="K344" s="181">
        <f t="shared" si="38"/>
        <v>12</v>
      </c>
      <c r="L344" s="181">
        <f t="shared" si="39"/>
        <v>3</v>
      </c>
      <c r="M344" s="181">
        <f t="shared" si="40"/>
        <v>1</v>
      </c>
      <c r="N344" s="182">
        <v>18742.509642918543</v>
      </c>
      <c r="O344" s="181">
        <v>6600</v>
      </c>
      <c r="P344" s="181">
        <v>74255.734052838205</v>
      </c>
      <c r="Q344">
        <v>414</v>
      </c>
      <c r="R344">
        <v>1105.3024868650327</v>
      </c>
      <c r="S344" s="88">
        <f t="shared" si="41"/>
        <v>26861.812129783575</v>
      </c>
    </row>
    <row r="345" spans="1:19" x14ac:dyDescent="0.25">
      <c r="A345" s="325">
        <v>3</v>
      </c>
      <c r="B345" s="325" t="s">
        <v>33</v>
      </c>
      <c r="C345" s="326">
        <v>327.867497813608</v>
      </c>
      <c r="D345" s="181">
        <v>327.867497813608</v>
      </c>
      <c r="E345" s="181">
        <f t="shared" si="35"/>
        <v>41</v>
      </c>
      <c r="F345" s="181">
        <f t="shared" si="36"/>
        <v>9</v>
      </c>
      <c r="G345" s="181">
        <f t="shared" si="37"/>
        <v>3</v>
      </c>
      <c r="H345" s="182">
        <v>65161.697985467719</v>
      </c>
      <c r="I345" s="181">
        <v>19800</v>
      </c>
      <c r="J345" s="183">
        <v>83.278344444656426</v>
      </c>
      <c r="K345" s="181">
        <f t="shared" si="38"/>
        <v>11</v>
      </c>
      <c r="L345" s="181">
        <f t="shared" si="39"/>
        <v>3</v>
      </c>
      <c r="M345" s="181">
        <f t="shared" si="40"/>
        <v>1</v>
      </c>
      <c r="N345" s="182">
        <v>16551.071288308798</v>
      </c>
      <c r="O345" s="181">
        <v>6600</v>
      </c>
      <c r="P345" s="181">
        <v>65573.499562721598</v>
      </c>
      <c r="Q345">
        <v>414</v>
      </c>
      <c r="R345">
        <v>1105.3024868650327</v>
      </c>
      <c r="S345" s="88">
        <f t="shared" si="41"/>
        <v>24670.37377517383</v>
      </c>
    </row>
    <row r="346" spans="1:19" x14ac:dyDescent="0.25">
      <c r="A346" s="325">
        <v>3</v>
      </c>
      <c r="B346" s="325" t="s">
        <v>34</v>
      </c>
      <c r="C346" s="326">
        <v>159.03044196828702</v>
      </c>
      <c r="D346" s="181">
        <v>159.03044196828702</v>
      </c>
      <c r="E346" s="181">
        <f t="shared" si="35"/>
        <v>20</v>
      </c>
      <c r="F346" s="181">
        <f t="shared" si="36"/>
        <v>4</v>
      </c>
      <c r="G346" s="181">
        <f t="shared" si="37"/>
        <v>1</v>
      </c>
      <c r="H346" s="182">
        <v>31606.346158545239</v>
      </c>
      <c r="I346" s="181">
        <v>6600</v>
      </c>
      <c r="J346" s="183">
        <v>40.393732259944905</v>
      </c>
      <c r="K346" s="181">
        <f t="shared" si="38"/>
        <v>6</v>
      </c>
      <c r="L346" s="181">
        <f t="shared" si="39"/>
        <v>2</v>
      </c>
      <c r="M346" s="181">
        <f t="shared" si="40"/>
        <v>1</v>
      </c>
      <c r="N346" s="182">
        <v>8028.0119242704914</v>
      </c>
      <c r="O346" s="181">
        <v>4800</v>
      </c>
      <c r="P346" s="181">
        <v>31806.088393657403</v>
      </c>
      <c r="Q346">
        <v>414</v>
      </c>
      <c r="R346">
        <v>1105.3024868650327</v>
      </c>
      <c r="S346" s="88">
        <f t="shared" si="41"/>
        <v>14347.314411135525</v>
      </c>
    </row>
    <row r="347" spans="1:19" x14ac:dyDescent="0.25">
      <c r="A347" s="325">
        <v>3</v>
      </c>
      <c r="B347" s="325" t="s">
        <v>130</v>
      </c>
      <c r="C347" s="326">
        <v>110.44864117532499</v>
      </c>
      <c r="D347" s="181">
        <v>110.44864117532499</v>
      </c>
      <c r="E347" s="181">
        <f t="shared" si="35"/>
        <v>14</v>
      </c>
      <c r="F347" s="181">
        <f t="shared" si="36"/>
        <v>3</v>
      </c>
      <c r="G347" s="181">
        <f t="shared" si="37"/>
        <v>1</v>
      </c>
      <c r="H347" s="182">
        <v>21951.004741748795</v>
      </c>
      <c r="I347" s="181">
        <v>6600</v>
      </c>
      <c r="J347" s="183">
        <v>28.053954858532549</v>
      </c>
      <c r="K347" s="181">
        <f t="shared" si="38"/>
        <v>4</v>
      </c>
      <c r="L347" s="181">
        <f t="shared" si="39"/>
        <v>1</v>
      </c>
      <c r="M347" s="181">
        <f t="shared" si="40"/>
        <v>1</v>
      </c>
      <c r="N347" s="182">
        <v>5575.5552044041933</v>
      </c>
      <c r="O347" s="181">
        <v>2400</v>
      </c>
      <c r="P347" s="181">
        <v>22089.728235064998</v>
      </c>
      <c r="Q347">
        <v>414</v>
      </c>
      <c r="R347">
        <v>1105.3024868650327</v>
      </c>
      <c r="S347" s="88">
        <f t="shared" si="41"/>
        <v>9494.8576912692261</v>
      </c>
    </row>
    <row r="348" spans="1:19" x14ac:dyDescent="0.25">
      <c r="A348" s="325">
        <v>3</v>
      </c>
      <c r="B348" s="325" t="s">
        <v>35</v>
      </c>
      <c r="C348" s="326">
        <v>92.825640409695595</v>
      </c>
      <c r="D348" s="181">
        <v>92.825640409695595</v>
      </c>
      <c r="E348" s="181">
        <f t="shared" si="35"/>
        <v>12</v>
      </c>
      <c r="F348" s="181">
        <f t="shared" si="36"/>
        <v>3</v>
      </c>
      <c r="G348" s="181">
        <f t="shared" si="37"/>
        <v>1</v>
      </c>
      <c r="H348" s="182">
        <v>18448.539077584544</v>
      </c>
      <c r="I348" s="181">
        <v>6600</v>
      </c>
      <c r="J348" s="183">
        <v>23.57771266406268</v>
      </c>
      <c r="K348" s="181">
        <f t="shared" si="38"/>
        <v>3</v>
      </c>
      <c r="L348" s="181">
        <f t="shared" si="39"/>
        <v>1</v>
      </c>
      <c r="M348" s="181">
        <f t="shared" si="40"/>
        <v>1</v>
      </c>
      <c r="N348" s="182">
        <v>4685.9289257064738</v>
      </c>
      <c r="O348" s="181">
        <v>2100</v>
      </c>
      <c r="P348" s="181">
        <v>18565.128081939118</v>
      </c>
      <c r="Q348">
        <v>414</v>
      </c>
      <c r="R348">
        <v>1105.3024868650327</v>
      </c>
      <c r="S348" s="88">
        <f t="shared" si="41"/>
        <v>8305.2314125715056</v>
      </c>
    </row>
    <row r="349" spans="1:19" x14ac:dyDescent="0.25">
      <c r="A349" s="325">
        <v>3</v>
      </c>
      <c r="B349" s="325" t="s">
        <v>36</v>
      </c>
      <c r="C349" s="326">
        <v>248.03090243499986</v>
      </c>
      <c r="D349" s="181">
        <v>248.03090243499986</v>
      </c>
      <c r="E349" s="181">
        <f t="shared" si="35"/>
        <v>32</v>
      </c>
      <c r="F349" s="181">
        <f t="shared" si="36"/>
        <v>7</v>
      </c>
      <c r="G349" s="181">
        <f t="shared" si="37"/>
        <v>2</v>
      </c>
      <c r="H349" s="182">
        <v>49294.653673541616</v>
      </c>
      <c r="I349" s="181">
        <v>13200</v>
      </c>
      <c r="J349" s="183">
        <v>62.999849218489963</v>
      </c>
      <c r="K349" s="181">
        <f t="shared" si="38"/>
        <v>8</v>
      </c>
      <c r="L349" s="181">
        <f t="shared" si="39"/>
        <v>2</v>
      </c>
      <c r="M349" s="181">
        <f t="shared" si="40"/>
        <v>1</v>
      </c>
      <c r="N349" s="182">
        <v>12520.842033079571</v>
      </c>
      <c r="O349" s="181">
        <v>4800</v>
      </c>
      <c r="P349" s="181">
        <v>49606.180486999969</v>
      </c>
      <c r="Q349">
        <v>414</v>
      </c>
      <c r="R349">
        <v>1105.3024868650327</v>
      </c>
      <c r="S349" s="88">
        <f t="shared" si="41"/>
        <v>18840.144519944603</v>
      </c>
    </row>
    <row r="350" spans="1:19" x14ac:dyDescent="0.25">
      <c r="A350" s="325">
        <v>3</v>
      </c>
      <c r="B350" s="325" t="s">
        <v>37</v>
      </c>
      <c r="C350" s="326">
        <v>182.43984170529504</v>
      </c>
      <c r="D350" s="181">
        <v>182.43984170529504</v>
      </c>
      <c r="E350" s="181">
        <f t="shared" si="35"/>
        <v>23</v>
      </c>
      <c r="F350" s="181">
        <f t="shared" si="36"/>
        <v>5</v>
      </c>
      <c r="G350" s="181">
        <f t="shared" si="37"/>
        <v>2</v>
      </c>
      <c r="H350" s="182">
        <v>36258.823899877163</v>
      </c>
      <c r="I350" s="181">
        <v>13200</v>
      </c>
      <c r="J350" s="183">
        <v>46.339719793144937</v>
      </c>
      <c r="K350" s="181">
        <f t="shared" si="38"/>
        <v>6</v>
      </c>
      <c r="L350" s="181">
        <f t="shared" si="39"/>
        <v>2</v>
      </c>
      <c r="M350" s="181">
        <f t="shared" si="40"/>
        <v>1</v>
      </c>
      <c r="N350" s="182">
        <v>9209.7412705687984</v>
      </c>
      <c r="O350" s="181">
        <v>4800</v>
      </c>
      <c r="P350" s="181">
        <v>36487.968341059008</v>
      </c>
      <c r="Q350">
        <v>414</v>
      </c>
      <c r="R350">
        <v>1105.3024868650327</v>
      </c>
      <c r="S350" s="88">
        <f t="shared" si="41"/>
        <v>15529.043757433832</v>
      </c>
    </row>
    <row r="351" spans="1:19" x14ac:dyDescent="0.25">
      <c r="A351" s="325">
        <v>3</v>
      </c>
      <c r="B351" s="325" t="s">
        <v>38</v>
      </c>
      <c r="C351" s="326">
        <v>105.527376954738</v>
      </c>
      <c r="D351" s="181">
        <v>105.527376954738</v>
      </c>
      <c r="E351" s="181">
        <f t="shared" si="35"/>
        <v>14</v>
      </c>
      <c r="F351" s="181">
        <f t="shared" si="36"/>
        <v>3</v>
      </c>
      <c r="G351" s="181">
        <f t="shared" si="37"/>
        <v>1</v>
      </c>
      <c r="H351" s="182">
        <v>20972.933005492454</v>
      </c>
      <c r="I351" s="181">
        <v>6600</v>
      </c>
      <c r="J351" s="183">
        <v>26.803953746503453</v>
      </c>
      <c r="K351" s="181">
        <f t="shared" si="38"/>
        <v>4</v>
      </c>
      <c r="L351" s="181">
        <f t="shared" si="39"/>
        <v>1</v>
      </c>
      <c r="M351" s="181">
        <f t="shared" si="40"/>
        <v>1</v>
      </c>
      <c r="N351" s="182">
        <v>5327.1249833950833</v>
      </c>
      <c r="O351" s="181">
        <v>2400</v>
      </c>
      <c r="P351" s="181">
        <v>21105.475390947602</v>
      </c>
      <c r="Q351">
        <v>414</v>
      </c>
      <c r="R351">
        <v>1105.3024868650327</v>
      </c>
      <c r="S351" s="88">
        <f t="shared" si="41"/>
        <v>9246.427470260116</v>
      </c>
    </row>
    <row r="352" spans="1:19" x14ac:dyDescent="0.25">
      <c r="A352" s="325">
        <v>3</v>
      </c>
      <c r="B352" s="325" t="s">
        <v>39</v>
      </c>
      <c r="C352" s="326">
        <v>144.47236140497617</v>
      </c>
      <c r="D352" s="181">
        <v>144.47236140497617</v>
      </c>
      <c r="E352" s="181">
        <f t="shared" si="35"/>
        <v>19</v>
      </c>
      <c r="F352" s="181">
        <f t="shared" si="36"/>
        <v>4</v>
      </c>
      <c r="G352" s="181">
        <f t="shared" si="37"/>
        <v>1</v>
      </c>
      <c r="H352" s="182">
        <v>28713.014995070589</v>
      </c>
      <c r="I352" s="181">
        <v>6600</v>
      </c>
      <c r="J352" s="183">
        <v>36.695979796863945</v>
      </c>
      <c r="K352" s="181">
        <f t="shared" si="38"/>
        <v>5</v>
      </c>
      <c r="L352" s="181">
        <f t="shared" si="39"/>
        <v>1</v>
      </c>
      <c r="M352" s="181">
        <f t="shared" si="40"/>
        <v>1</v>
      </c>
      <c r="N352" s="182">
        <v>7293.1058087479287</v>
      </c>
      <c r="O352" s="181">
        <v>2400</v>
      </c>
      <c r="P352" s="181">
        <v>28894.472280995233</v>
      </c>
      <c r="Q352">
        <v>414</v>
      </c>
      <c r="R352">
        <v>1105.3024868650327</v>
      </c>
      <c r="S352" s="88">
        <f t="shared" si="41"/>
        <v>11212.408295612961</v>
      </c>
    </row>
    <row r="353" spans="1:19" x14ac:dyDescent="0.25">
      <c r="A353" s="325">
        <v>3</v>
      </c>
      <c r="B353" s="325" t="s">
        <v>40</v>
      </c>
      <c r="C353" s="326">
        <v>285.804926829745</v>
      </c>
      <c r="D353" s="181">
        <v>285.804926829745</v>
      </c>
      <c r="E353" s="181">
        <f t="shared" si="35"/>
        <v>36</v>
      </c>
      <c r="F353" s="181">
        <f t="shared" si="36"/>
        <v>8</v>
      </c>
      <c r="G353" s="181">
        <f t="shared" si="37"/>
        <v>2</v>
      </c>
      <c r="H353" s="182">
        <v>56802.01437785085</v>
      </c>
      <c r="I353" s="181">
        <v>13200</v>
      </c>
      <c r="J353" s="183">
        <v>72.594451414755227</v>
      </c>
      <c r="K353" s="181">
        <f t="shared" si="38"/>
        <v>10</v>
      </c>
      <c r="L353" s="181">
        <f t="shared" si="39"/>
        <v>2</v>
      </c>
      <c r="M353" s="181">
        <f t="shared" si="40"/>
        <v>1</v>
      </c>
      <c r="N353" s="182">
        <v>14427.711651974116</v>
      </c>
      <c r="O353" s="181">
        <v>4800</v>
      </c>
      <c r="P353" s="181">
        <v>57160.985365949004</v>
      </c>
      <c r="Q353">
        <v>414</v>
      </c>
      <c r="R353">
        <v>1105.3024868650327</v>
      </c>
      <c r="S353" s="88">
        <f t="shared" si="41"/>
        <v>20747.014138839149</v>
      </c>
    </row>
    <row r="354" spans="1:19" x14ac:dyDescent="0.25">
      <c r="A354" s="325">
        <v>3</v>
      </c>
      <c r="B354" s="325" t="s">
        <v>41</v>
      </c>
      <c r="C354" s="326">
        <v>73.938503372355498</v>
      </c>
      <c r="D354" s="181">
        <v>73.938503372355498</v>
      </c>
      <c r="E354" s="181">
        <f t="shared" si="35"/>
        <v>10</v>
      </c>
      <c r="F354" s="181">
        <f t="shared" si="36"/>
        <v>2</v>
      </c>
      <c r="G354" s="181">
        <f t="shared" si="37"/>
        <v>1</v>
      </c>
      <c r="H354" s="182">
        <v>14694.833914235423</v>
      </c>
      <c r="I354" s="181">
        <v>4800</v>
      </c>
      <c r="J354" s="183">
        <v>18.780379856578296</v>
      </c>
      <c r="K354" s="181">
        <f t="shared" si="38"/>
        <v>3</v>
      </c>
      <c r="L354" s="181">
        <f t="shared" si="39"/>
        <v>1</v>
      </c>
      <c r="M354" s="181">
        <f t="shared" si="40"/>
        <v>1</v>
      </c>
      <c r="N354" s="182">
        <v>3732.4878142157972</v>
      </c>
      <c r="O354" s="181">
        <v>2100</v>
      </c>
      <c r="P354" s="181">
        <v>14787.7006744711</v>
      </c>
      <c r="Q354">
        <v>414</v>
      </c>
      <c r="R354">
        <v>1105.3024868650327</v>
      </c>
      <c r="S354" s="88">
        <f t="shared" si="41"/>
        <v>7351.7903010808295</v>
      </c>
    </row>
    <row r="355" spans="1:19" x14ac:dyDescent="0.25">
      <c r="A355" s="325">
        <v>3</v>
      </c>
      <c r="B355" s="325" t="s">
        <v>131</v>
      </c>
      <c r="C355" s="326">
        <v>51.749208643597797</v>
      </c>
      <c r="D355" s="181">
        <v>51.749208643597797</v>
      </c>
      <c r="E355" s="181">
        <f t="shared" si="35"/>
        <v>7</v>
      </c>
      <c r="F355" s="181">
        <f t="shared" si="36"/>
        <v>2</v>
      </c>
      <c r="G355" s="181">
        <f t="shared" si="37"/>
        <v>1</v>
      </c>
      <c r="H355" s="182">
        <v>10284.844722663202</v>
      </c>
      <c r="I355" s="181">
        <v>4800</v>
      </c>
      <c r="J355" s="183">
        <v>13.144298995473841</v>
      </c>
      <c r="K355" s="181">
        <f t="shared" si="38"/>
        <v>2</v>
      </c>
      <c r="L355" s="181">
        <f t="shared" si="39"/>
        <v>1</v>
      </c>
      <c r="M355" s="181">
        <f t="shared" si="40"/>
        <v>1</v>
      </c>
      <c r="N355" s="182">
        <v>2612.3505595564534</v>
      </c>
      <c r="O355" s="181">
        <v>1400</v>
      </c>
      <c r="P355" s="181">
        <v>10349.841728719559</v>
      </c>
      <c r="Q355">
        <v>414</v>
      </c>
      <c r="R355">
        <v>1105.3024868650327</v>
      </c>
      <c r="S355" s="88">
        <f t="shared" si="41"/>
        <v>5531.6530464214866</v>
      </c>
    </row>
    <row r="356" spans="1:19" x14ac:dyDescent="0.25">
      <c r="A356" s="325">
        <v>3</v>
      </c>
      <c r="B356" s="325" t="s">
        <v>42</v>
      </c>
      <c r="C356" s="326">
        <v>237.24007378688106</v>
      </c>
      <c r="D356" s="181">
        <v>237.24007378688106</v>
      </c>
      <c r="E356" s="181">
        <f t="shared" si="35"/>
        <v>30</v>
      </c>
      <c r="F356" s="181">
        <f t="shared" si="36"/>
        <v>6</v>
      </c>
      <c r="G356" s="181">
        <f t="shared" si="37"/>
        <v>2</v>
      </c>
      <c r="H356" s="182">
        <v>47150.041224699897</v>
      </c>
      <c r="I356" s="181">
        <v>13200</v>
      </c>
      <c r="J356" s="183">
        <v>60.258978741867786</v>
      </c>
      <c r="K356" s="181">
        <f t="shared" si="38"/>
        <v>8</v>
      </c>
      <c r="L356" s="181">
        <f t="shared" si="39"/>
        <v>2</v>
      </c>
      <c r="M356" s="181">
        <f t="shared" si="40"/>
        <v>1</v>
      </c>
      <c r="N356" s="182">
        <v>11976.110471073773</v>
      </c>
      <c r="O356" s="181">
        <v>4800</v>
      </c>
      <c r="P356" s="181">
        <v>47448.014757376208</v>
      </c>
      <c r="Q356">
        <v>414</v>
      </c>
      <c r="R356">
        <v>1105.3024868650327</v>
      </c>
      <c r="S356" s="88">
        <f t="shared" si="41"/>
        <v>18295.412957938806</v>
      </c>
    </row>
    <row r="357" spans="1:19" x14ac:dyDescent="0.25">
      <c r="A357" s="325">
        <v>3</v>
      </c>
      <c r="B357" s="325" t="s">
        <v>43</v>
      </c>
      <c r="C357" s="326">
        <v>497.33628658645318</v>
      </c>
      <c r="D357" s="181">
        <v>497.33628658645318</v>
      </c>
      <c r="E357" s="181">
        <f t="shared" si="35"/>
        <v>63</v>
      </c>
      <c r="F357" s="181">
        <f t="shared" si="36"/>
        <v>13</v>
      </c>
      <c r="G357" s="181">
        <f t="shared" si="37"/>
        <v>4</v>
      </c>
      <c r="H357" s="182">
        <v>98842.60294133806</v>
      </c>
      <c r="I357" s="181">
        <v>26400</v>
      </c>
      <c r="J357" s="183">
        <v>126.32341679295911</v>
      </c>
      <c r="K357" s="181">
        <f t="shared" si="38"/>
        <v>16</v>
      </c>
      <c r="L357" s="181">
        <f t="shared" si="39"/>
        <v>4</v>
      </c>
      <c r="M357" s="181">
        <f t="shared" si="40"/>
        <v>1</v>
      </c>
      <c r="N357" s="182">
        <v>25106.021147099869</v>
      </c>
      <c r="O357" s="181">
        <v>6600</v>
      </c>
      <c r="P357" s="181">
        <v>99467.257317290641</v>
      </c>
      <c r="Q357">
        <v>414</v>
      </c>
      <c r="R357">
        <v>1105.3024868650327</v>
      </c>
      <c r="S357" s="88">
        <f t="shared" si="41"/>
        <v>33225.323633964901</v>
      </c>
    </row>
    <row r="358" spans="1:19" x14ac:dyDescent="0.25">
      <c r="A358" s="325">
        <v>3</v>
      </c>
      <c r="B358" s="325" t="s">
        <v>44</v>
      </c>
      <c r="C358" s="326">
        <v>308.1101287298884</v>
      </c>
      <c r="D358" s="181">
        <v>308.1101287298884</v>
      </c>
      <c r="E358" s="181">
        <f t="shared" si="35"/>
        <v>39</v>
      </c>
      <c r="F358" s="181">
        <f t="shared" si="36"/>
        <v>8</v>
      </c>
      <c r="G358" s="181">
        <f t="shared" si="37"/>
        <v>2</v>
      </c>
      <c r="H358" s="182">
        <v>61235.039424292947</v>
      </c>
      <c r="I358" s="181">
        <v>13200</v>
      </c>
      <c r="J358" s="183">
        <v>78.25997269739166</v>
      </c>
      <c r="K358" s="181">
        <f t="shared" si="38"/>
        <v>10</v>
      </c>
      <c r="L358" s="181">
        <f t="shared" si="39"/>
        <v>2</v>
      </c>
      <c r="M358" s="181">
        <f t="shared" si="40"/>
        <v>1</v>
      </c>
      <c r="N358" s="182">
        <v>15553.700013770411</v>
      </c>
      <c r="O358" s="181">
        <v>4800</v>
      </c>
      <c r="P358" s="181">
        <v>61622.025745977677</v>
      </c>
      <c r="Q358">
        <v>414</v>
      </c>
      <c r="R358">
        <v>1105.3024868650327</v>
      </c>
      <c r="S358" s="88">
        <f t="shared" si="41"/>
        <v>21873.002500635444</v>
      </c>
    </row>
    <row r="359" spans="1:19" x14ac:dyDescent="0.25">
      <c r="A359" s="325">
        <v>3</v>
      </c>
      <c r="B359" s="325" t="s">
        <v>45</v>
      </c>
      <c r="C359" s="326">
        <v>104.36077465419243</v>
      </c>
      <c r="D359" s="181">
        <v>104.36077465419243</v>
      </c>
      <c r="E359" s="181">
        <f t="shared" si="35"/>
        <v>14</v>
      </c>
      <c r="F359" s="181">
        <f t="shared" si="36"/>
        <v>3</v>
      </c>
      <c r="G359" s="181">
        <f t="shared" si="37"/>
        <v>1</v>
      </c>
      <c r="H359" s="182">
        <v>20741.077797872822</v>
      </c>
      <c r="I359" s="181">
        <v>6600</v>
      </c>
      <c r="J359" s="183">
        <v>26.507636762164875</v>
      </c>
      <c r="K359" s="181">
        <f t="shared" si="38"/>
        <v>4</v>
      </c>
      <c r="L359" s="181">
        <f t="shared" si="39"/>
        <v>1</v>
      </c>
      <c r="M359" s="181">
        <f t="shared" si="40"/>
        <v>1</v>
      </c>
      <c r="N359" s="182">
        <v>5268.2337606596966</v>
      </c>
      <c r="O359" s="181">
        <v>2400</v>
      </c>
      <c r="P359" s="181">
        <v>20872.154930838486</v>
      </c>
      <c r="Q359">
        <v>414</v>
      </c>
      <c r="R359">
        <v>1105.3024868650327</v>
      </c>
      <c r="S359" s="88">
        <f t="shared" si="41"/>
        <v>9187.5362475247293</v>
      </c>
    </row>
    <row r="360" spans="1:19" x14ac:dyDescent="0.25">
      <c r="A360" s="325">
        <v>3</v>
      </c>
      <c r="B360" s="325" t="s">
        <v>46</v>
      </c>
      <c r="C360" s="326">
        <v>318.46770873005829</v>
      </c>
      <c r="D360" s="181">
        <v>318.46770873005829</v>
      </c>
      <c r="E360" s="181">
        <f t="shared" si="35"/>
        <v>40</v>
      </c>
      <c r="F360" s="181">
        <f t="shared" si="36"/>
        <v>8</v>
      </c>
      <c r="G360" s="181">
        <f t="shared" si="37"/>
        <v>2</v>
      </c>
      <c r="H360" s="182">
        <v>63293.546303846713</v>
      </c>
      <c r="I360" s="181">
        <v>13200</v>
      </c>
      <c r="J360" s="183">
        <v>80.890798017434804</v>
      </c>
      <c r="K360" s="181">
        <f t="shared" si="38"/>
        <v>11</v>
      </c>
      <c r="L360" s="181">
        <f t="shared" si="39"/>
        <v>3</v>
      </c>
      <c r="M360" s="181">
        <f t="shared" si="40"/>
        <v>1</v>
      </c>
      <c r="N360" s="182">
        <v>16076.560761177065</v>
      </c>
      <c r="O360" s="181">
        <v>6600</v>
      </c>
      <c r="P360" s="181">
        <v>63693.541746011659</v>
      </c>
      <c r="Q360">
        <v>414</v>
      </c>
      <c r="R360">
        <v>1105.3024868650327</v>
      </c>
      <c r="S360" s="88">
        <f t="shared" si="41"/>
        <v>24195.863248042097</v>
      </c>
    </row>
    <row r="361" spans="1:19" x14ac:dyDescent="0.25">
      <c r="A361" s="325">
        <v>3</v>
      </c>
      <c r="B361" s="325" t="s">
        <v>47</v>
      </c>
      <c r="C361" s="326">
        <v>379.46341693216021</v>
      </c>
      <c r="D361" s="181">
        <v>379.46341693216021</v>
      </c>
      <c r="E361" s="181">
        <f t="shared" si="35"/>
        <v>48</v>
      </c>
      <c r="F361" s="181">
        <f t="shared" si="36"/>
        <v>10</v>
      </c>
      <c r="G361" s="181">
        <f t="shared" si="37"/>
        <v>3</v>
      </c>
      <c r="H361" s="182">
        <v>75416.077334765258</v>
      </c>
      <c r="I361" s="181">
        <v>19800</v>
      </c>
      <c r="J361" s="183">
        <v>96.383707900768698</v>
      </c>
      <c r="K361" s="181">
        <f t="shared" si="38"/>
        <v>13</v>
      </c>
      <c r="L361" s="181">
        <f t="shared" si="39"/>
        <v>3</v>
      </c>
      <c r="M361" s="181">
        <f t="shared" si="40"/>
        <v>1</v>
      </c>
      <c r="N361" s="182">
        <v>19155.683643030377</v>
      </c>
      <c r="O361" s="181">
        <v>6600</v>
      </c>
      <c r="P361" s="181">
        <v>75892.683386432036</v>
      </c>
      <c r="Q361">
        <v>414</v>
      </c>
      <c r="R361">
        <v>1105.3024868650327</v>
      </c>
      <c r="S361" s="88">
        <f t="shared" si="41"/>
        <v>27274.986129895409</v>
      </c>
    </row>
    <row r="362" spans="1:19" x14ac:dyDescent="0.25">
      <c r="A362" s="325">
        <v>3</v>
      </c>
      <c r="B362" s="325" t="s">
        <v>48</v>
      </c>
      <c r="C362" s="326">
        <v>300.57263512681931</v>
      </c>
      <c r="D362" s="181">
        <v>300.57263512681931</v>
      </c>
      <c r="E362" s="181">
        <f t="shared" si="35"/>
        <v>38</v>
      </c>
      <c r="F362" s="181">
        <f t="shared" si="36"/>
        <v>8</v>
      </c>
      <c r="G362" s="181">
        <f t="shared" si="37"/>
        <v>2</v>
      </c>
      <c r="H362" s="182">
        <v>59737.007795644582</v>
      </c>
      <c r="I362" s="181">
        <v>13200</v>
      </c>
      <c r="J362" s="183">
        <v>76.345449322212104</v>
      </c>
      <c r="K362" s="181">
        <f t="shared" si="38"/>
        <v>10</v>
      </c>
      <c r="L362" s="181">
        <f t="shared" si="39"/>
        <v>2</v>
      </c>
      <c r="M362" s="181">
        <f t="shared" si="40"/>
        <v>1</v>
      </c>
      <c r="N362" s="182">
        <v>15173.199980093725</v>
      </c>
      <c r="O362" s="181">
        <v>4800</v>
      </c>
      <c r="P362" s="181">
        <v>60114.527025363859</v>
      </c>
      <c r="Q362">
        <v>414</v>
      </c>
      <c r="R362">
        <v>1105.3024868650327</v>
      </c>
      <c r="S362" s="88">
        <f t="shared" si="41"/>
        <v>21492.502466958758</v>
      </c>
    </row>
    <row r="363" spans="1:19" x14ac:dyDescent="0.25">
      <c r="A363" s="325">
        <v>3</v>
      </c>
      <c r="B363" s="325" t="s">
        <v>49</v>
      </c>
      <c r="C363" s="326">
        <v>403.13330647215156</v>
      </c>
      <c r="D363" s="181">
        <v>403.13330647215156</v>
      </c>
      <c r="E363" s="181">
        <f t="shared" si="35"/>
        <v>51</v>
      </c>
      <c r="F363" s="181">
        <f t="shared" si="36"/>
        <v>11</v>
      </c>
      <c r="G363" s="181">
        <f t="shared" si="37"/>
        <v>3</v>
      </c>
      <c r="H363" s="182">
        <v>80120.325861501304</v>
      </c>
      <c r="I363" s="181">
        <v>19800</v>
      </c>
      <c r="J363" s="183">
        <v>102.3958598439265</v>
      </c>
      <c r="K363" s="181">
        <f t="shared" si="38"/>
        <v>13</v>
      </c>
      <c r="L363" s="181">
        <f t="shared" si="39"/>
        <v>3</v>
      </c>
      <c r="M363" s="181">
        <f t="shared" si="40"/>
        <v>1</v>
      </c>
      <c r="N363" s="182">
        <v>20350.562768821332</v>
      </c>
      <c r="O363" s="181">
        <v>6600</v>
      </c>
      <c r="P363" s="181">
        <v>80626.661294430305</v>
      </c>
      <c r="Q363">
        <v>414</v>
      </c>
      <c r="R363">
        <v>1105.3024868650327</v>
      </c>
      <c r="S363" s="88">
        <f t="shared" si="41"/>
        <v>28469.865255686364</v>
      </c>
    </row>
    <row r="364" spans="1:19" x14ac:dyDescent="0.25">
      <c r="A364" s="325">
        <v>3</v>
      </c>
      <c r="B364" s="325" t="s">
        <v>50</v>
      </c>
      <c r="C364" s="326">
        <v>261.76065372653915</v>
      </c>
      <c r="D364" s="181">
        <v>261.76065372653915</v>
      </c>
      <c r="E364" s="181">
        <f t="shared" si="35"/>
        <v>33</v>
      </c>
      <c r="F364" s="181">
        <f t="shared" si="36"/>
        <v>7</v>
      </c>
      <c r="G364" s="181">
        <f t="shared" si="37"/>
        <v>2</v>
      </c>
      <c r="H364" s="182">
        <v>52023.359364227304</v>
      </c>
      <c r="I364" s="181">
        <v>13200</v>
      </c>
      <c r="J364" s="183">
        <v>66.487206046540948</v>
      </c>
      <c r="K364" s="181">
        <f t="shared" si="38"/>
        <v>9</v>
      </c>
      <c r="L364" s="181">
        <f t="shared" si="39"/>
        <v>2</v>
      </c>
      <c r="M364" s="181">
        <f t="shared" si="40"/>
        <v>1</v>
      </c>
      <c r="N364" s="182">
        <v>13213.933278513736</v>
      </c>
      <c r="O364" s="181">
        <v>4800</v>
      </c>
      <c r="P364" s="181">
        <v>52352.130745307826</v>
      </c>
      <c r="Q364">
        <v>414</v>
      </c>
      <c r="R364">
        <v>1105.3024868650327</v>
      </c>
      <c r="S364" s="88">
        <f t="shared" si="41"/>
        <v>19533.235765378769</v>
      </c>
    </row>
    <row r="365" spans="1:19" x14ac:dyDescent="0.25">
      <c r="A365" s="325">
        <v>3</v>
      </c>
      <c r="B365" s="325" t="s">
        <v>51</v>
      </c>
      <c r="C365" s="326">
        <v>221.82230493146375</v>
      </c>
      <c r="D365" s="181">
        <v>221.82230493146375</v>
      </c>
      <c r="E365" s="181">
        <f t="shared" si="35"/>
        <v>28</v>
      </c>
      <c r="F365" s="181">
        <f t="shared" si="36"/>
        <v>6</v>
      </c>
      <c r="G365" s="181">
        <f t="shared" si="37"/>
        <v>2</v>
      </c>
      <c r="H365" s="182">
        <v>44085.852171298837</v>
      </c>
      <c r="I365" s="181">
        <v>13200</v>
      </c>
      <c r="J365" s="183">
        <v>56.342865452591795</v>
      </c>
      <c r="K365" s="181">
        <f t="shared" si="38"/>
        <v>8</v>
      </c>
      <c r="L365" s="181">
        <f t="shared" si="39"/>
        <v>2</v>
      </c>
      <c r="M365" s="181">
        <f t="shared" si="40"/>
        <v>1</v>
      </c>
      <c r="N365" s="182">
        <v>11197.806451509905</v>
      </c>
      <c r="O365" s="181">
        <v>4800</v>
      </c>
      <c r="P365" s="181">
        <v>44364.460986292746</v>
      </c>
      <c r="Q365">
        <v>414</v>
      </c>
      <c r="R365">
        <v>1105.3024868650327</v>
      </c>
      <c r="S365" s="88">
        <f t="shared" si="41"/>
        <v>17517.108938374939</v>
      </c>
    </row>
    <row r="366" spans="1:19" x14ac:dyDescent="0.25">
      <c r="A366" s="325">
        <v>3</v>
      </c>
      <c r="B366" s="325" t="s">
        <v>52</v>
      </c>
      <c r="C366" s="326">
        <v>244.59045552333055</v>
      </c>
      <c r="D366" s="181">
        <v>244.59045552333055</v>
      </c>
      <c r="E366" s="181">
        <f t="shared" si="35"/>
        <v>31</v>
      </c>
      <c r="F366" s="181">
        <f t="shared" si="36"/>
        <v>7</v>
      </c>
      <c r="G366" s="181">
        <f t="shared" si="37"/>
        <v>2</v>
      </c>
      <c r="H366" s="182">
        <v>48610.885492528811</v>
      </c>
      <c r="I366" s="181">
        <v>13200</v>
      </c>
      <c r="J366" s="183">
        <v>62.125975702925963</v>
      </c>
      <c r="K366" s="181">
        <f t="shared" si="38"/>
        <v>8</v>
      </c>
      <c r="L366" s="181">
        <f t="shared" si="39"/>
        <v>2</v>
      </c>
      <c r="M366" s="181">
        <f t="shared" si="40"/>
        <v>1</v>
      </c>
      <c r="N366" s="182">
        <v>12347.164915102319</v>
      </c>
      <c r="O366" s="181">
        <v>4800</v>
      </c>
      <c r="P366" s="181">
        <v>48918.091104666106</v>
      </c>
      <c r="Q366">
        <v>414</v>
      </c>
      <c r="R366">
        <v>1105.3024868650327</v>
      </c>
      <c r="S366" s="88">
        <f t="shared" si="41"/>
        <v>18666.467401967351</v>
      </c>
    </row>
    <row r="367" spans="1:19" x14ac:dyDescent="0.25">
      <c r="A367" s="325">
        <v>3</v>
      </c>
      <c r="B367" s="325" t="s">
        <v>53</v>
      </c>
      <c r="C367" s="326">
        <v>113.81939225839545</v>
      </c>
      <c r="D367" s="181">
        <v>113.81939225839545</v>
      </c>
      <c r="E367" s="181">
        <f t="shared" si="35"/>
        <v>15</v>
      </c>
      <c r="F367" s="181">
        <f t="shared" si="36"/>
        <v>3</v>
      </c>
      <c r="G367" s="181">
        <f t="shared" si="37"/>
        <v>1</v>
      </c>
      <c r="H367" s="182">
        <v>22620.92129500255</v>
      </c>
      <c r="I367" s="181">
        <v>6600</v>
      </c>
      <c r="J367" s="183">
        <v>28.910125633632447</v>
      </c>
      <c r="K367" s="181">
        <f t="shared" si="38"/>
        <v>4</v>
      </c>
      <c r="L367" s="181">
        <f t="shared" si="39"/>
        <v>1</v>
      </c>
      <c r="M367" s="181">
        <f t="shared" si="40"/>
        <v>1</v>
      </c>
      <c r="N367" s="182">
        <v>5745.7140089306477</v>
      </c>
      <c r="O367" s="181">
        <v>2400</v>
      </c>
      <c r="P367" s="181">
        <v>22763.878451679091</v>
      </c>
      <c r="Q367">
        <v>414</v>
      </c>
      <c r="R367">
        <v>1105.3024868650327</v>
      </c>
      <c r="S367" s="88">
        <f t="shared" si="41"/>
        <v>9665.0164957956804</v>
      </c>
    </row>
    <row r="368" spans="1:19" x14ac:dyDescent="0.25">
      <c r="A368" s="325">
        <v>3</v>
      </c>
      <c r="B368" s="325" t="s">
        <v>54</v>
      </c>
      <c r="C368" s="326">
        <v>58.002061732068618</v>
      </c>
      <c r="D368" s="181">
        <v>58.002061732068618</v>
      </c>
      <c r="E368" s="181">
        <f t="shared" si="35"/>
        <v>8</v>
      </c>
      <c r="F368" s="181">
        <f t="shared" si="36"/>
        <v>2</v>
      </c>
      <c r="G368" s="181">
        <f t="shared" si="37"/>
        <v>1</v>
      </c>
      <c r="H368" s="182">
        <v>11527.561756878247</v>
      </c>
      <c r="I368" s="181">
        <v>4800</v>
      </c>
      <c r="J368" s="183">
        <v>14.732523679945428</v>
      </c>
      <c r="K368" s="181">
        <f t="shared" si="38"/>
        <v>2</v>
      </c>
      <c r="L368" s="181">
        <f t="shared" si="39"/>
        <v>1</v>
      </c>
      <c r="M368" s="181">
        <f t="shared" si="40"/>
        <v>1</v>
      </c>
      <c r="N368" s="182">
        <v>2928.0006862470746</v>
      </c>
      <c r="O368" s="181">
        <v>1400</v>
      </c>
      <c r="P368" s="181">
        <v>11600.412346413723</v>
      </c>
      <c r="Q368">
        <v>414</v>
      </c>
      <c r="R368">
        <v>1105.3024868650327</v>
      </c>
      <c r="S368" s="88">
        <f t="shared" si="41"/>
        <v>5847.3031731121073</v>
      </c>
    </row>
    <row r="369" spans="1:19" x14ac:dyDescent="0.25">
      <c r="A369" s="325">
        <v>3</v>
      </c>
      <c r="B369" s="325" t="s">
        <v>55</v>
      </c>
      <c r="C369" s="326">
        <v>98.122969491392709</v>
      </c>
      <c r="D369" s="181">
        <v>98.122969491392709</v>
      </c>
      <c r="E369" s="181">
        <f t="shared" si="35"/>
        <v>13</v>
      </c>
      <c r="F369" s="181">
        <f t="shared" si="36"/>
        <v>3</v>
      </c>
      <c r="G369" s="181">
        <f t="shared" si="37"/>
        <v>1</v>
      </c>
      <c r="H369" s="182">
        <v>19501.351448597354</v>
      </c>
      <c r="I369" s="181">
        <v>6600</v>
      </c>
      <c r="J369" s="183">
        <v>24.923234250813749</v>
      </c>
      <c r="K369" s="181">
        <f t="shared" si="38"/>
        <v>4</v>
      </c>
      <c r="L369" s="181">
        <f t="shared" si="39"/>
        <v>1</v>
      </c>
      <c r="M369" s="181">
        <f t="shared" si="40"/>
        <v>1</v>
      </c>
      <c r="N369" s="182">
        <v>4953.3432679437283</v>
      </c>
      <c r="O369" s="181">
        <v>2400</v>
      </c>
      <c r="P369" s="181">
        <v>19624.593898278541</v>
      </c>
      <c r="Q369">
        <v>414</v>
      </c>
      <c r="R369">
        <v>1105.3024868650327</v>
      </c>
      <c r="S369" s="88">
        <f t="shared" si="41"/>
        <v>8872.6457548087601</v>
      </c>
    </row>
    <row r="370" spans="1:19" x14ac:dyDescent="0.25">
      <c r="A370" s="325">
        <v>3</v>
      </c>
      <c r="B370" s="325" t="s">
        <v>56</v>
      </c>
      <c r="C370" s="326">
        <v>109.15537732199004</v>
      </c>
      <c r="D370" s="181">
        <v>109.15537732199004</v>
      </c>
      <c r="E370" s="181">
        <f t="shared" si="35"/>
        <v>14</v>
      </c>
      <c r="F370" s="181">
        <f t="shared" si="36"/>
        <v>3</v>
      </c>
      <c r="G370" s="181">
        <f t="shared" si="37"/>
        <v>1</v>
      </c>
      <c r="H370" s="182">
        <v>21693.976310481594</v>
      </c>
      <c r="I370" s="181">
        <v>6600</v>
      </c>
      <c r="J370" s="183">
        <v>27.725465839785471</v>
      </c>
      <c r="K370" s="181">
        <f t="shared" si="38"/>
        <v>4</v>
      </c>
      <c r="L370" s="181">
        <f t="shared" si="39"/>
        <v>1</v>
      </c>
      <c r="M370" s="181">
        <f t="shared" si="40"/>
        <v>1</v>
      </c>
      <c r="N370" s="182">
        <v>5510.2699828623245</v>
      </c>
      <c r="O370" s="181">
        <v>2400</v>
      </c>
      <c r="P370" s="181">
        <v>21831.075464398011</v>
      </c>
      <c r="Q370">
        <v>414</v>
      </c>
      <c r="R370">
        <v>1105.3024868650327</v>
      </c>
      <c r="S370" s="88">
        <f t="shared" si="41"/>
        <v>9429.5724697273581</v>
      </c>
    </row>
    <row r="371" spans="1:19" x14ac:dyDescent="0.25">
      <c r="A371" s="325">
        <v>3</v>
      </c>
      <c r="B371" s="325" t="s">
        <v>57</v>
      </c>
      <c r="C371" s="326">
        <v>133.48874696213281</v>
      </c>
      <c r="D371" s="181">
        <v>133.48874696213281</v>
      </c>
      <c r="E371" s="181">
        <f t="shared" si="35"/>
        <v>17</v>
      </c>
      <c r="F371" s="181">
        <f t="shared" si="36"/>
        <v>4</v>
      </c>
      <c r="G371" s="181">
        <f t="shared" si="37"/>
        <v>1</v>
      </c>
      <c r="H371" s="182">
        <v>26530.087526242125</v>
      </c>
      <c r="I371" s="181">
        <v>6600</v>
      </c>
      <c r="J371" s="183">
        <v>33.906141728381733</v>
      </c>
      <c r="K371" s="181">
        <f t="shared" si="38"/>
        <v>5</v>
      </c>
      <c r="L371" s="181">
        <f t="shared" si="39"/>
        <v>1</v>
      </c>
      <c r="M371" s="181">
        <f t="shared" si="40"/>
        <v>1</v>
      </c>
      <c r="N371" s="182">
        <v>6738.6422316654998</v>
      </c>
      <c r="O371" s="181">
        <v>2400</v>
      </c>
      <c r="P371" s="181">
        <v>26697.749392426562</v>
      </c>
      <c r="Q371">
        <v>414</v>
      </c>
      <c r="R371">
        <v>1105.3024868650327</v>
      </c>
      <c r="S371" s="88">
        <f t="shared" si="41"/>
        <v>10657.944718530533</v>
      </c>
    </row>
    <row r="372" spans="1:19" x14ac:dyDescent="0.25">
      <c r="A372" s="325">
        <v>3</v>
      </c>
      <c r="B372" s="325" t="s">
        <v>58</v>
      </c>
      <c r="C372" s="326">
        <v>159.75884087878768</v>
      </c>
      <c r="D372" s="181">
        <v>159.75884087878768</v>
      </c>
      <c r="E372" s="181">
        <f t="shared" si="35"/>
        <v>20</v>
      </c>
      <c r="F372" s="181">
        <f t="shared" si="36"/>
        <v>4</v>
      </c>
      <c r="G372" s="181">
        <f t="shared" si="37"/>
        <v>1</v>
      </c>
      <c r="H372" s="182">
        <v>31751.111071613785</v>
      </c>
      <c r="I372" s="181">
        <v>6600</v>
      </c>
      <c r="J372" s="183">
        <v>40.578745583212068</v>
      </c>
      <c r="K372" s="181">
        <f t="shared" si="38"/>
        <v>6</v>
      </c>
      <c r="L372" s="181">
        <f t="shared" si="39"/>
        <v>2</v>
      </c>
      <c r="M372" s="181">
        <f t="shared" si="40"/>
        <v>1</v>
      </c>
      <c r="N372" s="182">
        <v>8064.7822121899007</v>
      </c>
      <c r="O372" s="181">
        <v>4800</v>
      </c>
      <c r="P372" s="181">
        <v>31951.768175757537</v>
      </c>
      <c r="Q372">
        <v>414</v>
      </c>
      <c r="R372">
        <v>1105.3024868650327</v>
      </c>
      <c r="S372" s="88">
        <f t="shared" si="41"/>
        <v>14384.084699054933</v>
      </c>
    </row>
    <row r="373" spans="1:19" x14ac:dyDescent="0.25">
      <c r="A373" s="325">
        <v>3</v>
      </c>
      <c r="B373" s="325" t="s">
        <v>59</v>
      </c>
      <c r="C373" s="326">
        <v>370.12246094567041</v>
      </c>
      <c r="D373" s="181">
        <v>370.12246094567041</v>
      </c>
      <c r="E373" s="181">
        <f t="shared" si="35"/>
        <v>47</v>
      </c>
      <c r="F373" s="181">
        <f t="shared" si="36"/>
        <v>10</v>
      </c>
      <c r="G373" s="181">
        <f t="shared" si="37"/>
        <v>3</v>
      </c>
      <c r="H373" s="182">
        <v>73559.618378186336</v>
      </c>
      <c r="I373" s="181">
        <v>19800</v>
      </c>
      <c r="J373" s="183">
        <v>94.011105080200281</v>
      </c>
      <c r="K373" s="181">
        <f t="shared" si="38"/>
        <v>12</v>
      </c>
      <c r="L373" s="181">
        <f t="shared" si="39"/>
        <v>3</v>
      </c>
      <c r="M373" s="181">
        <f t="shared" si="40"/>
        <v>1</v>
      </c>
      <c r="N373" s="182">
        <v>18684.143068059326</v>
      </c>
      <c r="O373" s="181">
        <v>6600</v>
      </c>
      <c r="P373" s="181">
        <v>74024.492189134078</v>
      </c>
      <c r="Q373">
        <v>414</v>
      </c>
      <c r="R373">
        <v>1105.3024868650327</v>
      </c>
      <c r="S373" s="88">
        <f t="shared" si="41"/>
        <v>26803.445554924358</v>
      </c>
    </row>
    <row r="374" spans="1:19" x14ac:dyDescent="0.25">
      <c r="A374" s="325">
        <v>3</v>
      </c>
      <c r="B374" s="325" t="s">
        <v>60</v>
      </c>
      <c r="C374" s="326">
        <v>631.91001380577757</v>
      </c>
      <c r="D374" s="181">
        <v>631.91001380577757</v>
      </c>
      <c r="E374" s="181">
        <f t="shared" si="35"/>
        <v>79</v>
      </c>
      <c r="F374" s="181">
        <f t="shared" si="36"/>
        <v>16</v>
      </c>
      <c r="G374" s="181">
        <f t="shared" si="37"/>
        <v>4</v>
      </c>
      <c r="H374" s="182">
        <v>125588.32378381547</v>
      </c>
      <c r="I374" s="181">
        <v>26400</v>
      </c>
      <c r="J374" s="183">
        <v>160.50514350666751</v>
      </c>
      <c r="K374" s="181">
        <f t="shared" si="38"/>
        <v>21</v>
      </c>
      <c r="L374" s="181">
        <f t="shared" si="39"/>
        <v>5</v>
      </c>
      <c r="M374" s="181">
        <f t="shared" si="40"/>
        <v>2</v>
      </c>
      <c r="N374" s="182">
        <v>31899.434241089133</v>
      </c>
      <c r="O374" s="181">
        <v>13200</v>
      </c>
      <c r="P374" s="181">
        <v>126382.00276115551</v>
      </c>
      <c r="Q374">
        <v>414</v>
      </c>
      <c r="R374">
        <v>1105.3024868650327</v>
      </c>
      <c r="S374" s="88">
        <f t="shared" si="41"/>
        <v>46618.736727954165</v>
      </c>
    </row>
    <row r="375" spans="1:19" x14ac:dyDescent="0.25">
      <c r="A375" s="325">
        <v>3</v>
      </c>
      <c r="B375" s="325" t="s">
        <v>61</v>
      </c>
      <c r="C375" s="326">
        <v>152.06858979818344</v>
      </c>
      <c r="D375" s="181">
        <v>152.06858979818344</v>
      </c>
      <c r="E375" s="181">
        <f t="shared" si="35"/>
        <v>20</v>
      </c>
      <c r="F375" s="181">
        <f t="shared" si="36"/>
        <v>4</v>
      </c>
      <c r="G375" s="181">
        <f t="shared" si="37"/>
        <v>1</v>
      </c>
      <c r="H375" s="182">
        <v>30222.719810850173</v>
      </c>
      <c r="I375" s="181">
        <v>6600</v>
      </c>
      <c r="J375" s="183">
        <v>38.625421808738594</v>
      </c>
      <c r="K375" s="181">
        <f t="shared" si="38"/>
        <v>5</v>
      </c>
      <c r="L375" s="181">
        <f t="shared" si="39"/>
        <v>1</v>
      </c>
      <c r="M375" s="181">
        <f t="shared" si="40"/>
        <v>1</v>
      </c>
      <c r="N375" s="182">
        <v>7676.5708319559444</v>
      </c>
      <c r="O375" s="181">
        <v>2400</v>
      </c>
      <c r="P375" s="181">
        <v>30413.717959636688</v>
      </c>
      <c r="Q375">
        <v>414</v>
      </c>
      <c r="R375">
        <v>1105.3024868650327</v>
      </c>
      <c r="S375" s="88">
        <f t="shared" si="41"/>
        <v>11595.873318820977</v>
      </c>
    </row>
    <row r="376" spans="1:19" x14ac:dyDescent="0.25">
      <c r="A376" s="325">
        <v>3</v>
      </c>
      <c r="B376" s="325" t="s">
        <v>62</v>
      </c>
      <c r="C376" s="326">
        <v>216.90940478602056</v>
      </c>
      <c r="D376" s="181">
        <v>216.90940478602056</v>
      </c>
      <c r="E376" s="181">
        <f t="shared" si="35"/>
        <v>28</v>
      </c>
      <c r="F376" s="181">
        <f t="shared" si="36"/>
        <v>6</v>
      </c>
      <c r="G376" s="181">
        <f t="shared" si="37"/>
        <v>2</v>
      </c>
      <c r="H376" s="182">
        <v>43109.442744792876</v>
      </c>
      <c r="I376" s="181">
        <v>13200</v>
      </c>
      <c r="J376" s="183">
        <v>55.094988815649224</v>
      </c>
      <c r="K376" s="181">
        <f t="shared" si="38"/>
        <v>7</v>
      </c>
      <c r="L376" s="181">
        <f t="shared" si="39"/>
        <v>2</v>
      </c>
      <c r="M376" s="181">
        <f t="shared" si="40"/>
        <v>1</v>
      </c>
      <c r="N376" s="182">
        <v>10949.79845717739</v>
      </c>
      <c r="O376" s="181">
        <v>4800</v>
      </c>
      <c r="P376" s="181">
        <v>43381.880957204114</v>
      </c>
      <c r="Q376">
        <v>414</v>
      </c>
      <c r="R376">
        <v>1105.3024868650327</v>
      </c>
      <c r="S376" s="88">
        <f t="shared" si="41"/>
        <v>17269.100944042424</v>
      </c>
    </row>
    <row r="377" spans="1:19" x14ac:dyDescent="0.25">
      <c r="A377" s="325">
        <v>3</v>
      </c>
      <c r="B377" s="325" t="s">
        <v>63</v>
      </c>
      <c r="C377" s="326">
        <v>246.52419837847643</v>
      </c>
      <c r="D377" s="181">
        <v>246.52419837847643</v>
      </c>
      <c r="E377" s="181">
        <f t="shared" si="35"/>
        <v>31</v>
      </c>
      <c r="F377" s="181">
        <f t="shared" si="36"/>
        <v>7</v>
      </c>
      <c r="G377" s="181">
        <f t="shared" si="37"/>
        <v>2</v>
      </c>
      <c r="H377" s="182">
        <v>48995.205282531926</v>
      </c>
      <c r="I377" s="181">
        <v>13200</v>
      </c>
      <c r="J377" s="183">
        <v>62.617146388133015</v>
      </c>
      <c r="K377" s="181">
        <f t="shared" si="38"/>
        <v>8</v>
      </c>
      <c r="L377" s="181">
        <f t="shared" si="39"/>
        <v>2</v>
      </c>
      <c r="M377" s="181">
        <f t="shared" si="40"/>
        <v>1</v>
      </c>
      <c r="N377" s="182">
        <v>12444.782141763109</v>
      </c>
      <c r="O377" s="181">
        <v>4800</v>
      </c>
      <c r="P377" s="181">
        <v>49304.839675695286</v>
      </c>
      <c r="Q377">
        <v>414</v>
      </c>
      <c r="R377">
        <v>1105.3024868650327</v>
      </c>
      <c r="S377" s="88">
        <f t="shared" si="41"/>
        <v>18764.084628628141</v>
      </c>
    </row>
    <row r="378" spans="1:19" x14ac:dyDescent="0.25">
      <c r="A378" s="325">
        <v>3</v>
      </c>
      <c r="B378" s="325" t="s">
        <v>64</v>
      </c>
      <c r="C378" s="326">
        <v>184.81936050390803</v>
      </c>
      <c r="D378" s="181">
        <v>184.81936050390803</v>
      </c>
      <c r="E378" s="181">
        <f t="shared" si="35"/>
        <v>24</v>
      </c>
      <c r="F378" s="181">
        <f t="shared" si="36"/>
        <v>5</v>
      </c>
      <c r="G378" s="181">
        <f t="shared" si="37"/>
        <v>2</v>
      </c>
      <c r="H378" s="182">
        <v>36731.738983988704</v>
      </c>
      <c r="I378" s="181">
        <v>13200</v>
      </c>
      <c r="J378" s="183">
        <v>46.944117567992642</v>
      </c>
      <c r="K378" s="181">
        <f t="shared" si="38"/>
        <v>6</v>
      </c>
      <c r="L378" s="181">
        <f t="shared" si="39"/>
        <v>2</v>
      </c>
      <c r="M378" s="181">
        <f t="shared" si="40"/>
        <v>1</v>
      </c>
      <c r="N378" s="182">
        <v>9329.8617019331305</v>
      </c>
      <c r="O378" s="181">
        <v>4800</v>
      </c>
      <c r="P378" s="181">
        <v>36963.872100781606</v>
      </c>
      <c r="Q378">
        <v>414</v>
      </c>
      <c r="R378">
        <v>1105.3024868650327</v>
      </c>
      <c r="S378" s="88">
        <f t="shared" si="41"/>
        <v>15649.164188798164</v>
      </c>
    </row>
    <row r="379" spans="1:19" x14ac:dyDescent="0.25">
      <c r="A379" s="325">
        <v>3</v>
      </c>
      <c r="B379" s="325" t="s">
        <v>65</v>
      </c>
      <c r="C379" s="326">
        <v>192.15047761910407</v>
      </c>
      <c r="D379" s="181">
        <v>192.15047761910407</v>
      </c>
      <c r="E379" s="181">
        <f t="shared" si="35"/>
        <v>25</v>
      </c>
      <c r="F379" s="181">
        <f t="shared" si="36"/>
        <v>5</v>
      </c>
      <c r="G379" s="181">
        <f t="shared" si="37"/>
        <v>2</v>
      </c>
      <c r="H379" s="182">
        <v>38188.754523931224</v>
      </c>
      <c r="I379" s="181">
        <v>13200</v>
      </c>
      <c r="J379" s="183">
        <v>48.806221315252436</v>
      </c>
      <c r="K379" s="181">
        <f t="shared" si="38"/>
        <v>7</v>
      </c>
      <c r="L379" s="181">
        <f t="shared" si="39"/>
        <v>2</v>
      </c>
      <c r="M379" s="181">
        <f t="shared" si="40"/>
        <v>1</v>
      </c>
      <c r="N379" s="182">
        <v>9699.943649078532</v>
      </c>
      <c r="O379" s="181">
        <v>4800</v>
      </c>
      <c r="P379" s="181">
        <v>38430.095523820812</v>
      </c>
      <c r="Q379">
        <v>414</v>
      </c>
      <c r="R379">
        <v>1105.3024868650327</v>
      </c>
      <c r="S379" s="88">
        <f t="shared" si="41"/>
        <v>16019.246135943566</v>
      </c>
    </row>
    <row r="380" spans="1:19" x14ac:dyDescent="0.25">
      <c r="A380" s="325">
        <v>3</v>
      </c>
      <c r="B380" s="325" t="s">
        <v>66</v>
      </c>
      <c r="C380" s="326">
        <v>58.000141399815035</v>
      </c>
      <c r="D380" s="181">
        <v>58.000141399815035</v>
      </c>
      <c r="E380" s="181">
        <f t="shared" si="35"/>
        <v>8</v>
      </c>
      <c r="F380" s="181">
        <f t="shared" si="36"/>
        <v>2</v>
      </c>
      <c r="G380" s="181">
        <f t="shared" si="37"/>
        <v>1</v>
      </c>
      <c r="H380" s="182">
        <v>11527.18010236484</v>
      </c>
      <c r="I380" s="181">
        <v>4800</v>
      </c>
      <c r="J380" s="183">
        <v>14.73203591555302</v>
      </c>
      <c r="K380" s="181">
        <f t="shared" si="38"/>
        <v>2</v>
      </c>
      <c r="L380" s="181">
        <f t="shared" si="39"/>
        <v>1</v>
      </c>
      <c r="M380" s="181">
        <f t="shared" si="40"/>
        <v>1</v>
      </c>
      <c r="N380" s="182">
        <v>2927.9037460006698</v>
      </c>
      <c r="O380" s="181">
        <v>1400</v>
      </c>
      <c r="P380" s="181">
        <v>11600.028279963008</v>
      </c>
      <c r="Q380">
        <v>414</v>
      </c>
      <c r="R380">
        <v>1105.3024868650327</v>
      </c>
      <c r="S380" s="88">
        <f t="shared" si="41"/>
        <v>5847.206232865703</v>
      </c>
    </row>
    <row r="381" spans="1:19" x14ac:dyDescent="0.25">
      <c r="A381" s="325">
        <v>3</v>
      </c>
      <c r="B381" s="325" t="s">
        <v>67</v>
      </c>
      <c r="C381" s="326">
        <v>134.72447849462364</v>
      </c>
      <c r="D381" s="181">
        <v>134.72447849462364</v>
      </c>
      <c r="E381" s="181">
        <f t="shared" si="35"/>
        <v>17</v>
      </c>
      <c r="F381" s="181">
        <f t="shared" si="36"/>
        <v>4</v>
      </c>
      <c r="G381" s="181">
        <f t="shared" si="37"/>
        <v>1</v>
      </c>
      <c r="H381" s="182">
        <v>26775.681753935485</v>
      </c>
      <c r="I381" s="181">
        <v>6600</v>
      </c>
      <c r="J381" s="183">
        <v>34.220017537634405</v>
      </c>
      <c r="K381" s="181">
        <f t="shared" si="38"/>
        <v>5</v>
      </c>
      <c r="L381" s="181">
        <f t="shared" si="39"/>
        <v>1</v>
      </c>
      <c r="M381" s="181">
        <f t="shared" si="40"/>
        <v>1</v>
      </c>
      <c r="N381" s="182">
        <v>6801.0231654996132</v>
      </c>
      <c r="O381" s="181">
        <v>2400</v>
      </c>
      <c r="P381" s="181">
        <v>26944.895698924727</v>
      </c>
      <c r="Q381">
        <v>414</v>
      </c>
      <c r="R381">
        <v>1105.3024868650327</v>
      </c>
      <c r="S381" s="88">
        <f t="shared" si="41"/>
        <v>10720.325652364645</v>
      </c>
    </row>
    <row r="382" spans="1:19" x14ac:dyDescent="0.25">
      <c r="A382" s="325">
        <v>3</v>
      </c>
      <c r="B382" s="325" t="s">
        <v>132</v>
      </c>
      <c r="C382" s="326">
        <v>46.786372198214075</v>
      </c>
      <c r="D382" s="181">
        <v>46.786372198214075</v>
      </c>
      <c r="E382" s="181">
        <f t="shared" si="35"/>
        <v>6</v>
      </c>
      <c r="F382" s="181">
        <f t="shared" si="36"/>
        <v>2</v>
      </c>
      <c r="G382" s="181">
        <f t="shared" si="37"/>
        <v>1</v>
      </c>
      <c r="H382" s="182">
        <v>9298.5107561618588</v>
      </c>
      <c r="I382" s="181">
        <v>4800</v>
      </c>
      <c r="J382" s="183">
        <v>11.883738538346375</v>
      </c>
      <c r="K382" s="181">
        <f t="shared" si="38"/>
        <v>2</v>
      </c>
      <c r="L382" s="181">
        <f t="shared" si="39"/>
        <v>1</v>
      </c>
      <c r="M382" s="181">
        <f t="shared" si="40"/>
        <v>1</v>
      </c>
      <c r="N382" s="182">
        <v>2361.8217320651124</v>
      </c>
      <c r="O382" s="181">
        <v>1400</v>
      </c>
      <c r="P382" s="181">
        <v>9357.2744396428152</v>
      </c>
      <c r="Q382">
        <v>414</v>
      </c>
      <c r="R382">
        <v>1105.3024868650327</v>
      </c>
      <c r="S382" s="88">
        <f t="shared" si="41"/>
        <v>5281.1242189301447</v>
      </c>
    </row>
    <row r="383" spans="1:19" x14ac:dyDescent="0.25">
      <c r="A383" s="325">
        <v>3</v>
      </c>
      <c r="B383" s="325" t="s">
        <v>68</v>
      </c>
      <c r="C383" s="326">
        <v>82.602974408586618</v>
      </c>
      <c r="D383" s="181">
        <v>82.602974408586618</v>
      </c>
      <c r="E383" s="181">
        <f t="shared" si="35"/>
        <v>11</v>
      </c>
      <c r="F383" s="181">
        <f t="shared" si="36"/>
        <v>3</v>
      </c>
      <c r="G383" s="181">
        <f t="shared" si="37"/>
        <v>1</v>
      </c>
      <c r="H383" s="182">
        <v>16416.845545860142</v>
      </c>
      <c r="I383" s="181">
        <v>6600</v>
      </c>
      <c r="J383" s="183">
        <v>20.981155499781</v>
      </c>
      <c r="K383" s="181">
        <f t="shared" si="38"/>
        <v>3</v>
      </c>
      <c r="L383" s="181">
        <f t="shared" si="39"/>
        <v>1</v>
      </c>
      <c r="M383" s="181">
        <f t="shared" si="40"/>
        <v>1</v>
      </c>
      <c r="N383" s="182">
        <v>4169.8787686484757</v>
      </c>
      <c r="O383" s="181">
        <v>2100</v>
      </c>
      <c r="P383" s="181">
        <v>16520.594881717323</v>
      </c>
      <c r="Q383">
        <v>414</v>
      </c>
      <c r="R383">
        <v>1105.3024868650327</v>
      </c>
      <c r="S383" s="88">
        <f t="shared" si="41"/>
        <v>7789.1812555135084</v>
      </c>
    </row>
    <row r="384" spans="1:19" x14ac:dyDescent="0.25">
      <c r="A384" s="325">
        <v>3</v>
      </c>
      <c r="B384" s="325" t="s">
        <v>69</v>
      </c>
      <c r="C384" s="326">
        <v>246.59528571679039</v>
      </c>
      <c r="D384" s="181">
        <v>246.59528571679039</v>
      </c>
      <c r="E384" s="181">
        <f t="shared" si="35"/>
        <v>31</v>
      </c>
      <c r="F384" s="181">
        <f t="shared" si="36"/>
        <v>7</v>
      </c>
      <c r="G384" s="181">
        <f t="shared" si="37"/>
        <v>2</v>
      </c>
      <c r="H384" s="182">
        <v>49009.333464497795</v>
      </c>
      <c r="I384" s="181">
        <v>13200</v>
      </c>
      <c r="J384" s="183">
        <v>62.635202572064756</v>
      </c>
      <c r="K384" s="181">
        <f t="shared" si="38"/>
        <v>8</v>
      </c>
      <c r="L384" s="181">
        <f t="shared" si="39"/>
        <v>2</v>
      </c>
      <c r="M384" s="181">
        <f t="shared" si="40"/>
        <v>1</v>
      </c>
      <c r="N384" s="182">
        <v>12448.370699982439</v>
      </c>
      <c r="O384" s="181">
        <v>4800</v>
      </c>
      <c r="P384" s="181">
        <v>49319.057143358077</v>
      </c>
      <c r="Q384">
        <v>414</v>
      </c>
      <c r="R384">
        <v>1105.3024868650327</v>
      </c>
      <c r="S384" s="88">
        <f t="shared" si="41"/>
        <v>18767.673186847471</v>
      </c>
    </row>
    <row r="385" spans="1:19" x14ac:dyDescent="0.25">
      <c r="A385" s="325">
        <v>3</v>
      </c>
      <c r="B385" s="325" t="s">
        <v>70</v>
      </c>
      <c r="C385" s="326">
        <v>164.9192397109511</v>
      </c>
      <c r="D385" s="181">
        <v>164.9192397109511</v>
      </c>
      <c r="E385" s="181">
        <f t="shared" si="35"/>
        <v>21</v>
      </c>
      <c r="F385" s="181">
        <f t="shared" si="36"/>
        <v>5</v>
      </c>
      <c r="G385" s="181">
        <f t="shared" si="37"/>
        <v>2</v>
      </c>
      <c r="H385" s="182">
        <v>32776.709377113271</v>
      </c>
      <c r="I385" s="181">
        <v>13200</v>
      </c>
      <c r="J385" s="183">
        <v>41.889486886581579</v>
      </c>
      <c r="K385" s="181">
        <f t="shared" si="38"/>
        <v>6</v>
      </c>
      <c r="L385" s="181">
        <f t="shared" si="39"/>
        <v>2</v>
      </c>
      <c r="M385" s="181">
        <f t="shared" si="40"/>
        <v>1</v>
      </c>
      <c r="N385" s="182">
        <v>8325.2841817867702</v>
      </c>
      <c r="O385" s="181">
        <v>4800</v>
      </c>
      <c r="P385" s="181">
        <v>32983.847942190223</v>
      </c>
      <c r="Q385">
        <v>414</v>
      </c>
      <c r="R385">
        <v>1105.3024868650327</v>
      </c>
      <c r="S385" s="88">
        <f t="shared" si="41"/>
        <v>14644.586668651802</v>
      </c>
    </row>
    <row r="386" spans="1:19" x14ac:dyDescent="0.25">
      <c r="A386" s="325">
        <v>3</v>
      </c>
      <c r="B386" s="325" t="s">
        <v>71</v>
      </c>
      <c r="C386" s="326">
        <v>132.6036484183644</v>
      </c>
      <c r="D386" s="181">
        <v>132.6036484183644</v>
      </c>
      <c r="E386" s="181">
        <f t="shared" si="35"/>
        <v>17</v>
      </c>
      <c r="F386" s="181">
        <f t="shared" si="36"/>
        <v>4</v>
      </c>
      <c r="G386" s="181">
        <f t="shared" si="37"/>
        <v>1</v>
      </c>
      <c r="H386" s="182">
        <v>26354.179501259419</v>
      </c>
      <c r="I386" s="181">
        <v>6600</v>
      </c>
      <c r="J386" s="183">
        <v>33.681326698264556</v>
      </c>
      <c r="K386" s="181">
        <f t="shared" si="38"/>
        <v>5</v>
      </c>
      <c r="L386" s="181">
        <f t="shared" si="39"/>
        <v>1</v>
      </c>
      <c r="M386" s="181">
        <f t="shared" si="40"/>
        <v>1</v>
      </c>
      <c r="N386" s="182">
        <v>6693.961593319892</v>
      </c>
      <c r="O386" s="181">
        <v>2400</v>
      </c>
      <c r="P386" s="181">
        <v>26520.729683672878</v>
      </c>
      <c r="Q386">
        <v>414</v>
      </c>
      <c r="R386">
        <v>1105.3024868650327</v>
      </c>
      <c r="S386" s="88">
        <f t="shared" si="41"/>
        <v>10613.264080184925</v>
      </c>
    </row>
    <row r="387" spans="1:19" x14ac:dyDescent="0.25">
      <c r="A387" s="325">
        <v>3</v>
      </c>
      <c r="B387" s="325" t="s">
        <v>72</v>
      </c>
      <c r="C387" s="326">
        <v>70.501326896692476</v>
      </c>
      <c r="D387" s="181">
        <v>70.501326896692476</v>
      </c>
      <c r="E387" s="181">
        <f t="shared" si="35"/>
        <v>9</v>
      </c>
      <c r="F387" s="181">
        <f t="shared" si="36"/>
        <v>2</v>
      </c>
      <c r="G387" s="181">
        <f t="shared" si="37"/>
        <v>1</v>
      </c>
      <c r="H387" s="182">
        <v>14011.715712756251</v>
      </c>
      <c r="I387" s="181">
        <v>4800</v>
      </c>
      <c r="J387" s="183">
        <v>17.907337031759891</v>
      </c>
      <c r="K387" s="181">
        <f t="shared" si="38"/>
        <v>3</v>
      </c>
      <c r="L387" s="181">
        <f t="shared" si="39"/>
        <v>1</v>
      </c>
      <c r="M387" s="181">
        <f t="shared" si="40"/>
        <v>1</v>
      </c>
      <c r="N387" s="182">
        <v>3558.9757910400881</v>
      </c>
      <c r="O387" s="181">
        <v>2100</v>
      </c>
      <c r="P387" s="181">
        <v>14100.265379338494</v>
      </c>
      <c r="Q387">
        <v>414</v>
      </c>
      <c r="R387">
        <v>1105.3024868650327</v>
      </c>
      <c r="S387" s="88">
        <f t="shared" si="41"/>
        <v>7178.2782779051213</v>
      </c>
    </row>
    <row r="388" spans="1:19" x14ac:dyDescent="0.25">
      <c r="A388" s="325">
        <v>3</v>
      </c>
      <c r="B388" s="325" t="s">
        <v>73</v>
      </c>
      <c r="C388" s="326">
        <v>188.14484490952873</v>
      </c>
      <c r="D388" s="181">
        <v>188.14484490952873</v>
      </c>
      <c r="E388" s="181">
        <f t="shared" ref="E388:E451" si="42">ROUNDUP(D388/8,0)</f>
        <v>24</v>
      </c>
      <c r="F388" s="181">
        <f t="shared" ref="F388:F451" si="43">ROUNDUP(D388/40,0)</f>
        <v>5</v>
      </c>
      <c r="G388" s="181">
        <f t="shared" ref="G388:G451" si="44">ROUNDUP(D388/(40*4),0)</f>
        <v>2</v>
      </c>
      <c r="H388" s="182">
        <v>37392.659056699384</v>
      </c>
      <c r="I388" s="181">
        <v>13200</v>
      </c>
      <c r="J388" s="183">
        <v>47.788790607020296</v>
      </c>
      <c r="K388" s="181">
        <f t="shared" ref="K388:K451" si="45">ROUNDUP(J388/8,0)</f>
        <v>6</v>
      </c>
      <c r="L388" s="181">
        <f t="shared" ref="L388:L451" si="46">ROUNDUP(J388/40,0)</f>
        <v>2</v>
      </c>
      <c r="M388" s="181">
        <f t="shared" ref="M388:M451" si="47">ROUNDUP(J388/(40*4),0)</f>
        <v>1</v>
      </c>
      <c r="N388" s="182">
        <v>9497.7354004016433</v>
      </c>
      <c r="O388" s="181">
        <v>4800</v>
      </c>
      <c r="P388" s="181">
        <v>37628.968981905746</v>
      </c>
      <c r="Q388">
        <v>414</v>
      </c>
      <c r="R388">
        <v>1105.3024868650327</v>
      </c>
      <c r="S388" s="88">
        <f t="shared" ref="S388:S451" si="48">R388+Q388+N388+O388</f>
        <v>15817.037887266677</v>
      </c>
    </row>
    <row r="389" spans="1:19" x14ac:dyDescent="0.25">
      <c r="A389" s="325">
        <v>3</v>
      </c>
      <c r="B389" s="325" t="s">
        <v>74</v>
      </c>
      <c r="C389" s="326">
        <v>395.284923772441</v>
      </c>
      <c r="D389" s="181">
        <v>395.284923772441</v>
      </c>
      <c r="E389" s="181">
        <f t="shared" si="42"/>
        <v>50</v>
      </c>
      <c r="F389" s="181">
        <f t="shared" si="43"/>
        <v>10</v>
      </c>
      <c r="G389" s="181">
        <f t="shared" si="44"/>
        <v>3</v>
      </c>
      <c r="H389" s="182">
        <v>78560.506890230026</v>
      </c>
      <c r="I389" s="181">
        <v>19800</v>
      </c>
      <c r="J389" s="183">
        <v>100.40237063820001</v>
      </c>
      <c r="K389" s="181">
        <f t="shared" si="45"/>
        <v>13</v>
      </c>
      <c r="L389" s="181">
        <f t="shared" si="46"/>
        <v>3</v>
      </c>
      <c r="M389" s="181">
        <f t="shared" si="47"/>
        <v>1</v>
      </c>
      <c r="N389" s="182">
        <v>19954.368750118425</v>
      </c>
      <c r="O389" s="181">
        <v>6600</v>
      </c>
      <c r="P389" s="181">
        <v>79056.984754488207</v>
      </c>
      <c r="Q389">
        <v>414</v>
      </c>
      <c r="R389">
        <v>1105.3024868650327</v>
      </c>
      <c r="S389" s="88">
        <f t="shared" si="48"/>
        <v>28073.671236983457</v>
      </c>
    </row>
    <row r="390" spans="1:19" x14ac:dyDescent="0.25">
      <c r="A390" s="325">
        <v>3</v>
      </c>
      <c r="B390" s="325" t="s">
        <v>75</v>
      </c>
      <c r="C390" s="326">
        <v>73.012608560000004</v>
      </c>
      <c r="D390" s="181">
        <v>73.012608560000004</v>
      </c>
      <c r="E390" s="181">
        <f t="shared" si="42"/>
        <v>10</v>
      </c>
      <c r="F390" s="181">
        <f t="shared" si="43"/>
        <v>2</v>
      </c>
      <c r="G390" s="181">
        <f t="shared" si="44"/>
        <v>1</v>
      </c>
      <c r="H390" s="182">
        <v>14510.817875648643</v>
      </c>
      <c r="I390" s="181">
        <v>4800</v>
      </c>
      <c r="J390" s="183">
        <v>18.545202574240001</v>
      </c>
      <c r="K390" s="181">
        <f t="shared" si="45"/>
        <v>3</v>
      </c>
      <c r="L390" s="181">
        <f t="shared" si="46"/>
        <v>1</v>
      </c>
      <c r="M390" s="181">
        <f t="shared" si="47"/>
        <v>1</v>
      </c>
      <c r="N390" s="182">
        <v>3685.7477404147553</v>
      </c>
      <c r="O390" s="181">
        <v>2100</v>
      </c>
      <c r="P390" s="181">
        <v>14602.521712000002</v>
      </c>
      <c r="Q390">
        <v>414</v>
      </c>
      <c r="R390">
        <v>1105.3024868650327</v>
      </c>
      <c r="S390" s="88">
        <f t="shared" si="48"/>
        <v>7305.0502272797876</v>
      </c>
    </row>
    <row r="391" spans="1:19" x14ac:dyDescent="0.25">
      <c r="A391" s="325">
        <v>3</v>
      </c>
      <c r="B391" s="325" t="s">
        <v>76</v>
      </c>
      <c r="C391" s="326">
        <v>80.804051682594817</v>
      </c>
      <c r="D391" s="181">
        <v>80.804051682594817</v>
      </c>
      <c r="E391" s="181">
        <f t="shared" si="42"/>
        <v>11</v>
      </c>
      <c r="F391" s="181">
        <f t="shared" si="43"/>
        <v>3</v>
      </c>
      <c r="G391" s="181">
        <f t="shared" si="44"/>
        <v>1</v>
      </c>
      <c r="H391" s="182">
        <v>16059.320447605627</v>
      </c>
      <c r="I391" s="181">
        <v>6600</v>
      </c>
      <c r="J391" s="183">
        <v>20.524229127379083</v>
      </c>
      <c r="K391" s="181">
        <f t="shared" si="45"/>
        <v>3</v>
      </c>
      <c r="L391" s="181">
        <f t="shared" si="46"/>
        <v>1</v>
      </c>
      <c r="M391" s="181">
        <f t="shared" si="47"/>
        <v>1</v>
      </c>
      <c r="N391" s="182">
        <v>4079.0673936918292</v>
      </c>
      <c r="O391" s="181">
        <v>2100</v>
      </c>
      <c r="P391" s="181">
        <v>16160.810336518964</v>
      </c>
      <c r="Q391">
        <v>414</v>
      </c>
      <c r="R391">
        <v>1105.3024868650327</v>
      </c>
      <c r="S391" s="88">
        <f t="shared" si="48"/>
        <v>7698.369880556862</v>
      </c>
    </row>
    <row r="392" spans="1:19" x14ac:dyDescent="0.25">
      <c r="A392" s="325">
        <v>3</v>
      </c>
      <c r="B392" s="325" t="s">
        <v>77</v>
      </c>
      <c r="C392" s="326">
        <v>120.98206863118006</v>
      </c>
      <c r="D392" s="181">
        <v>120.98206863118006</v>
      </c>
      <c r="E392" s="181">
        <f t="shared" si="42"/>
        <v>16</v>
      </c>
      <c r="F392" s="181">
        <f t="shared" si="43"/>
        <v>4</v>
      </c>
      <c r="G392" s="181">
        <f t="shared" si="44"/>
        <v>1</v>
      </c>
      <c r="H392" s="182">
        <v>24044.460248035251</v>
      </c>
      <c r="I392" s="181">
        <v>6600</v>
      </c>
      <c r="J392" s="183">
        <v>30.729445432319736</v>
      </c>
      <c r="K392" s="181">
        <f t="shared" si="45"/>
        <v>4</v>
      </c>
      <c r="L392" s="181">
        <f t="shared" si="46"/>
        <v>1</v>
      </c>
      <c r="M392" s="181">
        <f t="shared" si="47"/>
        <v>1</v>
      </c>
      <c r="N392" s="182">
        <v>6107.2929030009545</v>
      </c>
      <c r="O392" s="181">
        <v>2400</v>
      </c>
      <c r="P392" s="181">
        <v>24196.413726236013</v>
      </c>
      <c r="Q392">
        <v>414</v>
      </c>
      <c r="R392">
        <v>1105.3024868650327</v>
      </c>
      <c r="S392" s="88">
        <f t="shared" si="48"/>
        <v>10026.595389865986</v>
      </c>
    </row>
    <row r="393" spans="1:19" x14ac:dyDescent="0.25">
      <c r="A393" s="325">
        <v>3</v>
      </c>
      <c r="B393" s="325" t="s">
        <v>78</v>
      </c>
      <c r="C393" s="326">
        <v>195.50083327170233</v>
      </c>
      <c r="D393" s="181">
        <v>195.50083327170233</v>
      </c>
      <c r="E393" s="181">
        <f t="shared" si="42"/>
        <v>25</v>
      </c>
      <c r="F393" s="181">
        <f t="shared" si="43"/>
        <v>5</v>
      </c>
      <c r="G393" s="181">
        <f t="shared" si="44"/>
        <v>2</v>
      </c>
      <c r="H393" s="182">
        <v>38854.617607751214</v>
      </c>
      <c r="I393" s="181">
        <v>13200</v>
      </c>
      <c r="J393" s="183">
        <v>49.657211651012396</v>
      </c>
      <c r="K393" s="181">
        <f t="shared" si="45"/>
        <v>7</v>
      </c>
      <c r="L393" s="181">
        <f t="shared" si="46"/>
        <v>2</v>
      </c>
      <c r="M393" s="181">
        <f t="shared" si="47"/>
        <v>1</v>
      </c>
      <c r="N393" s="182">
        <v>9869.0728723688098</v>
      </c>
      <c r="O393" s="181">
        <v>4800</v>
      </c>
      <c r="P393" s="181">
        <v>39100.166654340464</v>
      </c>
      <c r="Q393">
        <v>414</v>
      </c>
      <c r="R393">
        <v>1105.3024868650327</v>
      </c>
      <c r="S393" s="88">
        <f t="shared" si="48"/>
        <v>16188.375359233843</v>
      </c>
    </row>
    <row r="394" spans="1:19" x14ac:dyDescent="0.25">
      <c r="A394" s="325">
        <v>3</v>
      </c>
      <c r="B394" s="325" t="s">
        <v>79</v>
      </c>
      <c r="C394" s="326">
        <v>207.401898335</v>
      </c>
      <c r="D394" s="181">
        <v>207.401898335</v>
      </c>
      <c r="E394" s="181">
        <f t="shared" si="42"/>
        <v>26</v>
      </c>
      <c r="F394" s="181">
        <f t="shared" si="43"/>
        <v>6</v>
      </c>
      <c r="G394" s="181">
        <f t="shared" si="44"/>
        <v>2</v>
      </c>
      <c r="H394" s="182">
        <v>41219.882882691243</v>
      </c>
      <c r="I394" s="181">
        <v>13200</v>
      </c>
      <c r="J394" s="183">
        <v>52.68008217709</v>
      </c>
      <c r="K394" s="181">
        <f t="shared" si="45"/>
        <v>7</v>
      </c>
      <c r="L394" s="181">
        <f t="shared" si="46"/>
        <v>2</v>
      </c>
      <c r="M394" s="181">
        <f t="shared" si="47"/>
        <v>1</v>
      </c>
      <c r="N394" s="182">
        <v>10469.850252203576</v>
      </c>
      <c r="O394" s="181">
        <v>4800</v>
      </c>
      <c r="P394" s="181">
        <v>41480.379667000001</v>
      </c>
      <c r="Q394">
        <v>414</v>
      </c>
      <c r="R394">
        <v>1105.3024868650327</v>
      </c>
      <c r="S394" s="88">
        <f t="shared" si="48"/>
        <v>16789.15273906861</v>
      </c>
    </row>
    <row r="395" spans="1:19" x14ac:dyDescent="0.25">
      <c r="A395" s="325">
        <v>3</v>
      </c>
      <c r="B395" s="325" t="s">
        <v>80</v>
      </c>
      <c r="C395" s="326">
        <v>92.239645092095401</v>
      </c>
      <c r="D395" s="181">
        <v>92.239645092095401</v>
      </c>
      <c r="E395" s="181">
        <f t="shared" si="42"/>
        <v>12</v>
      </c>
      <c r="F395" s="181">
        <f t="shared" si="43"/>
        <v>3</v>
      </c>
      <c r="G395" s="181">
        <f t="shared" si="44"/>
        <v>1</v>
      </c>
      <c r="H395" s="182">
        <v>18332.07602418341</v>
      </c>
      <c r="I395" s="181">
        <v>6600</v>
      </c>
      <c r="J395" s="183">
        <v>23.428869853392232</v>
      </c>
      <c r="K395" s="181">
        <f t="shared" si="45"/>
        <v>3</v>
      </c>
      <c r="L395" s="181">
        <f t="shared" si="46"/>
        <v>1</v>
      </c>
      <c r="M395" s="181">
        <f t="shared" si="47"/>
        <v>1</v>
      </c>
      <c r="N395" s="182">
        <v>4656.3473101425861</v>
      </c>
      <c r="O395" s="181">
        <v>2100</v>
      </c>
      <c r="P395" s="181">
        <v>18447.92901841908</v>
      </c>
      <c r="Q395">
        <v>414</v>
      </c>
      <c r="R395">
        <v>1105.3024868650327</v>
      </c>
      <c r="S395" s="88">
        <f t="shared" si="48"/>
        <v>8275.6497970076198</v>
      </c>
    </row>
    <row r="396" spans="1:19" x14ac:dyDescent="0.25">
      <c r="A396" s="325">
        <v>3</v>
      </c>
      <c r="B396" s="325" t="s">
        <v>134</v>
      </c>
      <c r="C396" s="326">
        <v>108.99399970712277</v>
      </c>
      <c r="D396" s="181">
        <v>108.99399970712277</v>
      </c>
      <c r="E396" s="181">
        <f t="shared" si="42"/>
        <v>14</v>
      </c>
      <c r="F396" s="181">
        <f t="shared" si="43"/>
        <v>3</v>
      </c>
      <c r="G396" s="181">
        <f t="shared" si="44"/>
        <v>1</v>
      </c>
      <c r="H396" s="182">
        <v>21661.90347779241</v>
      </c>
      <c r="I396" s="181">
        <v>6600</v>
      </c>
      <c r="J396" s="183">
        <v>27.684475925609185</v>
      </c>
      <c r="K396" s="181">
        <f t="shared" si="45"/>
        <v>4</v>
      </c>
      <c r="L396" s="181">
        <f t="shared" si="46"/>
        <v>1</v>
      </c>
      <c r="M396" s="181">
        <f t="shared" si="47"/>
        <v>1</v>
      </c>
      <c r="N396" s="182">
        <v>5502.1234833592725</v>
      </c>
      <c r="O396" s="181">
        <v>2400</v>
      </c>
      <c r="P396" s="181">
        <v>21798.799941424553</v>
      </c>
      <c r="Q396">
        <v>414</v>
      </c>
      <c r="R396">
        <v>1105.3024868650327</v>
      </c>
      <c r="S396" s="88">
        <f t="shared" si="48"/>
        <v>9421.4259702243053</v>
      </c>
    </row>
    <row r="397" spans="1:19" x14ac:dyDescent="0.25">
      <c r="A397" s="325">
        <v>3</v>
      </c>
      <c r="B397" s="325" t="s">
        <v>81</v>
      </c>
      <c r="C397" s="326">
        <v>191.35481541309937</v>
      </c>
      <c r="D397" s="181">
        <v>191.35481541309937</v>
      </c>
      <c r="E397" s="181">
        <f t="shared" si="42"/>
        <v>24</v>
      </c>
      <c r="F397" s="181">
        <f t="shared" si="43"/>
        <v>5</v>
      </c>
      <c r="G397" s="181">
        <f t="shared" si="44"/>
        <v>2</v>
      </c>
      <c r="H397" s="182">
        <v>38030.621434461027</v>
      </c>
      <c r="I397" s="181">
        <v>13200</v>
      </c>
      <c r="J397" s="183">
        <v>48.604123114927241</v>
      </c>
      <c r="K397" s="181">
        <f t="shared" si="45"/>
        <v>7</v>
      </c>
      <c r="L397" s="181">
        <f t="shared" si="46"/>
        <v>2</v>
      </c>
      <c r="M397" s="181">
        <f t="shared" si="47"/>
        <v>1</v>
      </c>
      <c r="N397" s="182">
        <v>9659.7778443531006</v>
      </c>
      <c r="O397" s="181">
        <v>4800</v>
      </c>
      <c r="P397" s="181">
        <v>38270.963082619877</v>
      </c>
      <c r="Q397">
        <v>414</v>
      </c>
      <c r="R397">
        <v>1105.3024868650327</v>
      </c>
      <c r="S397" s="88">
        <f t="shared" si="48"/>
        <v>15979.080331218134</v>
      </c>
    </row>
    <row r="398" spans="1:19" x14ac:dyDescent="0.25">
      <c r="A398" s="325">
        <v>3</v>
      </c>
      <c r="B398" s="325" t="s">
        <v>82</v>
      </c>
      <c r="C398" s="326">
        <v>40.5625</v>
      </c>
      <c r="D398" s="181">
        <v>40.5625</v>
      </c>
      <c r="E398" s="181">
        <f t="shared" si="42"/>
        <v>6</v>
      </c>
      <c r="F398" s="181">
        <f t="shared" si="43"/>
        <v>2</v>
      </c>
      <c r="G398" s="181">
        <f t="shared" si="44"/>
        <v>1</v>
      </c>
      <c r="H398" s="182">
        <v>8061.5535000000009</v>
      </c>
      <c r="I398" s="181">
        <v>4800</v>
      </c>
      <c r="J398" s="183">
        <v>10.302875</v>
      </c>
      <c r="K398" s="181">
        <f t="shared" si="45"/>
        <v>2</v>
      </c>
      <c r="L398" s="181">
        <f t="shared" si="46"/>
        <v>1</v>
      </c>
      <c r="M398" s="181">
        <f t="shared" si="47"/>
        <v>1</v>
      </c>
      <c r="N398" s="182">
        <v>2047.6345890000002</v>
      </c>
      <c r="O398" s="181">
        <v>1400</v>
      </c>
      <c r="P398" s="181">
        <v>8112.5</v>
      </c>
      <c r="Q398">
        <v>414</v>
      </c>
      <c r="R398">
        <v>1105.3024868650327</v>
      </c>
      <c r="S398" s="88">
        <f t="shared" si="48"/>
        <v>4966.937075865033</v>
      </c>
    </row>
    <row r="399" spans="1:19" x14ac:dyDescent="0.25">
      <c r="A399" s="325">
        <v>3</v>
      </c>
      <c r="B399" s="325" t="s">
        <v>83</v>
      </c>
      <c r="C399" s="326">
        <v>97.777666124650651</v>
      </c>
      <c r="D399" s="181">
        <v>97.777666124650651</v>
      </c>
      <c r="E399" s="181">
        <f t="shared" si="42"/>
        <v>13</v>
      </c>
      <c r="F399" s="181">
        <f t="shared" si="43"/>
        <v>3</v>
      </c>
      <c r="G399" s="181">
        <f t="shared" si="44"/>
        <v>1</v>
      </c>
      <c r="H399" s="182">
        <v>19432.72447627757</v>
      </c>
      <c r="I399" s="181">
        <v>6600</v>
      </c>
      <c r="J399" s="183">
        <v>24.835527195661264</v>
      </c>
      <c r="K399" s="181">
        <f t="shared" si="45"/>
        <v>4</v>
      </c>
      <c r="L399" s="181">
        <f t="shared" si="46"/>
        <v>1</v>
      </c>
      <c r="M399" s="181">
        <f t="shared" si="47"/>
        <v>1</v>
      </c>
      <c r="N399" s="182">
        <v>4935.9120169745029</v>
      </c>
      <c r="O399" s="181">
        <v>2400</v>
      </c>
      <c r="P399" s="181">
        <v>19555.533224930132</v>
      </c>
      <c r="Q399">
        <v>414</v>
      </c>
      <c r="R399">
        <v>1105.3024868650327</v>
      </c>
      <c r="S399" s="88">
        <f t="shared" si="48"/>
        <v>8855.2145038395356</v>
      </c>
    </row>
    <row r="400" spans="1:19" x14ac:dyDescent="0.25">
      <c r="A400" s="325">
        <v>3</v>
      </c>
      <c r="B400" s="325" t="s">
        <v>84</v>
      </c>
      <c r="C400" s="326">
        <v>211.59536098710157</v>
      </c>
      <c r="D400" s="181">
        <v>211.59536098710157</v>
      </c>
      <c r="E400" s="181">
        <f t="shared" si="42"/>
        <v>27</v>
      </c>
      <c r="F400" s="181">
        <f t="shared" si="43"/>
        <v>6</v>
      </c>
      <c r="G400" s="181">
        <f t="shared" si="44"/>
        <v>2</v>
      </c>
      <c r="H400" s="182">
        <v>42053.308424020521</v>
      </c>
      <c r="I400" s="181">
        <v>13200</v>
      </c>
      <c r="J400" s="183">
        <v>53.745221690723803</v>
      </c>
      <c r="K400" s="181">
        <f t="shared" si="45"/>
        <v>7</v>
      </c>
      <c r="L400" s="181">
        <f t="shared" si="46"/>
        <v>2</v>
      </c>
      <c r="M400" s="181">
        <f t="shared" si="47"/>
        <v>1</v>
      </c>
      <c r="N400" s="182">
        <v>10681.540339701212</v>
      </c>
      <c r="O400" s="181">
        <v>4800</v>
      </c>
      <c r="P400" s="181">
        <v>42319.072197420312</v>
      </c>
      <c r="Q400">
        <v>414</v>
      </c>
      <c r="R400">
        <v>1105.3024868650327</v>
      </c>
      <c r="S400" s="88">
        <f t="shared" si="48"/>
        <v>17000.842826566244</v>
      </c>
    </row>
    <row r="401" spans="1:19" x14ac:dyDescent="0.25">
      <c r="A401" s="325">
        <v>3</v>
      </c>
      <c r="B401" s="325" t="s">
        <v>85</v>
      </c>
      <c r="C401" s="326">
        <v>50.19945169905489</v>
      </c>
      <c r="D401" s="181">
        <v>50.19945169905489</v>
      </c>
      <c r="E401" s="181">
        <f t="shared" si="42"/>
        <v>7</v>
      </c>
      <c r="F401" s="181">
        <f t="shared" si="43"/>
        <v>2</v>
      </c>
      <c r="G401" s="181">
        <f t="shared" si="44"/>
        <v>1</v>
      </c>
      <c r="H401" s="182">
        <v>9976.8398284769664</v>
      </c>
      <c r="I401" s="181">
        <v>4800</v>
      </c>
      <c r="J401" s="183">
        <v>12.750660731559943</v>
      </c>
      <c r="K401" s="181">
        <f t="shared" si="45"/>
        <v>2</v>
      </c>
      <c r="L401" s="181">
        <f t="shared" si="46"/>
        <v>1</v>
      </c>
      <c r="M401" s="181">
        <f t="shared" si="47"/>
        <v>1</v>
      </c>
      <c r="N401" s="182">
        <v>2534.1173164331499</v>
      </c>
      <c r="O401" s="181">
        <v>1400</v>
      </c>
      <c r="P401" s="181">
        <v>10039.890339810978</v>
      </c>
      <c r="Q401">
        <v>414</v>
      </c>
      <c r="R401">
        <v>1105.3024868650327</v>
      </c>
      <c r="S401" s="88">
        <f t="shared" si="48"/>
        <v>5453.4198032981822</v>
      </c>
    </row>
    <row r="402" spans="1:19" x14ac:dyDescent="0.25">
      <c r="A402" s="325">
        <v>3</v>
      </c>
      <c r="B402" s="325" t="s">
        <v>86</v>
      </c>
      <c r="C402" s="326">
        <v>137.07950890885374</v>
      </c>
      <c r="D402" s="181">
        <v>137.07950890885374</v>
      </c>
      <c r="E402" s="181">
        <f t="shared" si="42"/>
        <v>18</v>
      </c>
      <c r="F402" s="181">
        <f t="shared" si="43"/>
        <v>4</v>
      </c>
      <c r="G402" s="181">
        <f t="shared" si="44"/>
        <v>1</v>
      </c>
      <c r="H402" s="182">
        <v>27243.72991858123</v>
      </c>
      <c r="I402" s="181">
        <v>6600</v>
      </c>
      <c r="J402" s="183">
        <v>34.818195262848853</v>
      </c>
      <c r="K402" s="181">
        <f t="shared" si="45"/>
        <v>5</v>
      </c>
      <c r="L402" s="181">
        <f t="shared" si="46"/>
        <v>1</v>
      </c>
      <c r="M402" s="181">
        <f t="shared" si="47"/>
        <v>1</v>
      </c>
      <c r="N402" s="182">
        <v>6919.9073993196334</v>
      </c>
      <c r="O402" s="181">
        <v>2400</v>
      </c>
      <c r="P402" s="181">
        <v>27415.901781770746</v>
      </c>
      <c r="Q402">
        <v>414</v>
      </c>
      <c r="R402">
        <v>1105.3024868650327</v>
      </c>
      <c r="S402" s="88">
        <f t="shared" si="48"/>
        <v>10839.209886184666</v>
      </c>
    </row>
    <row r="403" spans="1:19" x14ac:dyDescent="0.25">
      <c r="A403" s="325">
        <v>3</v>
      </c>
      <c r="B403" s="325" t="s">
        <v>87</v>
      </c>
      <c r="C403" s="326">
        <v>133.41053273231989</v>
      </c>
      <c r="D403" s="181">
        <v>133.41053273231989</v>
      </c>
      <c r="E403" s="181">
        <f t="shared" si="42"/>
        <v>17</v>
      </c>
      <c r="F403" s="181">
        <f t="shared" si="43"/>
        <v>4</v>
      </c>
      <c r="G403" s="181">
        <f t="shared" si="44"/>
        <v>1</v>
      </c>
      <c r="H403" s="182">
        <v>26514.542917352188</v>
      </c>
      <c r="I403" s="181">
        <v>6600</v>
      </c>
      <c r="J403" s="183">
        <v>33.886275314009254</v>
      </c>
      <c r="K403" s="181">
        <f t="shared" si="45"/>
        <v>5</v>
      </c>
      <c r="L403" s="181">
        <f t="shared" si="46"/>
        <v>1</v>
      </c>
      <c r="M403" s="181">
        <f t="shared" si="47"/>
        <v>1</v>
      </c>
      <c r="N403" s="182">
        <v>6734.6939010074557</v>
      </c>
      <c r="O403" s="181">
        <v>2400</v>
      </c>
      <c r="P403" s="181">
        <v>26682.10654646398</v>
      </c>
      <c r="Q403">
        <v>414</v>
      </c>
      <c r="R403">
        <v>1105.3024868650327</v>
      </c>
      <c r="S403" s="88">
        <f t="shared" si="48"/>
        <v>10653.996387872488</v>
      </c>
    </row>
    <row r="404" spans="1:19" x14ac:dyDescent="0.25">
      <c r="A404" s="325">
        <v>3</v>
      </c>
      <c r="B404" s="325" t="s">
        <v>88</v>
      </c>
      <c r="C404" s="326">
        <v>224.38300167600153</v>
      </c>
      <c r="D404" s="181">
        <v>224.38300167600153</v>
      </c>
      <c r="E404" s="181">
        <f t="shared" si="42"/>
        <v>29</v>
      </c>
      <c r="F404" s="181">
        <f t="shared" si="43"/>
        <v>6</v>
      </c>
      <c r="G404" s="181">
        <f t="shared" si="44"/>
        <v>2</v>
      </c>
      <c r="H404" s="182">
        <v>44594.775285095253</v>
      </c>
      <c r="I404" s="181">
        <v>13200</v>
      </c>
      <c r="J404" s="183">
        <v>56.993282425704386</v>
      </c>
      <c r="K404" s="181">
        <f t="shared" si="45"/>
        <v>8</v>
      </c>
      <c r="L404" s="181">
        <f t="shared" si="46"/>
        <v>2</v>
      </c>
      <c r="M404" s="181">
        <f t="shared" si="47"/>
        <v>1</v>
      </c>
      <c r="N404" s="182">
        <v>11327.072922414194</v>
      </c>
      <c r="O404" s="181">
        <v>4800</v>
      </c>
      <c r="P404" s="181">
        <v>44876.600335200303</v>
      </c>
      <c r="Q404">
        <v>414</v>
      </c>
      <c r="R404">
        <v>1105.3024868650327</v>
      </c>
      <c r="S404" s="88">
        <f t="shared" si="48"/>
        <v>17646.375409279226</v>
      </c>
    </row>
    <row r="405" spans="1:19" x14ac:dyDescent="0.25">
      <c r="A405" s="325">
        <v>3</v>
      </c>
      <c r="B405" s="325" t="s">
        <v>89</v>
      </c>
      <c r="C405" s="326">
        <v>138.43686825068926</v>
      </c>
      <c r="D405" s="181">
        <v>138.43686825068926</v>
      </c>
      <c r="E405" s="181">
        <f t="shared" si="42"/>
        <v>18</v>
      </c>
      <c r="F405" s="181">
        <f t="shared" si="43"/>
        <v>4</v>
      </c>
      <c r="G405" s="181">
        <f t="shared" si="44"/>
        <v>1</v>
      </c>
      <c r="H405" s="182">
        <v>27513.496943614991</v>
      </c>
      <c r="I405" s="181">
        <v>6600</v>
      </c>
      <c r="J405" s="183">
        <v>35.162964535675073</v>
      </c>
      <c r="K405" s="181">
        <f t="shared" si="45"/>
        <v>5</v>
      </c>
      <c r="L405" s="181">
        <f t="shared" si="46"/>
        <v>1</v>
      </c>
      <c r="M405" s="181">
        <f t="shared" si="47"/>
        <v>1</v>
      </c>
      <c r="N405" s="182">
        <v>6988.4282236782074</v>
      </c>
      <c r="O405" s="181">
        <v>2400</v>
      </c>
      <c r="P405" s="181">
        <v>27687.373650137852</v>
      </c>
      <c r="Q405">
        <v>414</v>
      </c>
      <c r="R405">
        <v>1105.3024868650327</v>
      </c>
      <c r="S405" s="88">
        <f t="shared" si="48"/>
        <v>10907.730710543241</v>
      </c>
    </row>
    <row r="406" spans="1:19" x14ac:dyDescent="0.25">
      <c r="A406" s="325">
        <v>3</v>
      </c>
      <c r="B406" s="325" t="s">
        <v>90</v>
      </c>
      <c r="C406" s="326">
        <v>135.49101592078932</v>
      </c>
      <c r="D406" s="181">
        <v>135.49101592078932</v>
      </c>
      <c r="E406" s="181">
        <f t="shared" si="42"/>
        <v>17</v>
      </c>
      <c r="F406" s="181">
        <f t="shared" si="43"/>
        <v>4</v>
      </c>
      <c r="G406" s="181">
        <f t="shared" si="44"/>
        <v>1</v>
      </c>
      <c r="H406" s="182">
        <v>26928.026468161355</v>
      </c>
      <c r="I406" s="181">
        <v>6600</v>
      </c>
      <c r="J406" s="183">
        <v>34.414718043880491</v>
      </c>
      <c r="K406" s="181">
        <f t="shared" si="45"/>
        <v>5</v>
      </c>
      <c r="L406" s="181">
        <f t="shared" si="46"/>
        <v>1</v>
      </c>
      <c r="M406" s="181">
        <f t="shared" si="47"/>
        <v>1</v>
      </c>
      <c r="N406" s="182">
        <v>6839.718722912985</v>
      </c>
      <c r="O406" s="181">
        <v>2400</v>
      </c>
      <c r="P406" s="181">
        <v>27098.203184157865</v>
      </c>
      <c r="Q406">
        <v>414</v>
      </c>
      <c r="R406">
        <v>1105.3024868650327</v>
      </c>
      <c r="S406" s="88">
        <f t="shared" si="48"/>
        <v>10759.021209778017</v>
      </c>
    </row>
    <row r="407" spans="1:19" x14ac:dyDescent="0.25">
      <c r="A407" s="325">
        <v>3</v>
      </c>
      <c r="B407" s="325" t="s">
        <v>91</v>
      </c>
      <c r="C407" s="326">
        <v>236.82670868654023</v>
      </c>
      <c r="D407" s="181">
        <v>236.82670868654023</v>
      </c>
      <c r="E407" s="181">
        <f t="shared" si="42"/>
        <v>30</v>
      </c>
      <c r="F407" s="181">
        <f t="shared" si="43"/>
        <v>6</v>
      </c>
      <c r="G407" s="181">
        <f t="shared" si="44"/>
        <v>2</v>
      </c>
      <c r="H407" s="182">
        <v>47067.887391197757</v>
      </c>
      <c r="I407" s="181">
        <v>13200</v>
      </c>
      <c r="J407" s="183">
        <v>60.153984006381222</v>
      </c>
      <c r="K407" s="181">
        <f t="shared" si="45"/>
        <v>8</v>
      </c>
      <c r="L407" s="181">
        <f t="shared" si="46"/>
        <v>2</v>
      </c>
      <c r="M407" s="181">
        <f t="shared" si="47"/>
        <v>1</v>
      </c>
      <c r="N407" s="182">
        <v>11955.243397364231</v>
      </c>
      <c r="O407" s="181">
        <v>4800</v>
      </c>
      <c r="P407" s="181">
        <v>47365.341737308045</v>
      </c>
      <c r="Q407">
        <v>414</v>
      </c>
      <c r="R407">
        <v>1105.3024868650327</v>
      </c>
      <c r="S407" s="88">
        <f t="shared" si="48"/>
        <v>18274.545884229265</v>
      </c>
    </row>
    <row r="408" spans="1:19" x14ac:dyDescent="0.25">
      <c r="A408" s="325">
        <v>3</v>
      </c>
      <c r="B408" s="325" t="s">
        <v>92</v>
      </c>
      <c r="C408" s="326">
        <v>89.021347704607791</v>
      </c>
      <c r="D408" s="181">
        <v>89.021347704607791</v>
      </c>
      <c r="E408" s="181">
        <f t="shared" si="42"/>
        <v>12</v>
      </c>
      <c r="F408" s="181">
        <f t="shared" si="43"/>
        <v>3</v>
      </c>
      <c r="G408" s="181">
        <f t="shared" si="44"/>
        <v>1</v>
      </c>
      <c r="H408" s="182">
        <v>17692.458728204572</v>
      </c>
      <c r="I408" s="181">
        <v>6600</v>
      </c>
      <c r="J408" s="183">
        <v>22.61142231697038</v>
      </c>
      <c r="K408" s="181">
        <f t="shared" si="45"/>
        <v>3</v>
      </c>
      <c r="L408" s="181">
        <f t="shared" si="46"/>
        <v>1</v>
      </c>
      <c r="M408" s="181">
        <f t="shared" si="47"/>
        <v>1</v>
      </c>
      <c r="N408" s="182">
        <v>4493.8845169639617</v>
      </c>
      <c r="O408" s="181">
        <v>2100</v>
      </c>
      <c r="P408" s="181">
        <v>17804.269540921559</v>
      </c>
      <c r="Q408">
        <v>414</v>
      </c>
      <c r="R408">
        <v>1105.3024868650327</v>
      </c>
      <c r="S408" s="88">
        <f t="shared" si="48"/>
        <v>8113.1870038289944</v>
      </c>
    </row>
    <row r="409" spans="1:19" x14ac:dyDescent="0.25">
      <c r="A409" s="325">
        <v>3</v>
      </c>
      <c r="B409" s="325" t="s">
        <v>93</v>
      </c>
      <c r="C409" s="326">
        <v>134.73703209853639</v>
      </c>
      <c r="D409" s="181">
        <v>134.73703209853639</v>
      </c>
      <c r="E409" s="181">
        <f t="shared" si="42"/>
        <v>17</v>
      </c>
      <c r="F409" s="181">
        <f t="shared" si="43"/>
        <v>4</v>
      </c>
      <c r="G409" s="181">
        <f t="shared" si="44"/>
        <v>1</v>
      </c>
      <c r="H409" s="182">
        <v>26778.176707391522</v>
      </c>
      <c r="I409" s="181">
        <v>6600</v>
      </c>
      <c r="J409" s="183">
        <v>34.223206153028244</v>
      </c>
      <c r="K409" s="181">
        <f t="shared" si="45"/>
        <v>5</v>
      </c>
      <c r="L409" s="181">
        <f t="shared" si="46"/>
        <v>1</v>
      </c>
      <c r="M409" s="181">
        <f t="shared" si="47"/>
        <v>1</v>
      </c>
      <c r="N409" s="182">
        <v>6801.6568836774459</v>
      </c>
      <c r="O409" s="181">
        <v>2400</v>
      </c>
      <c r="P409" s="181">
        <v>26947.406419707277</v>
      </c>
      <c r="Q409">
        <v>414</v>
      </c>
      <c r="R409">
        <v>1105.3024868650327</v>
      </c>
      <c r="S409" s="88">
        <f t="shared" si="48"/>
        <v>10720.959370542478</v>
      </c>
    </row>
    <row r="410" spans="1:19" x14ac:dyDescent="0.25">
      <c r="A410" s="325">
        <v>3</v>
      </c>
      <c r="B410" s="325" t="s">
        <v>94</v>
      </c>
      <c r="C410" s="326">
        <v>111.622621215885</v>
      </c>
      <c r="D410" s="181">
        <v>111.622621215885</v>
      </c>
      <c r="E410" s="181">
        <f t="shared" si="42"/>
        <v>14</v>
      </c>
      <c r="F410" s="181">
        <f t="shared" si="43"/>
        <v>3</v>
      </c>
      <c r="G410" s="181">
        <f t="shared" si="44"/>
        <v>1</v>
      </c>
      <c r="H410" s="182">
        <v>22184.326230929852</v>
      </c>
      <c r="I410" s="181">
        <v>6600</v>
      </c>
      <c r="J410" s="183">
        <v>28.352145788834793</v>
      </c>
      <c r="K410" s="181">
        <f t="shared" si="45"/>
        <v>4</v>
      </c>
      <c r="L410" s="181">
        <f t="shared" si="46"/>
        <v>1</v>
      </c>
      <c r="M410" s="181">
        <f t="shared" si="47"/>
        <v>1</v>
      </c>
      <c r="N410" s="182">
        <v>5634.8188626561832</v>
      </c>
      <c r="O410" s="181">
        <v>2400</v>
      </c>
      <c r="P410" s="181">
        <v>22324.524243177002</v>
      </c>
      <c r="Q410">
        <v>414</v>
      </c>
      <c r="R410">
        <v>1105.3024868650327</v>
      </c>
      <c r="S410" s="88">
        <f t="shared" si="48"/>
        <v>9554.121349521216</v>
      </c>
    </row>
    <row r="411" spans="1:19" x14ac:dyDescent="0.25">
      <c r="A411" s="325">
        <v>3</v>
      </c>
      <c r="B411" s="325" t="s">
        <v>95</v>
      </c>
      <c r="C411" s="326">
        <v>236.67429152665395</v>
      </c>
      <c r="D411" s="181">
        <v>236.67429152665395</v>
      </c>
      <c r="E411" s="181">
        <f t="shared" si="42"/>
        <v>30</v>
      </c>
      <c r="F411" s="181">
        <f t="shared" si="43"/>
        <v>6</v>
      </c>
      <c r="G411" s="181">
        <f t="shared" si="44"/>
        <v>2</v>
      </c>
      <c r="H411" s="182">
        <v>47037.595395173317</v>
      </c>
      <c r="I411" s="181">
        <v>13200</v>
      </c>
      <c r="J411" s="183">
        <v>60.115270047770103</v>
      </c>
      <c r="K411" s="181">
        <f t="shared" si="45"/>
        <v>8</v>
      </c>
      <c r="L411" s="181">
        <f t="shared" si="46"/>
        <v>2</v>
      </c>
      <c r="M411" s="181">
        <f t="shared" si="47"/>
        <v>1</v>
      </c>
      <c r="N411" s="182">
        <v>11947.549230374023</v>
      </c>
      <c r="O411" s="181">
        <v>4800</v>
      </c>
      <c r="P411" s="181">
        <v>47334.858305330788</v>
      </c>
      <c r="Q411">
        <v>414</v>
      </c>
      <c r="R411">
        <v>1105.3024868650327</v>
      </c>
      <c r="S411" s="88">
        <f t="shared" si="48"/>
        <v>18266.851717239057</v>
      </c>
    </row>
    <row r="412" spans="1:19" x14ac:dyDescent="0.25">
      <c r="A412" s="325">
        <v>3</v>
      </c>
      <c r="B412" s="325" t="s">
        <v>96</v>
      </c>
      <c r="C412" s="326">
        <v>159.50000000000003</v>
      </c>
      <c r="D412" s="181">
        <v>159.50000000000003</v>
      </c>
      <c r="E412" s="181">
        <f t="shared" si="42"/>
        <v>20</v>
      </c>
      <c r="F412" s="181">
        <f t="shared" si="43"/>
        <v>4</v>
      </c>
      <c r="G412" s="181">
        <f t="shared" si="44"/>
        <v>1</v>
      </c>
      <c r="H412" s="182">
        <v>31699.668000000009</v>
      </c>
      <c r="I412" s="181">
        <v>6600</v>
      </c>
      <c r="J412" s="183">
        <v>40.513000000000005</v>
      </c>
      <c r="K412" s="181">
        <f t="shared" si="45"/>
        <v>6</v>
      </c>
      <c r="L412" s="181">
        <f t="shared" si="46"/>
        <v>2</v>
      </c>
      <c r="M412" s="181">
        <f t="shared" si="47"/>
        <v>1</v>
      </c>
      <c r="N412" s="182">
        <v>8051.7156720000021</v>
      </c>
      <c r="O412" s="181">
        <v>4800</v>
      </c>
      <c r="P412" s="181">
        <v>31900.000000000007</v>
      </c>
      <c r="Q412">
        <v>414</v>
      </c>
      <c r="R412">
        <v>1105.3024868650327</v>
      </c>
      <c r="S412" s="88">
        <f t="shared" si="48"/>
        <v>14371.018158865034</v>
      </c>
    </row>
    <row r="413" spans="1:19" x14ac:dyDescent="0.25">
      <c r="A413" s="325">
        <v>3</v>
      </c>
      <c r="B413" s="325" t="s">
        <v>97</v>
      </c>
      <c r="C413" s="326">
        <v>139.68051696729742</v>
      </c>
      <c r="D413" s="181">
        <v>139.68051696729742</v>
      </c>
      <c r="E413" s="181">
        <f t="shared" si="42"/>
        <v>18</v>
      </c>
      <c r="F413" s="181">
        <f t="shared" si="43"/>
        <v>4</v>
      </c>
      <c r="G413" s="181">
        <f t="shared" si="44"/>
        <v>1</v>
      </c>
      <c r="H413" s="182">
        <v>27760.664664148564</v>
      </c>
      <c r="I413" s="181">
        <v>6600</v>
      </c>
      <c r="J413" s="183">
        <v>35.478851309693546</v>
      </c>
      <c r="K413" s="181">
        <f t="shared" si="45"/>
        <v>5</v>
      </c>
      <c r="L413" s="181">
        <f t="shared" si="46"/>
        <v>1</v>
      </c>
      <c r="M413" s="181">
        <f t="shared" si="47"/>
        <v>1</v>
      </c>
      <c r="N413" s="182">
        <v>7051.2088246937356</v>
      </c>
      <c r="O413" s="181">
        <v>2400</v>
      </c>
      <c r="P413" s="181">
        <v>27936.103393459485</v>
      </c>
      <c r="Q413">
        <v>414</v>
      </c>
      <c r="R413">
        <v>1105.3024868650327</v>
      </c>
      <c r="S413" s="88">
        <f t="shared" si="48"/>
        <v>10970.511311558768</v>
      </c>
    </row>
    <row r="414" spans="1:19" x14ac:dyDescent="0.25">
      <c r="A414" s="325">
        <v>3</v>
      </c>
      <c r="B414" s="325" t="s">
        <v>98</v>
      </c>
      <c r="C414" s="326">
        <v>312.30291293499999</v>
      </c>
      <c r="D414" s="181">
        <v>312.30291293499999</v>
      </c>
      <c r="E414" s="181">
        <f t="shared" si="42"/>
        <v>40</v>
      </c>
      <c r="F414" s="181">
        <f t="shared" si="43"/>
        <v>8</v>
      </c>
      <c r="G414" s="181">
        <f t="shared" si="44"/>
        <v>2</v>
      </c>
      <c r="H414" s="182">
        <v>62068.330128353649</v>
      </c>
      <c r="I414" s="181">
        <v>13200</v>
      </c>
      <c r="J414" s="183">
        <v>79.324939885489997</v>
      </c>
      <c r="K414" s="181">
        <f t="shared" si="45"/>
        <v>10</v>
      </c>
      <c r="L414" s="181">
        <f t="shared" si="46"/>
        <v>2</v>
      </c>
      <c r="M414" s="181">
        <f t="shared" si="47"/>
        <v>1</v>
      </c>
      <c r="N414" s="182">
        <v>15765.355852601826</v>
      </c>
      <c r="O414" s="181">
        <v>4800</v>
      </c>
      <c r="P414" s="181">
        <v>62460.582586999997</v>
      </c>
      <c r="Q414">
        <v>414</v>
      </c>
      <c r="R414">
        <v>1105.3024868650327</v>
      </c>
      <c r="S414" s="88">
        <f t="shared" si="48"/>
        <v>22084.65833946686</v>
      </c>
    </row>
    <row r="415" spans="1:19" x14ac:dyDescent="0.25">
      <c r="A415" s="325">
        <v>3</v>
      </c>
      <c r="B415" s="325" t="s">
        <v>135</v>
      </c>
      <c r="C415" s="326">
        <v>106.66666666666666</v>
      </c>
      <c r="D415" s="181">
        <v>106.66666666666666</v>
      </c>
      <c r="E415" s="181">
        <f t="shared" si="42"/>
        <v>14</v>
      </c>
      <c r="F415" s="181">
        <f t="shared" si="43"/>
        <v>3</v>
      </c>
      <c r="G415" s="181">
        <f t="shared" si="44"/>
        <v>1</v>
      </c>
      <c r="H415" s="182">
        <v>21199.360000000001</v>
      </c>
      <c r="I415" s="181">
        <v>6600</v>
      </c>
      <c r="J415" s="183">
        <v>27.09333333333333</v>
      </c>
      <c r="K415" s="181">
        <f t="shared" si="45"/>
        <v>4</v>
      </c>
      <c r="L415" s="181">
        <f t="shared" si="46"/>
        <v>1</v>
      </c>
      <c r="M415" s="181">
        <f t="shared" si="47"/>
        <v>1</v>
      </c>
      <c r="N415" s="182">
        <v>5384.6374400000004</v>
      </c>
      <c r="O415" s="181">
        <v>2400</v>
      </c>
      <c r="P415" s="181">
        <v>21333.333333333332</v>
      </c>
      <c r="Q415">
        <v>414</v>
      </c>
      <c r="R415">
        <v>1105.3024868650327</v>
      </c>
      <c r="S415" s="88">
        <f t="shared" si="48"/>
        <v>9303.9399268650341</v>
      </c>
    </row>
    <row r="416" spans="1:19" x14ac:dyDescent="0.25">
      <c r="A416" s="325">
        <v>3</v>
      </c>
      <c r="B416" s="325" t="s">
        <v>99</v>
      </c>
      <c r="C416" s="326">
        <v>136.91935941370068</v>
      </c>
      <c r="D416" s="181">
        <v>136.91935941370068</v>
      </c>
      <c r="E416" s="181">
        <f t="shared" si="42"/>
        <v>18</v>
      </c>
      <c r="F416" s="181">
        <f t="shared" si="43"/>
        <v>4</v>
      </c>
      <c r="G416" s="181">
        <f t="shared" si="44"/>
        <v>1</v>
      </c>
      <c r="H416" s="182">
        <v>27211.90116731653</v>
      </c>
      <c r="I416" s="181">
        <v>6600</v>
      </c>
      <c r="J416" s="183">
        <v>34.777517291079974</v>
      </c>
      <c r="K416" s="181">
        <f t="shared" si="45"/>
        <v>5</v>
      </c>
      <c r="L416" s="181">
        <f t="shared" si="46"/>
        <v>1</v>
      </c>
      <c r="M416" s="181">
        <f t="shared" si="47"/>
        <v>1</v>
      </c>
      <c r="N416" s="182">
        <v>6911.8228964983991</v>
      </c>
      <c r="O416" s="181">
        <v>2400</v>
      </c>
      <c r="P416" s="181">
        <v>27383.871882740135</v>
      </c>
      <c r="Q416">
        <v>414</v>
      </c>
      <c r="R416">
        <v>1105.3024868650327</v>
      </c>
      <c r="S416" s="88">
        <f t="shared" si="48"/>
        <v>10831.125383363433</v>
      </c>
    </row>
    <row r="417" spans="1:19" x14ac:dyDescent="0.25">
      <c r="A417" s="325">
        <v>3</v>
      </c>
      <c r="B417" s="325" t="s">
        <v>100</v>
      </c>
      <c r="C417" s="326">
        <v>194.12398238080777</v>
      </c>
      <c r="D417" s="181">
        <v>194.12398238080777</v>
      </c>
      <c r="E417" s="181">
        <f t="shared" si="42"/>
        <v>25</v>
      </c>
      <c r="F417" s="181">
        <f t="shared" si="43"/>
        <v>5</v>
      </c>
      <c r="G417" s="181">
        <f t="shared" si="44"/>
        <v>2</v>
      </c>
      <c r="H417" s="182">
        <v>38580.976754291267</v>
      </c>
      <c r="I417" s="181">
        <v>13200</v>
      </c>
      <c r="J417" s="183">
        <v>49.307491524725172</v>
      </c>
      <c r="K417" s="181">
        <f t="shared" si="45"/>
        <v>7</v>
      </c>
      <c r="L417" s="181">
        <f t="shared" si="46"/>
        <v>2</v>
      </c>
      <c r="M417" s="181">
        <f t="shared" si="47"/>
        <v>1</v>
      </c>
      <c r="N417" s="182">
        <v>9799.5680955899807</v>
      </c>
      <c r="O417" s="181">
        <v>4800</v>
      </c>
      <c r="P417" s="181">
        <v>38824.796476161559</v>
      </c>
      <c r="Q417">
        <v>414</v>
      </c>
      <c r="R417">
        <v>1105.3024868650327</v>
      </c>
      <c r="S417" s="88">
        <f t="shared" si="48"/>
        <v>16118.870582455012</v>
      </c>
    </row>
    <row r="418" spans="1:19" x14ac:dyDescent="0.25">
      <c r="A418" s="325">
        <v>3</v>
      </c>
      <c r="B418" s="325" t="s">
        <v>101</v>
      </c>
      <c r="C418" s="326">
        <v>297</v>
      </c>
      <c r="D418" s="181">
        <v>297</v>
      </c>
      <c r="E418" s="181">
        <f t="shared" si="42"/>
        <v>38</v>
      </c>
      <c r="F418" s="181">
        <f t="shared" si="43"/>
        <v>8</v>
      </c>
      <c r="G418" s="181">
        <f t="shared" si="44"/>
        <v>2</v>
      </c>
      <c r="H418" s="182">
        <v>59026.968000000008</v>
      </c>
      <c r="I418" s="181">
        <v>13200</v>
      </c>
      <c r="J418" s="183">
        <v>75.438000000000002</v>
      </c>
      <c r="K418" s="181">
        <f t="shared" si="45"/>
        <v>10</v>
      </c>
      <c r="L418" s="181">
        <f t="shared" si="46"/>
        <v>2</v>
      </c>
      <c r="M418" s="181">
        <f t="shared" si="47"/>
        <v>1</v>
      </c>
      <c r="N418" s="182">
        <v>14992.849872000003</v>
      </c>
      <c r="O418" s="181">
        <v>4800</v>
      </c>
      <c r="P418" s="181">
        <v>59400</v>
      </c>
      <c r="Q418">
        <v>414</v>
      </c>
      <c r="R418">
        <v>1105.3024868650327</v>
      </c>
      <c r="S418" s="88">
        <f t="shared" si="48"/>
        <v>21312.152358865034</v>
      </c>
    </row>
    <row r="419" spans="1:19" x14ac:dyDescent="0.25">
      <c r="A419" s="325">
        <v>3</v>
      </c>
      <c r="B419" s="325" t="s">
        <v>102</v>
      </c>
      <c r="C419" s="326">
        <v>45.800000000000018</v>
      </c>
      <c r="D419" s="181">
        <v>45.800000000000018</v>
      </c>
      <c r="E419" s="181">
        <f t="shared" si="42"/>
        <v>6</v>
      </c>
      <c r="F419" s="181">
        <f t="shared" si="43"/>
        <v>2</v>
      </c>
      <c r="G419" s="181">
        <f t="shared" si="44"/>
        <v>1</v>
      </c>
      <c r="H419" s="182">
        <v>9102.4752000000044</v>
      </c>
      <c r="I419" s="181">
        <v>4800</v>
      </c>
      <c r="J419" s="183">
        <v>11.633200000000004</v>
      </c>
      <c r="K419" s="181">
        <f t="shared" si="45"/>
        <v>2</v>
      </c>
      <c r="L419" s="181">
        <f t="shared" si="46"/>
        <v>1</v>
      </c>
      <c r="M419" s="181">
        <f t="shared" si="47"/>
        <v>1</v>
      </c>
      <c r="N419" s="182">
        <v>2312.0287008000009</v>
      </c>
      <c r="O419" s="181">
        <v>1400</v>
      </c>
      <c r="P419" s="181">
        <v>9160.0000000000036</v>
      </c>
      <c r="Q419">
        <v>414</v>
      </c>
      <c r="R419">
        <v>1105.3024868650327</v>
      </c>
      <c r="S419" s="88">
        <f t="shared" si="48"/>
        <v>5231.3311876650332</v>
      </c>
    </row>
    <row r="420" spans="1:19" x14ac:dyDescent="0.25">
      <c r="A420" s="325">
        <v>3</v>
      </c>
      <c r="B420" s="325" t="s">
        <v>103</v>
      </c>
      <c r="C420" s="326">
        <v>92.490646694128458</v>
      </c>
      <c r="D420" s="181">
        <v>92.490646694128458</v>
      </c>
      <c r="E420" s="181">
        <f t="shared" si="42"/>
        <v>12</v>
      </c>
      <c r="F420" s="181">
        <f t="shared" si="43"/>
        <v>3</v>
      </c>
      <c r="G420" s="181">
        <f t="shared" si="44"/>
        <v>1</v>
      </c>
      <c r="H420" s="182">
        <v>18381.96108657787</v>
      </c>
      <c r="I420" s="181">
        <v>6600</v>
      </c>
      <c r="J420" s="183">
        <v>23.492624260308627</v>
      </c>
      <c r="K420" s="181">
        <f t="shared" si="45"/>
        <v>3</v>
      </c>
      <c r="L420" s="181">
        <f t="shared" si="46"/>
        <v>1</v>
      </c>
      <c r="M420" s="181">
        <f t="shared" si="47"/>
        <v>1</v>
      </c>
      <c r="N420" s="182">
        <v>4669.0181159907788</v>
      </c>
      <c r="O420" s="181">
        <v>2100</v>
      </c>
      <c r="P420" s="181">
        <v>18498.129338825693</v>
      </c>
      <c r="Q420">
        <v>414</v>
      </c>
      <c r="R420">
        <v>1105.3024868650327</v>
      </c>
      <c r="S420" s="88">
        <f t="shared" si="48"/>
        <v>8288.3206028558125</v>
      </c>
    </row>
    <row r="421" spans="1:19" x14ac:dyDescent="0.25">
      <c r="A421" s="325">
        <v>3</v>
      </c>
      <c r="B421" s="325" t="s">
        <v>104</v>
      </c>
      <c r="C421" s="326">
        <v>26.985074626865668</v>
      </c>
      <c r="D421" s="181">
        <v>26.985074626865668</v>
      </c>
      <c r="E421" s="181">
        <f t="shared" si="42"/>
        <v>4</v>
      </c>
      <c r="F421" s="181">
        <f t="shared" si="43"/>
        <v>1</v>
      </c>
      <c r="G421" s="181">
        <f t="shared" si="44"/>
        <v>1</v>
      </c>
      <c r="H421" s="182">
        <v>5363.1216716417912</v>
      </c>
      <c r="I421" s="181">
        <v>2400</v>
      </c>
      <c r="J421" s="183">
        <v>6.8542089552238794</v>
      </c>
      <c r="K421" s="181">
        <f t="shared" si="45"/>
        <v>1</v>
      </c>
      <c r="L421" s="181">
        <f t="shared" si="46"/>
        <v>1</v>
      </c>
      <c r="M421" s="181">
        <f t="shared" si="47"/>
        <v>1</v>
      </c>
      <c r="N421" s="182">
        <v>1362.2329045970148</v>
      </c>
      <c r="O421" s="181">
        <v>700</v>
      </c>
      <c r="P421" s="181">
        <v>5397.0149253731333</v>
      </c>
      <c r="Q421">
        <v>414</v>
      </c>
      <c r="R421">
        <v>1105.3024868650327</v>
      </c>
      <c r="S421" s="88">
        <f t="shared" si="48"/>
        <v>3581.5353914620473</v>
      </c>
    </row>
    <row r="422" spans="1:19" x14ac:dyDescent="0.25">
      <c r="A422" s="325">
        <v>3</v>
      </c>
      <c r="B422" s="325" t="s">
        <v>105</v>
      </c>
      <c r="C422" s="326">
        <v>208.43780689677163</v>
      </c>
      <c r="D422" s="181">
        <v>208.43780689677163</v>
      </c>
      <c r="E422" s="181">
        <f t="shared" si="42"/>
        <v>27</v>
      </c>
      <c r="F422" s="181">
        <f t="shared" si="43"/>
        <v>6</v>
      </c>
      <c r="G422" s="181">
        <f t="shared" si="44"/>
        <v>2</v>
      </c>
      <c r="H422" s="182">
        <v>41425.763493891987</v>
      </c>
      <c r="I422" s="181">
        <v>13200</v>
      </c>
      <c r="J422" s="183">
        <v>52.943202951779995</v>
      </c>
      <c r="K422" s="181">
        <f t="shared" si="45"/>
        <v>7</v>
      </c>
      <c r="L422" s="181">
        <f t="shared" si="46"/>
        <v>2</v>
      </c>
      <c r="M422" s="181">
        <f t="shared" si="47"/>
        <v>1</v>
      </c>
      <c r="N422" s="182">
        <v>10522.143927448566</v>
      </c>
      <c r="O422" s="181">
        <v>4800</v>
      </c>
      <c r="P422" s="181">
        <v>41687.561379354323</v>
      </c>
      <c r="Q422">
        <v>414</v>
      </c>
      <c r="R422">
        <v>1105.3024868650327</v>
      </c>
      <c r="S422" s="88">
        <f t="shared" si="48"/>
        <v>16841.446414313599</v>
      </c>
    </row>
    <row r="423" spans="1:19" x14ac:dyDescent="0.25">
      <c r="A423" s="325">
        <v>3</v>
      </c>
      <c r="B423" s="325" t="s">
        <v>106</v>
      </c>
      <c r="C423" s="326">
        <v>197.6818503237796</v>
      </c>
      <c r="D423" s="181">
        <v>197.6818503237796</v>
      </c>
      <c r="E423" s="181">
        <f t="shared" si="42"/>
        <v>25</v>
      </c>
      <c r="F423" s="181">
        <f t="shared" si="43"/>
        <v>5</v>
      </c>
      <c r="G423" s="181">
        <f t="shared" si="44"/>
        <v>2</v>
      </c>
      <c r="H423" s="182">
        <v>39288.08166074926</v>
      </c>
      <c r="I423" s="181">
        <v>13200</v>
      </c>
      <c r="J423" s="183">
        <v>50.211189982240022</v>
      </c>
      <c r="K423" s="181">
        <f t="shared" si="45"/>
        <v>7</v>
      </c>
      <c r="L423" s="181">
        <f t="shared" si="46"/>
        <v>2</v>
      </c>
      <c r="M423" s="181">
        <f t="shared" si="47"/>
        <v>1</v>
      </c>
      <c r="N423" s="182">
        <v>9979.1727418303126</v>
      </c>
      <c r="O423" s="181">
        <v>4800</v>
      </c>
      <c r="P423" s="181">
        <v>39536.370064755916</v>
      </c>
      <c r="Q423">
        <v>414</v>
      </c>
      <c r="R423">
        <v>1105.3024868650327</v>
      </c>
      <c r="S423" s="88">
        <f t="shared" si="48"/>
        <v>16298.475228695344</v>
      </c>
    </row>
    <row r="424" spans="1:19" x14ac:dyDescent="0.25">
      <c r="A424" s="325">
        <v>3</v>
      </c>
      <c r="B424" s="325" t="s">
        <v>136</v>
      </c>
      <c r="C424" s="326">
        <v>232.51799537858369</v>
      </c>
      <c r="D424" s="181">
        <v>232.51799537858369</v>
      </c>
      <c r="E424" s="181">
        <f t="shared" si="42"/>
        <v>30</v>
      </c>
      <c r="F424" s="181">
        <f t="shared" si="43"/>
        <v>6</v>
      </c>
      <c r="G424" s="181">
        <f t="shared" si="44"/>
        <v>2</v>
      </c>
      <c r="H424" s="182">
        <v>46211.556473521247</v>
      </c>
      <c r="I424" s="181">
        <v>13200</v>
      </c>
      <c r="J424" s="183">
        <v>59.059570826160261</v>
      </c>
      <c r="K424" s="181">
        <f t="shared" si="45"/>
        <v>8</v>
      </c>
      <c r="L424" s="181">
        <f t="shared" si="46"/>
        <v>2</v>
      </c>
      <c r="M424" s="181">
        <f t="shared" si="47"/>
        <v>1</v>
      </c>
      <c r="N424" s="182">
        <v>11737.735344274397</v>
      </c>
      <c r="O424" s="181">
        <v>4800</v>
      </c>
      <c r="P424" s="181">
        <v>46503.599075716738</v>
      </c>
      <c r="Q424">
        <v>414</v>
      </c>
      <c r="R424">
        <v>1105.3024868650327</v>
      </c>
      <c r="S424" s="88">
        <f t="shared" si="48"/>
        <v>18057.037831139431</v>
      </c>
    </row>
    <row r="425" spans="1:19" x14ac:dyDescent="0.25">
      <c r="A425" s="325">
        <v>3</v>
      </c>
      <c r="B425" s="325" t="s">
        <v>107</v>
      </c>
      <c r="C425" s="326">
        <v>4.9230769230769234</v>
      </c>
      <c r="D425" s="181">
        <v>4.9230769230769234</v>
      </c>
      <c r="E425" s="181">
        <f t="shared" si="42"/>
        <v>1</v>
      </c>
      <c r="F425" s="181">
        <f t="shared" si="43"/>
        <v>1</v>
      </c>
      <c r="G425" s="181">
        <f t="shared" si="44"/>
        <v>1</v>
      </c>
      <c r="H425" s="182">
        <v>978.43200000000024</v>
      </c>
      <c r="I425" s="181">
        <v>700</v>
      </c>
      <c r="J425" s="183">
        <v>1.2504615384615385</v>
      </c>
      <c r="K425" s="181">
        <f t="shared" si="45"/>
        <v>1</v>
      </c>
      <c r="L425" s="181">
        <f t="shared" si="46"/>
        <v>1</v>
      </c>
      <c r="M425" s="181">
        <f t="shared" si="47"/>
        <v>1</v>
      </c>
      <c r="N425" s="182">
        <v>248.52172800000005</v>
      </c>
      <c r="O425" s="181">
        <v>700</v>
      </c>
      <c r="P425" s="181">
        <v>984.61538461538464</v>
      </c>
      <c r="Q425">
        <v>414</v>
      </c>
      <c r="R425">
        <v>1105.3024868650327</v>
      </c>
      <c r="S425" s="88">
        <f t="shared" si="48"/>
        <v>2467.8242148650329</v>
      </c>
    </row>
    <row r="426" spans="1:19" x14ac:dyDescent="0.25">
      <c r="A426" s="325">
        <v>3</v>
      </c>
      <c r="B426" s="325" t="s">
        <v>108</v>
      </c>
      <c r="C426" s="326">
        <v>138.87934817515463</v>
      </c>
      <c r="D426" s="181">
        <v>138.87934817515463</v>
      </c>
      <c r="E426" s="181">
        <f t="shared" si="42"/>
        <v>18</v>
      </c>
      <c r="F426" s="181">
        <f t="shared" si="43"/>
        <v>4</v>
      </c>
      <c r="G426" s="181">
        <f t="shared" si="44"/>
        <v>1</v>
      </c>
      <c r="H426" s="182">
        <v>27601.437173722938</v>
      </c>
      <c r="I426" s="181">
        <v>6600</v>
      </c>
      <c r="J426" s="183">
        <v>35.27535443648928</v>
      </c>
      <c r="K426" s="181">
        <f t="shared" si="45"/>
        <v>5</v>
      </c>
      <c r="L426" s="181">
        <f t="shared" si="46"/>
        <v>1</v>
      </c>
      <c r="M426" s="181">
        <f t="shared" si="47"/>
        <v>1</v>
      </c>
      <c r="N426" s="182">
        <v>7010.7650421256267</v>
      </c>
      <c r="O426" s="181">
        <v>2400</v>
      </c>
      <c r="P426" s="181">
        <v>27775.869635030926</v>
      </c>
      <c r="Q426">
        <v>414</v>
      </c>
      <c r="R426">
        <v>1105.3024868650327</v>
      </c>
      <c r="S426" s="88">
        <f t="shared" si="48"/>
        <v>10930.067528990659</v>
      </c>
    </row>
    <row r="427" spans="1:19" x14ac:dyDescent="0.25">
      <c r="A427" s="325">
        <v>3</v>
      </c>
      <c r="B427" s="325" t="s">
        <v>109</v>
      </c>
      <c r="C427" s="326">
        <v>91.990681474356819</v>
      </c>
      <c r="D427" s="181">
        <v>91.990681474356819</v>
      </c>
      <c r="E427" s="181">
        <f t="shared" si="42"/>
        <v>12</v>
      </c>
      <c r="F427" s="181">
        <f t="shared" si="43"/>
        <v>3</v>
      </c>
      <c r="G427" s="181">
        <f t="shared" si="44"/>
        <v>1</v>
      </c>
      <c r="H427" s="182">
        <v>18282.595998939574</v>
      </c>
      <c r="I427" s="181">
        <v>6600</v>
      </c>
      <c r="J427" s="183">
        <v>23.365633094486633</v>
      </c>
      <c r="K427" s="181">
        <f t="shared" si="45"/>
        <v>3</v>
      </c>
      <c r="L427" s="181">
        <f t="shared" si="46"/>
        <v>1</v>
      </c>
      <c r="M427" s="181">
        <f t="shared" si="47"/>
        <v>1</v>
      </c>
      <c r="N427" s="182">
        <v>4643.7793837306517</v>
      </c>
      <c r="O427" s="181">
        <v>2100</v>
      </c>
      <c r="P427" s="181">
        <v>18398.136294871365</v>
      </c>
      <c r="Q427">
        <v>414</v>
      </c>
      <c r="R427">
        <v>1105.3024868650327</v>
      </c>
      <c r="S427" s="88">
        <f t="shared" si="48"/>
        <v>8263.0818705956844</v>
      </c>
    </row>
    <row r="428" spans="1:19" x14ac:dyDescent="0.25">
      <c r="A428" s="325">
        <v>3</v>
      </c>
      <c r="B428" s="325" t="s">
        <v>110</v>
      </c>
      <c r="C428" s="326">
        <v>103.3780736465706</v>
      </c>
      <c r="D428" s="181">
        <v>103.3780736465706</v>
      </c>
      <c r="E428" s="181">
        <f t="shared" si="42"/>
        <v>13</v>
      </c>
      <c r="F428" s="181">
        <f t="shared" si="43"/>
        <v>3</v>
      </c>
      <c r="G428" s="181">
        <f t="shared" si="44"/>
        <v>1</v>
      </c>
      <c r="H428" s="182">
        <v>20545.77186881403</v>
      </c>
      <c r="I428" s="181">
        <v>6600</v>
      </c>
      <c r="J428" s="183">
        <v>26.258030706228933</v>
      </c>
      <c r="K428" s="181">
        <f t="shared" si="45"/>
        <v>4</v>
      </c>
      <c r="L428" s="181">
        <f t="shared" si="46"/>
        <v>1</v>
      </c>
      <c r="M428" s="181">
        <f t="shared" si="47"/>
        <v>1</v>
      </c>
      <c r="N428" s="182">
        <v>5218.6260546787635</v>
      </c>
      <c r="O428" s="181">
        <v>2400</v>
      </c>
      <c r="P428" s="181">
        <v>20675.614729314118</v>
      </c>
      <c r="Q428">
        <v>414</v>
      </c>
      <c r="R428">
        <v>1105.3024868650327</v>
      </c>
      <c r="S428" s="88">
        <f t="shared" si="48"/>
        <v>9137.9285415437953</v>
      </c>
    </row>
    <row r="429" spans="1:19" x14ac:dyDescent="0.25">
      <c r="A429" s="325">
        <v>3</v>
      </c>
      <c r="B429" s="325" t="s">
        <v>111</v>
      </c>
      <c r="C429" s="326">
        <v>228.10388571416377</v>
      </c>
      <c r="D429" s="181">
        <v>228.10388571416377</v>
      </c>
      <c r="E429" s="181">
        <f t="shared" si="42"/>
        <v>29</v>
      </c>
      <c r="F429" s="181">
        <f t="shared" si="43"/>
        <v>6</v>
      </c>
      <c r="G429" s="181">
        <f t="shared" si="44"/>
        <v>2</v>
      </c>
      <c r="H429" s="182">
        <v>45334.278662375771</v>
      </c>
      <c r="I429" s="181">
        <v>13200</v>
      </c>
      <c r="J429" s="183">
        <v>57.938386971397598</v>
      </c>
      <c r="K429" s="181">
        <f t="shared" si="45"/>
        <v>8</v>
      </c>
      <c r="L429" s="181">
        <f t="shared" si="46"/>
        <v>2</v>
      </c>
      <c r="M429" s="181">
        <f t="shared" si="47"/>
        <v>1</v>
      </c>
      <c r="N429" s="182">
        <v>11514.906780243446</v>
      </c>
      <c r="O429" s="181">
        <v>4800</v>
      </c>
      <c r="P429" s="181">
        <v>45620.777142832754</v>
      </c>
      <c r="Q429">
        <v>414</v>
      </c>
      <c r="R429">
        <v>1105.3024868650327</v>
      </c>
      <c r="S429" s="88">
        <f t="shared" si="48"/>
        <v>17834.209267108479</v>
      </c>
    </row>
    <row r="430" spans="1:19" x14ac:dyDescent="0.25">
      <c r="A430" s="325">
        <v>3</v>
      </c>
      <c r="B430" s="325" t="s">
        <v>137</v>
      </c>
      <c r="C430" s="326">
        <v>76.047058823529412</v>
      </c>
      <c r="D430" s="181">
        <v>76.047058823529412</v>
      </c>
      <c r="E430" s="181">
        <f t="shared" si="42"/>
        <v>10</v>
      </c>
      <c r="F430" s="181">
        <f t="shared" si="43"/>
        <v>2</v>
      </c>
      <c r="G430" s="181">
        <f t="shared" si="44"/>
        <v>1</v>
      </c>
      <c r="H430" s="182">
        <v>15113.896658823531</v>
      </c>
      <c r="I430" s="181">
        <v>4800</v>
      </c>
      <c r="J430" s="183">
        <v>19.315952941176469</v>
      </c>
      <c r="K430" s="181">
        <f t="shared" si="45"/>
        <v>3</v>
      </c>
      <c r="L430" s="181">
        <f t="shared" si="46"/>
        <v>1</v>
      </c>
      <c r="M430" s="181">
        <f t="shared" si="47"/>
        <v>1</v>
      </c>
      <c r="N430" s="182">
        <v>3838.9297513411766</v>
      </c>
      <c r="O430" s="181">
        <v>2100</v>
      </c>
      <c r="P430" s="181">
        <v>15209.411764705883</v>
      </c>
      <c r="Q430">
        <v>414</v>
      </c>
      <c r="R430">
        <v>1105.3024868650327</v>
      </c>
      <c r="S430" s="88">
        <f t="shared" si="48"/>
        <v>7458.2322382062093</v>
      </c>
    </row>
    <row r="431" spans="1:19" x14ac:dyDescent="0.25">
      <c r="A431" s="325">
        <v>3</v>
      </c>
      <c r="B431" s="325" t="s">
        <v>112</v>
      </c>
      <c r="C431" s="326">
        <v>123.22471910112358</v>
      </c>
      <c r="D431" s="181">
        <v>123.22471910112358</v>
      </c>
      <c r="E431" s="181">
        <f t="shared" si="42"/>
        <v>16</v>
      </c>
      <c r="F431" s="181">
        <f t="shared" si="43"/>
        <v>4</v>
      </c>
      <c r="G431" s="181">
        <f t="shared" si="44"/>
        <v>1</v>
      </c>
      <c r="H431" s="182">
        <v>24490.17357303371</v>
      </c>
      <c r="I431" s="181">
        <v>6600</v>
      </c>
      <c r="J431" s="183">
        <v>31.299078651685392</v>
      </c>
      <c r="K431" s="181">
        <f t="shared" si="45"/>
        <v>4</v>
      </c>
      <c r="L431" s="181">
        <f t="shared" si="46"/>
        <v>1</v>
      </c>
      <c r="M431" s="181">
        <f t="shared" si="47"/>
        <v>1</v>
      </c>
      <c r="N431" s="182">
        <v>6220.504087550562</v>
      </c>
      <c r="O431" s="181">
        <v>2400</v>
      </c>
      <c r="P431" s="181">
        <v>24644.943820224718</v>
      </c>
      <c r="Q431">
        <v>414</v>
      </c>
      <c r="R431">
        <v>1105.3024868650327</v>
      </c>
      <c r="S431" s="88">
        <f t="shared" si="48"/>
        <v>10139.806574415594</v>
      </c>
    </row>
    <row r="432" spans="1:19" x14ac:dyDescent="0.25">
      <c r="A432" s="325">
        <v>3</v>
      </c>
      <c r="B432" s="325" t="s">
        <v>113</v>
      </c>
      <c r="C432" s="326">
        <v>720.73551186206521</v>
      </c>
      <c r="D432" s="181">
        <v>720.73551186206521</v>
      </c>
      <c r="E432" s="181">
        <f t="shared" si="42"/>
        <v>91</v>
      </c>
      <c r="F432" s="181">
        <f t="shared" si="43"/>
        <v>19</v>
      </c>
      <c r="G432" s="181">
        <f t="shared" si="44"/>
        <v>5</v>
      </c>
      <c r="H432" s="182">
        <v>143241.8585695143</v>
      </c>
      <c r="I432" s="181">
        <v>33000</v>
      </c>
      <c r="J432" s="183">
        <v>183.06682001296457</v>
      </c>
      <c r="K432" s="181">
        <f t="shared" si="45"/>
        <v>23</v>
      </c>
      <c r="L432" s="181">
        <f t="shared" si="46"/>
        <v>5</v>
      </c>
      <c r="M432" s="181">
        <f t="shared" si="47"/>
        <v>2</v>
      </c>
      <c r="N432" s="182">
        <v>36383.432076656638</v>
      </c>
      <c r="O432" s="181">
        <v>13200</v>
      </c>
      <c r="P432" s="181">
        <v>144147.10237241304</v>
      </c>
      <c r="Q432">
        <v>414</v>
      </c>
      <c r="R432">
        <v>1105.3024868650327</v>
      </c>
      <c r="S432" s="88">
        <f t="shared" si="48"/>
        <v>51102.73456352167</v>
      </c>
    </row>
    <row r="433" spans="1:19" x14ac:dyDescent="0.25">
      <c r="A433" s="325">
        <v>3</v>
      </c>
      <c r="B433" s="325" t="s">
        <v>139</v>
      </c>
      <c r="C433" s="326">
        <v>91.901114103595106</v>
      </c>
      <c r="D433" s="181">
        <v>91.901114103595106</v>
      </c>
      <c r="E433" s="181">
        <f t="shared" si="42"/>
        <v>12</v>
      </c>
      <c r="F433" s="181">
        <f t="shared" si="43"/>
        <v>3</v>
      </c>
      <c r="G433" s="181">
        <f t="shared" si="44"/>
        <v>1</v>
      </c>
      <c r="H433" s="182">
        <v>18264.795021404909</v>
      </c>
      <c r="I433" s="181">
        <v>6600</v>
      </c>
      <c r="J433" s="183">
        <v>23.342882982313157</v>
      </c>
      <c r="K433" s="181">
        <f t="shared" si="45"/>
        <v>3</v>
      </c>
      <c r="L433" s="181">
        <f t="shared" si="46"/>
        <v>1</v>
      </c>
      <c r="M433" s="181">
        <f t="shared" si="47"/>
        <v>1</v>
      </c>
      <c r="N433" s="182">
        <v>4639.2579354368463</v>
      </c>
      <c r="O433" s="181">
        <v>2100</v>
      </c>
      <c r="P433" s="181">
        <v>18380.22282071902</v>
      </c>
      <c r="Q433">
        <v>414</v>
      </c>
      <c r="R433">
        <v>1105.3024868650327</v>
      </c>
      <c r="S433" s="88">
        <f t="shared" si="48"/>
        <v>8258.5604223018781</v>
      </c>
    </row>
    <row r="434" spans="1:19" x14ac:dyDescent="0.25">
      <c r="A434" s="325">
        <v>3</v>
      </c>
      <c r="B434" s="325" t="s">
        <v>114</v>
      </c>
      <c r="C434" s="326">
        <v>102.03960171350714</v>
      </c>
      <c r="D434" s="181">
        <v>102.03960171350714</v>
      </c>
      <c r="E434" s="181">
        <f t="shared" si="42"/>
        <v>13</v>
      </c>
      <c r="F434" s="181">
        <f t="shared" si="43"/>
        <v>3</v>
      </c>
      <c r="G434" s="181">
        <f t="shared" si="44"/>
        <v>1</v>
      </c>
      <c r="H434" s="182">
        <v>20279.758602949267</v>
      </c>
      <c r="I434" s="181">
        <v>6600</v>
      </c>
      <c r="J434" s="183">
        <v>25.918058835230813</v>
      </c>
      <c r="K434" s="181">
        <f t="shared" si="45"/>
        <v>4</v>
      </c>
      <c r="L434" s="181">
        <f t="shared" si="46"/>
        <v>1</v>
      </c>
      <c r="M434" s="181">
        <f t="shared" si="47"/>
        <v>1</v>
      </c>
      <c r="N434" s="182">
        <v>5151.0586851491134</v>
      </c>
      <c r="O434" s="181">
        <v>2400</v>
      </c>
      <c r="P434" s="181">
        <v>20407.920342701429</v>
      </c>
      <c r="Q434">
        <v>414</v>
      </c>
      <c r="R434">
        <v>1105.3024868650327</v>
      </c>
      <c r="S434" s="88">
        <f t="shared" si="48"/>
        <v>9070.3611720141453</v>
      </c>
    </row>
    <row r="435" spans="1:19" x14ac:dyDescent="0.25">
      <c r="A435" s="325">
        <v>3</v>
      </c>
      <c r="B435" s="325" t="s">
        <v>115</v>
      </c>
      <c r="C435" s="326">
        <v>62.672446429530943</v>
      </c>
      <c r="D435" s="181">
        <v>62.672446429530943</v>
      </c>
      <c r="E435" s="181">
        <f t="shared" si="42"/>
        <v>8</v>
      </c>
      <c r="F435" s="181">
        <f t="shared" si="43"/>
        <v>2</v>
      </c>
      <c r="G435" s="181">
        <f t="shared" si="44"/>
        <v>1</v>
      </c>
      <c r="H435" s="182">
        <v>12455.7726931907</v>
      </c>
      <c r="I435" s="181">
        <v>4800</v>
      </c>
      <c r="J435" s="183">
        <v>15.918801393100861</v>
      </c>
      <c r="K435" s="181">
        <f t="shared" si="45"/>
        <v>2</v>
      </c>
      <c r="L435" s="181">
        <f t="shared" si="46"/>
        <v>1</v>
      </c>
      <c r="M435" s="181">
        <f t="shared" si="47"/>
        <v>1</v>
      </c>
      <c r="N435" s="182">
        <v>3163.766264070438</v>
      </c>
      <c r="O435" s="181">
        <v>1400</v>
      </c>
      <c r="P435" s="181">
        <v>12534.489285906189</v>
      </c>
      <c r="Q435">
        <v>414</v>
      </c>
      <c r="R435">
        <v>1105.3024868650327</v>
      </c>
      <c r="S435" s="88">
        <f t="shared" si="48"/>
        <v>6083.0687509354702</v>
      </c>
    </row>
    <row r="436" spans="1:19" x14ac:dyDescent="0.25">
      <c r="A436" s="325">
        <v>3</v>
      </c>
      <c r="B436" s="325" t="s">
        <v>116</v>
      </c>
      <c r="C436" s="326">
        <v>122.47774000000001</v>
      </c>
      <c r="D436" s="181">
        <v>122.47774000000001</v>
      </c>
      <c r="E436" s="181">
        <f t="shared" si="42"/>
        <v>16</v>
      </c>
      <c r="F436" s="181">
        <f t="shared" si="43"/>
        <v>4</v>
      </c>
      <c r="G436" s="181">
        <f t="shared" si="44"/>
        <v>1</v>
      </c>
      <c r="H436" s="182">
        <v>24341.715958560006</v>
      </c>
      <c r="I436" s="181">
        <v>6600</v>
      </c>
      <c r="J436" s="183">
        <v>31.109345960000002</v>
      </c>
      <c r="K436" s="181">
        <f t="shared" si="45"/>
        <v>4</v>
      </c>
      <c r="L436" s="181">
        <f t="shared" si="46"/>
        <v>1</v>
      </c>
      <c r="M436" s="181">
        <f t="shared" si="47"/>
        <v>1</v>
      </c>
      <c r="N436" s="182">
        <v>6182.7958534742411</v>
      </c>
      <c r="O436" s="181">
        <v>2400</v>
      </c>
      <c r="P436" s="181">
        <v>24495.548000000003</v>
      </c>
      <c r="Q436">
        <v>414</v>
      </c>
      <c r="R436">
        <v>1105.3024868650327</v>
      </c>
      <c r="S436" s="88">
        <f t="shared" si="48"/>
        <v>10102.098340339275</v>
      </c>
    </row>
    <row r="437" spans="1:19" x14ac:dyDescent="0.25">
      <c r="A437" s="325">
        <v>3</v>
      </c>
      <c r="B437" s="325" t="s">
        <v>117</v>
      </c>
      <c r="C437" s="326">
        <v>145.8014140129923</v>
      </c>
      <c r="D437" s="181">
        <v>145.8014140129923</v>
      </c>
      <c r="E437" s="181">
        <f t="shared" si="42"/>
        <v>19</v>
      </c>
      <c r="F437" s="181">
        <f t="shared" si="43"/>
        <v>4</v>
      </c>
      <c r="G437" s="181">
        <f t="shared" si="44"/>
        <v>1</v>
      </c>
      <c r="H437" s="182">
        <v>28977.156226598145</v>
      </c>
      <c r="I437" s="181">
        <v>6600</v>
      </c>
      <c r="J437" s="183">
        <v>37.033559159300047</v>
      </c>
      <c r="K437" s="181">
        <f t="shared" si="45"/>
        <v>5</v>
      </c>
      <c r="L437" s="181">
        <f t="shared" si="46"/>
        <v>1</v>
      </c>
      <c r="M437" s="181">
        <f t="shared" si="47"/>
        <v>1</v>
      </c>
      <c r="N437" s="182">
        <v>7360.1976815559292</v>
      </c>
      <c r="O437" s="181">
        <v>2400</v>
      </c>
      <c r="P437" s="181">
        <v>29160.28280259846</v>
      </c>
      <c r="Q437">
        <v>414</v>
      </c>
      <c r="R437">
        <v>1105.3024868650327</v>
      </c>
      <c r="S437" s="88">
        <f t="shared" si="48"/>
        <v>11279.500168420962</v>
      </c>
    </row>
    <row r="438" spans="1:19" x14ac:dyDescent="0.25">
      <c r="A438" s="325">
        <v>3</v>
      </c>
      <c r="B438" s="325" t="s">
        <v>118</v>
      </c>
      <c r="C438" s="326">
        <v>176.6535768992868</v>
      </c>
      <c r="D438" s="181">
        <v>176.6535768992868</v>
      </c>
      <c r="E438" s="181">
        <f t="shared" si="42"/>
        <v>23</v>
      </c>
      <c r="F438" s="181">
        <f t="shared" si="43"/>
        <v>5</v>
      </c>
      <c r="G438" s="181">
        <f t="shared" si="44"/>
        <v>2</v>
      </c>
      <c r="H438" s="182">
        <v>35108.83848727186</v>
      </c>
      <c r="I438" s="181">
        <v>13200</v>
      </c>
      <c r="J438" s="183">
        <v>44.870008532418851</v>
      </c>
      <c r="K438" s="181">
        <f t="shared" si="45"/>
        <v>6</v>
      </c>
      <c r="L438" s="181">
        <f t="shared" si="46"/>
        <v>2</v>
      </c>
      <c r="M438" s="181">
        <f t="shared" si="47"/>
        <v>1</v>
      </c>
      <c r="N438" s="182">
        <v>8917.6449757670525</v>
      </c>
      <c r="O438" s="181">
        <v>4800</v>
      </c>
      <c r="P438" s="181">
        <v>35330.715379857364</v>
      </c>
      <c r="Q438">
        <v>414</v>
      </c>
      <c r="R438">
        <v>1105.3024868650327</v>
      </c>
      <c r="S438" s="88">
        <f t="shared" si="48"/>
        <v>15236.947462632084</v>
      </c>
    </row>
    <row r="439" spans="1:19" x14ac:dyDescent="0.25">
      <c r="A439" s="325">
        <v>3</v>
      </c>
      <c r="B439" s="325" t="s">
        <v>119</v>
      </c>
      <c r="C439" s="326">
        <v>278.8178263714683</v>
      </c>
      <c r="D439" s="181">
        <v>278.8178263714683</v>
      </c>
      <c r="E439" s="181">
        <f t="shared" si="42"/>
        <v>35</v>
      </c>
      <c r="F439" s="181">
        <f t="shared" si="43"/>
        <v>7</v>
      </c>
      <c r="G439" s="181">
        <f t="shared" si="44"/>
        <v>2</v>
      </c>
      <c r="H439" s="182">
        <v>55413.370084371105</v>
      </c>
      <c r="I439" s="181">
        <v>13200</v>
      </c>
      <c r="J439" s="183">
        <v>70.819727898352951</v>
      </c>
      <c r="K439" s="181">
        <f t="shared" si="45"/>
        <v>9</v>
      </c>
      <c r="L439" s="181">
        <f t="shared" si="46"/>
        <v>2</v>
      </c>
      <c r="M439" s="181">
        <f t="shared" si="47"/>
        <v>1</v>
      </c>
      <c r="N439" s="182">
        <v>14074.996001430261</v>
      </c>
      <c r="O439" s="181">
        <v>4800</v>
      </c>
      <c r="P439" s="181">
        <v>55763.565274293658</v>
      </c>
      <c r="Q439">
        <v>414</v>
      </c>
      <c r="R439">
        <v>1105.3024868650327</v>
      </c>
      <c r="S439" s="88">
        <f t="shared" si="48"/>
        <v>20394.298488295295</v>
      </c>
    </row>
    <row r="440" spans="1:19" x14ac:dyDescent="0.25">
      <c r="A440" s="325">
        <v>3</v>
      </c>
      <c r="B440" s="325" t="s">
        <v>120</v>
      </c>
      <c r="C440" s="326">
        <v>288.99423960000001</v>
      </c>
      <c r="D440" s="181">
        <v>288.99423960000001</v>
      </c>
      <c r="E440" s="181">
        <f t="shared" si="42"/>
        <v>37</v>
      </c>
      <c r="F440" s="181">
        <f t="shared" si="43"/>
        <v>8</v>
      </c>
      <c r="G440" s="181">
        <f t="shared" si="44"/>
        <v>2</v>
      </c>
      <c r="H440" s="182">
        <v>57435.871155062414</v>
      </c>
      <c r="I440" s="181">
        <v>13200</v>
      </c>
      <c r="J440" s="183">
        <v>73.404536858400007</v>
      </c>
      <c r="K440" s="181">
        <f t="shared" si="45"/>
        <v>10</v>
      </c>
      <c r="L440" s="181">
        <f t="shared" si="46"/>
        <v>2</v>
      </c>
      <c r="M440" s="181">
        <f t="shared" si="47"/>
        <v>1</v>
      </c>
      <c r="N440" s="182">
        <v>14588.711273385854</v>
      </c>
      <c r="O440" s="181">
        <v>4800</v>
      </c>
      <c r="P440" s="181">
        <v>57798.84792</v>
      </c>
      <c r="Q440">
        <v>414</v>
      </c>
      <c r="R440">
        <v>1105.3024868650327</v>
      </c>
      <c r="S440" s="88">
        <f t="shared" si="48"/>
        <v>20908.013760250888</v>
      </c>
    </row>
    <row r="441" spans="1:19" x14ac:dyDescent="0.25">
      <c r="A441" s="325">
        <v>3</v>
      </c>
      <c r="B441" s="325" t="s">
        <v>121</v>
      </c>
      <c r="C441" s="326">
        <v>110.42159877156134</v>
      </c>
      <c r="D441" s="181">
        <v>110.42159877156134</v>
      </c>
      <c r="E441" s="181">
        <f t="shared" si="42"/>
        <v>14</v>
      </c>
      <c r="F441" s="181">
        <f t="shared" si="43"/>
        <v>3</v>
      </c>
      <c r="G441" s="181">
        <f t="shared" si="44"/>
        <v>1</v>
      </c>
      <c r="H441" s="182">
        <v>21945.630226255191</v>
      </c>
      <c r="I441" s="181">
        <v>6600</v>
      </c>
      <c r="J441" s="183">
        <v>28.047086087976581</v>
      </c>
      <c r="K441" s="181">
        <f t="shared" si="45"/>
        <v>4</v>
      </c>
      <c r="L441" s="181">
        <f t="shared" si="46"/>
        <v>1</v>
      </c>
      <c r="M441" s="181">
        <f t="shared" si="47"/>
        <v>1</v>
      </c>
      <c r="N441" s="182">
        <v>5574.1900774688183</v>
      </c>
      <c r="O441" s="181">
        <v>2400</v>
      </c>
      <c r="P441" s="181">
        <v>22084.319754312266</v>
      </c>
      <c r="Q441">
        <v>414</v>
      </c>
      <c r="R441">
        <v>1105.3024868650327</v>
      </c>
      <c r="S441" s="88">
        <f t="shared" si="48"/>
        <v>9493.4925643338502</v>
      </c>
    </row>
    <row r="442" spans="1:19" x14ac:dyDescent="0.25">
      <c r="A442" s="325">
        <v>3</v>
      </c>
      <c r="B442" s="325" t="s">
        <v>122</v>
      </c>
      <c r="C442" s="326">
        <v>161.08878018797668</v>
      </c>
      <c r="D442" s="181">
        <v>161.08878018797668</v>
      </c>
      <c r="E442" s="181">
        <f t="shared" si="42"/>
        <v>21</v>
      </c>
      <c r="F442" s="181">
        <f t="shared" si="43"/>
        <v>5</v>
      </c>
      <c r="G442" s="181">
        <f t="shared" si="44"/>
        <v>2</v>
      </c>
      <c r="H442" s="182">
        <v>32015.42852967924</v>
      </c>
      <c r="I442" s="181">
        <v>13200</v>
      </c>
      <c r="J442" s="183">
        <v>40.916550167746081</v>
      </c>
      <c r="K442" s="181">
        <f t="shared" si="45"/>
        <v>6</v>
      </c>
      <c r="L442" s="181">
        <f t="shared" si="46"/>
        <v>2</v>
      </c>
      <c r="M442" s="181">
        <f t="shared" si="47"/>
        <v>1</v>
      </c>
      <c r="N442" s="182">
        <v>8131.9188465385287</v>
      </c>
      <c r="O442" s="181">
        <v>4800</v>
      </c>
      <c r="P442" s="181">
        <v>32217.756037595336</v>
      </c>
      <c r="Q442">
        <v>414</v>
      </c>
      <c r="R442">
        <v>1105.3024868650327</v>
      </c>
      <c r="S442" s="88">
        <f t="shared" si="48"/>
        <v>14451.221333403562</v>
      </c>
    </row>
    <row r="443" spans="1:19" x14ac:dyDescent="0.25">
      <c r="A443" s="325">
        <v>3</v>
      </c>
      <c r="B443" s="325" t="s">
        <v>123</v>
      </c>
      <c r="C443" s="326">
        <v>312.42742939289917</v>
      </c>
      <c r="D443" s="181">
        <v>312.42742939289917</v>
      </c>
      <c r="E443" s="181">
        <f t="shared" si="42"/>
        <v>40</v>
      </c>
      <c r="F443" s="181">
        <f t="shared" si="43"/>
        <v>8</v>
      </c>
      <c r="G443" s="181">
        <f t="shared" si="44"/>
        <v>2</v>
      </c>
      <c r="H443" s="182">
        <v>62093.077027262363</v>
      </c>
      <c r="I443" s="181">
        <v>13200</v>
      </c>
      <c r="J443" s="183">
        <v>79.356567065796384</v>
      </c>
      <c r="K443" s="181">
        <f t="shared" si="45"/>
        <v>10</v>
      </c>
      <c r="L443" s="181">
        <f t="shared" si="46"/>
        <v>2</v>
      </c>
      <c r="M443" s="181">
        <f t="shared" si="47"/>
        <v>1</v>
      </c>
      <c r="N443" s="182">
        <v>15771.641564924639</v>
      </c>
      <c r="O443" s="181">
        <v>4800</v>
      </c>
      <c r="P443" s="181">
        <v>62485.485878579835</v>
      </c>
      <c r="Q443">
        <v>414</v>
      </c>
      <c r="R443">
        <v>1105.3024868650327</v>
      </c>
      <c r="S443" s="88">
        <f t="shared" si="48"/>
        <v>22090.944051789673</v>
      </c>
    </row>
    <row r="444" spans="1:19" x14ac:dyDescent="0.25">
      <c r="A444" s="325">
        <v>3</v>
      </c>
      <c r="B444" s="325" t="s">
        <v>124</v>
      </c>
      <c r="C444" s="326">
        <v>76.78506422431083</v>
      </c>
      <c r="D444" s="181">
        <v>76.78506422431083</v>
      </c>
      <c r="E444" s="181">
        <f t="shared" si="42"/>
        <v>10</v>
      </c>
      <c r="F444" s="181">
        <f t="shared" si="43"/>
        <v>2</v>
      </c>
      <c r="G444" s="181">
        <f t="shared" si="44"/>
        <v>1</v>
      </c>
      <c r="H444" s="182">
        <v>15260.570804196434</v>
      </c>
      <c r="I444" s="181">
        <v>4800</v>
      </c>
      <c r="J444" s="183">
        <v>19.503406312974953</v>
      </c>
      <c r="K444" s="181">
        <f t="shared" si="45"/>
        <v>3</v>
      </c>
      <c r="L444" s="181">
        <f t="shared" si="46"/>
        <v>1</v>
      </c>
      <c r="M444" s="181">
        <f t="shared" si="47"/>
        <v>1</v>
      </c>
      <c r="N444" s="182">
        <v>3876.1849842658944</v>
      </c>
      <c r="O444" s="181">
        <v>2100</v>
      </c>
      <c r="P444" s="181">
        <v>15357.012844862165</v>
      </c>
      <c r="Q444">
        <v>414</v>
      </c>
      <c r="R444">
        <v>1105.3024868650327</v>
      </c>
      <c r="S444" s="88">
        <f t="shared" si="48"/>
        <v>7495.4874711309276</v>
      </c>
    </row>
    <row r="445" spans="1:19" x14ac:dyDescent="0.25">
      <c r="A445" s="325">
        <v>3</v>
      </c>
      <c r="B445" s="325" t="s">
        <v>125</v>
      </c>
      <c r="C445" s="326">
        <v>213.05221757501099</v>
      </c>
      <c r="D445" s="181">
        <v>213.05221757501099</v>
      </c>
      <c r="E445" s="181">
        <f t="shared" si="42"/>
        <v>27</v>
      </c>
      <c r="F445" s="181">
        <f t="shared" si="43"/>
        <v>6</v>
      </c>
      <c r="G445" s="181">
        <f t="shared" si="44"/>
        <v>2</v>
      </c>
      <c r="H445" s="182">
        <v>42342.849929727992</v>
      </c>
      <c r="I445" s="181">
        <v>13200</v>
      </c>
      <c r="J445" s="183">
        <v>54.115263264052793</v>
      </c>
      <c r="K445" s="181">
        <f t="shared" si="45"/>
        <v>7</v>
      </c>
      <c r="L445" s="181">
        <f t="shared" si="46"/>
        <v>2</v>
      </c>
      <c r="M445" s="181">
        <f t="shared" si="47"/>
        <v>1</v>
      </c>
      <c r="N445" s="182">
        <v>10755.08388215091</v>
      </c>
      <c r="O445" s="181">
        <v>4800</v>
      </c>
      <c r="P445" s="181">
        <v>42610.443515002196</v>
      </c>
      <c r="Q445">
        <v>414</v>
      </c>
      <c r="R445">
        <v>1105.3024868650327</v>
      </c>
      <c r="S445" s="88">
        <f t="shared" si="48"/>
        <v>17074.386369015941</v>
      </c>
    </row>
    <row r="446" spans="1:19" x14ac:dyDescent="0.25">
      <c r="A446" s="325">
        <v>3</v>
      </c>
      <c r="B446" s="325" t="s">
        <v>126</v>
      </c>
      <c r="C446" s="326">
        <v>134.21581760669304</v>
      </c>
      <c r="D446" s="181">
        <v>134.21581760669304</v>
      </c>
      <c r="E446" s="181">
        <f t="shared" si="42"/>
        <v>17</v>
      </c>
      <c r="F446" s="181">
        <f t="shared" si="43"/>
        <v>4</v>
      </c>
      <c r="G446" s="181">
        <f t="shared" si="44"/>
        <v>1</v>
      </c>
      <c r="H446" s="182">
        <v>26674.588454424604</v>
      </c>
      <c r="I446" s="181">
        <v>6600</v>
      </c>
      <c r="J446" s="183">
        <v>34.09081767210003</v>
      </c>
      <c r="K446" s="181">
        <f t="shared" si="45"/>
        <v>5</v>
      </c>
      <c r="L446" s="181">
        <f t="shared" si="46"/>
        <v>1</v>
      </c>
      <c r="M446" s="181">
        <f t="shared" si="47"/>
        <v>1</v>
      </c>
      <c r="N446" s="182">
        <v>6775.3454674238492</v>
      </c>
      <c r="O446" s="181">
        <v>2400</v>
      </c>
      <c r="P446" s="181">
        <v>26843.163521338607</v>
      </c>
      <c r="Q446">
        <v>414</v>
      </c>
      <c r="R446">
        <v>1105.3024868650327</v>
      </c>
      <c r="S446" s="88">
        <f t="shared" si="48"/>
        <v>10694.647954288881</v>
      </c>
    </row>
    <row r="447" spans="1:19" x14ac:dyDescent="0.25">
      <c r="A447" s="325">
        <v>3</v>
      </c>
      <c r="B447" s="325" t="s">
        <v>127</v>
      </c>
      <c r="C447" s="326">
        <v>70.718336839976246</v>
      </c>
      <c r="D447" s="181">
        <v>70.718336839976246</v>
      </c>
      <c r="E447" s="181">
        <f t="shared" si="42"/>
        <v>9</v>
      </c>
      <c r="F447" s="181">
        <f t="shared" si="43"/>
        <v>2</v>
      </c>
      <c r="G447" s="181">
        <f t="shared" si="44"/>
        <v>1</v>
      </c>
      <c r="H447" s="182">
        <v>14054.845136924241</v>
      </c>
      <c r="I447" s="181">
        <v>4800</v>
      </c>
      <c r="J447" s="183">
        <v>17.962457557353968</v>
      </c>
      <c r="K447" s="181">
        <f t="shared" si="45"/>
        <v>3</v>
      </c>
      <c r="L447" s="181">
        <f t="shared" si="46"/>
        <v>1</v>
      </c>
      <c r="M447" s="181">
        <f t="shared" si="47"/>
        <v>1</v>
      </c>
      <c r="N447" s="182">
        <v>3569.9306647787575</v>
      </c>
      <c r="O447" s="181">
        <v>2100</v>
      </c>
      <c r="P447" s="181">
        <v>14143.667367995249</v>
      </c>
      <c r="Q447">
        <v>414</v>
      </c>
      <c r="R447">
        <v>1105.3024868650327</v>
      </c>
      <c r="S447" s="88">
        <f t="shared" si="48"/>
        <v>7189.2331516437898</v>
      </c>
    </row>
    <row r="448" spans="1:19" x14ac:dyDescent="0.25">
      <c r="A448" s="325">
        <v>3</v>
      </c>
      <c r="B448" s="325" t="s">
        <v>128</v>
      </c>
      <c r="C448" s="326">
        <v>69.596508344150223</v>
      </c>
      <c r="D448" s="181">
        <v>69.596508344150223</v>
      </c>
      <c r="E448" s="181">
        <f t="shared" si="42"/>
        <v>9</v>
      </c>
      <c r="F448" s="181">
        <f t="shared" si="43"/>
        <v>2</v>
      </c>
      <c r="G448" s="181">
        <f t="shared" si="44"/>
        <v>1</v>
      </c>
      <c r="H448" s="182">
        <v>13831.888454349793</v>
      </c>
      <c r="I448" s="181">
        <v>4800</v>
      </c>
      <c r="J448" s="183">
        <v>17.677513119414158</v>
      </c>
      <c r="K448" s="181">
        <f t="shared" si="45"/>
        <v>3</v>
      </c>
      <c r="L448" s="181">
        <f t="shared" si="46"/>
        <v>1</v>
      </c>
      <c r="M448" s="181">
        <f t="shared" si="47"/>
        <v>1</v>
      </c>
      <c r="N448" s="182">
        <v>3513.2996674048477</v>
      </c>
      <c r="O448" s="181">
        <v>2100</v>
      </c>
      <c r="P448" s="181">
        <v>13919.301668830045</v>
      </c>
      <c r="Q448">
        <v>414</v>
      </c>
      <c r="R448">
        <v>1105.3024868650327</v>
      </c>
      <c r="S448" s="88">
        <f t="shared" si="48"/>
        <v>7132.60215426988</v>
      </c>
    </row>
    <row r="449" spans="1:19" x14ac:dyDescent="0.25">
      <c r="A449" s="327" t="s">
        <v>142</v>
      </c>
      <c r="B449" s="327" t="s">
        <v>25</v>
      </c>
      <c r="C449" s="328">
        <v>197.42831247180905</v>
      </c>
      <c r="D449" s="181">
        <v>197.42831247180905</v>
      </c>
      <c r="E449" s="181">
        <f t="shared" si="42"/>
        <v>25</v>
      </c>
      <c r="F449" s="181">
        <f t="shared" si="43"/>
        <v>5</v>
      </c>
      <c r="G449" s="181">
        <f t="shared" si="44"/>
        <v>2</v>
      </c>
      <c r="H449" s="182">
        <v>39237.692533897221</v>
      </c>
      <c r="I449" s="181">
        <v>13200</v>
      </c>
      <c r="J449" s="183">
        <v>50.146791367839498</v>
      </c>
      <c r="K449" s="181">
        <f t="shared" si="45"/>
        <v>7</v>
      </c>
      <c r="L449" s="181">
        <f t="shared" si="46"/>
        <v>2</v>
      </c>
      <c r="M449" s="181">
        <f t="shared" si="47"/>
        <v>1</v>
      </c>
      <c r="N449" s="182">
        <v>9966.3739036098941</v>
      </c>
      <c r="O449" s="181">
        <v>4800</v>
      </c>
      <c r="P449" s="181">
        <v>39485.662494361808</v>
      </c>
      <c r="Q449">
        <v>414</v>
      </c>
      <c r="R449">
        <v>1105.3024868650327</v>
      </c>
      <c r="S449" s="88">
        <f t="shared" si="48"/>
        <v>16285.676390474928</v>
      </c>
    </row>
    <row r="450" spans="1:19" x14ac:dyDescent="0.25">
      <c r="A450" s="327" t="s">
        <v>142</v>
      </c>
      <c r="B450" s="327" t="s">
        <v>27</v>
      </c>
      <c r="C450" s="328">
        <v>178.19977075000003</v>
      </c>
      <c r="D450" s="181">
        <v>178.19977075000003</v>
      </c>
      <c r="E450" s="181">
        <f t="shared" si="42"/>
        <v>23</v>
      </c>
      <c r="F450" s="181">
        <f t="shared" si="43"/>
        <v>5</v>
      </c>
      <c r="G450" s="181">
        <f t="shared" si="44"/>
        <v>2</v>
      </c>
      <c r="H450" s="182">
        <v>35416.135237938011</v>
      </c>
      <c r="I450" s="181">
        <v>13200</v>
      </c>
      <c r="J450" s="183">
        <v>45.262741770500007</v>
      </c>
      <c r="K450" s="181">
        <f t="shared" si="45"/>
        <v>6</v>
      </c>
      <c r="L450" s="181">
        <f t="shared" si="46"/>
        <v>2</v>
      </c>
      <c r="M450" s="181">
        <f t="shared" si="47"/>
        <v>1</v>
      </c>
      <c r="N450" s="182">
        <v>8995.6983504362543</v>
      </c>
      <c r="O450" s="181">
        <v>4800</v>
      </c>
      <c r="P450" s="181">
        <v>35639.954150000005</v>
      </c>
      <c r="Q450">
        <v>414</v>
      </c>
      <c r="R450">
        <v>1105.3024868650327</v>
      </c>
      <c r="S450" s="88">
        <f t="shared" si="48"/>
        <v>15315.000837301286</v>
      </c>
    </row>
    <row r="451" spans="1:19" x14ac:dyDescent="0.25">
      <c r="A451" s="327" t="s">
        <v>142</v>
      </c>
      <c r="B451" s="327" t="s">
        <v>28</v>
      </c>
      <c r="C451" s="328">
        <v>74.29312637135213</v>
      </c>
      <c r="D451" s="181">
        <v>74.29312637135213</v>
      </c>
      <c r="E451" s="181">
        <f t="shared" si="42"/>
        <v>10</v>
      </c>
      <c r="F451" s="181">
        <f t="shared" si="43"/>
        <v>2</v>
      </c>
      <c r="G451" s="181">
        <f t="shared" si="44"/>
        <v>1</v>
      </c>
      <c r="H451" s="182">
        <v>14765.313107548011</v>
      </c>
      <c r="I451" s="181">
        <v>4800</v>
      </c>
      <c r="J451" s="183">
        <v>18.870454098323442</v>
      </c>
      <c r="K451" s="181">
        <f t="shared" si="45"/>
        <v>3</v>
      </c>
      <c r="L451" s="181">
        <f t="shared" si="46"/>
        <v>1</v>
      </c>
      <c r="M451" s="181">
        <f t="shared" si="47"/>
        <v>1</v>
      </c>
      <c r="N451" s="182">
        <v>3750.389529317195</v>
      </c>
      <c r="O451" s="181">
        <v>2100</v>
      </c>
      <c r="P451" s="181">
        <v>14858.625274270426</v>
      </c>
      <c r="Q451">
        <v>414</v>
      </c>
      <c r="R451">
        <v>1105.3024868650327</v>
      </c>
      <c r="S451" s="88">
        <f t="shared" si="48"/>
        <v>7369.6920161822272</v>
      </c>
    </row>
    <row r="452" spans="1:19" x14ac:dyDescent="0.25">
      <c r="A452" s="327" t="s">
        <v>142</v>
      </c>
      <c r="B452" s="327" t="s">
        <v>143</v>
      </c>
      <c r="C452" s="328">
        <v>173.97186266231401</v>
      </c>
      <c r="D452" s="181">
        <v>173.97186266231401</v>
      </c>
      <c r="E452" s="181">
        <f t="shared" ref="E452:E515" si="49">ROUNDUP(D452/8,0)</f>
        <v>22</v>
      </c>
      <c r="F452" s="181">
        <f t="shared" ref="F452:F515" si="50">ROUNDUP(D452/40,0)</f>
        <v>5</v>
      </c>
      <c r="G452" s="181">
        <f t="shared" ref="G452:G515" si="51">ROUNDUP(D452/(40*4),0)</f>
        <v>2</v>
      </c>
      <c r="H452" s="182">
        <v>34575.863872958944</v>
      </c>
      <c r="I452" s="181">
        <v>13200</v>
      </c>
      <c r="J452" s="183">
        <v>44.188853116227762</v>
      </c>
      <c r="K452" s="181">
        <f t="shared" ref="K452:K515" si="52">ROUNDUP(J452/8,0)</f>
        <v>6</v>
      </c>
      <c r="L452" s="181">
        <f t="shared" ref="L452:L515" si="53">ROUNDUP(J452/40,0)</f>
        <v>2</v>
      </c>
      <c r="M452" s="181">
        <f t="shared" ref="M452:M515" si="54">ROUNDUP(J452/(40*4),0)</f>
        <v>1</v>
      </c>
      <c r="N452" s="182">
        <v>8782.2694237315718</v>
      </c>
      <c r="O452" s="181">
        <v>4800</v>
      </c>
      <c r="P452" s="181">
        <v>34794.372532462803</v>
      </c>
      <c r="Q452">
        <v>414</v>
      </c>
      <c r="R452">
        <v>1105.3024868650327</v>
      </c>
      <c r="S452" s="88">
        <f t="shared" ref="S452:S515" si="55">R452+Q452+N452+O452</f>
        <v>15101.571910596605</v>
      </c>
    </row>
    <row r="453" spans="1:19" x14ac:dyDescent="0.25">
      <c r="A453" s="327" t="s">
        <v>142</v>
      </c>
      <c r="B453" s="327" t="s">
        <v>144</v>
      </c>
      <c r="C453" s="328">
        <v>60.710495104592113</v>
      </c>
      <c r="D453" s="181">
        <v>60.710495104592113</v>
      </c>
      <c r="E453" s="181">
        <f t="shared" si="49"/>
        <v>8</v>
      </c>
      <c r="F453" s="181">
        <f t="shared" si="50"/>
        <v>2</v>
      </c>
      <c r="G453" s="181">
        <f t="shared" si="51"/>
        <v>1</v>
      </c>
      <c r="H453" s="182">
        <v>12065.846639067056</v>
      </c>
      <c r="I453" s="181">
        <v>4800</v>
      </c>
      <c r="J453" s="183">
        <v>15.420465756566397</v>
      </c>
      <c r="K453" s="181">
        <f t="shared" si="52"/>
        <v>2</v>
      </c>
      <c r="L453" s="181">
        <f t="shared" si="53"/>
        <v>1</v>
      </c>
      <c r="M453" s="181">
        <f t="shared" si="54"/>
        <v>1</v>
      </c>
      <c r="N453" s="182">
        <v>3064.7250463230325</v>
      </c>
      <c r="O453" s="181">
        <v>1400</v>
      </c>
      <c r="P453" s="181">
        <v>12142.099020918422</v>
      </c>
      <c r="Q453">
        <v>414</v>
      </c>
      <c r="R453">
        <v>1105.3024868650327</v>
      </c>
      <c r="S453" s="88">
        <f t="shared" si="55"/>
        <v>5984.0275331880657</v>
      </c>
    </row>
    <row r="454" spans="1:19" x14ac:dyDescent="0.25">
      <c r="A454" s="327" t="s">
        <v>142</v>
      </c>
      <c r="B454" s="327" t="s">
        <v>29</v>
      </c>
      <c r="C454" s="328">
        <v>162.48001511528099</v>
      </c>
      <c r="D454" s="181">
        <v>162.48001511528099</v>
      </c>
      <c r="E454" s="181">
        <f t="shared" si="49"/>
        <v>21</v>
      </c>
      <c r="F454" s="181">
        <f t="shared" si="50"/>
        <v>5</v>
      </c>
      <c r="G454" s="181">
        <f t="shared" si="51"/>
        <v>2</v>
      </c>
      <c r="H454" s="182">
        <v>32291.928124071412</v>
      </c>
      <c r="I454" s="181">
        <v>13200</v>
      </c>
      <c r="J454" s="183">
        <v>41.269923839281375</v>
      </c>
      <c r="K454" s="181">
        <f t="shared" si="52"/>
        <v>6</v>
      </c>
      <c r="L454" s="181">
        <f t="shared" si="53"/>
        <v>2</v>
      </c>
      <c r="M454" s="181">
        <f t="shared" si="54"/>
        <v>1</v>
      </c>
      <c r="N454" s="182">
        <v>8202.1497435141391</v>
      </c>
      <c r="O454" s="181">
        <v>4800</v>
      </c>
      <c r="P454" s="181">
        <v>32496.003023056197</v>
      </c>
      <c r="Q454">
        <v>414</v>
      </c>
      <c r="R454">
        <v>1105.3024868650327</v>
      </c>
      <c r="S454" s="88">
        <f t="shared" si="55"/>
        <v>14521.452230379171</v>
      </c>
    </row>
    <row r="455" spans="1:19" x14ac:dyDescent="0.25">
      <c r="A455" s="327" t="s">
        <v>142</v>
      </c>
      <c r="B455" s="327" t="s">
        <v>129</v>
      </c>
      <c r="C455" s="328">
        <v>94.75793128240332</v>
      </c>
      <c r="D455" s="181">
        <v>94.75793128240332</v>
      </c>
      <c r="E455" s="181">
        <f t="shared" si="49"/>
        <v>12</v>
      </c>
      <c r="F455" s="181">
        <f t="shared" si="50"/>
        <v>3</v>
      </c>
      <c r="G455" s="181">
        <f t="shared" si="51"/>
        <v>1</v>
      </c>
      <c r="H455" s="182">
        <v>18832.570294789966</v>
      </c>
      <c r="I455" s="181">
        <v>6600</v>
      </c>
      <c r="J455" s="183">
        <v>24.068514545730444</v>
      </c>
      <c r="K455" s="181">
        <f t="shared" si="52"/>
        <v>4</v>
      </c>
      <c r="L455" s="181">
        <f t="shared" si="53"/>
        <v>1</v>
      </c>
      <c r="M455" s="181">
        <f t="shared" si="54"/>
        <v>1</v>
      </c>
      <c r="N455" s="182">
        <v>4783.4728548766525</v>
      </c>
      <c r="O455" s="181">
        <v>2400</v>
      </c>
      <c r="P455" s="181">
        <v>18951.586256480663</v>
      </c>
      <c r="Q455">
        <v>414</v>
      </c>
      <c r="R455">
        <v>1105.3024868650327</v>
      </c>
      <c r="S455" s="88">
        <f t="shared" si="55"/>
        <v>8702.7753417416861</v>
      </c>
    </row>
    <row r="456" spans="1:19" x14ac:dyDescent="0.25">
      <c r="A456" s="327" t="s">
        <v>142</v>
      </c>
      <c r="B456" s="327" t="s">
        <v>30</v>
      </c>
      <c r="C456" s="328">
        <v>223.56586605260006</v>
      </c>
      <c r="D456" s="181">
        <v>223.56586605260006</v>
      </c>
      <c r="E456" s="181">
        <f t="shared" si="49"/>
        <v>28</v>
      </c>
      <c r="F456" s="181">
        <f t="shared" si="50"/>
        <v>6</v>
      </c>
      <c r="G456" s="181">
        <f t="shared" si="51"/>
        <v>2</v>
      </c>
      <c r="H456" s="182">
        <v>44432.37448275795</v>
      </c>
      <c r="I456" s="181">
        <v>13200</v>
      </c>
      <c r="J456" s="183">
        <v>56.785729977360418</v>
      </c>
      <c r="K456" s="181">
        <f t="shared" si="52"/>
        <v>8</v>
      </c>
      <c r="L456" s="181">
        <f t="shared" si="53"/>
        <v>2</v>
      </c>
      <c r="M456" s="181">
        <f t="shared" si="54"/>
        <v>1</v>
      </c>
      <c r="N456" s="182">
        <v>11285.823118620521</v>
      </c>
      <c r="O456" s="181">
        <v>4800</v>
      </c>
      <c r="P456" s="181">
        <v>44713.173210520014</v>
      </c>
      <c r="Q456">
        <v>414</v>
      </c>
      <c r="R456">
        <v>1105.3024868650327</v>
      </c>
      <c r="S456" s="88">
        <f t="shared" si="55"/>
        <v>17605.125605485555</v>
      </c>
    </row>
    <row r="457" spans="1:19" x14ac:dyDescent="0.25">
      <c r="A457" s="327" t="s">
        <v>142</v>
      </c>
      <c r="B457" s="327" t="s">
        <v>31</v>
      </c>
      <c r="C457" s="328">
        <v>46.4</v>
      </c>
      <c r="D457" s="181">
        <v>46.4</v>
      </c>
      <c r="E457" s="181">
        <f t="shared" si="49"/>
        <v>6</v>
      </c>
      <c r="F457" s="181">
        <f t="shared" si="50"/>
        <v>2</v>
      </c>
      <c r="G457" s="181">
        <f t="shared" si="51"/>
        <v>1</v>
      </c>
      <c r="H457" s="182">
        <v>9221.7216000000008</v>
      </c>
      <c r="I457" s="181">
        <v>4800</v>
      </c>
      <c r="J457" s="183">
        <v>11.785600000000001</v>
      </c>
      <c r="K457" s="181">
        <f t="shared" si="52"/>
        <v>2</v>
      </c>
      <c r="L457" s="181">
        <f t="shared" si="53"/>
        <v>1</v>
      </c>
      <c r="M457" s="181">
        <f t="shared" si="54"/>
        <v>1</v>
      </c>
      <c r="N457" s="182">
        <v>2342.3172864000003</v>
      </c>
      <c r="O457" s="181">
        <v>1400</v>
      </c>
      <c r="P457" s="181">
        <v>9280</v>
      </c>
      <c r="Q457">
        <v>414</v>
      </c>
      <c r="R457">
        <v>1105.3024868650327</v>
      </c>
      <c r="S457" s="88">
        <f t="shared" si="55"/>
        <v>5261.6197732650326</v>
      </c>
    </row>
    <row r="458" spans="1:19" x14ac:dyDescent="0.25">
      <c r="A458" s="327" t="s">
        <v>142</v>
      </c>
      <c r="B458" s="327" t="s">
        <v>32</v>
      </c>
      <c r="C458" s="328">
        <v>371.27867026419102</v>
      </c>
      <c r="D458" s="181">
        <v>371.27867026419102</v>
      </c>
      <c r="E458" s="181">
        <f t="shared" si="49"/>
        <v>47</v>
      </c>
      <c r="F458" s="181">
        <f t="shared" si="50"/>
        <v>10</v>
      </c>
      <c r="G458" s="181">
        <f t="shared" si="51"/>
        <v>3</v>
      </c>
      <c r="H458" s="182">
        <v>73789.408042986397</v>
      </c>
      <c r="I458" s="181">
        <v>19800</v>
      </c>
      <c r="J458" s="183">
        <v>94.304782247104527</v>
      </c>
      <c r="K458" s="181">
        <f t="shared" si="52"/>
        <v>12</v>
      </c>
      <c r="L458" s="181">
        <f t="shared" si="53"/>
        <v>3</v>
      </c>
      <c r="M458" s="181">
        <f t="shared" si="54"/>
        <v>1</v>
      </c>
      <c r="N458" s="182">
        <v>18742.509642918543</v>
      </c>
      <c r="O458" s="181">
        <v>6600</v>
      </c>
      <c r="P458" s="181">
        <v>74255.734052838205</v>
      </c>
      <c r="Q458">
        <v>414</v>
      </c>
      <c r="R458">
        <v>1105.3024868650327</v>
      </c>
      <c r="S458" s="88">
        <f t="shared" si="55"/>
        <v>26861.812129783575</v>
      </c>
    </row>
    <row r="459" spans="1:19" x14ac:dyDescent="0.25">
      <c r="A459" s="327" t="s">
        <v>142</v>
      </c>
      <c r="B459" s="327" t="s">
        <v>33</v>
      </c>
      <c r="C459" s="328">
        <v>327.867497813608</v>
      </c>
      <c r="D459" s="181">
        <v>327.867497813608</v>
      </c>
      <c r="E459" s="181">
        <f t="shared" si="49"/>
        <v>41</v>
      </c>
      <c r="F459" s="181">
        <f t="shared" si="50"/>
        <v>9</v>
      </c>
      <c r="G459" s="181">
        <f t="shared" si="51"/>
        <v>3</v>
      </c>
      <c r="H459" s="182">
        <v>65161.697985467719</v>
      </c>
      <c r="I459" s="181">
        <v>19800</v>
      </c>
      <c r="J459" s="183">
        <v>83.278344444656426</v>
      </c>
      <c r="K459" s="181">
        <f t="shared" si="52"/>
        <v>11</v>
      </c>
      <c r="L459" s="181">
        <f t="shared" si="53"/>
        <v>3</v>
      </c>
      <c r="M459" s="181">
        <f t="shared" si="54"/>
        <v>1</v>
      </c>
      <c r="N459" s="182">
        <v>16551.071288308798</v>
      </c>
      <c r="O459" s="181">
        <v>6600</v>
      </c>
      <c r="P459" s="181">
        <v>65573.499562721598</v>
      </c>
      <c r="Q459">
        <v>414</v>
      </c>
      <c r="R459">
        <v>1105.3024868650327</v>
      </c>
      <c r="S459" s="88">
        <f t="shared" si="55"/>
        <v>24670.37377517383</v>
      </c>
    </row>
    <row r="460" spans="1:19" x14ac:dyDescent="0.25">
      <c r="A460" s="327" t="s">
        <v>142</v>
      </c>
      <c r="B460" s="327" t="s">
        <v>34</v>
      </c>
      <c r="C460" s="328">
        <v>159.03044196828702</v>
      </c>
      <c r="D460" s="181">
        <v>159.03044196828702</v>
      </c>
      <c r="E460" s="181">
        <f t="shared" si="49"/>
        <v>20</v>
      </c>
      <c r="F460" s="181">
        <f t="shared" si="50"/>
        <v>4</v>
      </c>
      <c r="G460" s="181">
        <f t="shared" si="51"/>
        <v>1</v>
      </c>
      <c r="H460" s="182">
        <v>31606.346158545239</v>
      </c>
      <c r="I460" s="181">
        <v>6600</v>
      </c>
      <c r="J460" s="183">
        <v>40.393732259944905</v>
      </c>
      <c r="K460" s="181">
        <f t="shared" si="52"/>
        <v>6</v>
      </c>
      <c r="L460" s="181">
        <f t="shared" si="53"/>
        <v>2</v>
      </c>
      <c r="M460" s="181">
        <f t="shared" si="54"/>
        <v>1</v>
      </c>
      <c r="N460" s="182">
        <v>8028.0119242704914</v>
      </c>
      <c r="O460" s="181">
        <v>4800</v>
      </c>
      <c r="P460" s="181">
        <v>31806.088393657403</v>
      </c>
      <c r="Q460">
        <v>414</v>
      </c>
      <c r="R460">
        <v>1105.3024868650327</v>
      </c>
      <c r="S460" s="88">
        <f t="shared" si="55"/>
        <v>14347.314411135525</v>
      </c>
    </row>
    <row r="461" spans="1:19" x14ac:dyDescent="0.25">
      <c r="A461" s="327" t="s">
        <v>142</v>
      </c>
      <c r="B461" s="327" t="s">
        <v>130</v>
      </c>
      <c r="C461" s="328">
        <v>110.44864117532499</v>
      </c>
      <c r="D461" s="181">
        <v>110.44864117532499</v>
      </c>
      <c r="E461" s="181">
        <f t="shared" si="49"/>
        <v>14</v>
      </c>
      <c r="F461" s="181">
        <f t="shared" si="50"/>
        <v>3</v>
      </c>
      <c r="G461" s="181">
        <f t="shared" si="51"/>
        <v>1</v>
      </c>
      <c r="H461" s="182">
        <v>21951.004741748795</v>
      </c>
      <c r="I461" s="181">
        <v>6600</v>
      </c>
      <c r="J461" s="183">
        <v>28.053954858532549</v>
      </c>
      <c r="K461" s="181">
        <f t="shared" si="52"/>
        <v>4</v>
      </c>
      <c r="L461" s="181">
        <f t="shared" si="53"/>
        <v>1</v>
      </c>
      <c r="M461" s="181">
        <f t="shared" si="54"/>
        <v>1</v>
      </c>
      <c r="N461" s="182">
        <v>5575.5552044041933</v>
      </c>
      <c r="O461" s="181">
        <v>2400</v>
      </c>
      <c r="P461" s="181">
        <v>22089.728235064998</v>
      </c>
      <c r="Q461">
        <v>414</v>
      </c>
      <c r="R461">
        <v>1105.3024868650327</v>
      </c>
      <c r="S461" s="88">
        <f t="shared" si="55"/>
        <v>9494.8576912692261</v>
      </c>
    </row>
    <row r="462" spans="1:19" x14ac:dyDescent="0.25">
      <c r="A462" s="327" t="s">
        <v>142</v>
      </c>
      <c r="B462" s="327" t="s">
        <v>35</v>
      </c>
      <c r="C462" s="328">
        <v>92.825640409695595</v>
      </c>
      <c r="D462" s="181">
        <v>92.825640409695595</v>
      </c>
      <c r="E462" s="181">
        <f t="shared" si="49"/>
        <v>12</v>
      </c>
      <c r="F462" s="181">
        <f t="shared" si="50"/>
        <v>3</v>
      </c>
      <c r="G462" s="181">
        <f t="shared" si="51"/>
        <v>1</v>
      </c>
      <c r="H462" s="182">
        <v>18448.539077584544</v>
      </c>
      <c r="I462" s="181">
        <v>6600</v>
      </c>
      <c r="J462" s="183">
        <v>23.57771266406268</v>
      </c>
      <c r="K462" s="181">
        <f t="shared" si="52"/>
        <v>3</v>
      </c>
      <c r="L462" s="181">
        <f t="shared" si="53"/>
        <v>1</v>
      </c>
      <c r="M462" s="181">
        <f t="shared" si="54"/>
        <v>1</v>
      </c>
      <c r="N462" s="182">
        <v>4685.9289257064738</v>
      </c>
      <c r="O462" s="181">
        <v>2100</v>
      </c>
      <c r="P462" s="181">
        <v>18565.128081939118</v>
      </c>
      <c r="Q462">
        <v>414</v>
      </c>
      <c r="R462">
        <v>1105.3024868650327</v>
      </c>
      <c r="S462" s="88">
        <f t="shared" si="55"/>
        <v>8305.2314125715056</v>
      </c>
    </row>
    <row r="463" spans="1:19" x14ac:dyDescent="0.25">
      <c r="A463" s="327" t="s">
        <v>142</v>
      </c>
      <c r="B463" s="327" t="s">
        <v>145</v>
      </c>
      <c r="C463" s="328">
        <v>75.179109554717797</v>
      </c>
      <c r="D463" s="181">
        <v>75.179109554717797</v>
      </c>
      <c r="E463" s="181">
        <f t="shared" si="49"/>
        <v>10</v>
      </c>
      <c r="F463" s="181">
        <f t="shared" si="50"/>
        <v>2</v>
      </c>
      <c r="G463" s="181">
        <f t="shared" si="51"/>
        <v>1</v>
      </c>
      <c r="H463" s="182">
        <v>14941.396949342836</v>
      </c>
      <c r="I463" s="181">
        <v>4800</v>
      </c>
      <c r="J463" s="183">
        <v>19.09549382689832</v>
      </c>
      <c r="K463" s="181">
        <f t="shared" si="52"/>
        <v>3</v>
      </c>
      <c r="L463" s="181">
        <f t="shared" si="53"/>
        <v>1</v>
      </c>
      <c r="M463" s="181">
        <f t="shared" si="54"/>
        <v>1</v>
      </c>
      <c r="N463" s="182">
        <v>3795.1148251330801</v>
      </c>
      <c r="O463" s="181">
        <v>2100</v>
      </c>
      <c r="P463" s="181">
        <v>15035.821910943559</v>
      </c>
      <c r="Q463">
        <v>414</v>
      </c>
      <c r="R463">
        <v>1105.3024868650327</v>
      </c>
      <c r="S463" s="88">
        <f t="shared" si="55"/>
        <v>7414.4173119981133</v>
      </c>
    </row>
    <row r="464" spans="1:19" x14ac:dyDescent="0.25">
      <c r="A464" s="327" t="s">
        <v>142</v>
      </c>
      <c r="B464" s="327" t="s">
        <v>36</v>
      </c>
      <c r="C464" s="328">
        <v>248.03090243499986</v>
      </c>
      <c r="D464" s="181">
        <v>248.03090243499986</v>
      </c>
      <c r="E464" s="181">
        <f t="shared" si="49"/>
        <v>32</v>
      </c>
      <c r="F464" s="181">
        <f t="shared" si="50"/>
        <v>7</v>
      </c>
      <c r="G464" s="181">
        <f t="shared" si="51"/>
        <v>2</v>
      </c>
      <c r="H464" s="182">
        <v>49294.653673541616</v>
      </c>
      <c r="I464" s="181">
        <v>13200</v>
      </c>
      <c r="J464" s="183">
        <v>62.999849218489963</v>
      </c>
      <c r="K464" s="181">
        <f t="shared" si="52"/>
        <v>8</v>
      </c>
      <c r="L464" s="181">
        <f t="shared" si="53"/>
        <v>2</v>
      </c>
      <c r="M464" s="181">
        <f t="shared" si="54"/>
        <v>1</v>
      </c>
      <c r="N464" s="182">
        <v>12520.842033079571</v>
      </c>
      <c r="O464" s="181">
        <v>4800</v>
      </c>
      <c r="P464" s="181">
        <v>49606.180486999969</v>
      </c>
      <c r="Q464">
        <v>414</v>
      </c>
      <c r="R464">
        <v>1105.3024868650327</v>
      </c>
      <c r="S464" s="88">
        <f t="shared" si="55"/>
        <v>18840.144519944603</v>
      </c>
    </row>
    <row r="465" spans="1:19" x14ac:dyDescent="0.25">
      <c r="A465" s="327" t="s">
        <v>142</v>
      </c>
      <c r="B465" s="327" t="s">
        <v>37</v>
      </c>
      <c r="C465" s="328">
        <v>182.43984170529504</v>
      </c>
      <c r="D465" s="181">
        <v>182.43984170529504</v>
      </c>
      <c r="E465" s="181">
        <f t="shared" si="49"/>
        <v>23</v>
      </c>
      <c r="F465" s="181">
        <f t="shared" si="50"/>
        <v>5</v>
      </c>
      <c r="G465" s="181">
        <f t="shared" si="51"/>
        <v>2</v>
      </c>
      <c r="H465" s="182">
        <v>36258.823899877163</v>
      </c>
      <c r="I465" s="181">
        <v>13200</v>
      </c>
      <c r="J465" s="183">
        <v>46.339719793144937</v>
      </c>
      <c r="K465" s="181">
        <f t="shared" si="52"/>
        <v>6</v>
      </c>
      <c r="L465" s="181">
        <f t="shared" si="53"/>
        <v>2</v>
      </c>
      <c r="M465" s="181">
        <f t="shared" si="54"/>
        <v>1</v>
      </c>
      <c r="N465" s="182">
        <v>9209.7412705687984</v>
      </c>
      <c r="O465" s="181">
        <v>4800</v>
      </c>
      <c r="P465" s="181">
        <v>36487.968341059008</v>
      </c>
      <c r="Q465">
        <v>414</v>
      </c>
      <c r="R465">
        <v>1105.3024868650327</v>
      </c>
      <c r="S465" s="88">
        <f t="shared" si="55"/>
        <v>15529.043757433832</v>
      </c>
    </row>
    <row r="466" spans="1:19" x14ac:dyDescent="0.25">
      <c r="A466" s="327" t="s">
        <v>142</v>
      </c>
      <c r="B466" s="327" t="s">
        <v>38</v>
      </c>
      <c r="C466" s="328">
        <v>105.527376954738</v>
      </c>
      <c r="D466" s="181">
        <v>105.527376954738</v>
      </c>
      <c r="E466" s="181">
        <f t="shared" si="49"/>
        <v>14</v>
      </c>
      <c r="F466" s="181">
        <f t="shared" si="50"/>
        <v>3</v>
      </c>
      <c r="G466" s="181">
        <f t="shared" si="51"/>
        <v>1</v>
      </c>
      <c r="H466" s="182">
        <v>20972.933005492454</v>
      </c>
      <c r="I466" s="181">
        <v>6600</v>
      </c>
      <c r="J466" s="183">
        <v>26.803953746503453</v>
      </c>
      <c r="K466" s="181">
        <f t="shared" si="52"/>
        <v>4</v>
      </c>
      <c r="L466" s="181">
        <f t="shared" si="53"/>
        <v>1</v>
      </c>
      <c r="M466" s="181">
        <f t="shared" si="54"/>
        <v>1</v>
      </c>
      <c r="N466" s="182">
        <v>5327.1249833950833</v>
      </c>
      <c r="O466" s="181">
        <v>2400</v>
      </c>
      <c r="P466" s="181">
        <v>21105.475390947602</v>
      </c>
      <c r="Q466">
        <v>414</v>
      </c>
      <c r="R466">
        <v>1105.3024868650327</v>
      </c>
      <c r="S466" s="88">
        <f t="shared" si="55"/>
        <v>9246.427470260116</v>
      </c>
    </row>
    <row r="467" spans="1:19" x14ac:dyDescent="0.25">
      <c r="A467" s="327" t="s">
        <v>142</v>
      </c>
      <c r="B467" s="327" t="s">
        <v>39</v>
      </c>
      <c r="C467" s="328">
        <v>144.47236140497617</v>
      </c>
      <c r="D467" s="181">
        <v>144.47236140497617</v>
      </c>
      <c r="E467" s="181">
        <f t="shared" si="49"/>
        <v>19</v>
      </c>
      <c r="F467" s="181">
        <f t="shared" si="50"/>
        <v>4</v>
      </c>
      <c r="G467" s="181">
        <f t="shared" si="51"/>
        <v>1</v>
      </c>
      <c r="H467" s="182">
        <v>28713.014995070589</v>
      </c>
      <c r="I467" s="181">
        <v>6600</v>
      </c>
      <c r="J467" s="183">
        <v>36.695979796863945</v>
      </c>
      <c r="K467" s="181">
        <f t="shared" si="52"/>
        <v>5</v>
      </c>
      <c r="L467" s="181">
        <f t="shared" si="53"/>
        <v>1</v>
      </c>
      <c r="M467" s="181">
        <f t="shared" si="54"/>
        <v>1</v>
      </c>
      <c r="N467" s="182">
        <v>7293.1058087479287</v>
      </c>
      <c r="O467" s="181">
        <v>2400</v>
      </c>
      <c r="P467" s="181">
        <v>28894.472280995233</v>
      </c>
      <c r="Q467">
        <v>414</v>
      </c>
      <c r="R467">
        <v>1105.3024868650327</v>
      </c>
      <c r="S467" s="88">
        <f t="shared" si="55"/>
        <v>11212.408295612961</v>
      </c>
    </row>
    <row r="468" spans="1:19" x14ac:dyDescent="0.25">
      <c r="A468" s="327" t="s">
        <v>142</v>
      </c>
      <c r="B468" s="327" t="s">
        <v>40</v>
      </c>
      <c r="C468" s="328">
        <v>285.804926829745</v>
      </c>
      <c r="D468" s="181">
        <v>285.804926829745</v>
      </c>
      <c r="E468" s="181">
        <f t="shared" si="49"/>
        <v>36</v>
      </c>
      <c r="F468" s="181">
        <f t="shared" si="50"/>
        <v>8</v>
      </c>
      <c r="G468" s="181">
        <f t="shared" si="51"/>
        <v>2</v>
      </c>
      <c r="H468" s="182">
        <v>56802.01437785085</v>
      </c>
      <c r="I468" s="181">
        <v>13200</v>
      </c>
      <c r="J468" s="183">
        <v>72.594451414755227</v>
      </c>
      <c r="K468" s="181">
        <f t="shared" si="52"/>
        <v>10</v>
      </c>
      <c r="L468" s="181">
        <f t="shared" si="53"/>
        <v>2</v>
      </c>
      <c r="M468" s="181">
        <f t="shared" si="54"/>
        <v>1</v>
      </c>
      <c r="N468" s="182">
        <v>14427.711651974116</v>
      </c>
      <c r="O468" s="181">
        <v>4800</v>
      </c>
      <c r="P468" s="181">
        <v>57160.985365949004</v>
      </c>
      <c r="Q468">
        <v>414</v>
      </c>
      <c r="R468">
        <v>1105.3024868650327</v>
      </c>
      <c r="S468" s="88">
        <f t="shared" si="55"/>
        <v>20747.014138839149</v>
      </c>
    </row>
    <row r="469" spans="1:19" x14ac:dyDescent="0.25">
      <c r="A469" s="327" t="s">
        <v>142</v>
      </c>
      <c r="B469" s="327" t="s">
        <v>41</v>
      </c>
      <c r="C469" s="328">
        <v>73.938503372355498</v>
      </c>
      <c r="D469" s="181">
        <v>73.938503372355498</v>
      </c>
      <c r="E469" s="181">
        <f t="shared" si="49"/>
        <v>10</v>
      </c>
      <c r="F469" s="181">
        <f t="shared" si="50"/>
        <v>2</v>
      </c>
      <c r="G469" s="181">
        <f t="shared" si="51"/>
        <v>1</v>
      </c>
      <c r="H469" s="182">
        <v>14694.833914235423</v>
      </c>
      <c r="I469" s="181">
        <v>4800</v>
      </c>
      <c r="J469" s="183">
        <v>18.780379856578296</v>
      </c>
      <c r="K469" s="181">
        <f t="shared" si="52"/>
        <v>3</v>
      </c>
      <c r="L469" s="181">
        <f t="shared" si="53"/>
        <v>1</v>
      </c>
      <c r="M469" s="181">
        <f t="shared" si="54"/>
        <v>1</v>
      </c>
      <c r="N469" s="182">
        <v>3732.4878142157972</v>
      </c>
      <c r="O469" s="181">
        <v>2100</v>
      </c>
      <c r="P469" s="181">
        <v>14787.7006744711</v>
      </c>
      <c r="Q469">
        <v>414</v>
      </c>
      <c r="R469">
        <v>1105.3024868650327</v>
      </c>
      <c r="S469" s="88">
        <f t="shared" si="55"/>
        <v>7351.7903010808295</v>
      </c>
    </row>
    <row r="470" spans="1:19" x14ac:dyDescent="0.25">
      <c r="A470" s="327" t="s">
        <v>142</v>
      </c>
      <c r="B470" s="327" t="s">
        <v>131</v>
      </c>
      <c r="C470" s="328">
        <v>51.749208643597797</v>
      </c>
      <c r="D470" s="181">
        <v>51.749208643597797</v>
      </c>
      <c r="E470" s="181">
        <f t="shared" si="49"/>
        <v>7</v>
      </c>
      <c r="F470" s="181">
        <f t="shared" si="50"/>
        <v>2</v>
      </c>
      <c r="G470" s="181">
        <f t="shared" si="51"/>
        <v>1</v>
      </c>
      <c r="H470" s="182">
        <v>10284.844722663202</v>
      </c>
      <c r="I470" s="181">
        <v>4800</v>
      </c>
      <c r="J470" s="183">
        <v>13.144298995473841</v>
      </c>
      <c r="K470" s="181">
        <f t="shared" si="52"/>
        <v>2</v>
      </c>
      <c r="L470" s="181">
        <f t="shared" si="53"/>
        <v>1</v>
      </c>
      <c r="M470" s="181">
        <f t="shared" si="54"/>
        <v>1</v>
      </c>
      <c r="N470" s="182">
        <v>2612.3505595564534</v>
      </c>
      <c r="O470" s="181">
        <v>1400</v>
      </c>
      <c r="P470" s="181">
        <v>10349.841728719559</v>
      </c>
      <c r="Q470">
        <v>414</v>
      </c>
      <c r="R470">
        <v>1105.3024868650327</v>
      </c>
      <c r="S470" s="88">
        <f t="shared" si="55"/>
        <v>5531.6530464214866</v>
      </c>
    </row>
    <row r="471" spans="1:19" x14ac:dyDescent="0.25">
      <c r="A471" s="327" t="s">
        <v>142</v>
      </c>
      <c r="B471" s="327" t="s">
        <v>42</v>
      </c>
      <c r="C471" s="328">
        <v>237.24007378688106</v>
      </c>
      <c r="D471" s="181">
        <v>237.24007378688106</v>
      </c>
      <c r="E471" s="181">
        <f t="shared" si="49"/>
        <v>30</v>
      </c>
      <c r="F471" s="181">
        <f t="shared" si="50"/>
        <v>6</v>
      </c>
      <c r="G471" s="181">
        <f t="shared" si="51"/>
        <v>2</v>
      </c>
      <c r="H471" s="182">
        <v>47150.041224699897</v>
      </c>
      <c r="I471" s="181">
        <v>13200</v>
      </c>
      <c r="J471" s="183">
        <v>60.258978741867786</v>
      </c>
      <c r="K471" s="181">
        <f t="shared" si="52"/>
        <v>8</v>
      </c>
      <c r="L471" s="181">
        <f t="shared" si="53"/>
        <v>2</v>
      </c>
      <c r="M471" s="181">
        <f t="shared" si="54"/>
        <v>1</v>
      </c>
      <c r="N471" s="182">
        <v>11976.110471073773</v>
      </c>
      <c r="O471" s="181">
        <v>4800</v>
      </c>
      <c r="P471" s="181">
        <v>47448.014757376208</v>
      </c>
      <c r="Q471">
        <v>414</v>
      </c>
      <c r="R471">
        <v>1105.3024868650327</v>
      </c>
      <c r="S471" s="88">
        <f t="shared" si="55"/>
        <v>18295.412957938806</v>
      </c>
    </row>
    <row r="472" spans="1:19" x14ac:dyDescent="0.25">
      <c r="A472" s="327" t="s">
        <v>142</v>
      </c>
      <c r="B472" s="327" t="s">
        <v>43</v>
      </c>
      <c r="C472" s="328">
        <v>497.33628658645318</v>
      </c>
      <c r="D472" s="181">
        <v>497.33628658645318</v>
      </c>
      <c r="E472" s="181">
        <f t="shared" si="49"/>
        <v>63</v>
      </c>
      <c r="F472" s="181">
        <f t="shared" si="50"/>
        <v>13</v>
      </c>
      <c r="G472" s="181">
        <f t="shared" si="51"/>
        <v>4</v>
      </c>
      <c r="H472" s="182">
        <v>98842.60294133806</v>
      </c>
      <c r="I472" s="181">
        <v>26400</v>
      </c>
      <c r="J472" s="183">
        <v>126.32341679295911</v>
      </c>
      <c r="K472" s="181">
        <f t="shared" si="52"/>
        <v>16</v>
      </c>
      <c r="L472" s="181">
        <f t="shared" si="53"/>
        <v>4</v>
      </c>
      <c r="M472" s="181">
        <f t="shared" si="54"/>
        <v>1</v>
      </c>
      <c r="N472" s="182">
        <v>25106.021147099869</v>
      </c>
      <c r="O472" s="181">
        <v>6600</v>
      </c>
      <c r="P472" s="181">
        <v>99467.257317290641</v>
      </c>
      <c r="Q472">
        <v>414</v>
      </c>
      <c r="R472">
        <v>1105.3024868650327</v>
      </c>
      <c r="S472" s="88">
        <f t="shared" si="55"/>
        <v>33225.323633964901</v>
      </c>
    </row>
    <row r="473" spans="1:19" x14ac:dyDescent="0.25">
      <c r="A473" s="327" t="s">
        <v>142</v>
      </c>
      <c r="B473" s="327" t="s">
        <v>44</v>
      </c>
      <c r="C473" s="328">
        <v>308.1101287298884</v>
      </c>
      <c r="D473" s="181">
        <v>308.1101287298884</v>
      </c>
      <c r="E473" s="181">
        <f t="shared" si="49"/>
        <v>39</v>
      </c>
      <c r="F473" s="181">
        <f t="shared" si="50"/>
        <v>8</v>
      </c>
      <c r="G473" s="181">
        <f t="shared" si="51"/>
        <v>2</v>
      </c>
      <c r="H473" s="182">
        <v>61235.039424292947</v>
      </c>
      <c r="I473" s="181">
        <v>13200</v>
      </c>
      <c r="J473" s="183">
        <v>78.25997269739166</v>
      </c>
      <c r="K473" s="181">
        <f t="shared" si="52"/>
        <v>10</v>
      </c>
      <c r="L473" s="181">
        <f t="shared" si="53"/>
        <v>2</v>
      </c>
      <c r="M473" s="181">
        <f t="shared" si="54"/>
        <v>1</v>
      </c>
      <c r="N473" s="182">
        <v>15553.700013770411</v>
      </c>
      <c r="O473" s="181">
        <v>4800</v>
      </c>
      <c r="P473" s="181">
        <v>61622.025745977677</v>
      </c>
      <c r="Q473">
        <v>414</v>
      </c>
      <c r="R473">
        <v>1105.3024868650327</v>
      </c>
      <c r="S473" s="88">
        <f t="shared" si="55"/>
        <v>21873.002500635444</v>
      </c>
    </row>
    <row r="474" spans="1:19" x14ac:dyDescent="0.25">
      <c r="A474" s="327" t="s">
        <v>142</v>
      </c>
      <c r="B474" s="327" t="s">
        <v>45</v>
      </c>
      <c r="C474" s="328">
        <v>104.36077465419243</v>
      </c>
      <c r="D474" s="181">
        <v>104.36077465419243</v>
      </c>
      <c r="E474" s="181">
        <f t="shared" si="49"/>
        <v>14</v>
      </c>
      <c r="F474" s="181">
        <f t="shared" si="50"/>
        <v>3</v>
      </c>
      <c r="G474" s="181">
        <f t="shared" si="51"/>
        <v>1</v>
      </c>
      <c r="H474" s="182">
        <v>20741.077797872822</v>
      </c>
      <c r="I474" s="181">
        <v>6600</v>
      </c>
      <c r="J474" s="183">
        <v>26.507636762164875</v>
      </c>
      <c r="K474" s="181">
        <f t="shared" si="52"/>
        <v>4</v>
      </c>
      <c r="L474" s="181">
        <f t="shared" si="53"/>
        <v>1</v>
      </c>
      <c r="M474" s="181">
        <f t="shared" si="54"/>
        <v>1</v>
      </c>
      <c r="N474" s="182">
        <v>5268.2337606596966</v>
      </c>
      <c r="O474" s="181">
        <v>2400</v>
      </c>
      <c r="P474" s="181">
        <v>20872.154930838486</v>
      </c>
      <c r="Q474">
        <v>414</v>
      </c>
      <c r="R474">
        <v>1105.3024868650327</v>
      </c>
      <c r="S474" s="88">
        <f t="shared" si="55"/>
        <v>9187.5362475247293</v>
      </c>
    </row>
    <row r="475" spans="1:19" x14ac:dyDescent="0.25">
      <c r="A475" s="327" t="s">
        <v>142</v>
      </c>
      <c r="B475" s="327" t="s">
        <v>46</v>
      </c>
      <c r="C475" s="328">
        <v>318.46770873005829</v>
      </c>
      <c r="D475" s="181">
        <v>318.46770873005829</v>
      </c>
      <c r="E475" s="181">
        <f t="shared" si="49"/>
        <v>40</v>
      </c>
      <c r="F475" s="181">
        <f t="shared" si="50"/>
        <v>8</v>
      </c>
      <c r="G475" s="181">
        <f t="shared" si="51"/>
        <v>2</v>
      </c>
      <c r="H475" s="182">
        <v>63293.546303846713</v>
      </c>
      <c r="I475" s="181">
        <v>13200</v>
      </c>
      <c r="J475" s="183">
        <v>80.890798017434804</v>
      </c>
      <c r="K475" s="181">
        <f t="shared" si="52"/>
        <v>11</v>
      </c>
      <c r="L475" s="181">
        <f t="shared" si="53"/>
        <v>3</v>
      </c>
      <c r="M475" s="181">
        <f t="shared" si="54"/>
        <v>1</v>
      </c>
      <c r="N475" s="182">
        <v>16076.560761177065</v>
      </c>
      <c r="O475" s="181">
        <v>6600</v>
      </c>
      <c r="P475" s="181">
        <v>63693.541746011659</v>
      </c>
      <c r="Q475">
        <v>414</v>
      </c>
      <c r="R475">
        <v>1105.3024868650327</v>
      </c>
      <c r="S475" s="88">
        <f t="shared" si="55"/>
        <v>24195.863248042097</v>
      </c>
    </row>
    <row r="476" spans="1:19" x14ac:dyDescent="0.25">
      <c r="A476" s="327" t="s">
        <v>142</v>
      </c>
      <c r="B476" s="327" t="s">
        <v>47</v>
      </c>
      <c r="C476" s="328">
        <v>379.46341693216021</v>
      </c>
      <c r="D476" s="181">
        <v>379.46341693216021</v>
      </c>
      <c r="E476" s="181">
        <f t="shared" si="49"/>
        <v>48</v>
      </c>
      <c r="F476" s="181">
        <f t="shared" si="50"/>
        <v>10</v>
      </c>
      <c r="G476" s="181">
        <f t="shared" si="51"/>
        <v>3</v>
      </c>
      <c r="H476" s="182">
        <v>75416.077334765258</v>
      </c>
      <c r="I476" s="181">
        <v>19800</v>
      </c>
      <c r="J476" s="183">
        <v>96.383707900768698</v>
      </c>
      <c r="K476" s="181">
        <f t="shared" si="52"/>
        <v>13</v>
      </c>
      <c r="L476" s="181">
        <f t="shared" si="53"/>
        <v>3</v>
      </c>
      <c r="M476" s="181">
        <f t="shared" si="54"/>
        <v>1</v>
      </c>
      <c r="N476" s="182">
        <v>19155.683643030377</v>
      </c>
      <c r="O476" s="181">
        <v>6600</v>
      </c>
      <c r="P476" s="181">
        <v>75892.683386432036</v>
      </c>
      <c r="Q476">
        <v>414</v>
      </c>
      <c r="R476">
        <v>1105.3024868650327</v>
      </c>
      <c r="S476" s="88">
        <f t="shared" si="55"/>
        <v>27274.986129895409</v>
      </c>
    </row>
    <row r="477" spans="1:19" x14ac:dyDescent="0.25">
      <c r="A477" s="327" t="s">
        <v>142</v>
      </c>
      <c r="B477" s="327" t="s">
        <v>48</v>
      </c>
      <c r="C477" s="328">
        <v>300.57263512681931</v>
      </c>
      <c r="D477" s="181">
        <v>300.57263512681931</v>
      </c>
      <c r="E477" s="181">
        <f t="shared" si="49"/>
        <v>38</v>
      </c>
      <c r="F477" s="181">
        <f t="shared" si="50"/>
        <v>8</v>
      </c>
      <c r="G477" s="181">
        <f t="shared" si="51"/>
        <v>2</v>
      </c>
      <c r="H477" s="182">
        <v>59737.007795644582</v>
      </c>
      <c r="I477" s="181">
        <v>13200</v>
      </c>
      <c r="J477" s="183">
        <v>76.345449322212104</v>
      </c>
      <c r="K477" s="181">
        <f t="shared" si="52"/>
        <v>10</v>
      </c>
      <c r="L477" s="181">
        <f t="shared" si="53"/>
        <v>2</v>
      </c>
      <c r="M477" s="181">
        <f t="shared" si="54"/>
        <v>1</v>
      </c>
      <c r="N477" s="182">
        <v>15173.199980093725</v>
      </c>
      <c r="O477" s="181">
        <v>4800</v>
      </c>
      <c r="P477" s="181">
        <v>60114.527025363859</v>
      </c>
      <c r="Q477">
        <v>414</v>
      </c>
      <c r="R477">
        <v>1105.3024868650327</v>
      </c>
      <c r="S477" s="88">
        <f t="shared" si="55"/>
        <v>21492.502466958758</v>
      </c>
    </row>
    <row r="478" spans="1:19" x14ac:dyDescent="0.25">
      <c r="A478" s="327" t="s">
        <v>142</v>
      </c>
      <c r="B478" s="327" t="s">
        <v>49</v>
      </c>
      <c r="C478" s="328">
        <v>403.13330647215156</v>
      </c>
      <c r="D478" s="181">
        <v>403.13330647215156</v>
      </c>
      <c r="E478" s="181">
        <f t="shared" si="49"/>
        <v>51</v>
      </c>
      <c r="F478" s="181">
        <f t="shared" si="50"/>
        <v>11</v>
      </c>
      <c r="G478" s="181">
        <f t="shared" si="51"/>
        <v>3</v>
      </c>
      <c r="H478" s="182">
        <v>80120.325861501304</v>
      </c>
      <c r="I478" s="181">
        <v>19800</v>
      </c>
      <c r="J478" s="183">
        <v>102.3958598439265</v>
      </c>
      <c r="K478" s="181">
        <f t="shared" si="52"/>
        <v>13</v>
      </c>
      <c r="L478" s="181">
        <f t="shared" si="53"/>
        <v>3</v>
      </c>
      <c r="M478" s="181">
        <f t="shared" si="54"/>
        <v>1</v>
      </c>
      <c r="N478" s="182">
        <v>20350.562768821332</v>
      </c>
      <c r="O478" s="181">
        <v>6600</v>
      </c>
      <c r="P478" s="181">
        <v>80626.661294430305</v>
      </c>
      <c r="Q478">
        <v>414</v>
      </c>
      <c r="R478">
        <v>1105.3024868650327</v>
      </c>
      <c r="S478" s="88">
        <f t="shared" si="55"/>
        <v>28469.865255686364</v>
      </c>
    </row>
    <row r="479" spans="1:19" x14ac:dyDescent="0.25">
      <c r="A479" s="327" t="s">
        <v>142</v>
      </c>
      <c r="B479" s="327" t="s">
        <v>50</v>
      </c>
      <c r="C479" s="328">
        <v>261.76065372653915</v>
      </c>
      <c r="D479" s="181">
        <v>261.76065372653915</v>
      </c>
      <c r="E479" s="181">
        <f t="shared" si="49"/>
        <v>33</v>
      </c>
      <c r="F479" s="181">
        <f t="shared" si="50"/>
        <v>7</v>
      </c>
      <c r="G479" s="181">
        <f t="shared" si="51"/>
        <v>2</v>
      </c>
      <c r="H479" s="182">
        <v>52023.359364227304</v>
      </c>
      <c r="I479" s="181">
        <v>13200</v>
      </c>
      <c r="J479" s="183">
        <v>66.487206046540948</v>
      </c>
      <c r="K479" s="181">
        <f t="shared" si="52"/>
        <v>9</v>
      </c>
      <c r="L479" s="181">
        <f t="shared" si="53"/>
        <v>2</v>
      </c>
      <c r="M479" s="181">
        <f t="shared" si="54"/>
        <v>1</v>
      </c>
      <c r="N479" s="182">
        <v>13213.933278513736</v>
      </c>
      <c r="O479" s="181">
        <v>4800</v>
      </c>
      <c r="P479" s="181">
        <v>52352.130745307826</v>
      </c>
      <c r="Q479">
        <v>414</v>
      </c>
      <c r="R479">
        <v>1105.3024868650327</v>
      </c>
      <c r="S479" s="88">
        <f t="shared" si="55"/>
        <v>19533.235765378769</v>
      </c>
    </row>
    <row r="480" spans="1:19" x14ac:dyDescent="0.25">
      <c r="A480" s="327" t="s">
        <v>142</v>
      </c>
      <c r="B480" s="327" t="s">
        <v>51</v>
      </c>
      <c r="C480" s="328">
        <v>221.82230493146375</v>
      </c>
      <c r="D480" s="181">
        <v>221.82230493146375</v>
      </c>
      <c r="E480" s="181">
        <f t="shared" si="49"/>
        <v>28</v>
      </c>
      <c r="F480" s="181">
        <f t="shared" si="50"/>
        <v>6</v>
      </c>
      <c r="G480" s="181">
        <f t="shared" si="51"/>
        <v>2</v>
      </c>
      <c r="H480" s="182">
        <v>44085.852171298837</v>
      </c>
      <c r="I480" s="181">
        <v>13200</v>
      </c>
      <c r="J480" s="183">
        <v>56.342865452591795</v>
      </c>
      <c r="K480" s="181">
        <f t="shared" si="52"/>
        <v>8</v>
      </c>
      <c r="L480" s="181">
        <f t="shared" si="53"/>
        <v>2</v>
      </c>
      <c r="M480" s="181">
        <f t="shared" si="54"/>
        <v>1</v>
      </c>
      <c r="N480" s="182">
        <v>11197.806451509905</v>
      </c>
      <c r="O480" s="181">
        <v>4800</v>
      </c>
      <c r="P480" s="181">
        <v>44364.460986292746</v>
      </c>
      <c r="Q480">
        <v>414</v>
      </c>
      <c r="R480">
        <v>1105.3024868650327</v>
      </c>
      <c r="S480" s="88">
        <f t="shared" si="55"/>
        <v>17517.108938374939</v>
      </c>
    </row>
    <row r="481" spans="1:19" x14ac:dyDescent="0.25">
      <c r="A481" s="327" t="s">
        <v>142</v>
      </c>
      <c r="B481" s="327" t="s">
        <v>52</v>
      </c>
      <c r="C481" s="328">
        <v>244.59045552333055</v>
      </c>
      <c r="D481" s="181">
        <v>244.59045552333055</v>
      </c>
      <c r="E481" s="181">
        <f t="shared" si="49"/>
        <v>31</v>
      </c>
      <c r="F481" s="181">
        <f t="shared" si="50"/>
        <v>7</v>
      </c>
      <c r="G481" s="181">
        <f t="shared" si="51"/>
        <v>2</v>
      </c>
      <c r="H481" s="182">
        <v>48610.885492528811</v>
      </c>
      <c r="I481" s="181">
        <v>13200</v>
      </c>
      <c r="J481" s="183">
        <v>62.125975702925963</v>
      </c>
      <c r="K481" s="181">
        <f t="shared" si="52"/>
        <v>8</v>
      </c>
      <c r="L481" s="181">
        <f t="shared" si="53"/>
        <v>2</v>
      </c>
      <c r="M481" s="181">
        <f t="shared" si="54"/>
        <v>1</v>
      </c>
      <c r="N481" s="182">
        <v>12347.164915102319</v>
      </c>
      <c r="O481" s="181">
        <v>4800</v>
      </c>
      <c r="P481" s="181">
        <v>48918.091104666106</v>
      </c>
      <c r="Q481">
        <v>414</v>
      </c>
      <c r="R481">
        <v>1105.3024868650327</v>
      </c>
      <c r="S481" s="88">
        <f t="shared" si="55"/>
        <v>18666.467401967351</v>
      </c>
    </row>
    <row r="482" spans="1:19" x14ac:dyDescent="0.25">
      <c r="A482" s="327" t="s">
        <v>142</v>
      </c>
      <c r="B482" s="327" t="s">
        <v>53</v>
      </c>
      <c r="C482" s="328">
        <v>113.81939225839545</v>
      </c>
      <c r="D482" s="181">
        <v>113.81939225839545</v>
      </c>
      <c r="E482" s="181">
        <f t="shared" si="49"/>
        <v>15</v>
      </c>
      <c r="F482" s="181">
        <f t="shared" si="50"/>
        <v>3</v>
      </c>
      <c r="G482" s="181">
        <f t="shared" si="51"/>
        <v>1</v>
      </c>
      <c r="H482" s="182">
        <v>22620.92129500255</v>
      </c>
      <c r="I482" s="181">
        <v>6600</v>
      </c>
      <c r="J482" s="183">
        <v>28.910125633632447</v>
      </c>
      <c r="K482" s="181">
        <f t="shared" si="52"/>
        <v>4</v>
      </c>
      <c r="L482" s="181">
        <f t="shared" si="53"/>
        <v>1</v>
      </c>
      <c r="M482" s="181">
        <f t="shared" si="54"/>
        <v>1</v>
      </c>
      <c r="N482" s="182">
        <v>5745.7140089306477</v>
      </c>
      <c r="O482" s="181">
        <v>2400</v>
      </c>
      <c r="P482" s="181">
        <v>22763.878451679091</v>
      </c>
      <c r="Q482">
        <v>414</v>
      </c>
      <c r="R482">
        <v>1105.3024868650327</v>
      </c>
      <c r="S482" s="88">
        <f t="shared" si="55"/>
        <v>9665.0164957956804</v>
      </c>
    </row>
    <row r="483" spans="1:19" x14ac:dyDescent="0.25">
      <c r="A483" s="327" t="s">
        <v>142</v>
      </c>
      <c r="B483" s="327" t="s">
        <v>54</v>
      </c>
      <c r="C483" s="328">
        <v>58.002061732068618</v>
      </c>
      <c r="D483" s="181">
        <v>58.002061732068618</v>
      </c>
      <c r="E483" s="181">
        <f t="shared" si="49"/>
        <v>8</v>
      </c>
      <c r="F483" s="181">
        <f t="shared" si="50"/>
        <v>2</v>
      </c>
      <c r="G483" s="181">
        <f t="shared" si="51"/>
        <v>1</v>
      </c>
      <c r="H483" s="182">
        <v>11527.561756878247</v>
      </c>
      <c r="I483" s="181">
        <v>4800</v>
      </c>
      <c r="J483" s="183">
        <v>14.732523679945428</v>
      </c>
      <c r="K483" s="181">
        <f t="shared" si="52"/>
        <v>2</v>
      </c>
      <c r="L483" s="181">
        <f t="shared" si="53"/>
        <v>1</v>
      </c>
      <c r="M483" s="181">
        <f t="shared" si="54"/>
        <v>1</v>
      </c>
      <c r="N483" s="182">
        <v>2928.0006862470746</v>
      </c>
      <c r="O483" s="181">
        <v>1400</v>
      </c>
      <c r="P483" s="181">
        <v>11600.412346413723</v>
      </c>
      <c r="Q483">
        <v>414</v>
      </c>
      <c r="R483">
        <v>1105.3024868650327</v>
      </c>
      <c r="S483" s="88">
        <f t="shared" si="55"/>
        <v>5847.3031731121073</v>
      </c>
    </row>
    <row r="484" spans="1:19" x14ac:dyDescent="0.25">
      <c r="A484" s="327" t="s">
        <v>142</v>
      </c>
      <c r="B484" s="327" t="s">
        <v>55</v>
      </c>
      <c r="C484" s="328">
        <v>98.122969491392709</v>
      </c>
      <c r="D484" s="181">
        <v>98.122969491392709</v>
      </c>
      <c r="E484" s="181">
        <f t="shared" si="49"/>
        <v>13</v>
      </c>
      <c r="F484" s="181">
        <f t="shared" si="50"/>
        <v>3</v>
      </c>
      <c r="G484" s="181">
        <f t="shared" si="51"/>
        <v>1</v>
      </c>
      <c r="H484" s="182">
        <v>19501.351448597354</v>
      </c>
      <c r="I484" s="181">
        <v>6600</v>
      </c>
      <c r="J484" s="183">
        <v>24.923234250813749</v>
      </c>
      <c r="K484" s="181">
        <f t="shared" si="52"/>
        <v>4</v>
      </c>
      <c r="L484" s="181">
        <f t="shared" si="53"/>
        <v>1</v>
      </c>
      <c r="M484" s="181">
        <f t="shared" si="54"/>
        <v>1</v>
      </c>
      <c r="N484" s="182">
        <v>4953.3432679437283</v>
      </c>
      <c r="O484" s="181">
        <v>2400</v>
      </c>
      <c r="P484" s="181">
        <v>19624.593898278541</v>
      </c>
      <c r="Q484">
        <v>414</v>
      </c>
      <c r="R484">
        <v>1105.3024868650327</v>
      </c>
      <c r="S484" s="88">
        <f t="shared" si="55"/>
        <v>8872.6457548087601</v>
      </c>
    </row>
    <row r="485" spans="1:19" x14ac:dyDescent="0.25">
      <c r="A485" s="327" t="s">
        <v>142</v>
      </c>
      <c r="B485" s="327" t="s">
        <v>56</v>
      </c>
      <c r="C485" s="328">
        <v>109.15537732199004</v>
      </c>
      <c r="D485" s="181">
        <v>109.15537732199004</v>
      </c>
      <c r="E485" s="181">
        <f t="shared" si="49"/>
        <v>14</v>
      </c>
      <c r="F485" s="181">
        <f t="shared" si="50"/>
        <v>3</v>
      </c>
      <c r="G485" s="181">
        <f t="shared" si="51"/>
        <v>1</v>
      </c>
      <c r="H485" s="182">
        <v>21693.976310481594</v>
      </c>
      <c r="I485" s="181">
        <v>6600</v>
      </c>
      <c r="J485" s="183">
        <v>27.725465839785471</v>
      </c>
      <c r="K485" s="181">
        <f t="shared" si="52"/>
        <v>4</v>
      </c>
      <c r="L485" s="181">
        <f t="shared" si="53"/>
        <v>1</v>
      </c>
      <c r="M485" s="181">
        <f t="shared" si="54"/>
        <v>1</v>
      </c>
      <c r="N485" s="182">
        <v>5510.2699828623245</v>
      </c>
      <c r="O485" s="181">
        <v>2400</v>
      </c>
      <c r="P485" s="181">
        <v>21831.075464398011</v>
      </c>
      <c r="Q485">
        <v>414</v>
      </c>
      <c r="R485">
        <v>1105.3024868650327</v>
      </c>
      <c r="S485" s="88">
        <f t="shared" si="55"/>
        <v>9429.5724697273581</v>
      </c>
    </row>
    <row r="486" spans="1:19" x14ac:dyDescent="0.25">
      <c r="A486" s="327" t="s">
        <v>142</v>
      </c>
      <c r="B486" s="327" t="s">
        <v>57</v>
      </c>
      <c r="C486" s="328">
        <v>133.48874696213281</v>
      </c>
      <c r="D486" s="181">
        <v>133.48874696213281</v>
      </c>
      <c r="E486" s="181">
        <f t="shared" si="49"/>
        <v>17</v>
      </c>
      <c r="F486" s="181">
        <f t="shared" si="50"/>
        <v>4</v>
      </c>
      <c r="G486" s="181">
        <f t="shared" si="51"/>
        <v>1</v>
      </c>
      <c r="H486" s="182">
        <v>26530.087526242125</v>
      </c>
      <c r="I486" s="181">
        <v>6600</v>
      </c>
      <c r="J486" s="183">
        <v>33.906141728381733</v>
      </c>
      <c r="K486" s="181">
        <f t="shared" si="52"/>
        <v>5</v>
      </c>
      <c r="L486" s="181">
        <f t="shared" si="53"/>
        <v>1</v>
      </c>
      <c r="M486" s="181">
        <f t="shared" si="54"/>
        <v>1</v>
      </c>
      <c r="N486" s="182">
        <v>6738.6422316654998</v>
      </c>
      <c r="O486" s="181">
        <v>2400</v>
      </c>
      <c r="P486" s="181">
        <v>26697.749392426562</v>
      </c>
      <c r="Q486">
        <v>414</v>
      </c>
      <c r="R486">
        <v>1105.3024868650327</v>
      </c>
      <c r="S486" s="88">
        <f t="shared" si="55"/>
        <v>10657.944718530533</v>
      </c>
    </row>
    <row r="487" spans="1:19" x14ac:dyDescent="0.25">
      <c r="A487" s="327" t="s">
        <v>142</v>
      </c>
      <c r="B487" s="327" t="s">
        <v>58</v>
      </c>
      <c r="C487" s="328">
        <v>159.75884087878768</v>
      </c>
      <c r="D487" s="181">
        <v>159.75884087878768</v>
      </c>
      <c r="E487" s="181">
        <f t="shared" si="49"/>
        <v>20</v>
      </c>
      <c r="F487" s="181">
        <f t="shared" si="50"/>
        <v>4</v>
      </c>
      <c r="G487" s="181">
        <f t="shared" si="51"/>
        <v>1</v>
      </c>
      <c r="H487" s="182">
        <v>31751.111071613785</v>
      </c>
      <c r="I487" s="181">
        <v>6600</v>
      </c>
      <c r="J487" s="183">
        <v>40.578745583212068</v>
      </c>
      <c r="K487" s="181">
        <f t="shared" si="52"/>
        <v>6</v>
      </c>
      <c r="L487" s="181">
        <f t="shared" si="53"/>
        <v>2</v>
      </c>
      <c r="M487" s="181">
        <f t="shared" si="54"/>
        <v>1</v>
      </c>
      <c r="N487" s="182">
        <v>8064.7822121899007</v>
      </c>
      <c r="O487" s="181">
        <v>4800</v>
      </c>
      <c r="P487" s="181">
        <v>31951.768175757537</v>
      </c>
      <c r="Q487">
        <v>414</v>
      </c>
      <c r="R487">
        <v>1105.3024868650327</v>
      </c>
      <c r="S487" s="88">
        <f t="shared" si="55"/>
        <v>14384.084699054933</v>
      </c>
    </row>
    <row r="488" spans="1:19" x14ac:dyDescent="0.25">
      <c r="A488" s="327" t="s">
        <v>142</v>
      </c>
      <c r="B488" s="327" t="s">
        <v>59</v>
      </c>
      <c r="C488" s="328">
        <v>370.12246094567041</v>
      </c>
      <c r="D488" s="181">
        <v>370.12246094567041</v>
      </c>
      <c r="E488" s="181">
        <f t="shared" si="49"/>
        <v>47</v>
      </c>
      <c r="F488" s="181">
        <f t="shared" si="50"/>
        <v>10</v>
      </c>
      <c r="G488" s="181">
        <f t="shared" si="51"/>
        <v>3</v>
      </c>
      <c r="H488" s="182">
        <v>73559.618378186336</v>
      </c>
      <c r="I488" s="181">
        <v>19800</v>
      </c>
      <c r="J488" s="183">
        <v>94.011105080200281</v>
      </c>
      <c r="K488" s="181">
        <f t="shared" si="52"/>
        <v>12</v>
      </c>
      <c r="L488" s="181">
        <f t="shared" si="53"/>
        <v>3</v>
      </c>
      <c r="M488" s="181">
        <f t="shared" si="54"/>
        <v>1</v>
      </c>
      <c r="N488" s="182">
        <v>18684.143068059326</v>
      </c>
      <c r="O488" s="181">
        <v>6600</v>
      </c>
      <c r="P488" s="181">
        <v>74024.492189134078</v>
      </c>
      <c r="Q488">
        <v>414</v>
      </c>
      <c r="R488">
        <v>1105.3024868650327</v>
      </c>
      <c r="S488" s="88">
        <f t="shared" si="55"/>
        <v>26803.445554924358</v>
      </c>
    </row>
    <row r="489" spans="1:19" x14ac:dyDescent="0.25">
      <c r="A489" s="327" t="s">
        <v>142</v>
      </c>
      <c r="B489" s="327" t="s">
        <v>60</v>
      </c>
      <c r="C489" s="328">
        <v>631.91001380577757</v>
      </c>
      <c r="D489" s="181">
        <v>631.91001380577757</v>
      </c>
      <c r="E489" s="181">
        <f t="shared" si="49"/>
        <v>79</v>
      </c>
      <c r="F489" s="181">
        <f t="shared" si="50"/>
        <v>16</v>
      </c>
      <c r="G489" s="181">
        <f t="shared" si="51"/>
        <v>4</v>
      </c>
      <c r="H489" s="182">
        <v>125588.32378381547</v>
      </c>
      <c r="I489" s="181">
        <v>26400</v>
      </c>
      <c r="J489" s="183">
        <v>160.50514350666751</v>
      </c>
      <c r="K489" s="181">
        <f t="shared" si="52"/>
        <v>21</v>
      </c>
      <c r="L489" s="181">
        <f t="shared" si="53"/>
        <v>5</v>
      </c>
      <c r="M489" s="181">
        <f t="shared" si="54"/>
        <v>2</v>
      </c>
      <c r="N489" s="182">
        <v>31899.434241089133</v>
      </c>
      <c r="O489" s="181">
        <v>13200</v>
      </c>
      <c r="P489" s="181">
        <v>126382.00276115551</v>
      </c>
      <c r="Q489">
        <v>414</v>
      </c>
      <c r="R489">
        <v>1105.3024868650327</v>
      </c>
      <c r="S489" s="88">
        <f t="shared" si="55"/>
        <v>46618.736727954165</v>
      </c>
    </row>
    <row r="490" spans="1:19" x14ac:dyDescent="0.25">
      <c r="A490" s="327" t="s">
        <v>142</v>
      </c>
      <c r="B490" s="327" t="s">
        <v>61</v>
      </c>
      <c r="C490" s="328">
        <v>152.06858979818344</v>
      </c>
      <c r="D490" s="181">
        <v>152.06858979818344</v>
      </c>
      <c r="E490" s="181">
        <f t="shared" si="49"/>
        <v>20</v>
      </c>
      <c r="F490" s="181">
        <f t="shared" si="50"/>
        <v>4</v>
      </c>
      <c r="G490" s="181">
        <f t="shared" si="51"/>
        <v>1</v>
      </c>
      <c r="H490" s="182">
        <v>30222.719810850173</v>
      </c>
      <c r="I490" s="181">
        <v>6600</v>
      </c>
      <c r="J490" s="183">
        <v>38.625421808738594</v>
      </c>
      <c r="K490" s="181">
        <f t="shared" si="52"/>
        <v>5</v>
      </c>
      <c r="L490" s="181">
        <f t="shared" si="53"/>
        <v>1</v>
      </c>
      <c r="M490" s="181">
        <f t="shared" si="54"/>
        <v>1</v>
      </c>
      <c r="N490" s="182">
        <v>7676.5708319559444</v>
      </c>
      <c r="O490" s="181">
        <v>2400</v>
      </c>
      <c r="P490" s="181">
        <v>30413.717959636688</v>
      </c>
      <c r="Q490">
        <v>414</v>
      </c>
      <c r="R490">
        <v>1105.3024868650327</v>
      </c>
      <c r="S490" s="88">
        <f t="shared" si="55"/>
        <v>11595.873318820977</v>
      </c>
    </row>
    <row r="491" spans="1:19" x14ac:dyDescent="0.25">
      <c r="A491" s="327" t="s">
        <v>142</v>
      </c>
      <c r="B491" s="327" t="s">
        <v>62</v>
      </c>
      <c r="C491" s="328">
        <v>216.90940478602056</v>
      </c>
      <c r="D491" s="181">
        <v>216.90940478602056</v>
      </c>
      <c r="E491" s="181">
        <f t="shared" si="49"/>
        <v>28</v>
      </c>
      <c r="F491" s="181">
        <f t="shared" si="50"/>
        <v>6</v>
      </c>
      <c r="G491" s="181">
        <f t="shared" si="51"/>
        <v>2</v>
      </c>
      <c r="H491" s="182">
        <v>43109.442744792876</v>
      </c>
      <c r="I491" s="181">
        <v>13200</v>
      </c>
      <c r="J491" s="183">
        <v>55.094988815649224</v>
      </c>
      <c r="K491" s="181">
        <f t="shared" si="52"/>
        <v>7</v>
      </c>
      <c r="L491" s="181">
        <f t="shared" si="53"/>
        <v>2</v>
      </c>
      <c r="M491" s="181">
        <f t="shared" si="54"/>
        <v>1</v>
      </c>
      <c r="N491" s="182">
        <v>10949.79845717739</v>
      </c>
      <c r="O491" s="181">
        <v>4800</v>
      </c>
      <c r="P491" s="181">
        <v>43381.880957204114</v>
      </c>
      <c r="Q491">
        <v>414</v>
      </c>
      <c r="R491">
        <v>1105.3024868650327</v>
      </c>
      <c r="S491" s="88">
        <f t="shared" si="55"/>
        <v>17269.100944042424</v>
      </c>
    </row>
    <row r="492" spans="1:19" x14ac:dyDescent="0.25">
      <c r="A492" s="327" t="s">
        <v>142</v>
      </c>
      <c r="B492" s="327" t="s">
        <v>63</v>
      </c>
      <c r="C492" s="328">
        <v>246.52419837847643</v>
      </c>
      <c r="D492" s="181">
        <v>246.52419837847643</v>
      </c>
      <c r="E492" s="181">
        <f t="shared" si="49"/>
        <v>31</v>
      </c>
      <c r="F492" s="181">
        <f t="shared" si="50"/>
        <v>7</v>
      </c>
      <c r="G492" s="181">
        <f t="shared" si="51"/>
        <v>2</v>
      </c>
      <c r="H492" s="182">
        <v>48995.205282531926</v>
      </c>
      <c r="I492" s="181">
        <v>13200</v>
      </c>
      <c r="J492" s="183">
        <v>62.617146388133015</v>
      </c>
      <c r="K492" s="181">
        <f t="shared" si="52"/>
        <v>8</v>
      </c>
      <c r="L492" s="181">
        <f t="shared" si="53"/>
        <v>2</v>
      </c>
      <c r="M492" s="181">
        <f t="shared" si="54"/>
        <v>1</v>
      </c>
      <c r="N492" s="182">
        <v>12444.782141763109</v>
      </c>
      <c r="O492" s="181">
        <v>4800</v>
      </c>
      <c r="P492" s="181">
        <v>49304.839675695286</v>
      </c>
      <c r="Q492">
        <v>414</v>
      </c>
      <c r="R492">
        <v>1105.3024868650327</v>
      </c>
      <c r="S492" s="88">
        <f t="shared" si="55"/>
        <v>18764.084628628141</v>
      </c>
    </row>
    <row r="493" spans="1:19" x14ac:dyDescent="0.25">
      <c r="A493" s="327" t="s">
        <v>142</v>
      </c>
      <c r="B493" s="327" t="s">
        <v>64</v>
      </c>
      <c r="C493" s="328">
        <v>184.81936050390803</v>
      </c>
      <c r="D493" s="181">
        <v>184.81936050390803</v>
      </c>
      <c r="E493" s="181">
        <f t="shared" si="49"/>
        <v>24</v>
      </c>
      <c r="F493" s="181">
        <f t="shared" si="50"/>
        <v>5</v>
      </c>
      <c r="G493" s="181">
        <f t="shared" si="51"/>
        <v>2</v>
      </c>
      <c r="H493" s="182">
        <v>36731.738983988704</v>
      </c>
      <c r="I493" s="181">
        <v>13200</v>
      </c>
      <c r="J493" s="183">
        <v>46.944117567992642</v>
      </c>
      <c r="K493" s="181">
        <f t="shared" si="52"/>
        <v>6</v>
      </c>
      <c r="L493" s="181">
        <f t="shared" si="53"/>
        <v>2</v>
      </c>
      <c r="M493" s="181">
        <f t="shared" si="54"/>
        <v>1</v>
      </c>
      <c r="N493" s="182">
        <v>9329.8617019331305</v>
      </c>
      <c r="O493" s="181">
        <v>4800</v>
      </c>
      <c r="P493" s="181">
        <v>36963.872100781606</v>
      </c>
      <c r="Q493">
        <v>414</v>
      </c>
      <c r="R493">
        <v>1105.3024868650327</v>
      </c>
      <c r="S493" s="88">
        <f t="shared" si="55"/>
        <v>15649.164188798164</v>
      </c>
    </row>
    <row r="494" spans="1:19" x14ac:dyDescent="0.25">
      <c r="A494" s="327" t="s">
        <v>142</v>
      </c>
      <c r="B494" s="327" t="s">
        <v>146</v>
      </c>
      <c r="C494" s="328">
        <v>60.560705781092103</v>
      </c>
      <c r="D494" s="181">
        <v>60.560705781092103</v>
      </c>
      <c r="E494" s="181">
        <f t="shared" si="49"/>
        <v>8</v>
      </c>
      <c r="F494" s="181">
        <f t="shared" si="50"/>
        <v>2</v>
      </c>
      <c r="G494" s="181">
        <f t="shared" si="51"/>
        <v>1</v>
      </c>
      <c r="H494" s="182">
        <v>12036.07690975737</v>
      </c>
      <c r="I494" s="181">
        <v>4800</v>
      </c>
      <c r="J494" s="183">
        <v>15.382419268397394</v>
      </c>
      <c r="K494" s="181">
        <f t="shared" si="52"/>
        <v>2</v>
      </c>
      <c r="L494" s="181">
        <f t="shared" si="53"/>
        <v>1</v>
      </c>
      <c r="M494" s="181">
        <f t="shared" si="54"/>
        <v>1</v>
      </c>
      <c r="N494" s="182">
        <v>3057.1635350783722</v>
      </c>
      <c r="O494" s="181">
        <v>1400</v>
      </c>
      <c r="P494" s="181">
        <v>12112.14115621842</v>
      </c>
      <c r="Q494">
        <v>414</v>
      </c>
      <c r="R494">
        <v>1105.3024868650327</v>
      </c>
      <c r="S494" s="88">
        <f t="shared" si="55"/>
        <v>5976.4660219434045</v>
      </c>
    </row>
    <row r="495" spans="1:19" x14ac:dyDescent="0.25">
      <c r="A495" s="327" t="s">
        <v>142</v>
      </c>
      <c r="B495" s="327" t="s">
        <v>65</v>
      </c>
      <c r="C495" s="328">
        <v>192.15047761910407</v>
      </c>
      <c r="D495" s="181">
        <v>192.15047761910407</v>
      </c>
      <c r="E495" s="181">
        <f t="shared" si="49"/>
        <v>25</v>
      </c>
      <c r="F495" s="181">
        <f t="shared" si="50"/>
        <v>5</v>
      </c>
      <c r="G495" s="181">
        <f t="shared" si="51"/>
        <v>2</v>
      </c>
      <c r="H495" s="182">
        <v>38188.754523931224</v>
      </c>
      <c r="I495" s="181">
        <v>13200</v>
      </c>
      <c r="J495" s="183">
        <v>48.806221315252436</v>
      </c>
      <c r="K495" s="181">
        <f t="shared" si="52"/>
        <v>7</v>
      </c>
      <c r="L495" s="181">
        <f t="shared" si="53"/>
        <v>2</v>
      </c>
      <c r="M495" s="181">
        <f t="shared" si="54"/>
        <v>1</v>
      </c>
      <c r="N495" s="182">
        <v>9699.943649078532</v>
      </c>
      <c r="O495" s="181">
        <v>4800</v>
      </c>
      <c r="P495" s="181">
        <v>38430.095523820812</v>
      </c>
      <c r="Q495">
        <v>414</v>
      </c>
      <c r="R495">
        <v>1105.3024868650327</v>
      </c>
      <c r="S495" s="88">
        <f t="shared" si="55"/>
        <v>16019.246135943566</v>
      </c>
    </row>
    <row r="496" spans="1:19" x14ac:dyDescent="0.25">
      <c r="A496" s="327" t="s">
        <v>142</v>
      </c>
      <c r="B496" s="327" t="s">
        <v>66</v>
      </c>
      <c r="C496" s="328">
        <v>58.000141399815035</v>
      </c>
      <c r="D496" s="181">
        <v>58.000141399815035</v>
      </c>
      <c r="E496" s="181">
        <f t="shared" si="49"/>
        <v>8</v>
      </c>
      <c r="F496" s="181">
        <f t="shared" si="50"/>
        <v>2</v>
      </c>
      <c r="G496" s="181">
        <f t="shared" si="51"/>
        <v>1</v>
      </c>
      <c r="H496" s="182">
        <v>11527.18010236484</v>
      </c>
      <c r="I496" s="181">
        <v>4800</v>
      </c>
      <c r="J496" s="183">
        <v>14.73203591555302</v>
      </c>
      <c r="K496" s="181">
        <f t="shared" si="52"/>
        <v>2</v>
      </c>
      <c r="L496" s="181">
        <f t="shared" si="53"/>
        <v>1</v>
      </c>
      <c r="M496" s="181">
        <f t="shared" si="54"/>
        <v>1</v>
      </c>
      <c r="N496" s="182">
        <v>2927.9037460006698</v>
      </c>
      <c r="O496" s="181">
        <v>1400</v>
      </c>
      <c r="P496" s="181">
        <v>11600.028279963008</v>
      </c>
      <c r="Q496">
        <v>414</v>
      </c>
      <c r="R496">
        <v>1105.3024868650327</v>
      </c>
      <c r="S496" s="88">
        <f t="shared" si="55"/>
        <v>5847.206232865703</v>
      </c>
    </row>
    <row r="497" spans="1:19" x14ac:dyDescent="0.25">
      <c r="A497" s="327" t="s">
        <v>142</v>
      </c>
      <c r="B497" s="327" t="s">
        <v>67</v>
      </c>
      <c r="C497" s="328">
        <v>134.72447849462364</v>
      </c>
      <c r="D497" s="181">
        <v>134.72447849462364</v>
      </c>
      <c r="E497" s="181">
        <f t="shared" si="49"/>
        <v>17</v>
      </c>
      <c r="F497" s="181">
        <f t="shared" si="50"/>
        <v>4</v>
      </c>
      <c r="G497" s="181">
        <f t="shared" si="51"/>
        <v>1</v>
      </c>
      <c r="H497" s="182">
        <v>26775.681753935485</v>
      </c>
      <c r="I497" s="181">
        <v>6600</v>
      </c>
      <c r="J497" s="183">
        <v>34.220017537634405</v>
      </c>
      <c r="K497" s="181">
        <f t="shared" si="52"/>
        <v>5</v>
      </c>
      <c r="L497" s="181">
        <f t="shared" si="53"/>
        <v>1</v>
      </c>
      <c r="M497" s="181">
        <f t="shared" si="54"/>
        <v>1</v>
      </c>
      <c r="N497" s="182">
        <v>6801.0231654996132</v>
      </c>
      <c r="O497" s="181">
        <v>2400</v>
      </c>
      <c r="P497" s="181">
        <v>26944.895698924727</v>
      </c>
      <c r="Q497">
        <v>414</v>
      </c>
      <c r="R497">
        <v>1105.3024868650327</v>
      </c>
      <c r="S497" s="88">
        <f t="shared" si="55"/>
        <v>10720.325652364645</v>
      </c>
    </row>
    <row r="498" spans="1:19" x14ac:dyDescent="0.25">
      <c r="A498" s="327" t="s">
        <v>142</v>
      </c>
      <c r="B498" s="327" t="s">
        <v>132</v>
      </c>
      <c r="C498" s="328">
        <v>46.786372198214075</v>
      </c>
      <c r="D498" s="181">
        <v>46.786372198214075</v>
      </c>
      <c r="E498" s="181">
        <f t="shared" si="49"/>
        <v>6</v>
      </c>
      <c r="F498" s="181">
        <f t="shared" si="50"/>
        <v>2</v>
      </c>
      <c r="G498" s="181">
        <f t="shared" si="51"/>
        <v>1</v>
      </c>
      <c r="H498" s="182">
        <v>9298.5107561618588</v>
      </c>
      <c r="I498" s="181">
        <v>4800</v>
      </c>
      <c r="J498" s="183">
        <v>11.883738538346375</v>
      </c>
      <c r="K498" s="181">
        <f t="shared" si="52"/>
        <v>2</v>
      </c>
      <c r="L498" s="181">
        <f t="shared" si="53"/>
        <v>1</v>
      </c>
      <c r="M498" s="181">
        <f t="shared" si="54"/>
        <v>1</v>
      </c>
      <c r="N498" s="182">
        <v>2361.8217320651124</v>
      </c>
      <c r="O498" s="181">
        <v>1400</v>
      </c>
      <c r="P498" s="181">
        <v>9357.2744396428152</v>
      </c>
      <c r="Q498">
        <v>414</v>
      </c>
      <c r="R498">
        <v>1105.3024868650327</v>
      </c>
      <c r="S498" s="88">
        <f t="shared" si="55"/>
        <v>5281.1242189301447</v>
      </c>
    </row>
    <row r="499" spans="1:19" x14ac:dyDescent="0.25">
      <c r="A499" s="327" t="s">
        <v>142</v>
      </c>
      <c r="B499" s="327" t="s">
        <v>68</v>
      </c>
      <c r="C499" s="328">
        <v>82.602974408586618</v>
      </c>
      <c r="D499" s="181">
        <v>82.602974408586618</v>
      </c>
      <c r="E499" s="181">
        <f t="shared" si="49"/>
        <v>11</v>
      </c>
      <c r="F499" s="181">
        <f t="shared" si="50"/>
        <v>3</v>
      </c>
      <c r="G499" s="181">
        <f t="shared" si="51"/>
        <v>1</v>
      </c>
      <c r="H499" s="182">
        <v>16416.845545860142</v>
      </c>
      <c r="I499" s="181">
        <v>6600</v>
      </c>
      <c r="J499" s="183">
        <v>20.981155499781</v>
      </c>
      <c r="K499" s="181">
        <f t="shared" si="52"/>
        <v>3</v>
      </c>
      <c r="L499" s="181">
        <f t="shared" si="53"/>
        <v>1</v>
      </c>
      <c r="M499" s="181">
        <f t="shared" si="54"/>
        <v>1</v>
      </c>
      <c r="N499" s="182">
        <v>4169.8787686484757</v>
      </c>
      <c r="O499" s="181">
        <v>2100</v>
      </c>
      <c r="P499" s="181">
        <v>16520.594881717323</v>
      </c>
      <c r="Q499">
        <v>414</v>
      </c>
      <c r="R499">
        <v>1105.3024868650327</v>
      </c>
      <c r="S499" s="88">
        <f t="shared" si="55"/>
        <v>7789.1812555135084</v>
      </c>
    </row>
    <row r="500" spans="1:19" x14ac:dyDescent="0.25">
      <c r="A500" s="327" t="s">
        <v>142</v>
      </c>
      <c r="B500" s="327" t="s">
        <v>69</v>
      </c>
      <c r="C500" s="328">
        <v>246.59528571679039</v>
      </c>
      <c r="D500" s="181">
        <v>246.59528571679039</v>
      </c>
      <c r="E500" s="181">
        <f t="shared" si="49"/>
        <v>31</v>
      </c>
      <c r="F500" s="181">
        <f t="shared" si="50"/>
        <v>7</v>
      </c>
      <c r="G500" s="181">
        <f t="shared" si="51"/>
        <v>2</v>
      </c>
      <c r="H500" s="182">
        <v>49009.333464497795</v>
      </c>
      <c r="I500" s="181">
        <v>13200</v>
      </c>
      <c r="J500" s="183">
        <v>62.635202572064756</v>
      </c>
      <c r="K500" s="181">
        <f t="shared" si="52"/>
        <v>8</v>
      </c>
      <c r="L500" s="181">
        <f t="shared" si="53"/>
        <v>2</v>
      </c>
      <c r="M500" s="181">
        <f t="shared" si="54"/>
        <v>1</v>
      </c>
      <c r="N500" s="182">
        <v>12448.370699982439</v>
      </c>
      <c r="O500" s="181">
        <v>4800</v>
      </c>
      <c r="P500" s="181">
        <v>49319.057143358077</v>
      </c>
      <c r="Q500">
        <v>414</v>
      </c>
      <c r="R500">
        <v>1105.3024868650327</v>
      </c>
      <c r="S500" s="88">
        <f t="shared" si="55"/>
        <v>18767.673186847471</v>
      </c>
    </row>
    <row r="501" spans="1:19" x14ac:dyDescent="0.25">
      <c r="A501" s="327" t="s">
        <v>142</v>
      </c>
      <c r="B501" s="327" t="s">
        <v>70</v>
      </c>
      <c r="C501" s="328">
        <v>164.9192397109511</v>
      </c>
      <c r="D501" s="181">
        <v>164.9192397109511</v>
      </c>
      <c r="E501" s="181">
        <f t="shared" si="49"/>
        <v>21</v>
      </c>
      <c r="F501" s="181">
        <f t="shared" si="50"/>
        <v>5</v>
      </c>
      <c r="G501" s="181">
        <f t="shared" si="51"/>
        <v>2</v>
      </c>
      <c r="H501" s="182">
        <v>32776.709377113271</v>
      </c>
      <c r="I501" s="181">
        <v>13200</v>
      </c>
      <c r="J501" s="183">
        <v>41.889486886581579</v>
      </c>
      <c r="K501" s="181">
        <f t="shared" si="52"/>
        <v>6</v>
      </c>
      <c r="L501" s="181">
        <f t="shared" si="53"/>
        <v>2</v>
      </c>
      <c r="M501" s="181">
        <f t="shared" si="54"/>
        <v>1</v>
      </c>
      <c r="N501" s="182">
        <v>8325.2841817867702</v>
      </c>
      <c r="O501" s="181">
        <v>4800</v>
      </c>
      <c r="P501" s="181">
        <v>32983.847942190223</v>
      </c>
      <c r="Q501">
        <v>414</v>
      </c>
      <c r="R501">
        <v>1105.3024868650327</v>
      </c>
      <c r="S501" s="88">
        <f t="shared" si="55"/>
        <v>14644.586668651802</v>
      </c>
    </row>
    <row r="502" spans="1:19" x14ac:dyDescent="0.25">
      <c r="A502" s="327" t="s">
        <v>142</v>
      </c>
      <c r="B502" s="327" t="s">
        <v>71</v>
      </c>
      <c r="C502" s="328">
        <v>132.6036484183644</v>
      </c>
      <c r="D502" s="181">
        <v>132.6036484183644</v>
      </c>
      <c r="E502" s="181">
        <f t="shared" si="49"/>
        <v>17</v>
      </c>
      <c r="F502" s="181">
        <f t="shared" si="50"/>
        <v>4</v>
      </c>
      <c r="G502" s="181">
        <f t="shared" si="51"/>
        <v>1</v>
      </c>
      <c r="H502" s="182">
        <v>26354.179501259419</v>
      </c>
      <c r="I502" s="181">
        <v>6600</v>
      </c>
      <c r="J502" s="183">
        <v>33.681326698264556</v>
      </c>
      <c r="K502" s="181">
        <f t="shared" si="52"/>
        <v>5</v>
      </c>
      <c r="L502" s="181">
        <f t="shared" si="53"/>
        <v>1</v>
      </c>
      <c r="M502" s="181">
        <f t="shared" si="54"/>
        <v>1</v>
      </c>
      <c r="N502" s="182">
        <v>6693.961593319892</v>
      </c>
      <c r="O502" s="181">
        <v>2400</v>
      </c>
      <c r="P502" s="181">
        <v>26520.729683672878</v>
      </c>
      <c r="Q502">
        <v>414</v>
      </c>
      <c r="R502">
        <v>1105.3024868650327</v>
      </c>
      <c r="S502" s="88">
        <f t="shared" si="55"/>
        <v>10613.264080184925</v>
      </c>
    </row>
    <row r="503" spans="1:19" x14ac:dyDescent="0.25">
      <c r="A503" s="327" t="s">
        <v>142</v>
      </c>
      <c r="B503" s="327" t="s">
        <v>72</v>
      </c>
      <c r="C503" s="328">
        <v>70.501326896692476</v>
      </c>
      <c r="D503" s="181">
        <v>70.501326896692476</v>
      </c>
      <c r="E503" s="181">
        <f t="shared" si="49"/>
        <v>9</v>
      </c>
      <c r="F503" s="181">
        <f t="shared" si="50"/>
        <v>2</v>
      </c>
      <c r="G503" s="181">
        <f t="shared" si="51"/>
        <v>1</v>
      </c>
      <c r="H503" s="182">
        <v>14011.715712756251</v>
      </c>
      <c r="I503" s="181">
        <v>4800</v>
      </c>
      <c r="J503" s="183">
        <v>17.907337031759891</v>
      </c>
      <c r="K503" s="181">
        <f t="shared" si="52"/>
        <v>3</v>
      </c>
      <c r="L503" s="181">
        <f t="shared" si="53"/>
        <v>1</v>
      </c>
      <c r="M503" s="181">
        <f t="shared" si="54"/>
        <v>1</v>
      </c>
      <c r="N503" s="182">
        <v>3558.9757910400881</v>
      </c>
      <c r="O503" s="181">
        <v>2100</v>
      </c>
      <c r="P503" s="181">
        <v>14100.265379338494</v>
      </c>
      <c r="Q503">
        <v>414</v>
      </c>
      <c r="R503">
        <v>1105.3024868650327</v>
      </c>
      <c r="S503" s="88">
        <f t="shared" si="55"/>
        <v>7178.2782779051213</v>
      </c>
    </row>
    <row r="504" spans="1:19" x14ac:dyDescent="0.25">
      <c r="A504" s="327" t="s">
        <v>142</v>
      </c>
      <c r="B504" s="327" t="s">
        <v>133</v>
      </c>
      <c r="C504" s="328">
        <v>70.477716796856441</v>
      </c>
      <c r="D504" s="181">
        <v>70.477716796856441</v>
      </c>
      <c r="E504" s="181">
        <f t="shared" si="49"/>
        <v>9</v>
      </c>
      <c r="F504" s="181">
        <f t="shared" si="50"/>
        <v>2</v>
      </c>
      <c r="G504" s="181">
        <f t="shared" si="51"/>
        <v>1</v>
      </c>
      <c r="H504" s="182">
        <v>14007.023347074439</v>
      </c>
      <c r="I504" s="181">
        <v>4800</v>
      </c>
      <c r="J504" s="183">
        <v>17.901340066401538</v>
      </c>
      <c r="K504" s="181">
        <f t="shared" si="52"/>
        <v>3</v>
      </c>
      <c r="L504" s="181">
        <f t="shared" si="53"/>
        <v>1</v>
      </c>
      <c r="M504" s="181">
        <f t="shared" si="54"/>
        <v>1</v>
      </c>
      <c r="N504" s="182">
        <v>3557.7839301569079</v>
      </c>
      <c r="O504" s="181">
        <v>2100</v>
      </c>
      <c r="P504" s="181">
        <v>14095.543359371288</v>
      </c>
      <c r="Q504">
        <v>414</v>
      </c>
      <c r="R504">
        <v>1105.3024868650327</v>
      </c>
      <c r="S504" s="88">
        <f t="shared" si="55"/>
        <v>7177.0864170219411</v>
      </c>
    </row>
    <row r="505" spans="1:19" x14ac:dyDescent="0.25">
      <c r="A505" s="327" t="s">
        <v>142</v>
      </c>
      <c r="B505" s="327" t="s">
        <v>73</v>
      </c>
      <c r="C505" s="328">
        <v>188.14484490952873</v>
      </c>
      <c r="D505" s="181">
        <v>188.14484490952873</v>
      </c>
      <c r="E505" s="181">
        <f t="shared" si="49"/>
        <v>24</v>
      </c>
      <c r="F505" s="181">
        <f t="shared" si="50"/>
        <v>5</v>
      </c>
      <c r="G505" s="181">
        <f t="shared" si="51"/>
        <v>2</v>
      </c>
      <c r="H505" s="182">
        <v>37392.659056699384</v>
      </c>
      <c r="I505" s="181">
        <v>13200</v>
      </c>
      <c r="J505" s="183">
        <v>47.788790607020296</v>
      </c>
      <c r="K505" s="181">
        <f t="shared" si="52"/>
        <v>6</v>
      </c>
      <c r="L505" s="181">
        <f t="shared" si="53"/>
        <v>2</v>
      </c>
      <c r="M505" s="181">
        <f t="shared" si="54"/>
        <v>1</v>
      </c>
      <c r="N505" s="182">
        <v>9497.7354004016433</v>
      </c>
      <c r="O505" s="181">
        <v>4800</v>
      </c>
      <c r="P505" s="181">
        <v>37628.968981905746</v>
      </c>
      <c r="Q505">
        <v>414</v>
      </c>
      <c r="R505">
        <v>1105.3024868650327</v>
      </c>
      <c r="S505" s="88">
        <f t="shared" si="55"/>
        <v>15817.037887266677</v>
      </c>
    </row>
    <row r="506" spans="1:19" x14ac:dyDescent="0.25">
      <c r="A506" s="327" t="s">
        <v>142</v>
      </c>
      <c r="B506" s="327" t="s">
        <v>147</v>
      </c>
      <c r="C506" s="328">
        <v>66.099982612820043</v>
      </c>
      <c r="D506" s="181">
        <v>66.099982612820043</v>
      </c>
      <c r="E506" s="181">
        <f t="shared" si="49"/>
        <v>9</v>
      </c>
      <c r="F506" s="181">
        <f t="shared" si="50"/>
        <v>2</v>
      </c>
      <c r="G506" s="181">
        <f t="shared" si="51"/>
        <v>1</v>
      </c>
      <c r="H506" s="182">
        <v>13136.974944402309</v>
      </c>
      <c r="I506" s="181">
        <v>4800</v>
      </c>
      <c r="J506" s="183">
        <v>16.78939558365629</v>
      </c>
      <c r="K506" s="181">
        <f t="shared" si="52"/>
        <v>3</v>
      </c>
      <c r="L506" s="181">
        <f t="shared" si="53"/>
        <v>1</v>
      </c>
      <c r="M506" s="181">
        <f t="shared" si="54"/>
        <v>1</v>
      </c>
      <c r="N506" s="182">
        <v>3336.7916358781863</v>
      </c>
      <c r="O506" s="181">
        <v>2100</v>
      </c>
      <c r="P506" s="181">
        <v>13219.996522564008</v>
      </c>
      <c r="Q506">
        <v>414</v>
      </c>
      <c r="R506">
        <v>1105.3024868650327</v>
      </c>
      <c r="S506" s="88">
        <f t="shared" si="55"/>
        <v>6956.0941227432195</v>
      </c>
    </row>
    <row r="507" spans="1:19" x14ac:dyDescent="0.25">
      <c r="A507" s="327" t="s">
        <v>142</v>
      </c>
      <c r="B507" s="327" t="s">
        <v>74</v>
      </c>
      <c r="C507" s="328">
        <v>395.284923772441</v>
      </c>
      <c r="D507" s="181">
        <v>395.284923772441</v>
      </c>
      <c r="E507" s="181">
        <f t="shared" si="49"/>
        <v>50</v>
      </c>
      <c r="F507" s="181">
        <f t="shared" si="50"/>
        <v>10</v>
      </c>
      <c r="G507" s="181">
        <f t="shared" si="51"/>
        <v>3</v>
      </c>
      <c r="H507" s="182">
        <v>78560.506890230026</v>
      </c>
      <c r="I507" s="181">
        <v>19800</v>
      </c>
      <c r="J507" s="183">
        <v>100.40237063820001</v>
      </c>
      <c r="K507" s="181">
        <f t="shared" si="52"/>
        <v>13</v>
      </c>
      <c r="L507" s="181">
        <f t="shared" si="53"/>
        <v>3</v>
      </c>
      <c r="M507" s="181">
        <f t="shared" si="54"/>
        <v>1</v>
      </c>
      <c r="N507" s="182">
        <v>19954.368750118425</v>
      </c>
      <c r="O507" s="181">
        <v>6600</v>
      </c>
      <c r="P507" s="181">
        <v>79056.984754488207</v>
      </c>
      <c r="Q507">
        <v>414</v>
      </c>
      <c r="R507">
        <v>1105.3024868650327</v>
      </c>
      <c r="S507" s="88">
        <f t="shared" si="55"/>
        <v>28073.671236983457</v>
      </c>
    </row>
    <row r="508" spans="1:19" x14ac:dyDescent="0.25">
      <c r="A508" s="327" t="s">
        <v>142</v>
      </c>
      <c r="B508" s="327" t="s">
        <v>75</v>
      </c>
      <c r="C508" s="328">
        <v>73.012608560000004</v>
      </c>
      <c r="D508" s="181">
        <v>73.012608560000004</v>
      </c>
      <c r="E508" s="181">
        <f t="shared" si="49"/>
        <v>10</v>
      </c>
      <c r="F508" s="181">
        <f t="shared" si="50"/>
        <v>2</v>
      </c>
      <c r="G508" s="181">
        <f t="shared" si="51"/>
        <v>1</v>
      </c>
      <c r="H508" s="182">
        <v>14510.817875648643</v>
      </c>
      <c r="I508" s="181">
        <v>4800</v>
      </c>
      <c r="J508" s="183">
        <v>18.545202574240001</v>
      </c>
      <c r="K508" s="181">
        <f t="shared" si="52"/>
        <v>3</v>
      </c>
      <c r="L508" s="181">
        <f t="shared" si="53"/>
        <v>1</v>
      </c>
      <c r="M508" s="181">
        <f t="shared" si="54"/>
        <v>1</v>
      </c>
      <c r="N508" s="182">
        <v>3685.7477404147553</v>
      </c>
      <c r="O508" s="181">
        <v>2100</v>
      </c>
      <c r="P508" s="181">
        <v>14602.521712000002</v>
      </c>
      <c r="Q508">
        <v>414</v>
      </c>
      <c r="R508">
        <v>1105.3024868650327</v>
      </c>
      <c r="S508" s="88">
        <f t="shared" si="55"/>
        <v>7305.0502272797876</v>
      </c>
    </row>
    <row r="509" spans="1:19" x14ac:dyDescent="0.25">
      <c r="A509" s="327" t="s">
        <v>142</v>
      </c>
      <c r="B509" s="327" t="s">
        <v>76</v>
      </c>
      <c r="C509" s="328">
        <v>80.804051682594817</v>
      </c>
      <c r="D509" s="181">
        <v>80.804051682594817</v>
      </c>
      <c r="E509" s="181">
        <f t="shared" si="49"/>
        <v>11</v>
      </c>
      <c r="F509" s="181">
        <f t="shared" si="50"/>
        <v>3</v>
      </c>
      <c r="G509" s="181">
        <f t="shared" si="51"/>
        <v>1</v>
      </c>
      <c r="H509" s="182">
        <v>16059.320447605627</v>
      </c>
      <c r="I509" s="181">
        <v>6600</v>
      </c>
      <c r="J509" s="183">
        <v>20.524229127379083</v>
      </c>
      <c r="K509" s="181">
        <f t="shared" si="52"/>
        <v>3</v>
      </c>
      <c r="L509" s="181">
        <f t="shared" si="53"/>
        <v>1</v>
      </c>
      <c r="M509" s="181">
        <f t="shared" si="54"/>
        <v>1</v>
      </c>
      <c r="N509" s="182">
        <v>4079.0673936918292</v>
      </c>
      <c r="O509" s="181">
        <v>2100</v>
      </c>
      <c r="P509" s="181">
        <v>16160.810336518964</v>
      </c>
      <c r="Q509">
        <v>414</v>
      </c>
      <c r="R509">
        <v>1105.3024868650327</v>
      </c>
      <c r="S509" s="88">
        <f t="shared" si="55"/>
        <v>7698.369880556862</v>
      </c>
    </row>
    <row r="510" spans="1:19" x14ac:dyDescent="0.25">
      <c r="A510" s="327" t="s">
        <v>142</v>
      </c>
      <c r="B510" s="327" t="s">
        <v>77</v>
      </c>
      <c r="C510" s="328">
        <v>120.98206863118006</v>
      </c>
      <c r="D510" s="181">
        <v>120.98206863118006</v>
      </c>
      <c r="E510" s="181">
        <f t="shared" si="49"/>
        <v>16</v>
      </c>
      <c r="F510" s="181">
        <f t="shared" si="50"/>
        <v>4</v>
      </c>
      <c r="G510" s="181">
        <f t="shared" si="51"/>
        <v>1</v>
      </c>
      <c r="H510" s="182">
        <v>24044.460248035251</v>
      </c>
      <c r="I510" s="181">
        <v>6600</v>
      </c>
      <c r="J510" s="183">
        <v>30.729445432319736</v>
      </c>
      <c r="K510" s="181">
        <f t="shared" si="52"/>
        <v>4</v>
      </c>
      <c r="L510" s="181">
        <f t="shared" si="53"/>
        <v>1</v>
      </c>
      <c r="M510" s="181">
        <f t="shared" si="54"/>
        <v>1</v>
      </c>
      <c r="N510" s="182">
        <v>6107.2929030009545</v>
      </c>
      <c r="O510" s="181">
        <v>2400</v>
      </c>
      <c r="P510" s="181">
        <v>24196.413726236013</v>
      </c>
      <c r="Q510">
        <v>414</v>
      </c>
      <c r="R510">
        <v>1105.3024868650327</v>
      </c>
      <c r="S510" s="88">
        <f t="shared" si="55"/>
        <v>10026.595389865986</v>
      </c>
    </row>
    <row r="511" spans="1:19" x14ac:dyDescent="0.25">
      <c r="A511" s="327" t="s">
        <v>142</v>
      </c>
      <c r="B511" s="327" t="s">
        <v>78</v>
      </c>
      <c r="C511" s="328">
        <v>195.50083327170233</v>
      </c>
      <c r="D511" s="181">
        <v>195.50083327170233</v>
      </c>
      <c r="E511" s="181">
        <f t="shared" si="49"/>
        <v>25</v>
      </c>
      <c r="F511" s="181">
        <f t="shared" si="50"/>
        <v>5</v>
      </c>
      <c r="G511" s="181">
        <f t="shared" si="51"/>
        <v>2</v>
      </c>
      <c r="H511" s="182">
        <v>38854.617607751214</v>
      </c>
      <c r="I511" s="181">
        <v>13200</v>
      </c>
      <c r="J511" s="183">
        <v>49.657211651012396</v>
      </c>
      <c r="K511" s="181">
        <f t="shared" si="52"/>
        <v>7</v>
      </c>
      <c r="L511" s="181">
        <f t="shared" si="53"/>
        <v>2</v>
      </c>
      <c r="M511" s="181">
        <f t="shared" si="54"/>
        <v>1</v>
      </c>
      <c r="N511" s="182">
        <v>9869.0728723688098</v>
      </c>
      <c r="O511" s="181">
        <v>4800</v>
      </c>
      <c r="P511" s="181">
        <v>39100.166654340464</v>
      </c>
      <c r="Q511">
        <v>414</v>
      </c>
      <c r="R511">
        <v>1105.3024868650327</v>
      </c>
      <c r="S511" s="88">
        <f t="shared" si="55"/>
        <v>16188.375359233843</v>
      </c>
    </row>
    <row r="512" spans="1:19" x14ac:dyDescent="0.25">
      <c r="A512" s="327" t="s">
        <v>142</v>
      </c>
      <c r="B512" s="327" t="s">
        <v>79</v>
      </c>
      <c r="C512" s="328">
        <v>207.401898335</v>
      </c>
      <c r="D512" s="181">
        <v>207.401898335</v>
      </c>
      <c r="E512" s="181">
        <f t="shared" si="49"/>
        <v>26</v>
      </c>
      <c r="F512" s="181">
        <f t="shared" si="50"/>
        <v>6</v>
      </c>
      <c r="G512" s="181">
        <f t="shared" si="51"/>
        <v>2</v>
      </c>
      <c r="H512" s="182">
        <v>41219.882882691243</v>
      </c>
      <c r="I512" s="181">
        <v>13200</v>
      </c>
      <c r="J512" s="183">
        <v>52.68008217709</v>
      </c>
      <c r="K512" s="181">
        <f t="shared" si="52"/>
        <v>7</v>
      </c>
      <c r="L512" s="181">
        <f t="shared" si="53"/>
        <v>2</v>
      </c>
      <c r="M512" s="181">
        <f t="shared" si="54"/>
        <v>1</v>
      </c>
      <c r="N512" s="182">
        <v>10469.850252203576</v>
      </c>
      <c r="O512" s="181">
        <v>4800</v>
      </c>
      <c r="P512" s="181">
        <v>41480.379667000001</v>
      </c>
      <c r="Q512">
        <v>414</v>
      </c>
      <c r="R512">
        <v>1105.3024868650327</v>
      </c>
      <c r="S512" s="88">
        <f t="shared" si="55"/>
        <v>16789.15273906861</v>
      </c>
    </row>
    <row r="513" spans="1:19" x14ac:dyDescent="0.25">
      <c r="A513" s="327" t="s">
        <v>142</v>
      </c>
      <c r="B513" s="327" t="s">
        <v>80</v>
      </c>
      <c r="C513" s="328">
        <v>92.239645092095401</v>
      </c>
      <c r="D513" s="181">
        <v>92.239645092095401</v>
      </c>
      <c r="E513" s="181">
        <f t="shared" si="49"/>
        <v>12</v>
      </c>
      <c r="F513" s="181">
        <f t="shared" si="50"/>
        <v>3</v>
      </c>
      <c r="G513" s="181">
        <f t="shared" si="51"/>
        <v>1</v>
      </c>
      <c r="H513" s="182">
        <v>18332.07602418341</v>
      </c>
      <c r="I513" s="181">
        <v>6600</v>
      </c>
      <c r="J513" s="183">
        <v>23.428869853392232</v>
      </c>
      <c r="K513" s="181">
        <f t="shared" si="52"/>
        <v>3</v>
      </c>
      <c r="L513" s="181">
        <f t="shared" si="53"/>
        <v>1</v>
      </c>
      <c r="M513" s="181">
        <f t="shared" si="54"/>
        <v>1</v>
      </c>
      <c r="N513" s="182">
        <v>4656.3473101425861</v>
      </c>
      <c r="O513" s="181">
        <v>2100</v>
      </c>
      <c r="P513" s="181">
        <v>18447.92901841908</v>
      </c>
      <c r="Q513">
        <v>414</v>
      </c>
      <c r="R513">
        <v>1105.3024868650327</v>
      </c>
      <c r="S513" s="88">
        <f t="shared" si="55"/>
        <v>8275.6497970076198</v>
      </c>
    </row>
    <row r="514" spans="1:19" x14ac:dyDescent="0.25">
      <c r="A514" s="327" t="s">
        <v>142</v>
      </c>
      <c r="B514" s="327" t="s">
        <v>134</v>
      </c>
      <c r="C514" s="328">
        <v>108.99399970712277</v>
      </c>
      <c r="D514" s="181">
        <v>108.99399970712277</v>
      </c>
      <c r="E514" s="181">
        <f t="shared" si="49"/>
        <v>14</v>
      </c>
      <c r="F514" s="181">
        <f t="shared" si="50"/>
        <v>3</v>
      </c>
      <c r="G514" s="181">
        <f t="shared" si="51"/>
        <v>1</v>
      </c>
      <c r="H514" s="182">
        <v>21661.90347779241</v>
      </c>
      <c r="I514" s="181">
        <v>6600</v>
      </c>
      <c r="J514" s="183">
        <v>27.684475925609185</v>
      </c>
      <c r="K514" s="181">
        <f t="shared" si="52"/>
        <v>4</v>
      </c>
      <c r="L514" s="181">
        <f t="shared" si="53"/>
        <v>1</v>
      </c>
      <c r="M514" s="181">
        <f t="shared" si="54"/>
        <v>1</v>
      </c>
      <c r="N514" s="182">
        <v>5502.1234833592725</v>
      </c>
      <c r="O514" s="181">
        <v>2400</v>
      </c>
      <c r="P514" s="181">
        <v>21798.799941424553</v>
      </c>
      <c r="Q514">
        <v>414</v>
      </c>
      <c r="R514">
        <v>1105.3024868650327</v>
      </c>
      <c r="S514" s="88">
        <f t="shared" si="55"/>
        <v>9421.4259702243053</v>
      </c>
    </row>
    <row r="515" spans="1:19" x14ac:dyDescent="0.25">
      <c r="A515" s="327" t="s">
        <v>142</v>
      </c>
      <c r="B515" s="327" t="s">
        <v>81</v>
      </c>
      <c r="C515" s="328">
        <v>191.35481541309937</v>
      </c>
      <c r="D515" s="181">
        <v>191.35481541309937</v>
      </c>
      <c r="E515" s="181">
        <f t="shared" si="49"/>
        <v>24</v>
      </c>
      <c r="F515" s="181">
        <f t="shared" si="50"/>
        <v>5</v>
      </c>
      <c r="G515" s="181">
        <f t="shared" si="51"/>
        <v>2</v>
      </c>
      <c r="H515" s="182">
        <v>38030.621434461027</v>
      </c>
      <c r="I515" s="181">
        <v>13200</v>
      </c>
      <c r="J515" s="183">
        <v>48.604123114927241</v>
      </c>
      <c r="K515" s="181">
        <f t="shared" si="52"/>
        <v>7</v>
      </c>
      <c r="L515" s="181">
        <f t="shared" si="53"/>
        <v>2</v>
      </c>
      <c r="M515" s="181">
        <f t="shared" si="54"/>
        <v>1</v>
      </c>
      <c r="N515" s="182">
        <v>9659.7778443531006</v>
      </c>
      <c r="O515" s="181">
        <v>4800</v>
      </c>
      <c r="P515" s="181">
        <v>38270.963082619877</v>
      </c>
      <c r="Q515">
        <v>414</v>
      </c>
      <c r="R515">
        <v>1105.3024868650327</v>
      </c>
      <c r="S515" s="88">
        <f t="shared" si="55"/>
        <v>15979.080331218134</v>
      </c>
    </row>
    <row r="516" spans="1:19" x14ac:dyDescent="0.25">
      <c r="A516" s="327" t="s">
        <v>142</v>
      </c>
      <c r="B516" s="327" t="s">
        <v>82</v>
      </c>
      <c r="C516" s="328">
        <v>40.5625</v>
      </c>
      <c r="D516" s="181">
        <v>40.5625</v>
      </c>
      <c r="E516" s="181">
        <f t="shared" ref="E516:E568" si="56">ROUNDUP(D516/8,0)</f>
        <v>6</v>
      </c>
      <c r="F516" s="181">
        <f t="shared" ref="F516:F568" si="57">ROUNDUP(D516/40,0)</f>
        <v>2</v>
      </c>
      <c r="G516" s="181">
        <f t="shared" ref="G516:G568" si="58">ROUNDUP(D516/(40*4),0)</f>
        <v>1</v>
      </c>
      <c r="H516" s="182">
        <v>8061.5535000000009</v>
      </c>
      <c r="I516" s="181">
        <v>4800</v>
      </c>
      <c r="J516" s="183">
        <v>10.302875</v>
      </c>
      <c r="K516" s="181">
        <f t="shared" ref="K516:K568" si="59">ROUNDUP(J516/8,0)</f>
        <v>2</v>
      </c>
      <c r="L516" s="181">
        <f t="shared" ref="L516:L568" si="60">ROUNDUP(J516/40,0)</f>
        <v>1</v>
      </c>
      <c r="M516" s="181">
        <f t="shared" ref="M516:M568" si="61">ROUNDUP(J516/(40*4),0)</f>
        <v>1</v>
      </c>
      <c r="N516" s="182">
        <v>2047.6345890000002</v>
      </c>
      <c r="O516" s="181">
        <v>1400</v>
      </c>
      <c r="P516" s="181">
        <v>8112.5</v>
      </c>
      <c r="Q516">
        <v>414</v>
      </c>
      <c r="R516">
        <v>1105.3024868650327</v>
      </c>
      <c r="S516" s="88">
        <f t="shared" ref="S516:S568" si="62">R516+Q516+N516+O516</f>
        <v>4966.937075865033</v>
      </c>
    </row>
    <row r="517" spans="1:19" x14ac:dyDescent="0.25">
      <c r="A517" s="327" t="s">
        <v>142</v>
      </c>
      <c r="B517" s="327" t="s">
        <v>83</v>
      </c>
      <c r="C517" s="328">
        <v>97.777666124650651</v>
      </c>
      <c r="D517" s="181">
        <v>97.777666124650651</v>
      </c>
      <c r="E517" s="181">
        <f t="shared" si="56"/>
        <v>13</v>
      </c>
      <c r="F517" s="181">
        <f t="shared" si="57"/>
        <v>3</v>
      </c>
      <c r="G517" s="181">
        <f t="shared" si="58"/>
        <v>1</v>
      </c>
      <c r="H517" s="182">
        <v>19432.72447627757</v>
      </c>
      <c r="I517" s="181">
        <v>6600</v>
      </c>
      <c r="J517" s="183">
        <v>24.835527195661264</v>
      </c>
      <c r="K517" s="181">
        <f t="shared" si="59"/>
        <v>4</v>
      </c>
      <c r="L517" s="181">
        <f t="shared" si="60"/>
        <v>1</v>
      </c>
      <c r="M517" s="181">
        <f t="shared" si="61"/>
        <v>1</v>
      </c>
      <c r="N517" s="182">
        <v>4935.9120169745029</v>
      </c>
      <c r="O517" s="181">
        <v>2400</v>
      </c>
      <c r="P517" s="181">
        <v>19555.533224930132</v>
      </c>
      <c r="Q517">
        <v>414</v>
      </c>
      <c r="R517">
        <v>1105.3024868650327</v>
      </c>
      <c r="S517" s="88">
        <f t="shared" si="62"/>
        <v>8855.2145038395356</v>
      </c>
    </row>
    <row r="518" spans="1:19" x14ac:dyDescent="0.25">
      <c r="A518" s="327" t="s">
        <v>142</v>
      </c>
      <c r="B518" s="327" t="s">
        <v>84</v>
      </c>
      <c r="C518" s="328">
        <v>211.59536098710157</v>
      </c>
      <c r="D518" s="181">
        <v>211.59536098710157</v>
      </c>
      <c r="E518" s="181">
        <f t="shared" si="56"/>
        <v>27</v>
      </c>
      <c r="F518" s="181">
        <f t="shared" si="57"/>
        <v>6</v>
      </c>
      <c r="G518" s="181">
        <f t="shared" si="58"/>
        <v>2</v>
      </c>
      <c r="H518" s="182">
        <v>42053.308424020521</v>
      </c>
      <c r="I518" s="181">
        <v>13200</v>
      </c>
      <c r="J518" s="183">
        <v>53.745221690723803</v>
      </c>
      <c r="K518" s="181">
        <f t="shared" si="59"/>
        <v>7</v>
      </c>
      <c r="L518" s="181">
        <f t="shared" si="60"/>
        <v>2</v>
      </c>
      <c r="M518" s="181">
        <f t="shared" si="61"/>
        <v>1</v>
      </c>
      <c r="N518" s="182">
        <v>10681.540339701212</v>
      </c>
      <c r="O518" s="181">
        <v>4800</v>
      </c>
      <c r="P518" s="181">
        <v>42319.072197420312</v>
      </c>
      <c r="Q518">
        <v>414</v>
      </c>
      <c r="R518">
        <v>1105.3024868650327</v>
      </c>
      <c r="S518" s="88">
        <f t="shared" si="62"/>
        <v>17000.842826566244</v>
      </c>
    </row>
    <row r="519" spans="1:19" x14ac:dyDescent="0.25">
      <c r="A519" s="327" t="s">
        <v>142</v>
      </c>
      <c r="B519" s="327" t="s">
        <v>85</v>
      </c>
      <c r="C519" s="328">
        <v>50.19945169905489</v>
      </c>
      <c r="D519" s="181">
        <v>50.19945169905489</v>
      </c>
      <c r="E519" s="181">
        <f t="shared" si="56"/>
        <v>7</v>
      </c>
      <c r="F519" s="181">
        <f t="shared" si="57"/>
        <v>2</v>
      </c>
      <c r="G519" s="181">
        <f t="shared" si="58"/>
        <v>1</v>
      </c>
      <c r="H519" s="182">
        <v>9976.8398284769664</v>
      </c>
      <c r="I519" s="181">
        <v>4800</v>
      </c>
      <c r="J519" s="183">
        <v>12.750660731559943</v>
      </c>
      <c r="K519" s="181">
        <f t="shared" si="59"/>
        <v>2</v>
      </c>
      <c r="L519" s="181">
        <f t="shared" si="60"/>
        <v>1</v>
      </c>
      <c r="M519" s="181">
        <f t="shared" si="61"/>
        <v>1</v>
      </c>
      <c r="N519" s="182">
        <v>2534.1173164331499</v>
      </c>
      <c r="O519" s="181">
        <v>1400</v>
      </c>
      <c r="P519" s="181">
        <v>10039.890339810978</v>
      </c>
      <c r="Q519">
        <v>414</v>
      </c>
      <c r="R519">
        <v>1105.3024868650327</v>
      </c>
      <c r="S519" s="88">
        <f t="shared" si="62"/>
        <v>5453.4198032981822</v>
      </c>
    </row>
    <row r="520" spans="1:19" x14ac:dyDescent="0.25">
      <c r="A520" s="327" t="s">
        <v>142</v>
      </c>
      <c r="B520" s="327" t="s">
        <v>86</v>
      </c>
      <c r="C520" s="328">
        <v>137.07950890885374</v>
      </c>
      <c r="D520" s="181">
        <v>137.07950890885374</v>
      </c>
      <c r="E520" s="181">
        <f t="shared" si="56"/>
        <v>18</v>
      </c>
      <c r="F520" s="181">
        <f t="shared" si="57"/>
        <v>4</v>
      </c>
      <c r="G520" s="181">
        <f t="shared" si="58"/>
        <v>1</v>
      </c>
      <c r="H520" s="182">
        <v>27243.72991858123</v>
      </c>
      <c r="I520" s="181">
        <v>6600</v>
      </c>
      <c r="J520" s="183">
        <v>34.818195262848853</v>
      </c>
      <c r="K520" s="181">
        <f t="shared" si="59"/>
        <v>5</v>
      </c>
      <c r="L520" s="181">
        <f t="shared" si="60"/>
        <v>1</v>
      </c>
      <c r="M520" s="181">
        <f t="shared" si="61"/>
        <v>1</v>
      </c>
      <c r="N520" s="182">
        <v>6919.9073993196334</v>
      </c>
      <c r="O520" s="181">
        <v>2400</v>
      </c>
      <c r="P520" s="181">
        <v>27415.901781770746</v>
      </c>
      <c r="Q520">
        <v>414</v>
      </c>
      <c r="R520">
        <v>1105.3024868650327</v>
      </c>
      <c r="S520" s="88">
        <f t="shared" si="62"/>
        <v>10839.209886184666</v>
      </c>
    </row>
    <row r="521" spans="1:19" x14ac:dyDescent="0.25">
      <c r="A521" s="327" t="s">
        <v>142</v>
      </c>
      <c r="B521" s="327" t="s">
        <v>87</v>
      </c>
      <c r="C521" s="328">
        <v>133.41053273231989</v>
      </c>
      <c r="D521" s="181">
        <v>133.41053273231989</v>
      </c>
      <c r="E521" s="181">
        <f t="shared" si="56"/>
        <v>17</v>
      </c>
      <c r="F521" s="181">
        <f t="shared" si="57"/>
        <v>4</v>
      </c>
      <c r="G521" s="181">
        <f t="shared" si="58"/>
        <v>1</v>
      </c>
      <c r="H521" s="182">
        <v>26514.542917352188</v>
      </c>
      <c r="I521" s="181">
        <v>6600</v>
      </c>
      <c r="J521" s="183">
        <v>33.886275314009254</v>
      </c>
      <c r="K521" s="181">
        <f t="shared" si="59"/>
        <v>5</v>
      </c>
      <c r="L521" s="181">
        <f t="shared" si="60"/>
        <v>1</v>
      </c>
      <c r="M521" s="181">
        <f t="shared" si="61"/>
        <v>1</v>
      </c>
      <c r="N521" s="182">
        <v>6734.6939010074557</v>
      </c>
      <c r="O521" s="181">
        <v>2400</v>
      </c>
      <c r="P521" s="181">
        <v>26682.10654646398</v>
      </c>
      <c r="Q521">
        <v>414</v>
      </c>
      <c r="R521">
        <v>1105.3024868650327</v>
      </c>
      <c r="S521" s="88">
        <f t="shared" si="62"/>
        <v>10653.996387872488</v>
      </c>
    </row>
    <row r="522" spans="1:19" x14ac:dyDescent="0.25">
      <c r="A522" s="327" t="s">
        <v>142</v>
      </c>
      <c r="B522" s="327" t="s">
        <v>88</v>
      </c>
      <c r="C522" s="328">
        <v>224.38300167600153</v>
      </c>
      <c r="D522" s="181">
        <v>224.38300167600153</v>
      </c>
      <c r="E522" s="181">
        <f t="shared" si="56"/>
        <v>29</v>
      </c>
      <c r="F522" s="181">
        <f t="shared" si="57"/>
        <v>6</v>
      </c>
      <c r="G522" s="181">
        <f t="shared" si="58"/>
        <v>2</v>
      </c>
      <c r="H522" s="182">
        <v>44594.775285095253</v>
      </c>
      <c r="I522" s="181">
        <v>13200</v>
      </c>
      <c r="J522" s="183">
        <v>56.993282425704386</v>
      </c>
      <c r="K522" s="181">
        <f t="shared" si="59"/>
        <v>8</v>
      </c>
      <c r="L522" s="181">
        <f t="shared" si="60"/>
        <v>2</v>
      </c>
      <c r="M522" s="181">
        <f t="shared" si="61"/>
        <v>1</v>
      </c>
      <c r="N522" s="182">
        <v>11327.072922414194</v>
      </c>
      <c r="O522" s="181">
        <v>4800</v>
      </c>
      <c r="P522" s="181">
        <v>44876.600335200303</v>
      </c>
      <c r="Q522">
        <v>414</v>
      </c>
      <c r="R522">
        <v>1105.3024868650327</v>
      </c>
      <c r="S522" s="88">
        <f t="shared" si="62"/>
        <v>17646.375409279226</v>
      </c>
    </row>
    <row r="523" spans="1:19" x14ac:dyDescent="0.25">
      <c r="A523" s="327" t="s">
        <v>142</v>
      </c>
      <c r="B523" s="327" t="s">
        <v>89</v>
      </c>
      <c r="C523" s="328">
        <v>138.43686825068926</v>
      </c>
      <c r="D523" s="181">
        <v>138.43686825068926</v>
      </c>
      <c r="E523" s="181">
        <f t="shared" si="56"/>
        <v>18</v>
      </c>
      <c r="F523" s="181">
        <f t="shared" si="57"/>
        <v>4</v>
      </c>
      <c r="G523" s="181">
        <f t="shared" si="58"/>
        <v>1</v>
      </c>
      <c r="H523" s="182">
        <v>27513.496943614991</v>
      </c>
      <c r="I523" s="181">
        <v>6600</v>
      </c>
      <c r="J523" s="183">
        <v>35.162964535675073</v>
      </c>
      <c r="K523" s="181">
        <f t="shared" si="59"/>
        <v>5</v>
      </c>
      <c r="L523" s="181">
        <f t="shared" si="60"/>
        <v>1</v>
      </c>
      <c r="M523" s="181">
        <f t="shared" si="61"/>
        <v>1</v>
      </c>
      <c r="N523" s="182">
        <v>6988.4282236782074</v>
      </c>
      <c r="O523" s="181">
        <v>2400</v>
      </c>
      <c r="P523" s="181">
        <v>27687.373650137852</v>
      </c>
      <c r="Q523">
        <v>414</v>
      </c>
      <c r="R523">
        <v>1105.3024868650327</v>
      </c>
      <c r="S523" s="88">
        <f t="shared" si="62"/>
        <v>10907.730710543241</v>
      </c>
    </row>
    <row r="524" spans="1:19" x14ac:dyDescent="0.25">
      <c r="A524" s="327" t="s">
        <v>142</v>
      </c>
      <c r="B524" s="327" t="s">
        <v>90</v>
      </c>
      <c r="C524" s="328">
        <v>135.49101592078932</v>
      </c>
      <c r="D524" s="181">
        <v>135.49101592078932</v>
      </c>
      <c r="E524" s="181">
        <f t="shared" si="56"/>
        <v>17</v>
      </c>
      <c r="F524" s="181">
        <f t="shared" si="57"/>
        <v>4</v>
      </c>
      <c r="G524" s="181">
        <f t="shared" si="58"/>
        <v>1</v>
      </c>
      <c r="H524" s="182">
        <v>26928.026468161355</v>
      </c>
      <c r="I524" s="181">
        <v>6600</v>
      </c>
      <c r="J524" s="183">
        <v>34.414718043880491</v>
      </c>
      <c r="K524" s="181">
        <f t="shared" si="59"/>
        <v>5</v>
      </c>
      <c r="L524" s="181">
        <f t="shared" si="60"/>
        <v>1</v>
      </c>
      <c r="M524" s="181">
        <f t="shared" si="61"/>
        <v>1</v>
      </c>
      <c r="N524" s="182">
        <v>6839.718722912985</v>
      </c>
      <c r="O524" s="181">
        <v>2400</v>
      </c>
      <c r="P524" s="181">
        <v>27098.203184157865</v>
      </c>
      <c r="Q524">
        <v>414</v>
      </c>
      <c r="R524">
        <v>1105.3024868650327</v>
      </c>
      <c r="S524" s="88">
        <f t="shared" si="62"/>
        <v>10759.021209778017</v>
      </c>
    </row>
    <row r="525" spans="1:19" x14ac:dyDescent="0.25">
      <c r="A525" s="327" t="s">
        <v>142</v>
      </c>
      <c r="B525" s="327" t="s">
        <v>91</v>
      </c>
      <c r="C525" s="328">
        <v>236.82670868654023</v>
      </c>
      <c r="D525" s="181">
        <v>236.82670868654023</v>
      </c>
      <c r="E525" s="181">
        <f t="shared" si="56"/>
        <v>30</v>
      </c>
      <c r="F525" s="181">
        <f t="shared" si="57"/>
        <v>6</v>
      </c>
      <c r="G525" s="181">
        <f t="shared" si="58"/>
        <v>2</v>
      </c>
      <c r="H525" s="182">
        <v>47067.887391197757</v>
      </c>
      <c r="I525" s="181">
        <v>13200</v>
      </c>
      <c r="J525" s="183">
        <v>60.153984006381222</v>
      </c>
      <c r="K525" s="181">
        <f t="shared" si="59"/>
        <v>8</v>
      </c>
      <c r="L525" s="181">
        <f t="shared" si="60"/>
        <v>2</v>
      </c>
      <c r="M525" s="181">
        <f t="shared" si="61"/>
        <v>1</v>
      </c>
      <c r="N525" s="182">
        <v>11955.243397364231</v>
      </c>
      <c r="O525" s="181">
        <v>4800</v>
      </c>
      <c r="P525" s="181">
        <v>47365.341737308045</v>
      </c>
      <c r="Q525">
        <v>414</v>
      </c>
      <c r="R525">
        <v>1105.3024868650327</v>
      </c>
      <c r="S525" s="88">
        <f t="shared" si="62"/>
        <v>18274.545884229265</v>
      </c>
    </row>
    <row r="526" spans="1:19" x14ac:dyDescent="0.25">
      <c r="A526" s="327" t="s">
        <v>142</v>
      </c>
      <c r="B526" s="327" t="s">
        <v>92</v>
      </c>
      <c r="C526" s="328">
        <v>89.021347704607791</v>
      </c>
      <c r="D526" s="181">
        <v>89.021347704607791</v>
      </c>
      <c r="E526" s="181">
        <f t="shared" si="56"/>
        <v>12</v>
      </c>
      <c r="F526" s="181">
        <f t="shared" si="57"/>
        <v>3</v>
      </c>
      <c r="G526" s="181">
        <f t="shared" si="58"/>
        <v>1</v>
      </c>
      <c r="H526" s="182">
        <v>17692.458728204572</v>
      </c>
      <c r="I526" s="181">
        <v>6600</v>
      </c>
      <c r="J526" s="183">
        <v>22.61142231697038</v>
      </c>
      <c r="K526" s="181">
        <f t="shared" si="59"/>
        <v>3</v>
      </c>
      <c r="L526" s="181">
        <f t="shared" si="60"/>
        <v>1</v>
      </c>
      <c r="M526" s="181">
        <f t="shared" si="61"/>
        <v>1</v>
      </c>
      <c r="N526" s="182">
        <v>4493.8845169639617</v>
      </c>
      <c r="O526" s="181">
        <v>2100</v>
      </c>
      <c r="P526" s="181">
        <v>17804.269540921559</v>
      </c>
      <c r="Q526">
        <v>414</v>
      </c>
      <c r="R526">
        <v>1105.3024868650327</v>
      </c>
      <c r="S526" s="88">
        <f t="shared" si="62"/>
        <v>8113.1870038289944</v>
      </c>
    </row>
    <row r="527" spans="1:19" x14ac:dyDescent="0.25">
      <c r="A527" s="327" t="s">
        <v>142</v>
      </c>
      <c r="B527" s="327" t="s">
        <v>93</v>
      </c>
      <c r="C527" s="328">
        <v>134.73703209853639</v>
      </c>
      <c r="D527" s="181">
        <v>134.73703209853639</v>
      </c>
      <c r="E527" s="181">
        <f t="shared" si="56"/>
        <v>17</v>
      </c>
      <c r="F527" s="181">
        <f t="shared" si="57"/>
        <v>4</v>
      </c>
      <c r="G527" s="181">
        <f t="shared" si="58"/>
        <v>1</v>
      </c>
      <c r="H527" s="182">
        <v>26778.176707391522</v>
      </c>
      <c r="I527" s="181">
        <v>6600</v>
      </c>
      <c r="J527" s="183">
        <v>34.223206153028244</v>
      </c>
      <c r="K527" s="181">
        <f t="shared" si="59"/>
        <v>5</v>
      </c>
      <c r="L527" s="181">
        <f t="shared" si="60"/>
        <v>1</v>
      </c>
      <c r="M527" s="181">
        <f t="shared" si="61"/>
        <v>1</v>
      </c>
      <c r="N527" s="182">
        <v>6801.6568836774459</v>
      </c>
      <c r="O527" s="181">
        <v>2400</v>
      </c>
      <c r="P527" s="181">
        <v>26947.406419707277</v>
      </c>
      <c r="Q527">
        <v>414</v>
      </c>
      <c r="R527">
        <v>1105.3024868650327</v>
      </c>
      <c r="S527" s="88">
        <f t="shared" si="62"/>
        <v>10720.959370542478</v>
      </c>
    </row>
    <row r="528" spans="1:19" x14ac:dyDescent="0.25">
      <c r="A528" s="327" t="s">
        <v>142</v>
      </c>
      <c r="B528" s="327" t="s">
        <v>94</v>
      </c>
      <c r="C528" s="328">
        <v>111.622621215885</v>
      </c>
      <c r="D528" s="181">
        <v>111.622621215885</v>
      </c>
      <c r="E528" s="181">
        <f t="shared" si="56"/>
        <v>14</v>
      </c>
      <c r="F528" s="181">
        <f t="shared" si="57"/>
        <v>3</v>
      </c>
      <c r="G528" s="181">
        <f t="shared" si="58"/>
        <v>1</v>
      </c>
      <c r="H528" s="182">
        <v>22184.326230929852</v>
      </c>
      <c r="I528" s="181">
        <v>6600</v>
      </c>
      <c r="J528" s="183">
        <v>28.352145788834793</v>
      </c>
      <c r="K528" s="181">
        <f t="shared" si="59"/>
        <v>4</v>
      </c>
      <c r="L528" s="181">
        <f t="shared" si="60"/>
        <v>1</v>
      </c>
      <c r="M528" s="181">
        <f t="shared" si="61"/>
        <v>1</v>
      </c>
      <c r="N528" s="182">
        <v>5634.8188626561832</v>
      </c>
      <c r="O528" s="181">
        <v>2400</v>
      </c>
      <c r="P528" s="181">
        <v>22324.524243177002</v>
      </c>
      <c r="Q528">
        <v>414</v>
      </c>
      <c r="R528">
        <v>1105.3024868650327</v>
      </c>
      <c r="S528" s="88">
        <f t="shared" si="62"/>
        <v>9554.121349521216</v>
      </c>
    </row>
    <row r="529" spans="1:19" x14ac:dyDescent="0.25">
      <c r="A529" s="327" t="s">
        <v>142</v>
      </c>
      <c r="B529" s="327" t="s">
        <v>95</v>
      </c>
      <c r="C529" s="328">
        <v>236.67429152665395</v>
      </c>
      <c r="D529" s="181">
        <v>236.67429152665395</v>
      </c>
      <c r="E529" s="181">
        <f t="shared" si="56"/>
        <v>30</v>
      </c>
      <c r="F529" s="181">
        <f t="shared" si="57"/>
        <v>6</v>
      </c>
      <c r="G529" s="181">
        <f t="shared" si="58"/>
        <v>2</v>
      </c>
      <c r="H529" s="182">
        <v>47037.595395173317</v>
      </c>
      <c r="I529" s="181">
        <v>13200</v>
      </c>
      <c r="J529" s="183">
        <v>60.115270047770103</v>
      </c>
      <c r="K529" s="181">
        <f t="shared" si="59"/>
        <v>8</v>
      </c>
      <c r="L529" s="181">
        <f t="shared" si="60"/>
        <v>2</v>
      </c>
      <c r="M529" s="181">
        <f t="shared" si="61"/>
        <v>1</v>
      </c>
      <c r="N529" s="182">
        <v>11947.549230374023</v>
      </c>
      <c r="O529" s="181">
        <v>4800</v>
      </c>
      <c r="P529" s="181">
        <v>47334.858305330788</v>
      </c>
      <c r="Q529">
        <v>414</v>
      </c>
      <c r="R529">
        <v>1105.3024868650327</v>
      </c>
      <c r="S529" s="88">
        <f t="shared" si="62"/>
        <v>18266.851717239057</v>
      </c>
    </row>
    <row r="530" spans="1:19" x14ac:dyDescent="0.25">
      <c r="A530" s="327" t="s">
        <v>142</v>
      </c>
      <c r="B530" s="327" t="s">
        <v>96</v>
      </c>
      <c r="C530" s="328">
        <v>159.50000000000003</v>
      </c>
      <c r="D530" s="181">
        <v>159.50000000000003</v>
      </c>
      <c r="E530" s="181">
        <f t="shared" si="56"/>
        <v>20</v>
      </c>
      <c r="F530" s="181">
        <f t="shared" si="57"/>
        <v>4</v>
      </c>
      <c r="G530" s="181">
        <f t="shared" si="58"/>
        <v>1</v>
      </c>
      <c r="H530" s="182">
        <v>31699.668000000009</v>
      </c>
      <c r="I530" s="181">
        <v>6600</v>
      </c>
      <c r="J530" s="183">
        <v>40.513000000000005</v>
      </c>
      <c r="K530" s="181">
        <f t="shared" si="59"/>
        <v>6</v>
      </c>
      <c r="L530" s="181">
        <f t="shared" si="60"/>
        <v>2</v>
      </c>
      <c r="M530" s="181">
        <f t="shared" si="61"/>
        <v>1</v>
      </c>
      <c r="N530" s="182">
        <v>8051.7156720000021</v>
      </c>
      <c r="O530" s="181">
        <v>4800</v>
      </c>
      <c r="P530" s="181">
        <v>31900.000000000007</v>
      </c>
      <c r="Q530">
        <v>414</v>
      </c>
      <c r="R530">
        <v>1105.3024868650327</v>
      </c>
      <c r="S530" s="88">
        <f t="shared" si="62"/>
        <v>14371.018158865034</v>
      </c>
    </row>
    <row r="531" spans="1:19" x14ac:dyDescent="0.25">
      <c r="A531" s="327" t="s">
        <v>142</v>
      </c>
      <c r="B531" s="327" t="s">
        <v>97</v>
      </c>
      <c r="C531" s="328">
        <v>139.68051696729742</v>
      </c>
      <c r="D531" s="181">
        <v>139.68051696729742</v>
      </c>
      <c r="E531" s="181">
        <f t="shared" si="56"/>
        <v>18</v>
      </c>
      <c r="F531" s="181">
        <f t="shared" si="57"/>
        <v>4</v>
      </c>
      <c r="G531" s="181">
        <f t="shared" si="58"/>
        <v>1</v>
      </c>
      <c r="H531" s="182">
        <v>27760.664664148564</v>
      </c>
      <c r="I531" s="181">
        <v>6600</v>
      </c>
      <c r="J531" s="183">
        <v>35.478851309693546</v>
      </c>
      <c r="K531" s="181">
        <f t="shared" si="59"/>
        <v>5</v>
      </c>
      <c r="L531" s="181">
        <f t="shared" si="60"/>
        <v>1</v>
      </c>
      <c r="M531" s="181">
        <f t="shared" si="61"/>
        <v>1</v>
      </c>
      <c r="N531" s="182">
        <v>7051.2088246937356</v>
      </c>
      <c r="O531" s="181">
        <v>2400</v>
      </c>
      <c r="P531" s="181">
        <v>27936.103393459485</v>
      </c>
      <c r="Q531">
        <v>414</v>
      </c>
      <c r="R531">
        <v>1105.3024868650327</v>
      </c>
      <c r="S531" s="88">
        <f t="shared" si="62"/>
        <v>10970.511311558768</v>
      </c>
    </row>
    <row r="532" spans="1:19" x14ac:dyDescent="0.25">
      <c r="A532" s="327" t="s">
        <v>142</v>
      </c>
      <c r="B532" s="327" t="s">
        <v>98</v>
      </c>
      <c r="C532" s="328">
        <v>312.30291293499999</v>
      </c>
      <c r="D532" s="181">
        <v>312.30291293499999</v>
      </c>
      <c r="E532" s="181">
        <f t="shared" si="56"/>
        <v>40</v>
      </c>
      <c r="F532" s="181">
        <f t="shared" si="57"/>
        <v>8</v>
      </c>
      <c r="G532" s="181">
        <f t="shared" si="58"/>
        <v>2</v>
      </c>
      <c r="H532" s="182">
        <v>62068.330128353649</v>
      </c>
      <c r="I532" s="181">
        <v>13200</v>
      </c>
      <c r="J532" s="183">
        <v>79.324939885489997</v>
      </c>
      <c r="K532" s="181">
        <f t="shared" si="59"/>
        <v>10</v>
      </c>
      <c r="L532" s="181">
        <f t="shared" si="60"/>
        <v>2</v>
      </c>
      <c r="M532" s="181">
        <f t="shared" si="61"/>
        <v>1</v>
      </c>
      <c r="N532" s="182">
        <v>15765.355852601826</v>
      </c>
      <c r="O532" s="181">
        <v>4800</v>
      </c>
      <c r="P532" s="181">
        <v>62460.582586999997</v>
      </c>
      <c r="Q532">
        <v>414</v>
      </c>
      <c r="R532">
        <v>1105.3024868650327</v>
      </c>
      <c r="S532" s="88">
        <f t="shared" si="62"/>
        <v>22084.65833946686</v>
      </c>
    </row>
    <row r="533" spans="1:19" x14ac:dyDescent="0.25">
      <c r="A533" s="327" t="s">
        <v>142</v>
      </c>
      <c r="B533" s="327" t="s">
        <v>135</v>
      </c>
      <c r="C533" s="328">
        <v>106.66666666666666</v>
      </c>
      <c r="D533" s="181">
        <v>106.66666666666666</v>
      </c>
      <c r="E533" s="181">
        <f t="shared" si="56"/>
        <v>14</v>
      </c>
      <c r="F533" s="181">
        <f t="shared" si="57"/>
        <v>3</v>
      </c>
      <c r="G533" s="181">
        <f t="shared" si="58"/>
        <v>1</v>
      </c>
      <c r="H533" s="182">
        <v>21199.360000000001</v>
      </c>
      <c r="I533" s="181">
        <v>6600</v>
      </c>
      <c r="J533" s="183">
        <v>27.09333333333333</v>
      </c>
      <c r="K533" s="181">
        <f t="shared" si="59"/>
        <v>4</v>
      </c>
      <c r="L533" s="181">
        <f t="shared" si="60"/>
        <v>1</v>
      </c>
      <c r="M533" s="181">
        <f t="shared" si="61"/>
        <v>1</v>
      </c>
      <c r="N533" s="182">
        <v>5384.6374400000004</v>
      </c>
      <c r="O533" s="181">
        <v>2400</v>
      </c>
      <c r="P533" s="181">
        <v>21333.333333333332</v>
      </c>
      <c r="Q533">
        <v>414</v>
      </c>
      <c r="R533">
        <v>1105.3024868650327</v>
      </c>
      <c r="S533" s="88">
        <f t="shared" si="62"/>
        <v>9303.9399268650341</v>
      </c>
    </row>
    <row r="534" spans="1:19" x14ac:dyDescent="0.25">
      <c r="A534" s="327" t="s">
        <v>142</v>
      </c>
      <c r="B534" s="327" t="s">
        <v>99</v>
      </c>
      <c r="C534" s="328">
        <v>136.91935941370068</v>
      </c>
      <c r="D534" s="181">
        <v>136.91935941370068</v>
      </c>
      <c r="E534" s="181">
        <f t="shared" si="56"/>
        <v>18</v>
      </c>
      <c r="F534" s="181">
        <f t="shared" si="57"/>
        <v>4</v>
      </c>
      <c r="G534" s="181">
        <f t="shared" si="58"/>
        <v>1</v>
      </c>
      <c r="H534" s="182">
        <v>27211.90116731653</v>
      </c>
      <c r="I534" s="181">
        <v>6600</v>
      </c>
      <c r="J534" s="183">
        <v>34.777517291079974</v>
      </c>
      <c r="K534" s="181">
        <f t="shared" si="59"/>
        <v>5</v>
      </c>
      <c r="L534" s="181">
        <f t="shared" si="60"/>
        <v>1</v>
      </c>
      <c r="M534" s="181">
        <f t="shared" si="61"/>
        <v>1</v>
      </c>
      <c r="N534" s="182">
        <v>6911.8228964983991</v>
      </c>
      <c r="O534" s="181">
        <v>2400</v>
      </c>
      <c r="P534" s="181">
        <v>27383.871882740135</v>
      </c>
      <c r="Q534">
        <v>414</v>
      </c>
      <c r="R534">
        <v>1105.3024868650327</v>
      </c>
      <c r="S534" s="88">
        <f t="shared" si="62"/>
        <v>10831.125383363433</v>
      </c>
    </row>
    <row r="535" spans="1:19" x14ac:dyDescent="0.25">
      <c r="A535" s="327" t="s">
        <v>142</v>
      </c>
      <c r="B535" s="327" t="s">
        <v>100</v>
      </c>
      <c r="C535" s="328">
        <v>194.12398238080777</v>
      </c>
      <c r="D535" s="181">
        <v>194.12398238080777</v>
      </c>
      <c r="E535" s="181">
        <f t="shared" si="56"/>
        <v>25</v>
      </c>
      <c r="F535" s="181">
        <f t="shared" si="57"/>
        <v>5</v>
      </c>
      <c r="G535" s="181">
        <f t="shared" si="58"/>
        <v>2</v>
      </c>
      <c r="H535" s="182">
        <v>38580.976754291267</v>
      </c>
      <c r="I535" s="181">
        <v>13200</v>
      </c>
      <c r="J535" s="183">
        <v>49.307491524725172</v>
      </c>
      <c r="K535" s="181">
        <f t="shared" si="59"/>
        <v>7</v>
      </c>
      <c r="L535" s="181">
        <f t="shared" si="60"/>
        <v>2</v>
      </c>
      <c r="M535" s="181">
        <f t="shared" si="61"/>
        <v>1</v>
      </c>
      <c r="N535" s="182">
        <v>9799.5680955899807</v>
      </c>
      <c r="O535" s="181">
        <v>4800</v>
      </c>
      <c r="P535" s="181">
        <v>38824.796476161559</v>
      </c>
      <c r="Q535">
        <v>414</v>
      </c>
      <c r="R535">
        <v>1105.3024868650327</v>
      </c>
      <c r="S535" s="88">
        <f t="shared" si="62"/>
        <v>16118.870582455012</v>
      </c>
    </row>
    <row r="536" spans="1:19" x14ac:dyDescent="0.25">
      <c r="A536" s="327" t="s">
        <v>142</v>
      </c>
      <c r="B536" s="327" t="s">
        <v>101</v>
      </c>
      <c r="C536" s="328">
        <v>297</v>
      </c>
      <c r="D536" s="181">
        <v>297</v>
      </c>
      <c r="E536" s="181">
        <f t="shared" si="56"/>
        <v>38</v>
      </c>
      <c r="F536" s="181">
        <f t="shared" si="57"/>
        <v>8</v>
      </c>
      <c r="G536" s="181">
        <f t="shared" si="58"/>
        <v>2</v>
      </c>
      <c r="H536" s="182">
        <v>59026.968000000008</v>
      </c>
      <c r="I536" s="181">
        <v>13200</v>
      </c>
      <c r="J536" s="183">
        <v>75.438000000000002</v>
      </c>
      <c r="K536" s="181">
        <f t="shared" si="59"/>
        <v>10</v>
      </c>
      <c r="L536" s="181">
        <f t="shared" si="60"/>
        <v>2</v>
      </c>
      <c r="M536" s="181">
        <f t="shared" si="61"/>
        <v>1</v>
      </c>
      <c r="N536" s="182">
        <v>14992.849872000003</v>
      </c>
      <c r="O536" s="181">
        <v>4800</v>
      </c>
      <c r="P536" s="181">
        <v>59400</v>
      </c>
      <c r="Q536">
        <v>414</v>
      </c>
      <c r="R536">
        <v>1105.3024868650327</v>
      </c>
      <c r="S536" s="88">
        <f t="shared" si="62"/>
        <v>21312.152358865034</v>
      </c>
    </row>
    <row r="537" spans="1:19" x14ac:dyDescent="0.25">
      <c r="A537" s="327" t="s">
        <v>142</v>
      </c>
      <c r="B537" s="327" t="s">
        <v>102</v>
      </c>
      <c r="C537" s="328">
        <v>45.800000000000018</v>
      </c>
      <c r="D537" s="181">
        <v>45.800000000000018</v>
      </c>
      <c r="E537" s="181">
        <f t="shared" si="56"/>
        <v>6</v>
      </c>
      <c r="F537" s="181">
        <f t="shared" si="57"/>
        <v>2</v>
      </c>
      <c r="G537" s="181">
        <f t="shared" si="58"/>
        <v>1</v>
      </c>
      <c r="H537" s="182">
        <v>9102.4752000000044</v>
      </c>
      <c r="I537" s="181">
        <v>4800</v>
      </c>
      <c r="J537" s="183">
        <v>11.633200000000004</v>
      </c>
      <c r="K537" s="181">
        <f t="shared" si="59"/>
        <v>2</v>
      </c>
      <c r="L537" s="181">
        <f t="shared" si="60"/>
        <v>1</v>
      </c>
      <c r="M537" s="181">
        <f t="shared" si="61"/>
        <v>1</v>
      </c>
      <c r="N537" s="182">
        <v>2312.0287008000009</v>
      </c>
      <c r="O537" s="181">
        <v>1400</v>
      </c>
      <c r="P537" s="181">
        <v>9160.0000000000036</v>
      </c>
      <c r="Q537">
        <v>414</v>
      </c>
      <c r="R537">
        <v>1105.3024868650327</v>
      </c>
      <c r="S537" s="88">
        <f t="shared" si="62"/>
        <v>5231.3311876650332</v>
      </c>
    </row>
    <row r="538" spans="1:19" x14ac:dyDescent="0.25">
      <c r="A538" s="327" t="s">
        <v>142</v>
      </c>
      <c r="B538" s="327" t="s">
        <v>103</v>
      </c>
      <c r="C538" s="328">
        <v>92.490646694128458</v>
      </c>
      <c r="D538" s="181">
        <v>92.490646694128458</v>
      </c>
      <c r="E538" s="181">
        <f t="shared" si="56"/>
        <v>12</v>
      </c>
      <c r="F538" s="181">
        <f t="shared" si="57"/>
        <v>3</v>
      </c>
      <c r="G538" s="181">
        <f t="shared" si="58"/>
        <v>1</v>
      </c>
      <c r="H538" s="182">
        <v>18381.96108657787</v>
      </c>
      <c r="I538" s="181">
        <v>6600</v>
      </c>
      <c r="J538" s="183">
        <v>23.492624260308627</v>
      </c>
      <c r="K538" s="181">
        <f t="shared" si="59"/>
        <v>3</v>
      </c>
      <c r="L538" s="181">
        <f t="shared" si="60"/>
        <v>1</v>
      </c>
      <c r="M538" s="181">
        <f t="shared" si="61"/>
        <v>1</v>
      </c>
      <c r="N538" s="182">
        <v>4669.0181159907788</v>
      </c>
      <c r="O538" s="181">
        <v>2100</v>
      </c>
      <c r="P538" s="181">
        <v>18498.129338825693</v>
      </c>
      <c r="Q538">
        <v>414</v>
      </c>
      <c r="R538">
        <v>1105.3024868650327</v>
      </c>
      <c r="S538" s="88">
        <f t="shared" si="62"/>
        <v>8288.3206028558125</v>
      </c>
    </row>
    <row r="539" spans="1:19" x14ac:dyDescent="0.25">
      <c r="A539" s="327" t="s">
        <v>142</v>
      </c>
      <c r="B539" s="327" t="s">
        <v>104</v>
      </c>
      <c r="C539" s="328">
        <v>26.985074626865668</v>
      </c>
      <c r="D539" s="181">
        <v>26.985074626865668</v>
      </c>
      <c r="E539" s="181">
        <f t="shared" si="56"/>
        <v>4</v>
      </c>
      <c r="F539" s="181">
        <f t="shared" si="57"/>
        <v>1</v>
      </c>
      <c r="G539" s="181">
        <f t="shared" si="58"/>
        <v>1</v>
      </c>
      <c r="H539" s="182">
        <v>5363.1216716417912</v>
      </c>
      <c r="I539" s="181">
        <v>2400</v>
      </c>
      <c r="J539" s="183">
        <v>6.8542089552238794</v>
      </c>
      <c r="K539" s="181">
        <f t="shared" si="59"/>
        <v>1</v>
      </c>
      <c r="L539" s="181">
        <f t="shared" si="60"/>
        <v>1</v>
      </c>
      <c r="M539" s="181">
        <f t="shared" si="61"/>
        <v>1</v>
      </c>
      <c r="N539" s="182">
        <v>1362.2329045970148</v>
      </c>
      <c r="O539" s="181">
        <v>700</v>
      </c>
      <c r="P539" s="181">
        <v>5397.0149253731333</v>
      </c>
      <c r="Q539">
        <v>414</v>
      </c>
      <c r="R539">
        <v>1105.3024868650327</v>
      </c>
      <c r="S539" s="88">
        <f t="shared" si="62"/>
        <v>3581.5353914620473</v>
      </c>
    </row>
    <row r="540" spans="1:19" x14ac:dyDescent="0.25">
      <c r="A540" s="327" t="s">
        <v>142</v>
      </c>
      <c r="B540" s="327" t="s">
        <v>105</v>
      </c>
      <c r="C540" s="328">
        <v>208.43780689677163</v>
      </c>
      <c r="D540" s="181">
        <v>208.43780689677163</v>
      </c>
      <c r="E540" s="181">
        <f t="shared" si="56"/>
        <v>27</v>
      </c>
      <c r="F540" s="181">
        <f t="shared" si="57"/>
        <v>6</v>
      </c>
      <c r="G540" s="181">
        <f t="shared" si="58"/>
        <v>2</v>
      </c>
      <c r="H540" s="182">
        <v>41425.763493891987</v>
      </c>
      <c r="I540" s="181">
        <v>13200</v>
      </c>
      <c r="J540" s="183">
        <v>52.943202951779995</v>
      </c>
      <c r="K540" s="181">
        <f t="shared" si="59"/>
        <v>7</v>
      </c>
      <c r="L540" s="181">
        <f t="shared" si="60"/>
        <v>2</v>
      </c>
      <c r="M540" s="181">
        <f t="shared" si="61"/>
        <v>1</v>
      </c>
      <c r="N540" s="182">
        <v>10522.143927448566</v>
      </c>
      <c r="O540" s="181">
        <v>4800</v>
      </c>
      <c r="P540" s="181">
        <v>41687.561379354323</v>
      </c>
      <c r="Q540">
        <v>414</v>
      </c>
      <c r="R540">
        <v>1105.3024868650327</v>
      </c>
      <c r="S540" s="88">
        <f t="shared" si="62"/>
        <v>16841.446414313599</v>
      </c>
    </row>
    <row r="541" spans="1:19" x14ac:dyDescent="0.25">
      <c r="A541" s="327" t="s">
        <v>142</v>
      </c>
      <c r="B541" s="327" t="s">
        <v>106</v>
      </c>
      <c r="C541" s="328">
        <v>197.6818503237796</v>
      </c>
      <c r="D541" s="181">
        <v>197.6818503237796</v>
      </c>
      <c r="E541" s="181">
        <f t="shared" si="56"/>
        <v>25</v>
      </c>
      <c r="F541" s="181">
        <f t="shared" si="57"/>
        <v>5</v>
      </c>
      <c r="G541" s="181">
        <f t="shared" si="58"/>
        <v>2</v>
      </c>
      <c r="H541" s="182">
        <v>39288.08166074926</v>
      </c>
      <c r="I541" s="181">
        <v>13200</v>
      </c>
      <c r="J541" s="183">
        <v>50.211189982240022</v>
      </c>
      <c r="K541" s="181">
        <f t="shared" si="59"/>
        <v>7</v>
      </c>
      <c r="L541" s="181">
        <f t="shared" si="60"/>
        <v>2</v>
      </c>
      <c r="M541" s="181">
        <f t="shared" si="61"/>
        <v>1</v>
      </c>
      <c r="N541" s="182">
        <v>9979.1727418303126</v>
      </c>
      <c r="O541" s="181">
        <v>4800</v>
      </c>
      <c r="P541" s="181">
        <v>39536.370064755916</v>
      </c>
      <c r="Q541">
        <v>414</v>
      </c>
      <c r="R541">
        <v>1105.3024868650327</v>
      </c>
      <c r="S541" s="88">
        <f t="shared" si="62"/>
        <v>16298.475228695344</v>
      </c>
    </row>
    <row r="542" spans="1:19" x14ac:dyDescent="0.25">
      <c r="A542" s="327" t="s">
        <v>142</v>
      </c>
      <c r="B542" s="327" t="s">
        <v>136</v>
      </c>
      <c r="C542" s="328">
        <v>232.51799537858369</v>
      </c>
      <c r="D542" s="181">
        <v>232.51799537858369</v>
      </c>
      <c r="E542" s="181">
        <f t="shared" si="56"/>
        <v>30</v>
      </c>
      <c r="F542" s="181">
        <f t="shared" si="57"/>
        <v>6</v>
      </c>
      <c r="G542" s="181">
        <f t="shared" si="58"/>
        <v>2</v>
      </c>
      <c r="H542" s="182">
        <v>46211.556473521247</v>
      </c>
      <c r="I542" s="181">
        <v>13200</v>
      </c>
      <c r="J542" s="183">
        <v>59.059570826160261</v>
      </c>
      <c r="K542" s="181">
        <f t="shared" si="59"/>
        <v>8</v>
      </c>
      <c r="L542" s="181">
        <f t="shared" si="60"/>
        <v>2</v>
      </c>
      <c r="M542" s="181">
        <f t="shared" si="61"/>
        <v>1</v>
      </c>
      <c r="N542" s="182">
        <v>11737.735344274397</v>
      </c>
      <c r="O542" s="181">
        <v>4800</v>
      </c>
      <c r="P542" s="181">
        <v>46503.599075716738</v>
      </c>
      <c r="Q542">
        <v>414</v>
      </c>
      <c r="R542">
        <v>1105.3024868650327</v>
      </c>
      <c r="S542" s="88">
        <f t="shared" si="62"/>
        <v>18057.037831139431</v>
      </c>
    </row>
    <row r="543" spans="1:19" x14ac:dyDescent="0.25">
      <c r="A543" s="327" t="s">
        <v>142</v>
      </c>
      <c r="B543" s="327" t="s">
        <v>107</v>
      </c>
      <c r="C543" s="328">
        <v>4.9230769230769234</v>
      </c>
      <c r="D543" s="181">
        <v>4.9230769230769234</v>
      </c>
      <c r="E543" s="181">
        <f t="shared" si="56"/>
        <v>1</v>
      </c>
      <c r="F543" s="181">
        <f t="shared" si="57"/>
        <v>1</v>
      </c>
      <c r="G543" s="181">
        <f t="shared" si="58"/>
        <v>1</v>
      </c>
      <c r="H543" s="182">
        <v>978.43200000000024</v>
      </c>
      <c r="I543" s="181">
        <v>700</v>
      </c>
      <c r="J543" s="183">
        <v>1.2504615384615385</v>
      </c>
      <c r="K543" s="181">
        <f t="shared" si="59"/>
        <v>1</v>
      </c>
      <c r="L543" s="181">
        <f t="shared" si="60"/>
        <v>1</v>
      </c>
      <c r="M543" s="181">
        <f t="shared" si="61"/>
        <v>1</v>
      </c>
      <c r="N543" s="182">
        <v>248.52172800000005</v>
      </c>
      <c r="O543" s="181">
        <v>700</v>
      </c>
      <c r="P543" s="181">
        <v>984.61538461538464</v>
      </c>
      <c r="Q543">
        <v>414</v>
      </c>
      <c r="R543">
        <v>1105.3024868650327</v>
      </c>
      <c r="S543" s="88">
        <f t="shared" si="62"/>
        <v>2467.8242148650329</v>
      </c>
    </row>
    <row r="544" spans="1:19" x14ac:dyDescent="0.25">
      <c r="A544" s="327" t="s">
        <v>142</v>
      </c>
      <c r="B544" s="327" t="s">
        <v>108</v>
      </c>
      <c r="C544" s="328">
        <v>138.87934817515463</v>
      </c>
      <c r="D544" s="181">
        <v>138.87934817515463</v>
      </c>
      <c r="E544" s="181">
        <f t="shared" si="56"/>
        <v>18</v>
      </c>
      <c r="F544" s="181">
        <f t="shared" si="57"/>
        <v>4</v>
      </c>
      <c r="G544" s="181">
        <f t="shared" si="58"/>
        <v>1</v>
      </c>
      <c r="H544" s="182">
        <v>27601.437173722938</v>
      </c>
      <c r="I544" s="181">
        <v>6600</v>
      </c>
      <c r="J544" s="183">
        <v>35.27535443648928</v>
      </c>
      <c r="K544" s="181">
        <f t="shared" si="59"/>
        <v>5</v>
      </c>
      <c r="L544" s="181">
        <f t="shared" si="60"/>
        <v>1</v>
      </c>
      <c r="M544" s="181">
        <f t="shared" si="61"/>
        <v>1</v>
      </c>
      <c r="N544" s="182">
        <v>7010.7650421256267</v>
      </c>
      <c r="O544" s="181">
        <v>2400</v>
      </c>
      <c r="P544" s="181">
        <v>27775.869635030926</v>
      </c>
      <c r="Q544">
        <v>414</v>
      </c>
      <c r="R544">
        <v>1105.3024868650327</v>
      </c>
      <c r="S544" s="88">
        <f t="shared" si="62"/>
        <v>10930.067528990659</v>
      </c>
    </row>
    <row r="545" spans="1:19" x14ac:dyDescent="0.25">
      <c r="A545" s="327" t="s">
        <v>142</v>
      </c>
      <c r="B545" s="327" t="s">
        <v>109</v>
      </c>
      <c r="C545" s="328">
        <v>91.990681474356819</v>
      </c>
      <c r="D545" s="181">
        <v>91.990681474356819</v>
      </c>
      <c r="E545" s="181">
        <f t="shared" si="56"/>
        <v>12</v>
      </c>
      <c r="F545" s="181">
        <f t="shared" si="57"/>
        <v>3</v>
      </c>
      <c r="G545" s="181">
        <f t="shared" si="58"/>
        <v>1</v>
      </c>
      <c r="H545" s="182">
        <v>18282.595998939574</v>
      </c>
      <c r="I545" s="181">
        <v>6600</v>
      </c>
      <c r="J545" s="183">
        <v>23.365633094486633</v>
      </c>
      <c r="K545" s="181">
        <f t="shared" si="59"/>
        <v>3</v>
      </c>
      <c r="L545" s="181">
        <f t="shared" si="60"/>
        <v>1</v>
      </c>
      <c r="M545" s="181">
        <f t="shared" si="61"/>
        <v>1</v>
      </c>
      <c r="N545" s="182">
        <v>4643.7793837306517</v>
      </c>
      <c r="O545" s="181">
        <v>2100</v>
      </c>
      <c r="P545" s="181">
        <v>18398.136294871365</v>
      </c>
      <c r="Q545">
        <v>414</v>
      </c>
      <c r="R545">
        <v>1105.3024868650327</v>
      </c>
      <c r="S545" s="88">
        <f t="shared" si="62"/>
        <v>8263.0818705956844</v>
      </c>
    </row>
    <row r="546" spans="1:19" x14ac:dyDescent="0.25">
      <c r="A546" s="327" t="s">
        <v>142</v>
      </c>
      <c r="B546" s="327" t="s">
        <v>110</v>
      </c>
      <c r="C546" s="328">
        <v>103.3780736465706</v>
      </c>
      <c r="D546" s="181">
        <v>103.3780736465706</v>
      </c>
      <c r="E546" s="181">
        <f t="shared" si="56"/>
        <v>13</v>
      </c>
      <c r="F546" s="181">
        <f t="shared" si="57"/>
        <v>3</v>
      </c>
      <c r="G546" s="181">
        <f t="shared" si="58"/>
        <v>1</v>
      </c>
      <c r="H546" s="182">
        <v>20545.77186881403</v>
      </c>
      <c r="I546" s="181">
        <v>6600</v>
      </c>
      <c r="J546" s="183">
        <v>26.258030706228933</v>
      </c>
      <c r="K546" s="181">
        <f t="shared" si="59"/>
        <v>4</v>
      </c>
      <c r="L546" s="181">
        <f t="shared" si="60"/>
        <v>1</v>
      </c>
      <c r="M546" s="181">
        <f t="shared" si="61"/>
        <v>1</v>
      </c>
      <c r="N546" s="182">
        <v>5218.6260546787635</v>
      </c>
      <c r="O546" s="181">
        <v>2400</v>
      </c>
      <c r="P546" s="181">
        <v>20675.614729314118</v>
      </c>
      <c r="Q546">
        <v>414</v>
      </c>
      <c r="R546">
        <v>1105.3024868650327</v>
      </c>
      <c r="S546" s="88">
        <f t="shared" si="62"/>
        <v>9137.9285415437953</v>
      </c>
    </row>
    <row r="547" spans="1:19" x14ac:dyDescent="0.25">
      <c r="A547" s="327" t="s">
        <v>142</v>
      </c>
      <c r="B547" s="327" t="s">
        <v>111</v>
      </c>
      <c r="C547" s="328">
        <v>228.10388571416377</v>
      </c>
      <c r="D547" s="181">
        <v>228.10388571416377</v>
      </c>
      <c r="E547" s="181">
        <f t="shared" si="56"/>
        <v>29</v>
      </c>
      <c r="F547" s="181">
        <f t="shared" si="57"/>
        <v>6</v>
      </c>
      <c r="G547" s="181">
        <f t="shared" si="58"/>
        <v>2</v>
      </c>
      <c r="H547" s="182">
        <v>45334.278662375771</v>
      </c>
      <c r="I547" s="181">
        <v>13200</v>
      </c>
      <c r="J547" s="183">
        <v>57.938386971397598</v>
      </c>
      <c r="K547" s="181">
        <f t="shared" si="59"/>
        <v>8</v>
      </c>
      <c r="L547" s="181">
        <f t="shared" si="60"/>
        <v>2</v>
      </c>
      <c r="M547" s="181">
        <f t="shared" si="61"/>
        <v>1</v>
      </c>
      <c r="N547" s="182">
        <v>11514.906780243446</v>
      </c>
      <c r="O547" s="181">
        <v>4800</v>
      </c>
      <c r="P547" s="181">
        <v>45620.777142832754</v>
      </c>
      <c r="Q547">
        <v>414</v>
      </c>
      <c r="R547">
        <v>1105.3024868650327</v>
      </c>
      <c r="S547" s="88">
        <f t="shared" si="62"/>
        <v>17834.209267108479</v>
      </c>
    </row>
    <row r="548" spans="1:19" x14ac:dyDescent="0.25">
      <c r="A548" s="327" t="s">
        <v>142</v>
      </c>
      <c r="B548" s="327" t="s">
        <v>137</v>
      </c>
      <c r="C548" s="328">
        <v>76.047058823529412</v>
      </c>
      <c r="D548" s="181">
        <v>76.047058823529412</v>
      </c>
      <c r="E548" s="181">
        <f t="shared" si="56"/>
        <v>10</v>
      </c>
      <c r="F548" s="181">
        <f t="shared" si="57"/>
        <v>2</v>
      </c>
      <c r="G548" s="181">
        <f t="shared" si="58"/>
        <v>1</v>
      </c>
      <c r="H548" s="182">
        <v>15113.896658823531</v>
      </c>
      <c r="I548" s="181">
        <v>4800</v>
      </c>
      <c r="J548" s="183">
        <v>19.315952941176469</v>
      </c>
      <c r="K548" s="181">
        <f t="shared" si="59"/>
        <v>3</v>
      </c>
      <c r="L548" s="181">
        <f t="shared" si="60"/>
        <v>1</v>
      </c>
      <c r="M548" s="181">
        <f t="shared" si="61"/>
        <v>1</v>
      </c>
      <c r="N548" s="182">
        <v>3838.9297513411766</v>
      </c>
      <c r="O548" s="181">
        <v>2100</v>
      </c>
      <c r="P548" s="181">
        <v>15209.411764705883</v>
      </c>
      <c r="Q548">
        <v>414</v>
      </c>
      <c r="R548">
        <v>1105.3024868650327</v>
      </c>
      <c r="S548" s="88">
        <f t="shared" si="62"/>
        <v>7458.2322382062093</v>
      </c>
    </row>
    <row r="549" spans="1:19" x14ac:dyDescent="0.25">
      <c r="A549" s="327" t="s">
        <v>142</v>
      </c>
      <c r="B549" s="327" t="s">
        <v>112</v>
      </c>
      <c r="C549" s="328">
        <v>123.22471910112358</v>
      </c>
      <c r="D549" s="181">
        <v>123.22471910112358</v>
      </c>
      <c r="E549" s="181">
        <f t="shared" si="56"/>
        <v>16</v>
      </c>
      <c r="F549" s="181">
        <f t="shared" si="57"/>
        <v>4</v>
      </c>
      <c r="G549" s="181">
        <f t="shared" si="58"/>
        <v>1</v>
      </c>
      <c r="H549" s="182">
        <v>24490.17357303371</v>
      </c>
      <c r="I549" s="181">
        <v>6600</v>
      </c>
      <c r="J549" s="183">
        <v>31.299078651685392</v>
      </c>
      <c r="K549" s="181">
        <f t="shared" si="59"/>
        <v>4</v>
      </c>
      <c r="L549" s="181">
        <f t="shared" si="60"/>
        <v>1</v>
      </c>
      <c r="M549" s="181">
        <f t="shared" si="61"/>
        <v>1</v>
      </c>
      <c r="N549" s="182">
        <v>6220.504087550562</v>
      </c>
      <c r="O549" s="181">
        <v>2400</v>
      </c>
      <c r="P549" s="181">
        <v>24644.943820224718</v>
      </c>
      <c r="Q549">
        <v>414</v>
      </c>
      <c r="R549">
        <v>1105.3024868650327</v>
      </c>
      <c r="S549" s="88">
        <f t="shared" si="62"/>
        <v>10139.806574415594</v>
      </c>
    </row>
    <row r="550" spans="1:19" x14ac:dyDescent="0.25">
      <c r="A550" s="327" t="s">
        <v>142</v>
      </c>
      <c r="B550" s="327" t="s">
        <v>113</v>
      </c>
      <c r="C550" s="328">
        <v>720.73551186206521</v>
      </c>
      <c r="D550" s="181">
        <v>720.73551186206521</v>
      </c>
      <c r="E550" s="181">
        <f t="shared" si="56"/>
        <v>91</v>
      </c>
      <c r="F550" s="181">
        <f t="shared" si="57"/>
        <v>19</v>
      </c>
      <c r="G550" s="181">
        <f t="shared" si="58"/>
        <v>5</v>
      </c>
      <c r="H550" s="182">
        <v>143241.8585695143</v>
      </c>
      <c r="I550" s="181">
        <v>33000</v>
      </c>
      <c r="J550" s="183">
        <v>183.06682001296457</v>
      </c>
      <c r="K550" s="181">
        <f t="shared" si="59"/>
        <v>23</v>
      </c>
      <c r="L550" s="181">
        <f t="shared" si="60"/>
        <v>5</v>
      </c>
      <c r="M550" s="181">
        <f t="shared" si="61"/>
        <v>2</v>
      </c>
      <c r="N550" s="182">
        <v>36383.432076656638</v>
      </c>
      <c r="O550" s="181">
        <v>13200</v>
      </c>
      <c r="P550" s="181">
        <v>144147.10237241304</v>
      </c>
      <c r="Q550">
        <v>414</v>
      </c>
      <c r="R550">
        <v>1105.3024868650327</v>
      </c>
      <c r="S550" s="88">
        <f t="shared" si="62"/>
        <v>51102.73456352167</v>
      </c>
    </row>
    <row r="551" spans="1:19" x14ac:dyDescent="0.25">
      <c r="A551" s="327" t="s">
        <v>142</v>
      </c>
      <c r="B551" s="327" t="s">
        <v>138</v>
      </c>
      <c r="C551" s="328">
        <v>126.94854206673827</v>
      </c>
      <c r="D551" s="181">
        <v>126.94854206673827</v>
      </c>
      <c r="E551" s="181">
        <f t="shared" si="56"/>
        <v>16</v>
      </c>
      <c r="F551" s="181">
        <f t="shared" si="57"/>
        <v>4</v>
      </c>
      <c r="G551" s="181">
        <f t="shared" si="58"/>
        <v>1</v>
      </c>
      <c r="H551" s="182">
        <v>25230.261044511833</v>
      </c>
      <c r="I551" s="181">
        <v>6600</v>
      </c>
      <c r="J551" s="183">
        <v>32.244929684951522</v>
      </c>
      <c r="K551" s="181">
        <f t="shared" si="59"/>
        <v>5</v>
      </c>
      <c r="L551" s="181">
        <f t="shared" si="60"/>
        <v>1</v>
      </c>
      <c r="M551" s="181">
        <f t="shared" si="61"/>
        <v>1</v>
      </c>
      <c r="N551" s="182">
        <v>6408.4863053060062</v>
      </c>
      <c r="O551" s="181">
        <v>2400</v>
      </c>
      <c r="P551" s="181">
        <v>25389.708413347653</v>
      </c>
      <c r="Q551">
        <v>414</v>
      </c>
      <c r="R551">
        <v>1105.3024868650327</v>
      </c>
      <c r="S551" s="88">
        <f t="shared" si="62"/>
        <v>10327.788792171039</v>
      </c>
    </row>
    <row r="552" spans="1:19" x14ac:dyDescent="0.25">
      <c r="A552" s="327" t="s">
        <v>142</v>
      </c>
      <c r="B552" s="327" t="s">
        <v>139</v>
      </c>
      <c r="C552" s="328">
        <v>91.901114103595106</v>
      </c>
      <c r="D552" s="181">
        <v>91.901114103595106</v>
      </c>
      <c r="E552" s="181">
        <f t="shared" si="56"/>
        <v>12</v>
      </c>
      <c r="F552" s="181">
        <f t="shared" si="57"/>
        <v>3</v>
      </c>
      <c r="G552" s="181">
        <f t="shared" si="58"/>
        <v>1</v>
      </c>
      <c r="H552" s="182">
        <v>18264.795021404909</v>
      </c>
      <c r="I552" s="181">
        <v>6600</v>
      </c>
      <c r="J552" s="183">
        <v>23.342882982313157</v>
      </c>
      <c r="K552" s="181">
        <f t="shared" si="59"/>
        <v>3</v>
      </c>
      <c r="L552" s="181">
        <f t="shared" si="60"/>
        <v>1</v>
      </c>
      <c r="M552" s="181">
        <f t="shared" si="61"/>
        <v>1</v>
      </c>
      <c r="N552" s="182">
        <v>4639.2579354368463</v>
      </c>
      <c r="O552" s="181">
        <v>2100</v>
      </c>
      <c r="P552" s="181">
        <v>18380.22282071902</v>
      </c>
      <c r="Q552">
        <v>414</v>
      </c>
      <c r="R552">
        <v>1105.3024868650327</v>
      </c>
      <c r="S552" s="88">
        <f t="shared" si="62"/>
        <v>8258.5604223018781</v>
      </c>
    </row>
    <row r="553" spans="1:19" x14ac:dyDescent="0.25">
      <c r="A553" s="327" t="s">
        <v>142</v>
      </c>
      <c r="B553" s="327" t="s">
        <v>114</v>
      </c>
      <c r="C553" s="328">
        <v>102.03960171350714</v>
      </c>
      <c r="D553" s="181">
        <v>102.03960171350714</v>
      </c>
      <c r="E553" s="181">
        <f t="shared" si="56"/>
        <v>13</v>
      </c>
      <c r="F553" s="181">
        <f t="shared" si="57"/>
        <v>3</v>
      </c>
      <c r="G553" s="181">
        <f t="shared" si="58"/>
        <v>1</v>
      </c>
      <c r="H553" s="182">
        <v>20279.758602949267</v>
      </c>
      <c r="I553" s="181">
        <v>6600</v>
      </c>
      <c r="J553" s="183">
        <v>25.918058835230813</v>
      </c>
      <c r="K553" s="181">
        <f t="shared" si="59"/>
        <v>4</v>
      </c>
      <c r="L553" s="181">
        <f t="shared" si="60"/>
        <v>1</v>
      </c>
      <c r="M553" s="181">
        <f t="shared" si="61"/>
        <v>1</v>
      </c>
      <c r="N553" s="182">
        <v>5151.0586851491134</v>
      </c>
      <c r="O553" s="181">
        <v>2400</v>
      </c>
      <c r="P553" s="181">
        <v>20407.920342701429</v>
      </c>
      <c r="Q553">
        <v>414</v>
      </c>
      <c r="R553">
        <v>1105.3024868650327</v>
      </c>
      <c r="S553" s="88">
        <f t="shared" si="62"/>
        <v>9070.3611720141453</v>
      </c>
    </row>
    <row r="554" spans="1:19" x14ac:dyDescent="0.25">
      <c r="A554" s="327" t="s">
        <v>142</v>
      </c>
      <c r="B554" s="327" t="s">
        <v>115</v>
      </c>
      <c r="C554" s="328">
        <v>62.672446429530943</v>
      </c>
      <c r="D554" s="181">
        <v>62.672446429530943</v>
      </c>
      <c r="E554" s="181">
        <f t="shared" si="56"/>
        <v>8</v>
      </c>
      <c r="F554" s="181">
        <f t="shared" si="57"/>
        <v>2</v>
      </c>
      <c r="G554" s="181">
        <f t="shared" si="58"/>
        <v>1</v>
      </c>
      <c r="H554" s="182">
        <v>12455.7726931907</v>
      </c>
      <c r="I554" s="181">
        <v>4800</v>
      </c>
      <c r="J554" s="183">
        <v>15.918801393100861</v>
      </c>
      <c r="K554" s="181">
        <f t="shared" si="59"/>
        <v>2</v>
      </c>
      <c r="L554" s="181">
        <f t="shared" si="60"/>
        <v>1</v>
      </c>
      <c r="M554" s="181">
        <f t="shared" si="61"/>
        <v>1</v>
      </c>
      <c r="N554" s="182">
        <v>3163.766264070438</v>
      </c>
      <c r="O554" s="181">
        <v>1400</v>
      </c>
      <c r="P554" s="181">
        <v>12534.489285906189</v>
      </c>
      <c r="Q554">
        <v>414</v>
      </c>
      <c r="R554">
        <v>1105.3024868650327</v>
      </c>
      <c r="S554" s="88">
        <f t="shared" si="62"/>
        <v>6083.0687509354702</v>
      </c>
    </row>
    <row r="555" spans="1:19" x14ac:dyDescent="0.25">
      <c r="A555" s="327" t="s">
        <v>142</v>
      </c>
      <c r="B555" s="327" t="s">
        <v>116</v>
      </c>
      <c r="C555" s="328">
        <v>122.47774000000001</v>
      </c>
      <c r="D555" s="181">
        <v>122.47774000000001</v>
      </c>
      <c r="E555" s="181">
        <f t="shared" si="56"/>
        <v>16</v>
      </c>
      <c r="F555" s="181">
        <f t="shared" si="57"/>
        <v>4</v>
      </c>
      <c r="G555" s="181">
        <f t="shared" si="58"/>
        <v>1</v>
      </c>
      <c r="H555" s="182">
        <v>24341.715958560006</v>
      </c>
      <c r="I555" s="181">
        <v>6600</v>
      </c>
      <c r="J555" s="183">
        <v>31.109345960000002</v>
      </c>
      <c r="K555" s="181">
        <f t="shared" si="59"/>
        <v>4</v>
      </c>
      <c r="L555" s="181">
        <f t="shared" si="60"/>
        <v>1</v>
      </c>
      <c r="M555" s="181">
        <f t="shared" si="61"/>
        <v>1</v>
      </c>
      <c r="N555" s="182">
        <v>6182.7958534742411</v>
      </c>
      <c r="O555" s="181">
        <v>2400</v>
      </c>
      <c r="P555" s="181">
        <v>24495.548000000003</v>
      </c>
      <c r="Q555">
        <v>414</v>
      </c>
      <c r="R555">
        <v>1105.3024868650327</v>
      </c>
      <c r="S555" s="88">
        <f t="shared" si="62"/>
        <v>10102.098340339275</v>
      </c>
    </row>
    <row r="556" spans="1:19" x14ac:dyDescent="0.25">
      <c r="A556" s="327" t="s">
        <v>142</v>
      </c>
      <c r="B556" s="327" t="s">
        <v>117</v>
      </c>
      <c r="C556" s="328">
        <v>145.8014140129923</v>
      </c>
      <c r="D556" s="181">
        <v>145.8014140129923</v>
      </c>
      <c r="E556" s="181">
        <f t="shared" si="56"/>
        <v>19</v>
      </c>
      <c r="F556" s="181">
        <f t="shared" si="57"/>
        <v>4</v>
      </c>
      <c r="G556" s="181">
        <f t="shared" si="58"/>
        <v>1</v>
      </c>
      <c r="H556" s="182">
        <v>28977.156226598145</v>
      </c>
      <c r="I556" s="181">
        <v>6600</v>
      </c>
      <c r="J556" s="183">
        <v>37.033559159300047</v>
      </c>
      <c r="K556" s="181">
        <f t="shared" si="59"/>
        <v>5</v>
      </c>
      <c r="L556" s="181">
        <f t="shared" si="60"/>
        <v>1</v>
      </c>
      <c r="M556" s="181">
        <f t="shared" si="61"/>
        <v>1</v>
      </c>
      <c r="N556" s="182">
        <v>7360.1976815559292</v>
      </c>
      <c r="O556" s="181">
        <v>2400</v>
      </c>
      <c r="P556" s="181">
        <v>29160.28280259846</v>
      </c>
      <c r="Q556">
        <v>414</v>
      </c>
      <c r="R556">
        <v>1105.3024868650327</v>
      </c>
      <c r="S556" s="88">
        <f t="shared" si="62"/>
        <v>11279.500168420962</v>
      </c>
    </row>
    <row r="557" spans="1:19" x14ac:dyDescent="0.25">
      <c r="A557" s="327" t="s">
        <v>142</v>
      </c>
      <c r="B557" s="327" t="s">
        <v>118</v>
      </c>
      <c r="C557" s="328">
        <v>176.6535768992868</v>
      </c>
      <c r="D557" s="181">
        <v>176.6535768992868</v>
      </c>
      <c r="E557" s="181">
        <f t="shared" si="56"/>
        <v>23</v>
      </c>
      <c r="F557" s="181">
        <f t="shared" si="57"/>
        <v>5</v>
      </c>
      <c r="G557" s="181">
        <f t="shared" si="58"/>
        <v>2</v>
      </c>
      <c r="H557" s="182">
        <v>35108.83848727186</v>
      </c>
      <c r="I557" s="181">
        <v>13200</v>
      </c>
      <c r="J557" s="183">
        <v>44.870008532418851</v>
      </c>
      <c r="K557" s="181">
        <f t="shared" si="59"/>
        <v>6</v>
      </c>
      <c r="L557" s="181">
        <f t="shared" si="60"/>
        <v>2</v>
      </c>
      <c r="M557" s="181">
        <f t="shared" si="61"/>
        <v>1</v>
      </c>
      <c r="N557" s="182">
        <v>8917.6449757670525</v>
      </c>
      <c r="O557" s="181">
        <v>4800</v>
      </c>
      <c r="P557" s="181">
        <v>35330.715379857364</v>
      </c>
      <c r="Q557">
        <v>414</v>
      </c>
      <c r="R557">
        <v>1105.3024868650327</v>
      </c>
      <c r="S557" s="88">
        <f t="shared" si="62"/>
        <v>15236.947462632084</v>
      </c>
    </row>
    <row r="558" spans="1:19" x14ac:dyDescent="0.25">
      <c r="A558" s="327" t="s">
        <v>142</v>
      </c>
      <c r="B558" s="327" t="s">
        <v>119</v>
      </c>
      <c r="C558" s="328">
        <v>278.8178263714683</v>
      </c>
      <c r="D558" s="181">
        <v>278.8178263714683</v>
      </c>
      <c r="E558" s="181">
        <f t="shared" si="56"/>
        <v>35</v>
      </c>
      <c r="F558" s="181">
        <f t="shared" si="57"/>
        <v>7</v>
      </c>
      <c r="G558" s="181">
        <f t="shared" si="58"/>
        <v>2</v>
      </c>
      <c r="H558" s="182">
        <v>55413.370084371105</v>
      </c>
      <c r="I558" s="181">
        <v>13200</v>
      </c>
      <c r="J558" s="183">
        <v>70.819727898352951</v>
      </c>
      <c r="K558" s="181">
        <f t="shared" si="59"/>
        <v>9</v>
      </c>
      <c r="L558" s="181">
        <f t="shared" si="60"/>
        <v>2</v>
      </c>
      <c r="M558" s="181">
        <f t="shared" si="61"/>
        <v>1</v>
      </c>
      <c r="N558" s="182">
        <v>14074.996001430261</v>
      </c>
      <c r="O558" s="181">
        <v>4800</v>
      </c>
      <c r="P558" s="181">
        <v>55763.565274293658</v>
      </c>
      <c r="Q558">
        <v>414</v>
      </c>
      <c r="R558">
        <v>1105.3024868650327</v>
      </c>
      <c r="S558" s="88">
        <f t="shared" si="62"/>
        <v>20394.298488295295</v>
      </c>
    </row>
    <row r="559" spans="1:19" x14ac:dyDescent="0.25">
      <c r="A559" s="327" t="s">
        <v>142</v>
      </c>
      <c r="B559" s="327" t="s">
        <v>120</v>
      </c>
      <c r="C559" s="328">
        <v>288.99423960000001</v>
      </c>
      <c r="D559" s="181">
        <v>288.99423960000001</v>
      </c>
      <c r="E559" s="181">
        <f t="shared" si="56"/>
        <v>37</v>
      </c>
      <c r="F559" s="181">
        <f t="shared" si="57"/>
        <v>8</v>
      </c>
      <c r="G559" s="181">
        <f t="shared" si="58"/>
        <v>2</v>
      </c>
      <c r="H559" s="182">
        <v>57435.871155062414</v>
      </c>
      <c r="I559" s="181">
        <v>13200</v>
      </c>
      <c r="J559" s="183">
        <v>73.404536858400007</v>
      </c>
      <c r="K559" s="181">
        <f t="shared" si="59"/>
        <v>10</v>
      </c>
      <c r="L559" s="181">
        <f t="shared" si="60"/>
        <v>2</v>
      </c>
      <c r="M559" s="181">
        <f t="shared" si="61"/>
        <v>1</v>
      </c>
      <c r="N559" s="182">
        <v>14588.711273385854</v>
      </c>
      <c r="O559" s="181">
        <v>4800</v>
      </c>
      <c r="P559" s="181">
        <v>57798.84792</v>
      </c>
      <c r="Q559">
        <v>414</v>
      </c>
      <c r="R559">
        <v>1105.3024868650327</v>
      </c>
      <c r="S559" s="88">
        <f t="shared" si="62"/>
        <v>20908.013760250888</v>
      </c>
    </row>
    <row r="560" spans="1:19" x14ac:dyDescent="0.25">
      <c r="A560" s="327" t="s">
        <v>142</v>
      </c>
      <c r="B560" s="327" t="s">
        <v>121</v>
      </c>
      <c r="C560" s="328">
        <v>110.42159877156134</v>
      </c>
      <c r="D560" s="181">
        <v>110.42159877156134</v>
      </c>
      <c r="E560" s="181">
        <f t="shared" si="56"/>
        <v>14</v>
      </c>
      <c r="F560" s="181">
        <f t="shared" si="57"/>
        <v>3</v>
      </c>
      <c r="G560" s="181">
        <f t="shared" si="58"/>
        <v>1</v>
      </c>
      <c r="H560" s="182">
        <v>21945.630226255191</v>
      </c>
      <c r="I560" s="181">
        <v>6600</v>
      </c>
      <c r="J560" s="183">
        <v>28.047086087976581</v>
      </c>
      <c r="K560" s="181">
        <f t="shared" si="59"/>
        <v>4</v>
      </c>
      <c r="L560" s="181">
        <f t="shared" si="60"/>
        <v>1</v>
      </c>
      <c r="M560" s="181">
        <f t="shared" si="61"/>
        <v>1</v>
      </c>
      <c r="N560" s="182">
        <v>5574.1900774688183</v>
      </c>
      <c r="O560" s="181">
        <v>2400</v>
      </c>
      <c r="P560" s="181">
        <v>22084.319754312266</v>
      </c>
      <c r="Q560">
        <v>414</v>
      </c>
      <c r="R560">
        <v>1105.3024868650327</v>
      </c>
      <c r="S560" s="88">
        <f t="shared" si="62"/>
        <v>9493.4925643338502</v>
      </c>
    </row>
    <row r="561" spans="1:19" x14ac:dyDescent="0.25">
      <c r="A561" s="327" t="s">
        <v>142</v>
      </c>
      <c r="B561" s="327" t="s">
        <v>122</v>
      </c>
      <c r="C561" s="328">
        <v>161.08878018797668</v>
      </c>
      <c r="D561" s="181">
        <v>161.08878018797668</v>
      </c>
      <c r="E561" s="181">
        <f t="shared" si="56"/>
        <v>21</v>
      </c>
      <c r="F561" s="181">
        <f t="shared" si="57"/>
        <v>5</v>
      </c>
      <c r="G561" s="181">
        <f t="shared" si="58"/>
        <v>2</v>
      </c>
      <c r="H561" s="182">
        <v>32015.42852967924</v>
      </c>
      <c r="I561" s="181">
        <v>13200</v>
      </c>
      <c r="J561" s="183">
        <v>40.916550167746081</v>
      </c>
      <c r="K561" s="181">
        <f t="shared" si="59"/>
        <v>6</v>
      </c>
      <c r="L561" s="181">
        <f t="shared" si="60"/>
        <v>2</v>
      </c>
      <c r="M561" s="181">
        <f t="shared" si="61"/>
        <v>1</v>
      </c>
      <c r="N561" s="182">
        <v>8131.9188465385287</v>
      </c>
      <c r="O561" s="181">
        <v>4800</v>
      </c>
      <c r="P561" s="181">
        <v>32217.756037595336</v>
      </c>
      <c r="Q561">
        <v>414</v>
      </c>
      <c r="R561">
        <v>1105.3024868650327</v>
      </c>
      <c r="S561" s="88">
        <f t="shared" si="62"/>
        <v>14451.221333403562</v>
      </c>
    </row>
    <row r="562" spans="1:19" x14ac:dyDescent="0.25">
      <c r="A562" s="327" t="s">
        <v>142</v>
      </c>
      <c r="B562" s="327" t="s">
        <v>123</v>
      </c>
      <c r="C562" s="328">
        <v>312.42742939289917</v>
      </c>
      <c r="D562" s="181">
        <v>312.42742939289917</v>
      </c>
      <c r="E562" s="181">
        <f t="shared" si="56"/>
        <v>40</v>
      </c>
      <c r="F562" s="181">
        <f t="shared" si="57"/>
        <v>8</v>
      </c>
      <c r="G562" s="181">
        <f t="shared" si="58"/>
        <v>2</v>
      </c>
      <c r="H562" s="182">
        <v>62093.077027262363</v>
      </c>
      <c r="I562" s="181">
        <v>13200</v>
      </c>
      <c r="J562" s="183">
        <v>79.356567065796384</v>
      </c>
      <c r="K562" s="181">
        <f t="shared" si="59"/>
        <v>10</v>
      </c>
      <c r="L562" s="181">
        <f t="shared" si="60"/>
        <v>2</v>
      </c>
      <c r="M562" s="181">
        <f t="shared" si="61"/>
        <v>1</v>
      </c>
      <c r="N562" s="182">
        <v>15771.641564924639</v>
      </c>
      <c r="O562" s="181">
        <v>4800</v>
      </c>
      <c r="P562" s="181">
        <v>62485.485878579835</v>
      </c>
      <c r="Q562">
        <v>414</v>
      </c>
      <c r="R562">
        <v>1105.3024868650327</v>
      </c>
      <c r="S562" s="88">
        <f t="shared" si="62"/>
        <v>22090.944051789673</v>
      </c>
    </row>
    <row r="563" spans="1:19" x14ac:dyDescent="0.25">
      <c r="A563" s="327" t="s">
        <v>142</v>
      </c>
      <c r="B563" s="327" t="s">
        <v>140</v>
      </c>
      <c r="C563" s="328">
        <v>44.061859780383116</v>
      </c>
      <c r="D563" s="181">
        <v>44.061859780383116</v>
      </c>
      <c r="E563" s="181">
        <f t="shared" si="56"/>
        <v>6</v>
      </c>
      <c r="F563" s="181">
        <f t="shared" si="57"/>
        <v>2</v>
      </c>
      <c r="G563" s="181">
        <f t="shared" si="58"/>
        <v>1</v>
      </c>
      <c r="H563" s="182">
        <v>8757.0302601924632</v>
      </c>
      <c r="I563" s="181">
        <v>4800</v>
      </c>
      <c r="J563" s="183">
        <v>11.191712384217311</v>
      </c>
      <c r="K563" s="181">
        <f t="shared" si="59"/>
        <v>2</v>
      </c>
      <c r="L563" s="181">
        <f t="shared" si="60"/>
        <v>1</v>
      </c>
      <c r="M563" s="181">
        <f t="shared" si="61"/>
        <v>1</v>
      </c>
      <c r="N563" s="182">
        <v>2224.2856860888855</v>
      </c>
      <c r="O563" s="181">
        <v>1400</v>
      </c>
      <c r="P563" s="181">
        <v>8812.371956076624</v>
      </c>
      <c r="Q563">
        <v>414</v>
      </c>
      <c r="R563">
        <v>1105.3024868650327</v>
      </c>
      <c r="S563" s="88">
        <f t="shared" si="62"/>
        <v>5143.5881729539178</v>
      </c>
    </row>
    <row r="564" spans="1:19" x14ac:dyDescent="0.25">
      <c r="A564" s="327" t="s">
        <v>142</v>
      </c>
      <c r="B564" s="327" t="s">
        <v>124</v>
      </c>
      <c r="C564" s="328">
        <v>76.78506422431083</v>
      </c>
      <c r="D564" s="181">
        <v>76.78506422431083</v>
      </c>
      <c r="E564" s="181">
        <f t="shared" si="56"/>
        <v>10</v>
      </c>
      <c r="F564" s="181">
        <f t="shared" si="57"/>
        <v>2</v>
      </c>
      <c r="G564" s="181">
        <f t="shared" si="58"/>
        <v>1</v>
      </c>
      <c r="H564" s="182">
        <v>15260.570804196434</v>
      </c>
      <c r="I564" s="181">
        <v>4800</v>
      </c>
      <c r="J564" s="183">
        <v>19.503406312974953</v>
      </c>
      <c r="K564" s="181">
        <f t="shared" si="59"/>
        <v>3</v>
      </c>
      <c r="L564" s="181">
        <f t="shared" si="60"/>
        <v>1</v>
      </c>
      <c r="M564" s="181">
        <f t="shared" si="61"/>
        <v>1</v>
      </c>
      <c r="N564" s="182">
        <v>3876.1849842658944</v>
      </c>
      <c r="O564" s="181">
        <v>2100</v>
      </c>
      <c r="P564" s="181">
        <v>15357.012844862165</v>
      </c>
      <c r="Q564">
        <v>414</v>
      </c>
      <c r="R564">
        <v>1105.3024868650327</v>
      </c>
      <c r="S564" s="88">
        <f t="shared" si="62"/>
        <v>7495.4874711309276</v>
      </c>
    </row>
    <row r="565" spans="1:19" x14ac:dyDescent="0.25">
      <c r="A565" s="327" t="s">
        <v>142</v>
      </c>
      <c r="B565" s="327" t="s">
        <v>125</v>
      </c>
      <c r="C565" s="328">
        <v>213.05221757501099</v>
      </c>
      <c r="D565" s="181">
        <v>213.05221757501099</v>
      </c>
      <c r="E565" s="181">
        <f t="shared" si="56"/>
        <v>27</v>
      </c>
      <c r="F565" s="181">
        <f t="shared" si="57"/>
        <v>6</v>
      </c>
      <c r="G565" s="181">
        <f t="shared" si="58"/>
        <v>2</v>
      </c>
      <c r="H565" s="182">
        <v>42342.849929727992</v>
      </c>
      <c r="I565" s="181">
        <v>13200</v>
      </c>
      <c r="J565" s="183">
        <v>54.115263264052793</v>
      </c>
      <c r="K565" s="181">
        <f t="shared" si="59"/>
        <v>7</v>
      </c>
      <c r="L565" s="181">
        <f t="shared" si="60"/>
        <v>2</v>
      </c>
      <c r="M565" s="181">
        <f t="shared" si="61"/>
        <v>1</v>
      </c>
      <c r="N565" s="182">
        <v>10755.08388215091</v>
      </c>
      <c r="O565" s="181">
        <v>4800</v>
      </c>
      <c r="P565" s="181">
        <v>42610.443515002196</v>
      </c>
      <c r="Q565">
        <v>414</v>
      </c>
      <c r="R565">
        <v>1105.3024868650327</v>
      </c>
      <c r="S565" s="88">
        <f t="shared" si="62"/>
        <v>17074.386369015941</v>
      </c>
    </row>
    <row r="566" spans="1:19" x14ac:dyDescent="0.25">
      <c r="A566" s="327" t="s">
        <v>142</v>
      </c>
      <c r="B566" s="327" t="s">
        <v>126</v>
      </c>
      <c r="C566" s="328">
        <v>134.21581760669304</v>
      </c>
      <c r="D566" s="181">
        <v>134.21581760669304</v>
      </c>
      <c r="E566" s="181">
        <f t="shared" si="56"/>
        <v>17</v>
      </c>
      <c r="F566" s="181">
        <f t="shared" si="57"/>
        <v>4</v>
      </c>
      <c r="G566" s="181">
        <f t="shared" si="58"/>
        <v>1</v>
      </c>
      <c r="H566" s="182">
        <v>26674.588454424604</v>
      </c>
      <c r="I566" s="181">
        <v>6600</v>
      </c>
      <c r="J566" s="183">
        <v>34.09081767210003</v>
      </c>
      <c r="K566" s="181">
        <f t="shared" si="59"/>
        <v>5</v>
      </c>
      <c r="L566" s="181">
        <f t="shared" si="60"/>
        <v>1</v>
      </c>
      <c r="M566" s="181">
        <f t="shared" si="61"/>
        <v>1</v>
      </c>
      <c r="N566" s="182">
        <v>6775.3454674238492</v>
      </c>
      <c r="O566" s="181">
        <v>2400</v>
      </c>
      <c r="P566" s="181">
        <v>26843.163521338607</v>
      </c>
      <c r="Q566">
        <v>414</v>
      </c>
      <c r="R566">
        <v>1105.3024868650327</v>
      </c>
      <c r="S566" s="88">
        <f t="shared" si="62"/>
        <v>10694.647954288881</v>
      </c>
    </row>
    <row r="567" spans="1:19" x14ac:dyDescent="0.25">
      <c r="A567" s="327" t="s">
        <v>142</v>
      </c>
      <c r="B567" s="327" t="s">
        <v>127</v>
      </c>
      <c r="C567" s="328">
        <v>70.718336839976246</v>
      </c>
      <c r="D567" s="181">
        <v>70.718336839976246</v>
      </c>
      <c r="E567" s="181">
        <f t="shared" si="56"/>
        <v>9</v>
      </c>
      <c r="F567" s="181">
        <f t="shared" si="57"/>
        <v>2</v>
      </c>
      <c r="G567" s="181">
        <f t="shared" si="58"/>
        <v>1</v>
      </c>
      <c r="H567" s="182">
        <v>14054.845136924241</v>
      </c>
      <c r="I567" s="181">
        <v>4800</v>
      </c>
      <c r="J567" s="183">
        <v>17.962457557353968</v>
      </c>
      <c r="K567" s="181">
        <f t="shared" si="59"/>
        <v>3</v>
      </c>
      <c r="L567" s="181">
        <f t="shared" si="60"/>
        <v>1</v>
      </c>
      <c r="M567" s="181">
        <f t="shared" si="61"/>
        <v>1</v>
      </c>
      <c r="N567" s="182">
        <v>3569.9306647787575</v>
      </c>
      <c r="O567" s="181">
        <v>2100</v>
      </c>
      <c r="P567" s="181">
        <v>14143.667367995249</v>
      </c>
      <c r="Q567">
        <v>414</v>
      </c>
      <c r="R567">
        <v>1105.3024868650327</v>
      </c>
      <c r="S567" s="88">
        <f t="shared" si="62"/>
        <v>7189.2331516437898</v>
      </c>
    </row>
    <row r="568" spans="1:19" x14ac:dyDescent="0.25">
      <c r="A568" s="327" t="s">
        <v>142</v>
      </c>
      <c r="B568" s="327" t="s">
        <v>128</v>
      </c>
      <c r="C568" s="328">
        <v>69.596508344150223</v>
      </c>
      <c r="D568" s="181">
        <v>69.596508344150223</v>
      </c>
      <c r="E568" s="181">
        <f t="shared" si="56"/>
        <v>9</v>
      </c>
      <c r="F568" s="181">
        <f t="shared" si="57"/>
        <v>2</v>
      </c>
      <c r="G568" s="181">
        <f t="shared" si="58"/>
        <v>1</v>
      </c>
      <c r="H568" s="182">
        <v>13831.888454349793</v>
      </c>
      <c r="I568" s="181">
        <v>4800</v>
      </c>
      <c r="J568" s="183">
        <v>17.677513119414158</v>
      </c>
      <c r="K568" s="181">
        <f t="shared" si="59"/>
        <v>3</v>
      </c>
      <c r="L568" s="181">
        <f t="shared" si="60"/>
        <v>1</v>
      </c>
      <c r="M568" s="181">
        <f t="shared" si="61"/>
        <v>1</v>
      </c>
      <c r="N568" s="182">
        <v>3513.2996674048477</v>
      </c>
      <c r="O568" s="181">
        <v>2100</v>
      </c>
      <c r="P568" s="181">
        <v>13919.301668830045</v>
      </c>
      <c r="Q568">
        <v>414</v>
      </c>
      <c r="R568">
        <v>1105.3024868650327</v>
      </c>
      <c r="S568" s="88">
        <f t="shared" si="62"/>
        <v>7132.60215426988</v>
      </c>
    </row>
  </sheetData>
  <autoFilter ref="A2:P448" xr:uid="{00000000-0009-0000-0000-000000000000}"/>
  <mergeCells count="3">
    <mergeCell ref="A1:C1"/>
    <mergeCell ref="D1:I1"/>
    <mergeCell ref="J1:O1"/>
  </mergeCell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87596-52D1-4B5B-9951-E7824C625C21}">
  <dimension ref="A1:F10"/>
  <sheetViews>
    <sheetView workbookViewId="0">
      <selection activeCell="A11" sqref="A11"/>
    </sheetView>
  </sheetViews>
  <sheetFormatPr defaultRowHeight="15" x14ac:dyDescent="0.25"/>
  <cols>
    <col min="2" max="2" width="19.140625" customWidth="1"/>
    <col min="3" max="3" width="19.42578125" customWidth="1"/>
    <col min="4" max="4" width="16.85546875" customWidth="1"/>
    <col min="5" max="5" width="17.7109375" customWidth="1"/>
    <col min="6" max="6" width="17.42578125" customWidth="1"/>
  </cols>
  <sheetData>
    <row r="1" spans="1:6" ht="15.75" x14ac:dyDescent="0.25">
      <c r="A1" s="603" t="s">
        <v>367</v>
      </c>
      <c r="B1" s="603"/>
      <c r="C1" s="603"/>
      <c r="D1" s="603"/>
      <c r="E1" s="603"/>
      <c r="F1" s="603"/>
    </row>
    <row r="2" spans="1:6" ht="38.25" x14ac:dyDescent="0.25">
      <c r="A2" s="506"/>
      <c r="B2" s="604" t="s">
        <v>483</v>
      </c>
      <c r="C2" s="604"/>
      <c r="D2" s="499" t="s">
        <v>484</v>
      </c>
      <c r="E2" s="499"/>
      <c r="F2" s="499"/>
    </row>
    <row r="3" spans="1:6" x14ac:dyDescent="0.25">
      <c r="A3" s="499"/>
      <c r="B3" s="475" t="s">
        <v>454</v>
      </c>
      <c r="C3" s="475" t="s">
        <v>455</v>
      </c>
      <c r="D3" s="475" t="s">
        <v>456</v>
      </c>
      <c r="E3" s="475" t="s">
        <v>457</v>
      </c>
      <c r="F3" s="475" t="s">
        <v>458</v>
      </c>
    </row>
    <row r="4" spans="1:6" ht="51" x14ac:dyDescent="0.25">
      <c r="A4" s="475" t="s">
        <v>485</v>
      </c>
      <c r="B4" s="475" t="s">
        <v>486</v>
      </c>
      <c r="C4" s="475" t="s">
        <v>487</v>
      </c>
      <c r="D4" s="475" t="s">
        <v>488</v>
      </c>
      <c r="E4" s="475" t="s">
        <v>489</v>
      </c>
      <c r="F4" s="475" t="s">
        <v>490</v>
      </c>
    </row>
    <row r="5" spans="1:6" x14ac:dyDescent="0.25">
      <c r="A5" s="475">
        <v>1</v>
      </c>
      <c r="B5" s="475">
        <v>27</v>
      </c>
      <c r="C5" s="475">
        <v>244</v>
      </c>
      <c r="D5" s="475">
        <v>0</v>
      </c>
      <c r="E5" s="475">
        <v>0</v>
      </c>
      <c r="F5" s="475">
        <f>B5+C5+D5-E5</f>
        <v>271</v>
      </c>
    </row>
    <row r="6" spans="1:6" x14ac:dyDescent="0.25">
      <c r="A6" s="475">
        <v>2</v>
      </c>
      <c r="B6" s="475">
        <v>27</v>
      </c>
      <c r="C6" s="475">
        <f>C5+B5</f>
        <v>271</v>
      </c>
      <c r="D6" s="475">
        <v>0</v>
      </c>
      <c r="E6" s="475">
        <v>0</v>
      </c>
      <c r="F6" s="475">
        <f>B6+C6+D6-E6</f>
        <v>298</v>
      </c>
    </row>
    <row r="7" spans="1:6" x14ac:dyDescent="0.25">
      <c r="A7" s="475">
        <v>3</v>
      </c>
      <c r="B7" s="475">
        <v>27</v>
      </c>
      <c r="C7" s="475">
        <f>C6+B6</f>
        <v>298</v>
      </c>
      <c r="D7" s="475">
        <v>0</v>
      </c>
      <c r="E7" s="475">
        <v>0</v>
      </c>
      <c r="F7" s="475">
        <f>B7+C7+D7-E7</f>
        <v>325</v>
      </c>
    </row>
    <row r="8" spans="1:6" x14ac:dyDescent="0.25">
      <c r="A8" s="499" t="s">
        <v>491</v>
      </c>
      <c r="B8" s="475">
        <f>AVERAGE(B5:B7)</f>
        <v>27</v>
      </c>
      <c r="C8" s="475">
        <f>AVERAGE(C5:C7)</f>
        <v>271</v>
      </c>
      <c r="D8" s="475">
        <f>AVERAGE(D5:D7)</f>
        <v>0</v>
      </c>
      <c r="E8" s="475">
        <f>AVERAGE(E5:E7)</f>
        <v>0</v>
      </c>
      <c r="F8" s="475">
        <f>AVERAGE(F5:F7)</f>
        <v>298</v>
      </c>
    </row>
    <row r="9" spans="1:6" ht="36" customHeight="1" x14ac:dyDescent="0.25">
      <c r="A9" s="605" t="s">
        <v>492</v>
      </c>
      <c r="B9" s="605"/>
      <c r="C9" s="605"/>
      <c r="D9" s="605"/>
      <c r="E9" s="605"/>
      <c r="F9" s="605"/>
    </row>
    <row r="10" spans="1:6" ht="35.25" customHeight="1" x14ac:dyDescent="0.25">
      <c r="A10" s="563" t="s">
        <v>1445</v>
      </c>
      <c r="B10" s="563"/>
      <c r="C10" s="563"/>
      <c r="D10" s="563"/>
      <c r="E10" s="563"/>
      <c r="F10" s="563"/>
    </row>
  </sheetData>
  <mergeCells count="4">
    <mergeCell ref="A1:F1"/>
    <mergeCell ref="B2:C2"/>
    <mergeCell ref="A9:F9"/>
    <mergeCell ref="A10:F1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C28BC-9385-42BD-9516-861FEDD90395}">
  <dimension ref="A1:F19"/>
  <sheetViews>
    <sheetView workbookViewId="0">
      <selection activeCell="A19" sqref="A19"/>
    </sheetView>
  </sheetViews>
  <sheetFormatPr defaultRowHeight="15" x14ac:dyDescent="0.25"/>
  <cols>
    <col min="1" max="1" width="28.42578125" customWidth="1"/>
    <col min="2" max="3" width="20.85546875" customWidth="1"/>
    <col min="4" max="4" width="21.85546875" customWidth="1"/>
    <col min="5" max="5" width="17.28515625" customWidth="1"/>
    <col min="6" max="6" width="17.140625" customWidth="1"/>
  </cols>
  <sheetData>
    <row r="1" spans="1:6" ht="15.75" x14ac:dyDescent="0.25">
      <c r="A1" s="600" t="s">
        <v>493</v>
      </c>
      <c r="B1" s="600"/>
      <c r="C1" s="600"/>
      <c r="D1" s="600"/>
      <c r="E1" s="600"/>
      <c r="F1" s="600"/>
    </row>
    <row r="2" spans="1:6" ht="76.5" x14ac:dyDescent="0.25">
      <c r="A2" s="475" t="s">
        <v>494</v>
      </c>
      <c r="B2" s="475" t="s">
        <v>495</v>
      </c>
      <c r="C2" s="475" t="s">
        <v>496</v>
      </c>
      <c r="D2" s="475" t="s">
        <v>497</v>
      </c>
      <c r="E2" s="475" t="s">
        <v>498</v>
      </c>
      <c r="F2" s="475" t="s">
        <v>499</v>
      </c>
    </row>
    <row r="3" spans="1:6" x14ac:dyDescent="0.25">
      <c r="A3" s="509" t="s">
        <v>500</v>
      </c>
      <c r="B3" s="510">
        <f>'Table 1A'!F11</f>
        <v>5</v>
      </c>
      <c r="C3" s="510">
        <f>'Table 1B'!F11</f>
        <v>3</v>
      </c>
      <c r="D3" s="511">
        <v>1</v>
      </c>
      <c r="E3" s="511" t="s">
        <v>309</v>
      </c>
      <c r="F3" s="511">
        <f t="shared" ref="F3:F16" si="0">(B3+C3)*D3</f>
        <v>8</v>
      </c>
    </row>
    <row r="4" spans="1:6" x14ac:dyDescent="0.25">
      <c r="A4" s="509" t="s">
        <v>501</v>
      </c>
      <c r="B4" s="510">
        <f>'Table 1A'!F17</f>
        <v>0</v>
      </c>
      <c r="C4" s="510">
        <f>'Table 1B'!F17</f>
        <v>0</v>
      </c>
      <c r="D4" s="511">
        <v>1</v>
      </c>
      <c r="E4" s="511" t="s">
        <v>309</v>
      </c>
      <c r="F4" s="511">
        <f t="shared" si="0"/>
        <v>0</v>
      </c>
    </row>
    <row r="5" spans="1:6" x14ac:dyDescent="0.25">
      <c r="A5" s="509" t="s">
        <v>502</v>
      </c>
      <c r="B5" s="510">
        <f>'Table 1A'!F18</f>
        <v>0</v>
      </c>
      <c r="C5" s="510">
        <f>'Table 1B'!F18</f>
        <v>0</v>
      </c>
      <c r="D5" s="511">
        <v>1</v>
      </c>
      <c r="E5" s="511" t="s">
        <v>309</v>
      </c>
      <c r="F5" s="511">
        <f t="shared" si="0"/>
        <v>0</v>
      </c>
    </row>
    <row r="6" spans="1:6" x14ac:dyDescent="0.25">
      <c r="A6" s="509" t="s">
        <v>503</v>
      </c>
      <c r="B6" s="510">
        <f>'Table 1A'!F19</f>
        <v>10</v>
      </c>
      <c r="C6" s="510">
        <f>'Table 1B'!F19</f>
        <v>19</v>
      </c>
      <c r="D6" s="511">
        <v>1</v>
      </c>
      <c r="E6" s="511" t="s">
        <v>309</v>
      </c>
      <c r="F6" s="511">
        <f t="shared" si="0"/>
        <v>29</v>
      </c>
    </row>
    <row r="7" spans="1:6" x14ac:dyDescent="0.25">
      <c r="A7" s="509" t="s">
        <v>504</v>
      </c>
      <c r="B7" s="510">
        <f>'Table 1A'!F20</f>
        <v>10</v>
      </c>
      <c r="C7" s="510">
        <f>'Table 1B'!F20</f>
        <v>19</v>
      </c>
      <c r="D7" s="511">
        <v>1</v>
      </c>
      <c r="E7" s="511" t="s">
        <v>309</v>
      </c>
      <c r="F7" s="511">
        <f t="shared" si="0"/>
        <v>29</v>
      </c>
    </row>
    <row r="8" spans="1:6" x14ac:dyDescent="0.25">
      <c r="A8" s="509" t="s">
        <v>505</v>
      </c>
      <c r="B8" s="510">
        <f>'Table 1A'!F21</f>
        <v>0</v>
      </c>
      <c r="C8" s="510">
        <f>'Table 1B'!F21</f>
        <v>0</v>
      </c>
      <c r="D8" s="511">
        <v>1</v>
      </c>
      <c r="E8" s="511" t="s">
        <v>309</v>
      </c>
      <c r="F8" s="511">
        <f t="shared" si="0"/>
        <v>0</v>
      </c>
    </row>
    <row r="9" spans="1:6" x14ac:dyDescent="0.25">
      <c r="A9" s="509" t="s">
        <v>506</v>
      </c>
      <c r="B9" s="510">
        <f>'Table 1A'!F22</f>
        <v>0</v>
      </c>
      <c r="C9" s="510">
        <f>'Table 1B'!F22</f>
        <v>0</v>
      </c>
      <c r="D9" s="511">
        <v>1</v>
      </c>
      <c r="E9" s="511" t="s">
        <v>309</v>
      </c>
      <c r="F9" s="511">
        <f t="shared" si="0"/>
        <v>0</v>
      </c>
    </row>
    <row r="10" spans="1:6" ht="26.25" x14ac:dyDescent="0.25">
      <c r="A10" s="509" t="s">
        <v>507</v>
      </c>
      <c r="B10" s="510">
        <f>'Table 1A'!F23</f>
        <v>5</v>
      </c>
      <c r="C10" s="510">
        <f>'Table 1B'!F23</f>
        <v>3</v>
      </c>
      <c r="D10" s="511">
        <v>1</v>
      </c>
      <c r="E10" s="511" t="s">
        <v>309</v>
      </c>
      <c r="F10" s="511">
        <f t="shared" si="0"/>
        <v>8</v>
      </c>
    </row>
    <row r="11" spans="1:6" x14ac:dyDescent="0.25">
      <c r="A11" s="509" t="s">
        <v>508</v>
      </c>
      <c r="B11" s="512">
        <f>'Table 1A'!F24</f>
        <v>0.51200000000000001</v>
      </c>
      <c r="C11" s="512">
        <f>'Table 1B'!F24</f>
        <v>0.28799999999999998</v>
      </c>
      <c r="D11" s="511">
        <v>1</v>
      </c>
      <c r="E11" s="511" t="s">
        <v>309</v>
      </c>
      <c r="F11" s="511">
        <f t="shared" si="0"/>
        <v>0.8</v>
      </c>
    </row>
    <row r="12" spans="1:6" x14ac:dyDescent="0.25">
      <c r="A12" s="509" t="s">
        <v>509</v>
      </c>
      <c r="B12" s="510">
        <f>'Table 1A'!F27</f>
        <v>173</v>
      </c>
      <c r="C12" s="510">
        <f>'Table 1B'!F27</f>
        <v>98</v>
      </c>
      <c r="D12" s="511">
        <v>1</v>
      </c>
      <c r="E12" s="511" t="s">
        <v>309</v>
      </c>
      <c r="F12" s="511">
        <f t="shared" si="0"/>
        <v>271</v>
      </c>
    </row>
    <row r="13" spans="1:6" x14ac:dyDescent="0.25">
      <c r="A13" s="509" t="s">
        <v>510</v>
      </c>
      <c r="B13" s="510">
        <f>'Table 1A'!F28</f>
        <v>1</v>
      </c>
      <c r="C13" s="510">
        <f>'Table 1B'!F28</f>
        <v>1</v>
      </c>
      <c r="D13" s="511">
        <v>1</v>
      </c>
      <c r="E13" s="511" t="s">
        <v>309</v>
      </c>
      <c r="F13" s="511">
        <f t="shared" si="0"/>
        <v>2</v>
      </c>
    </row>
    <row r="14" spans="1:6" x14ac:dyDescent="0.25">
      <c r="A14" s="509" t="s">
        <v>511</v>
      </c>
      <c r="B14" s="510">
        <f>'Table 1A'!F29</f>
        <v>1</v>
      </c>
      <c r="C14" s="510">
        <f>'Table 1B'!F29</f>
        <v>1</v>
      </c>
      <c r="D14" s="511">
        <v>1</v>
      </c>
      <c r="E14" s="511" t="s">
        <v>309</v>
      </c>
      <c r="F14" s="511">
        <f t="shared" si="0"/>
        <v>2</v>
      </c>
    </row>
    <row r="15" spans="1:6" x14ac:dyDescent="0.25">
      <c r="A15" s="509" t="s">
        <v>512</v>
      </c>
      <c r="B15" s="510">
        <f>'Table 1A'!F30</f>
        <v>1</v>
      </c>
      <c r="C15" s="510">
        <f>'Table 1B'!F30</f>
        <v>1</v>
      </c>
      <c r="D15" s="511">
        <v>1</v>
      </c>
      <c r="E15" s="511" t="s">
        <v>309</v>
      </c>
      <c r="F15" s="511">
        <f t="shared" si="0"/>
        <v>2</v>
      </c>
    </row>
    <row r="16" spans="1:6" x14ac:dyDescent="0.25">
      <c r="A16" s="509" t="s">
        <v>513</v>
      </c>
      <c r="B16" s="510">
        <f>'Table 1A'!F31</f>
        <v>15</v>
      </c>
      <c r="C16" s="510">
        <f>'Table 1B'!F31</f>
        <v>17</v>
      </c>
      <c r="D16" s="511">
        <v>1</v>
      </c>
      <c r="E16" s="511" t="s">
        <v>309</v>
      </c>
      <c r="F16" s="511">
        <f t="shared" si="0"/>
        <v>32</v>
      </c>
    </row>
    <row r="17" spans="1:6" x14ac:dyDescent="0.25">
      <c r="A17" s="494" t="s">
        <v>493</v>
      </c>
      <c r="B17" s="494"/>
      <c r="C17" s="494"/>
      <c r="D17" s="494"/>
      <c r="E17" s="494"/>
      <c r="F17" s="513">
        <f>ROUND(SUM(F3:F16),0)</f>
        <v>384</v>
      </c>
    </row>
    <row r="18" spans="1:6" x14ac:dyDescent="0.25">
      <c r="A18" s="362"/>
      <c r="B18" s="362"/>
      <c r="C18" s="362"/>
      <c r="D18" s="362"/>
      <c r="E18" s="362"/>
      <c r="F18" s="362"/>
    </row>
    <row r="19" spans="1:6" x14ac:dyDescent="0.25">
      <c r="A19" s="362"/>
      <c r="B19" s="362"/>
      <c r="C19" s="362"/>
      <c r="D19" s="362"/>
      <c r="E19" s="362" t="s">
        <v>514</v>
      </c>
      <c r="F19" s="502">
        <f>'Table 1B'!N42/Responses!F17</f>
        <v>651.04166666666663</v>
      </c>
    </row>
  </sheetData>
  <mergeCells count="1">
    <mergeCell ref="A1:F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45"/>
  <sheetViews>
    <sheetView topLeftCell="B1" workbookViewId="0">
      <selection activeCell="H34" sqref="H34"/>
    </sheetView>
  </sheetViews>
  <sheetFormatPr defaultRowHeight="15" x14ac:dyDescent="0.25"/>
  <cols>
    <col min="1" max="1" width="13.42578125" hidden="1" customWidth="1"/>
    <col min="2" max="2" width="49.5703125" customWidth="1"/>
    <col min="3" max="3" width="6.28515625" bestFit="1" customWidth="1"/>
    <col min="4" max="4" width="6.85546875" customWidth="1"/>
    <col min="5" max="5" width="7.28515625" bestFit="1" customWidth="1"/>
    <col min="6" max="6" width="5" bestFit="1" customWidth="1"/>
    <col min="7" max="7" width="6.85546875" customWidth="1"/>
    <col min="8" max="8" width="7.42578125" customWidth="1"/>
    <col min="9" max="9" width="5" bestFit="1" customWidth="1"/>
    <col min="10" max="10" width="6.42578125" bestFit="1" customWidth="1"/>
    <col min="11" max="11" width="7.28515625" bestFit="1" customWidth="1"/>
    <col min="12" max="12" width="19.7109375" customWidth="1"/>
    <col min="13" max="13" width="13.7109375" customWidth="1"/>
    <col min="14" max="14" width="8.140625" customWidth="1"/>
    <col min="15" max="15" width="5.85546875" bestFit="1" customWidth="1"/>
    <col min="16" max="16" width="6.42578125" customWidth="1"/>
    <col min="17" max="17" width="6.140625" customWidth="1"/>
    <col min="18" max="18" width="5.85546875" customWidth="1"/>
    <col min="19" max="19" width="7.5703125" customWidth="1"/>
    <col min="20" max="20" width="7.140625" customWidth="1"/>
  </cols>
  <sheetData>
    <row r="1" spans="1:21" x14ac:dyDescent="0.25">
      <c r="C1" t="s">
        <v>233</v>
      </c>
      <c r="D1">
        <f>D6-D7</f>
        <v>29</v>
      </c>
      <c r="E1">
        <f>E6-E7</f>
        <v>13</v>
      </c>
      <c r="F1">
        <f>E1/(SUM(D1:E1))</f>
        <v>0.30952380952380953</v>
      </c>
      <c r="M1" s="300" t="s">
        <v>515</v>
      </c>
    </row>
    <row r="2" spans="1:21" x14ac:dyDescent="0.25">
      <c r="B2" s="16"/>
      <c r="C2" s="16">
        <v>2017</v>
      </c>
      <c r="D2" s="16" t="s">
        <v>150</v>
      </c>
      <c r="E2" s="16" t="s">
        <v>151</v>
      </c>
      <c r="F2" s="16">
        <v>2018</v>
      </c>
      <c r="G2" s="16" t="s">
        <v>150</v>
      </c>
      <c r="H2" s="16" t="s">
        <v>151</v>
      </c>
      <c r="I2" s="16">
        <v>2019</v>
      </c>
      <c r="J2" s="16" t="s">
        <v>150</v>
      </c>
      <c r="K2" s="16" t="s">
        <v>151</v>
      </c>
      <c r="L2" s="301" t="s">
        <v>516</v>
      </c>
    </row>
    <row r="3" spans="1:21" ht="30" x14ac:dyDescent="0.25">
      <c r="A3" t="s">
        <v>517</v>
      </c>
      <c r="B3" s="18" t="s">
        <v>518</v>
      </c>
      <c r="C3" s="266">
        <f>N14+N21+N45</f>
        <v>126</v>
      </c>
      <c r="D3" s="270">
        <f>N13+N20+N44</f>
        <v>59</v>
      </c>
      <c r="E3" s="270">
        <f>N12+N19+N43</f>
        <v>67</v>
      </c>
      <c r="F3" s="16">
        <f>(O14-N14)+(O21-N21)+O45</f>
        <v>10</v>
      </c>
      <c r="G3" s="16">
        <f>(O13-N13)+(O20-N20)</f>
        <v>3</v>
      </c>
      <c r="H3" s="16">
        <f>(O12-N12)+(O19-N19)</f>
        <v>7</v>
      </c>
      <c r="I3" s="16">
        <f>(P14-O14)+(P21-O21)+P45</f>
        <v>0</v>
      </c>
      <c r="J3" s="16">
        <f>(P13-O13)+(P20-O20)</f>
        <v>0</v>
      </c>
      <c r="K3" s="16">
        <f>(P12-O12)+(P19-O19)</f>
        <v>0</v>
      </c>
      <c r="M3" s="16"/>
      <c r="N3" s="16"/>
      <c r="O3" s="16"/>
      <c r="P3" s="16"/>
      <c r="Q3" s="16"/>
      <c r="R3" s="16"/>
      <c r="S3" s="16"/>
    </row>
    <row r="4" spans="1:21" ht="30" x14ac:dyDescent="0.25">
      <c r="A4" t="s">
        <v>517</v>
      </c>
      <c r="B4" s="18" t="s">
        <v>519</v>
      </c>
      <c r="C4" s="266">
        <f>N45</f>
        <v>9</v>
      </c>
      <c r="D4" s="266">
        <f>N44</f>
        <v>8</v>
      </c>
      <c r="E4" s="266">
        <f>N43</f>
        <v>1</v>
      </c>
      <c r="F4" s="16">
        <f>O45</f>
        <v>0</v>
      </c>
      <c r="G4" s="16">
        <v>0</v>
      </c>
      <c r="H4" s="16">
        <v>0</v>
      </c>
      <c r="I4" s="16">
        <f>P45</f>
        <v>0</v>
      </c>
      <c r="J4" s="16">
        <f>J3</f>
        <v>0</v>
      </c>
      <c r="K4" s="16">
        <f>K3</f>
        <v>0</v>
      </c>
      <c r="M4" s="16"/>
      <c r="N4" s="16"/>
      <c r="O4" s="16"/>
      <c r="P4" s="16"/>
      <c r="Q4" s="16"/>
      <c r="R4" s="16"/>
      <c r="S4" s="16"/>
    </row>
    <row r="5" spans="1:21" x14ac:dyDescent="0.25">
      <c r="B5" s="18" t="s">
        <v>520</v>
      </c>
      <c r="C5" s="266">
        <f>SUM(D5:E5)</f>
        <v>32</v>
      </c>
      <c r="D5" s="266">
        <v>17</v>
      </c>
      <c r="E5" s="266">
        <v>15</v>
      </c>
      <c r="F5" s="266">
        <f>SUM(G5:H5)</f>
        <v>32</v>
      </c>
      <c r="G5" s="266">
        <v>17</v>
      </c>
      <c r="H5" s="266">
        <v>15</v>
      </c>
      <c r="I5" s="266">
        <f>SUM(J5:K5)</f>
        <v>32</v>
      </c>
      <c r="J5" s="266">
        <v>17</v>
      </c>
      <c r="K5" s="266">
        <v>15</v>
      </c>
      <c r="M5" s="16"/>
      <c r="N5" s="16"/>
      <c r="O5" s="16"/>
      <c r="P5" s="16"/>
      <c r="Q5" s="16"/>
      <c r="R5" s="16"/>
      <c r="S5" s="16"/>
    </row>
    <row r="6" spans="1:21" x14ac:dyDescent="0.25">
      <c r="A6" t="s">
        <v>517</v>
      </c>
      <c r="B6" s="16" t="s">
        <v>521</v>
      </c>
      <c r="C6" s="270">
        <f>C3</f>
        <v>126</v>
      </c>
      <c r="D6" s="270">
        <f>D3</f>
        <v>59</v>
      </c>
      <c r="E6" s="270">
        <f>E3</f>
        <v>67</v>
      </c>
      <c r="F6" s="16">
        <f t="shared" ref="F6:K6" si="0">F3+C6+F4</f>
        <v>136</v>
      </c>
      <c r="G6" s="16">
        <f t="shared" si="0"/>
        <v>62</v>
      </c>
      <c r="H6" s="16">
        <f t="shared" si="0"/>
        <v>74</v>
      </c>
      <c r="I6" s="16">
        <f t="shared" si="0"/>
        <v>136</v>
      </c>
      <c r="J6" s="16">
        <f t="shared" si="0"/>
        <v>62</v>
      </c>
      <c r="K6" s="16">
        <f t="shared" si="0"/>
        <v>74</v>
      </c>
      <c r="M6" s="16"/>
      <c r="N6" s="16"/>
      <c r="O6" s="16"/>
      <c r="P6" s="16"/>
      <c r="Q6" s="16"/>
      <c r="R6" s="16"/>
      <c r="S6" s="16"/>
    </row>
    <row r="7" spans="1:21" x14ac:dyDescent="0.25">
      <c r="A7" t="s">
        <v>522</v>
      </c>
      <c r="B7" s="16" t="s">
        <v>523</v>
      </c>
      <c r="C7" s="16">
        <f>N27</f>
        <v>84</v>
      </c>
      <c r="D7" s="16">
        <f>N26</f>
        <v>30</v>
      </c>
      <c r="E7" s="16">
        <f>N25</f>
        <v>54</v>
      </c>
      <c r="F7" s="16">
        <f>O27</f>
        <v>91</v>
      </c>
      <c r="G7" s="16">
        <f>O26</f>
        <v>33</v>
      </c>
      <c r="H7" s="16">
        <f>O25</f>
        <v>58</v>
      </c>
      <c r="I7" s="16">
        <f>P27</f>
        <v>104</v>
      </c>
      <c r="J7" s="16">
        <f>P26</f>
        <v>40</v>
      </c>
      <c r="K7" s="16">
        <f>P25</f>
        <v>64</v>
      </c>
      <c r="L7" s="302"/>
      <c r="M7" s="16"/>
      <c r="N7" s="16"/>
      <c r="O7" s="16"/>
      <c r="P7" s="16"/>
      <c r="Q7" s="16"/>
      <c r="R7" s="16"/>
      <c r="S7" s="16"/>
    </row>
    <row r="8" spans="1:21" x14ac:dyDescent="0.25">
      <c r="A8" t="s">
        <v>517</v>
      </c>
      <c r="B8" s="228" t="s">
        <v>524</v>
      </c>
      <c r="C8" s="269">
        <f>(N14+N21)-C7</f>
        <v>33</v>
      </c>
      <c r="D8" s="271">
        <f>(N13+N20)-D7</f>
        <v>21</v>
      </c>
      <c r="E8" s="271">
        <f>(N12+N19)-E7</f>
        <v>12</v>
      </c>
      <c r="F8" s="269">
        <f>(O14+O21)-F7</f>
        <v>36</v>
      </c>
      <c r="G8" s="271">
        <f>(O13+O20)-G7</f>
        <v>21</v>
      </c>
      <c r="H8" s="271">
        <f>(O12+O19)-H7</f>
        <v>15</v>
      </c>
      <c r="I8" s="269">
        <f>(P14+P21)-I7</f>
        <v>23</v>
      </c>
      <c r="J8" s="271">
        <f>(P13+P20)-J7</f>
        <v>14</v>
      </c>
      <c r="K8" s="271">
        <f>(P12+P19)-K7</f>
        <v>9</v>
      </c>
      <c r="L8" s="227"/>
      <c r="M8" s="16"/>
      <c r="N8" s="16"/>
      <c r="O8" s="16"/>
      <c r="P8" s="16"/>
      <c r="Q8" s="16"/>
      <c r="R8" s="16"/>
      <c r="S8" s="16"/>
    </row>
    <row r="9" spans="1:21" x14ac:dyDescent="0.25">
      <c r="A9" t="s">
        <v>522</v>
      </c>
      <c r="B9" s="1" t="s">
        <v>525</v>
      </c>
      <c r="C9" s="16">
        <f t="shared" ref="C9:K9" si="1">C8*0.5</f>
        <v>16.5</v>
      </c>
      <c r="D9" s="16">
        <f t="shared" si="1"/>
        <v>10.5</v>
      </c>
      <c r="E9" s="16">
        <f t="shared" si="1"/>
        <v>6</v>
      </c>
      <c r="F9" s="16">
        <f t="shared" si="1"/>
        <v>18</v>
      </c>
      <c r="G9" s="16">
        <f t="shared" si="1"/>
        <v>10.5</v>
      </c>
      <c r="H9" s="16">
        <f t="shared" si="1"/>
        <v>7.5</v>
      </c>
      <c r="I9" s="16">
        <f t="shared" si="1"/>
        <v>11.5</v>
      </c>
      <c r="J9" s="16">
        <f t="shared" si="1"/>
        <v>7</v>
      </c>
      <c r="K9" s="16">
        <f t="shared" si="1"/>
        <v>4.5</v>
      </c>
    </row>
    <row r="10" spans="1:21" ht="45" x14ac:dyDescent="0.25">
      <c r="A10" t="s">
        <v>522</v>
      </c>
      <c r="B10" s="16" t="s">
        <v>526</v>
      </c>
      <c r="C10" s="16">
        <f>0.5*C8</f>
        <v>16.5</v>
      </c>
      <c r="D10" s="16">
        <f>0.5*D8</f>
        <v>10.5</v>
      </c>
      <c r="E10" s="16">
        <f>0.5*E8</f>
        <v>6</v>
      </c>
      <c r="F10" s="187">
        <f>(F8-C8)*0.5</f>
        <v>1.5</v>
      </c>
      <c r="G10" s="187">
        <f t="shared" ref="G10:K10" si="2">(G8-D8)*0.5</f>
        <v>0</v>
      </c>
      <c r="H10" s="187">
        <f t="shared" si="2"/>
        <v>1.5</v>
      </c>
      <c r="I10" s="187">
        <f t="shared" si="2"/>
        <v>-6.5</v>
      </c>
      <c r="J10" s="187">
        <f t="shared" si="2"/>
        <v>-3.5</v>
      </c>
      <c r="K10" s="187">
        <f t="shared" si="2"/>
        <v>-3</v>
      </c>
      <c r="L10" s="302" t="s">
        <v>527</v>
      </c>
      <c r="M10" s="268" t="s">
        <v>528</v>
      </c>
    </row>
    <row r="11" spans="1:21" x14ac:dyDescent="0.25">
      <c r="A11" t="s">
        <v>522</v>
      </c>
      <c r="B11" s="16" t="s">
        <v>529</v>
      </c>
      <c r="C11" s="16"/>
      <c r="D11" s="16"/>
      <c r="E11" s="16"/>
      <c r="F11" s="16"/>
      <c r="G11" s="16"/>
      <c r="H11" s="16"/>
      <c r="I11" s="16"/>
      <c r="J11" s="16"/>
      <c r="K11" s="16"/>
      <c r="L11" s="16"/>
      <c r="M11" s="185" t="s">
        <v>530</v>
      </c>
      <c r="N11" s="16">
        <v>2017</v>
      </c>
      <c r="O11" s="16">
        <v>2018</v>
      </c>
      <c r="P11" s="16">
        <v>2019</v>
      </c>
      <c r="Q11" s="185" t="s">
        <v>531</v>
      </c>
      <c r="R11" s="16">
        <v>2017</v>
      </c>
      <c r="S11" s="16">
        <v>2018</v>
      </c>
      <c r="T11" s="16">
        <v>2019</v>
      </c>
      <c r="U11" s="300" t="s">
        <v>532</v>
      </c>
    </row>
    <row r="12" spans="1:21" x14ac:dyDescent="0.25">
      <c r="C12">
        <f>15+18+18</f>
        <v>51</v>
      </c>
      <c r="D12" s="293">
        <f>C12/3</f>
        <v>17</v>
      </c>
      <c r="M12" s="16" t="s">
        <v>151</v>
      </c>
      <c r="N12" s="16">
        <v>62</v>
      </c>
      <c r="O12" s="16">
        <v>66</v>
      </c>
      <c r="P12" s="16">
        <v>66</v>
      </c>
      <c r="Q12" s="16" t="s">
        <v>151</v>
      </c>
      <c r="R12" s="226">
        <f t="shared" ref="R12:T13" si="3">N12/(N$12+N$13)</f>
        <v>0.5636363636363636</v>
      </c>
      <c r="S12" s="226">
        <f t="shared" si="3"/>
        <v>0.56896551724137934</v>
      </c>
      <c r="T12" s="226">
        <f t="shared" si="3"/>
        <v>0.56896551724137934</v>
      </c>
    </row>
    <row r="13" spans="1:21" ht="45" x14ac:dyDescent="0.25">
      <c r="A13" s="3" t="s">
        <v>533</v>
      </c>
      <c r="B13" s="2" t="s">
        <v>534</v>
      </c>
      <c r="C13" s="2">
        <f>N27</f>
        <v>84</v>
      </c>
      <c r="D13">
        <f>N26</f>
        <v>30</v>
      </c>
      <c r="E13">
        <f>N25</f>
        <v>54</v>
      </c>
      <c r="F13" s="2">
        <f>O27-C13</f>
        <v>7</v>
      </c>
      <c r="G13">
        <f>O26-N26</f>
        <v>3</v>
      </c>
      <c r="H13">
        <f>O25-N25</f>
        <v>4</v>
      </c>
      <c r="I13" s="2">
        <f>P27-O27</f>
        <v>13</v>
      </c>
      <c r="J13">
        <f>P26-O26</f>
        <v>7</v>
      </c>
      <c r="K13">
        <f>P25-O25</f>
        <v>6</v>
      </c>
      <c r="M13" s="16" t="s">
        <v>150</v>
      </c>
      <c r="N13" s="16">
        <v>48</v>
      </c>
      <c r="O13" s="16">
        <v>50</v>
      </c>
      <c r="P13" s="16">
        <v>50</v>
      </c>
      <c r="Q13" s="16" t="s">
        <v>150</v>
      </c>
      <c r="R13" s="226">
        <f t="shared" si="3"/>
        <v>0.43636363636363634</v>
      </c>
      <c r="S13" s="226">
        <f t="shared" si="3"/>
        <v>0.43103448275862066</v>
      </c>
      <c r="T13" s="226">
        <f t="shared" si="3"/>
        <v>0.43103448275862066</v>
      </c>
    </row>
    <row r="14" spans="1:21" x14ac:dyDescent="0.25">
      <c r="M14" t="s">
        <v>290</v>
      </c>
      <c r="N14">
        <f>N12+N13</f>
        <v>110</v>
      </c>
      <c r="O14">
        <f>O12+O13</f>
        <v>116</v>
      </c>
      <c r="P14">
        <f>P12+P13</f>
        <v>116</v>
      </c>
    </row>
    <row r="15" spans="1:21" x14ac:dyDescent="0.25">
      <c r="B15" s="300"/>
    </row>
    <row r="16" spans="1:21" x14ac:dyDescent="0.25">
      <c r="B16" t="s">
        <v>535</v>
      </c>
      <c r="D16" s="303">
        <f>(D6-D7)/(C6-C7)</f>
        <v>0.69047619047619047</v>
      </c>
      <c r="E16" s="303">
        <f>(E6-E7)/(C6-C7)</f>
        <v>0.30952380952380953</v>
      </c>
      <c r="G16" s="303">
        <f>(G6-G7)/(F6-F7)</f>
        <v>0.64444444444444449</v>
      </c>
      <c r="H16" s="303">
        <f>(H6-H7)/(F6-F7)</f>
        <v>0.35555555555555557</v>
      </c>
      <c r="J16" s="303">
        <f>(J6-J7)/(I6-I7)</f>
        <v>0.6875</v>
      </c>
      <c r="K16" s="303">
        <f>(K6-K7)/(I6-I7)</f>
        <v>0.3125</v>
      </c>
    </row>
    <row r="17" spans="2:27" x14ac:dyDescent="0.25">
      <c r="B17" t="s">
        <v>536</v>
      </c>
      <c r="D17" s="226">
        <f>D3/C3</f>
        <v>0.46825396825396826</v>
      </c>
      <c r="E17" s="226">
        <f>E3/C3</f>
        <v>0.53174603174603174</v>
      </c>
      <c r="G17" s="226">
        <f>G3/F3</f>
        <v>0.3</v>
      </c>
      <c r="H17" s="226">
        <f>H3/F3</f>
        <v>0.7</v>
      </c>
      <c r="J17" s="226">
        <v>0</v>
      </c>
      <c r="K17" s="226">
        <v>0</v>
      </c>
      <c r="M17" s="264" t="s">
        <v>537</v>
      </c>
      <c r="V17" s="184"/>
      <c r="W17" s="184"/>
      <c r="X17" s="184"/>
      <c r="Y17" s="184"/>
    </row>
    <row r="18" spans="2:27" x14ac:dyDescent="0.25">
      <c r="B18" t="s">
        <v>538</v>
      </c>
      <c r="D18" s="226">
        <f>D6/C6</f>
        <v>0.46825396825396826</v>
      </c>
      <c r="E18" s="226">
        <f>E6/C6</f>
        <v>0.53174603174603174</v>
      </c>
      <c r="G18" s="226">
        <f>G6/F6</f>
        <v>0.45588235294117646</v>
      </c>
      <c r="H18" s="226">
        <f>H6/F6</f>
        <v>0.54411764705882348</v>
      </c>
      <c r="J18" s="226">
        <f>J6/I6</f>
        <v>0.45588235294117646</v>
      </c>
      <c r="K18" s="226">
        <f>K6/I6</f>
        <v>0.54411764705882348</v>
      </c>
      <c r="M18" s="185" t="s">
        <v>530</v>
      </c>
      <c r="N18" s="16">
        <v>2017</v>
      </c>
      <c r="O18" s="16">
        <v>2018</v>
      </c>
      <c r="P18" s="16">
        <v>2019</v>
      </c>
      <c r="Q18" s="185" t="s">
        <v>531</v>
      </c>
      <c r="R18" s="16">
        <v>2017</v>
      </c>
      <c r="S18" s="16">
        <v>2018</v>
      </c>
      <c r="T18" s="16">
        <v>2019</v>
      </c>
      <c r="U18" s="300" t="s">
        <v>532</v>
      </c>
      <c r="X18" s="184"/>
      <c r="Y18" s="184"/>
    </row>
    <row r="19" spans="2:27" x14ac:dyDescent="0.25">
      <c r="M19" s="16" t="s">
        <v>151</v>
      </c>
      <c r="N19" s="16">
        <v>4</v>
      </c>
      <c r="O19" s="16">
        <v>7</v>
      </c>
      <c r="P19" s="16">
        <v>7</v>
      </c>
      <c r="Q19" s="16" t="s">
        <v>151</v>
      </c>
      <c r="R19" s="226">
        <f t="shared" ref="R19:T20" si="4">N19/(N$19+N$20)</f>
        <v>0.5714285714285714</v>
      </c>
      <c r="S19" s="226">
        <f t="shared" si="4"/>
        <v>0.63636363636363635</v>
      </c>
      <c r="T19" s="226">
        <f t="shared" si="4"/>
        <v>0.63636363636363635</v>
      </c>
      <c r="V19" s="188"/>
      <c r="W19" s="188"/>
      <c r="X19" s="188"/>
      <c r="Y19" s="188"/>
      <c r="Z19" s="188"/>
      <c r="AA19" s="188"/>
    </row>
    <row r="20" spans="2:27" x14ac:dyDescent="0.25">
      <c r="E20">
        <f>5/45</f>
        <v>0.1111111111111111</v>
      </c>
      <c r="M20" s="16" t="s">
        <v>150</v>
      </c>
      <c r="N20" s="16">
        <v>3</v>
      </c>
      <c r="O20" s="16">
        <v>4</v>
      </c>
      <c r="P20" s="16">
        <v>4</v>
      </c>
      <c r="Q20" s="16" t="s">
        <v>150</v>
      </c>
      <c r="R20" s="226">
        <f t="shared" si="4"/>
        <v>0.42857142857142855</v>
      </c>
      <c r="S20" s="226">
        <f t="shared" si="4"/>
        <v>0.36363636363636365</v>
      </c>
      <c r="T20" s="226">
        <f t="shared" si="4"/>
        <v>0.36363636363636365</v>
      </c>
      <c r="V20" s="189"/>
      <c r="W20" s="189"/>
      <c r="X20" s="190"/>
      <c r="Y20" s="190"/>
      <c r="Z20" s="190"/>
      <c r="AA20" s="190"/>
    </row>
    <row r="21" spans="2:27" x14ac:dyDescent="0.25">
      <c r="B21" s="300"/>
      <c r="E21">
        <f>10/102</f>
        <v>9.8039215686274508E-2</v>
      </c>
      <c r="N21">
        <f>N19+N20</f>
        <v>7</v>
      </c>
      <c r="O21">
        <f>O19+O20</f>
        <v>11</v>
      </c>
      <c r="P21">
        <f>P19+P20</f>
        <v>11</v>
      </c>
      <c r="V21" s="189"/>
      <c r="W21" s="189"/>
      <c r="X21" s="190"/>
      <c r="Y21" s="190"/>
      <c r="Z21" s="190"/>
      <c r="AA21" s="190"/>
    </row>
    <row r="22" spans="2:27" x14ac:dyDescent="0.25">
      <c r="B22" s="186" t="s">
        <v>539</v>
      </c>
      <c r="V22" s="189"/>
      <c r="W22" s="189"/>
      <c r="X22" s="190"/>
      <c r="Y22" s="190"/>
      <c r="Z22" s="190"/>
      <c r="AA22" s="190"/>
    </row>
    <row r="23" spans="2:27" x14ac:dyDescent="0.25">
      <c r="B23" s="332" t="s">
        <v>540</v>
      </c>
      <c r="C23" s="332">
        <f>AVERAGE(C6,F6,I6)</f>
        <v>132.66666666666666</v>
      </c>
      <c r="M23" t="s">
        <v>541</v>
      </c>
      <c r="O23" t="s">
        <v>542</v>
      </c>
    </row>
    <row r="24" spans="2:27" x14ac:dyDescent="0.25">
      <c r="M24" s="185" t="s">
        <v>530</v>
      </c>
      <c r="N24" s="16">
        <v>2017</v>
      </c>
      <c r="O24" s="16">
        <v>2018</v>
      </c>
      <c r="P24" s="16">
        <v>2019</v>
      </c>
      <c r="Q24" s="185" t="s">
        <v>531</v>
      </c>
      <c r="R24" s="16">
        <v>2017</v>
      </c>
      <c r="S24" s="16">
        <v>2018</v>
      </c>
      <c r="T24" s="16">
        <v>2019</v>
      </c>
      <c r="U24" s="300" t="s">
        <v>532</v>
      </c>
    </row>
    <row r="25" spans="2:27" x14ac:dyDescent="0.25">
      <c r="M25" s="16" t="s">
        <v>151</v>
      </c>
      <c r="N25" s="16">
        <v>54</v>
      </c>
      <c r="O25" s="16">
        <v>58</v>
      </c>
      <c r="P25" s="16">
        <v>64</v>
      </c>
      <c r="Q25" s="16" t="s">
        <v>151</v>
      </c>
      <c r="R25" s="226">
        <f t="shared" ref="R25:T26" si="5">N25/(N$25+N$26)</f>
        <v>0.6428571428571429</v>
      </c>
      <c r="S25" s="226">
        <f t="shared" si="5"/>
        <v>0.63736263736263732</v>
      </c>
      <c r="T25" s="226">
        <f t="shared" si="5"/>
        <v>0.61538461538461542</v>
      </c>
    </row>
    <row r="26" spans="2:27" x14ac:dyDescent="0.25">
      <c r="B26" s="333"/>
      <c r="C26" s="334">
        <f>C3-C4</f>
        <v>117</v>
      </c>
      <c r="D26" s="334">
        <f t="shared" ref="D26:I26" si="6">D3-D4</f>
        <v>51</v>
      </c>
      <c r="E26" s="334">
        <f t="shared" si="6"/>
        <v>66</v>
      </c>
      <c r="F26" s="334">
        <f t="shared" si="6"/>
        <v>10</v>
      </c>
      <c r="G26" s="334">
        <f t="shared" si="6"/>
        <v>3</v>
      </c>
      <c r="H26" s="334">
        <f t="shared" si="6"/>
        <v>7</v>
      </c>
      <c r="I26" s="335">
        <f t="shared" si="6"/>
        <v>0</v>
      </c>
      <c r="J26" s="606"/>
      <c r="M26" s="16" t="s">
        <v>150</v>
      </c>
      <c r="N26" s="16">
        <v>30</v>
      </c>
      <c r="O26" s="16">
        <v>33</v>
      </c>
      <c r="P26" s="16">
        <v>40</v>
      </c>
      <c r="Q26" s="16" t="s">
        <v>150</v>
      </c>
      <c r="R26" s="226">
        <f t="shared" si="5"/>
        <v>0.35714285714285715</v>
      </c>
      <c r="S26" s="226">
        <f t="shared" si="5"/>
        <v>0.36263736263736263</v>
      </c>
      <c r="T26" s="226">
        <f t="shared" si="5"/>
        <v>0.38461538461538464</v>
      </c>
    </row>
    <row r="27" spans="2:27" x14ac:dyDescent="0.25">
      <c r="B27" s="336">
        <f>131+9</f>
        <v>140</v>
      </c>
      <c r="C27">
        <f>C26</f>
        <v>117</v>
      </c>
      <c r="F27">
        <f>F26+C26</f>
        <v>127</v>
      </c>
      <c r="I27" s="337">
        <f>I26+F27</f>
        <v>127</v>
      </c>
      <c r="J27" s="606"/>
      <c r="N27">
        <f>N25+N26</f>
        <v>84</v>
      </c>
      <c r="O27">
        <f>O25+O26</f>
        <v>91</v>
      </c>
      <c r="P27">
        <f>P25+P26</f>
        <v>104</v>
      </c>
    </row>
    <row r="28" spans="2:27" x14ac:dyDescent="0.25">
      <c r="B28" s="338">
        <f>B27/3</f>
        <v>46.666666666666664</v>
      </c>
      <c r="C28" s="339"/>
      <c r="D28" s="339"/>
      <c r="E28" s="339"/>
      <c r="F28" s="339"/>
      <c r="G28" s="339"/>
      <c r="H28" s="339"/>
      <c r="I28" s="340"/>
      <c r="J28" s="606"/>
    </row>
    <row r="29" spans="2:27" x14ac:dyDescent="0.25">
      <c r="M29" t="s">
        <v>543</v>
      </c>
      <c r="U29" s="300" t="s">
        <v>532</v>
      </c>
    </row>
    <row r="30" spans="2:27" ht="30" x14ac:dyDescent="0.25">
      <c r="B30" s="331" t="s">
        <v>544</v>
      </c>
      <c r="C30" s="332">
        <f>AVERAGE(C27:I27)</f>
        <v>123.66666666666667</v>
      </c>
      <c r="M30" s="185" t="s">
        <v>530</v>
      </c>
      <c r="N30" s="16">
        <v>2017</v>
      </c>
      <c r="O30" s="16">
        <v>2018</v>
      </c>
      <c r="P30" s="16">
        <v>2019</v>
      </c>
      <c r="Q30" s="185" t="s">
        <v>531</v>
      </c>
      <c r="R30" s="16">
        <v>2017</v>
      </c>
      <c r="S30" s="16">
        <v>2018</v>
      </c>
      <c r="T30" s="16">
        <v>2019</v>
      </c>
    </row>
    <row r="31" spans="2:27" x14ac:dyDescent="0.25">
      <c r="B31">
        <f>7/3</f>
        <v>2.3333333333333335</v>
      </c>
      <c r="M31" s="16" t="s">
        <v>151</v>
      </c>
      <c r="N31" s="270">
        <v>12</v>
      </c>
      <c r="O31" s="270">
        <v>15</v>
      </c>
      <c r="P31" s="270">
        <v>9</v>
      </c>
      <c r="Q31" s="16" t="s">
        <v>151</v>
      </c>
      <c r="R31" s="226">
        <f>N31/(N$31+N$32)</f>
        <v>0.36363636363636365</v>
      </c>
      <c r="S31" s="226">
        <f t="shared" ref="R31:T32" si="7">O31/(O$31+O$32)</f>
        <v>0.41666666666666669</v>
      </c>
      <c r="T31" s="226">
        <f t="shared" si="7"/>
        <v>0.39130434782608697</v>
      </c>
    </row>
    <row r="32" spans="2:27" x14ac:dyDescent="0.25">
      <c r="M32" s="16" t="s">
        <v>150</v>
      </c>
      <c r="N32" s="270">
        <v>21</v>
      </c>
      <c r="O32" s="270">
        <v>21</v>
      </c>
      <c r="P32" s="270">
        <v>14</v>
      </c>
      <c r="Q32" s="16" t="s">
        <v>150</v>
      </c>
      <c r="R32" s="226">
        <f t="shared" si="7"/>
        <v>0.63636363636363635</v>
      </c>
      <c r="S32" s="226">
        <f t="shared" si="7"/>
        <v>0.58333333333333337</v>
      </c>
      <c r="T32" s="226">
        <f t="shared" si="7"/>
        <v>0.60869565217391308</v>
      </c>
    </row>
    <row r="33" spans="13:21" x14ac:dyDescent="0.25">
      <c r="N33">
        <f>N31+N32</f>
        <v>33</v>
      </c>
      <c r="O33">
        <f>O31+O32</f>
        <v>36</v>
      </c>
      <c r="P33">
        <f>P31+P32</f>
        <v>23</v>
      </c>
    </row>
    <row r="34" spans="13:21" x14ac:dyDescent="0.25">
      <c r="M34" t="s">
        <v>545</v>
      </c>
    </row>
    <row r="36" spans="13:21" x14ac:dyDescent="0.25">
      <c r="Q36" s="185"/>
      <c r="R36" s="16"/>
      <c r="S36" s="16"/>
      <c r="T36" s="16"/>
    </row>
    <row r="37" spans="13:21" x14ac:dyDescent="0.25">
      <c r="M37" s="185"/>
      <c r="R37" s="226"/>
      <c r="S37" s="226"/>
      <c r="T37" s="226"/>
    </row>
    <row r="38" spans="13:21" x14ac:dyDescent="0.25">
      <c r="M38" s="16"/>
      <c r="R38" s="226"/>
      <c r="S38" s="226"/>
      <c r="T38" s="226"/>
    </row>
    <row r="39" spans="13:21" x14ac:dyDescent="0.25">
      <c r="M39" s="16"/>
      <c r="R39" s="226"/>
      <c r="S39" s="226"/>
    </row>
    <row r="41" spans="13:21" x14ac:dyDescent="0.25">
      <c r="M41" s="264" t="s">
        <v>546</v>
      </c>
      <c r="N41" s="264"/>
      <c r="O41" s="264"/>
      <c r="P41" s="264"/>
      <c r="Q41" s="264"/>
      <c r="U41" s="300" t="s">
        <v>547</v>
      </c>
    </row>
    <row r="42" spans="13:21" x14ac:dyDescent="0.25">
      <c r="M42" s="265" t="s">
        <v>530</v>
      </c>
      <c r="N42" s="266">
        <v>2017</v>
      </c>
      <c r="O42" s="16">
        <v>2018</v>
      </c>
      <c r="P42" s="16">
        <v>2019</v>
      </c>
      <c r="Q42" s="265" t="s">
        <v>531</v>
      </c>
      <c r="R42" s="264"/>
    </row>
    <row r="43" spans="13:21" x14ac:dyDescent="0.25">
      <c r="M43" s="266" t="s">
        <v>151</v>
      </c>
      <c r="N43" s="266">
        <v>1</v>
      </c>
      <c r="O43">
        <v>0</v>
      </c>
      <c r="P43">
        <v>0</v>
      </c>
      <c r="Q43" s="266" t="s">
        <v>151</v>
      </c>
      <c r="R43" s="267">
        <f>N43/SUM($N$43:$N$44)</f>
        <v>0.1111111111111111</v>
      </c>
    </row>
    <row r="44" spans="13:21" x14ac:dyDescent="0.25">
      <c r="M44" s="266" t="s">
        <v>150</v>
      </c>
      <c r="N44" s="266">
        <v>8</v>
      </c>
      <c r="O44">
        <v>0</v>
      </c>
      <c r="P44">
        <v>0</v>
      </c>
      <c r="Q44" s="266" t="s">
        <v>150</v>
      </c>
      <c r="R44" s="267">
        <f>N44/SUM($N$43:$N$44)</f>
        <v>0.88888888888888884</v>
      </c>
    </row>
    <row r="45" spans="13:21" x14ac:dyDescent="0.25">
      <c r="M45" s="264" t="s">
        <v>290</v>
      </c>
      <c r="N45">
        <f>SUM(N43:N44)</f>
        <v>9</v>
      </c>
      <c r="O45">
        <f>SUM(O43:O44)</f>
        <v>0</v>
      </c>
      <c r="P45">
        <f>SUM(P43:P44)</f>
        <v>0</v>
      </c>
    </row>
  </sheetData>
  <mergeCells count="1">
    <mergeCell ref="J26:J28"/>
  </mergeCells>
  <pageMargins left="0.45" right="0.45" top="0.5" bottom="0.5" header="0.3" footer="0.3"/>
  <pageSetup scale="80" orientation="portrait" horizontalDpi="4294967295" verticalDpi="4294967295"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9"/>
  <sheetViews>
    <sheetView zoomScale="70" zoomScaleNormal="70" workbookViewId="0">
      <selection activeCell="G7" sqref="G7:H11"/>
    </sheetView>
  </sheetViews>
  <sheetFormatPr defaultRowHeight="15" x14ac:dyDescent="0.25"/>
  <cols>
    <col min="3" max="3" width="26.140625" customWidth="1"/>
    <col min="13" max="13" width="13.5703125" customWidth="1"/>
    <col min="14" max="14" width="9.85546875" bestFit="1" customWidth="1"/>
  </cols>
  <sheetData>
    <row r="1" spans="1:13" x14ac:dyDescent="0.25">
      <c r="B1" s="5" t="s">
        <v>396</v>
      </c>
    </row>
    <row r="2" spans="1:13" x14ac:dyDescent="0.25">
      <c r="B2" s="5"/>
    </row>
    <row r="3" spans="1:13" x14ac:dyDescent="0.25">
      <c r="B3" s="6" t="s">
        <v>548</v>
      </c>
    </row>
    <row r="4" spans="1:13" x14ac:dyDescent="0.25">
      <c r="B4" s="6"/>
    </row>
    <row r="5" spans="1:13" x14ac:dyDescent="0.25">
      <c r="B5" s="7" t="s">
        <v>549</v>
      </c>
    </row>
    <row r="6" spans="1:13" ht="15.75" thickBot="1" x14ac:dyDescent="0.3">
      <c r="B6" s="7" t="s">
        <v>550</v>
      </c>
      <c r="G6" t="s">
        <v>551</v>
      </c>
    </row>
    <row r="7" spans="1:13" ht="72.75" customHeight="1" thickBot="1" x14ac:dyDescent="0.3">
      <c r="A7" s="191" t="s">
        <v>313</v>
      </c>
      <c r="B7" s="8" t="s">
        <v>552</v>
      </c>
      <c r="C7" s="10" t="s">
        <v>553</v>
      </c>
      <c r="D7" s="9" t="s">
        <v>554</v>
      </c>
      <c r="E7" s="9" t="s">
        <v>555</v>
      </c>
      <c r="G7" s="25" t="s">
        <v>313</v>
      </c>
      <c r="H7" s="8" t="s">
        <v>552</v>
      </c>
      <c r="I7" s="10" t="s">
        <v>553</v>
      </c>
      <c r="J7" s="9" t="s">
        <v>554</v>
      </c>
      <c r="K7" s="9" t="s">
        <v>555</v>
      </c>
    </row>
    <row r="8" spans="1:13" ht="45.75" thickBot="1" x14ac:dyDescent="0.3">
      <c r="A8" s="194" t="s">
        <v>317</v>
      </c>
      <c r="B8" s="11" t="s">
        <v>556</v>
      </c>
      <c r="C8" s="196">
        <v>41.17</v>
      </c>
      <c r="D8" s="195" t="s">
        <v>557</v>
      </c>
      <c r="E8" s="197">
        <f>C8+1.1*C8</f>
        <v>86.457000000000008</v>
      </c>
      <c r="G8" s="91" t="s">
        <v>558</v>
      </c>
      <c r="H8" s="11" t="s">
        <v>559</v>
      </c>
      <c r="I8" s="12">
        <v>52.11</v>
      </c>
      <c r="J8" s="87" t="s">
        <v>560</v>
      </c>
      <c r="K8" s="12">
        <f>I8+(1.1*I8)</f>
        <v>109.43100000000001</v>
      </c>
      <c r="M8" s="88">
        <f>12*K8</f>
        <v>1313.172</v>
      </c>
    </row>
    <row r="9" spans="1:13" ht="75.75" thickBot="1" x14ac:dyDescent="0.3">
      <c r="A9" s="194" t="s">
        <v>320</v>
      </c>
      <c r="B9" s="11" t="s">
        <v>561</v>
      </c>
      <c r="C9" s="196">
        <v>23.74</v>
      </c>
      <c r="D9" s="195" t="s">
        <v>562</v>
      </c>
      <c r="E9" s="197">
        <f>C9+1.1*C9</f>
        <v>49.853999999999999</v>
      </c>
      <c r="G9" s="27" t="s">
        <v>317</v>
      </c>
      <c r="H9" s="11" t="s">
        <v>556</v>
      </c>
      <c r="I9" s="12">
        <v>41.17</v>
      </c>
      <c r="J9" s="87" t="s">
        <v>557</v>
      </c>
      <c r="K9" s="12">
        <f>I9+(1.1*I9)</f>
        <v>86.457000000000008</v>
      </c>
      <c r="M9" s="88">
        <f>K9*18</f>
        <v>1556.2260000000001</v>
      </c>
    </row>
    <row r="10" spans="1:13" ht="75.75" thickBot="1" x14ac:dyDescent="0.3">
      <c r="A10" s="13" t="s">
        <v>563</v>
      </c>
      <c r="B10" s="6"/>
      <c r="G10" s="28" t="s">
        <v>320</v>
      </c>
      <c r="H10" s="22" t="s">
        <v>561</v>
      </c>
      <c r="I10" s="23">
        <v>23.74</v>
      </c>
      <c r="J10" s="87" t="s">
        <v>562</v>
      </c>
      <c r="K10" s="12">
        <f>I10+(1.1*I10)</f>
        <v>49.853999999999999</v>
      </c>
      <c r="M10" s="88">
        <f>SUM(M8:M9)</f>
        <v>2869.3980000000001</v>
      </c>
    </row>
    <row r="11" spans="1:13" ht="45.75" thickBot="1" x14ac:dyDescent="0.3">
      <c r="B11" s="6"/>
      <c r="G11" s="26" t="s">
        <v>323</v>
      </c>
      <c r="H11" s="27" t="s">
        <v>564</v>
      </c>
      <c r="I11" s="24">
        <v>14.42</v>
      </c>
      <c r="J11" s="87" t="s">
        <v>565</v>
      </c>
      <c r="K11" s="12">
        <f>I11+(1.1*I11)</f>
        <v>30.282000000000004</v>
      </c>
    </row>
    <row r="12" spans="1:13" x14ac:dyDescent="0.25">
      <c r="A12" s="13" t="s">
        <v>566</v>
      </c>
      <c r="G12" s="13" t="s">
        <v>567</v>
      </c>
      <c r="I12" s="88"/>
      <c r="J12" s="89"/>
      <c r="K12" s="90"/>
    </row>
    <row r="13" spans="1:13" x14ac:dyDescent="0.25">
      <c r="G13" s="13"/>
    </row>
    <row r="19" spans="3:3" x14ac:dyDescent="0.25">
      <c r="C19" s="21"/>
    </row>
  </sheetData>
  <hyperlinks>
    <hyperlink ref="C7" location="_ftn1" display="_ftn1" xr:uid="{00000000-0004-0000-0200-000000000000}"/>
    <hyperlink ref="I7" location="_ftn1" display="_ftn1" xr:uid="{00000000-0004-0000-0200-000001000000}"/>
    <hyperlink ref="A12" location="_ftnref1" display="_ftnref1" xr:uid="{00000000-0004-0000-0200-000002000000}"/>
    <hyperlink ref="A10" r:id="rId1" location="17-0000 (May 2013)" xr:uid="{00000000-0004-0000-0200-000003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outlinePr summaryBelow="0"/>
  </sheetPr>
  <dimension ref="A1:K648"/>
  <sheetViews>
    <sheetView workbookViewId="0">
      <pane ySplit="3" topLeftCell="A130" activePane="bottomLeft" state="frozen"/>
      <selection activeCell="E15" sqref="E15"/>
      <selection pane="bottomLeft" activeCell="I14" sqref="I14"/>
    </sheetView>
  </sheetViews>
  <sheetFormatPr defaultColWidth="9.140625" defaultRowHeight="12.75" x14ac:dyDescent="0.2"/>
  <cols>
    <col min="1" max="1" width="4" style="169" hidden="1" customWidth="1"/>
    <col min="2" max="2" width="7.28515625" style="169" customWidth="1"/>
    <col min="3" max="3" width="32.28515625" style="199" customWidth="1"/>
    <col min="4" max="4" width="35.28515625" style="199" customWidth="1"/>
    <col min="5" max="5" width="15.42578125" style="169" bestFit="1" customWidth="1"/>
    <col min="6" max="6" width="13.7109375" style="169" bestFit="1" customWidth="1"/>
    <col min="7" max="7" width="19.7109375" style="169" bestFit="1" customWidth="1"/>
    <col min="8" max="8" width="12.42578125" style="198" bestFit="1" customWidth="1"/>
    <col min="9" max="9" width="39.42578125" style="169" customWidth="1"/>
    <col min="10" max="16384" width="9.140625" style="169"/>
  </cols>
  <sheetData>
    <row r="1" spans="1:11" s="167" customFormat="1" ht="15.75" x14ac:dyDescent="0.25">
      <c r="B1" s="167" t="s">
        <v>568</v>
      </c>
      <c r="C1" s="215"/>
      <c r="D1" s="215"/>
    </row>
    <row r="2" spans="1:11" ht="18" customHeight="1" x14ac:dyDescent="0.2">
      <c r="A2" s="214" t="s">
        <v>569</v>
      </c>
      <c r="B2" s="212" t="s">
        <v>570</v>
      </c>
      <c r="C2" s="213" t="s">
        <v>571</v>
      </c>
      <c r="D2" s="213" t="s">
        <v>572</v>
      </c>
      <c r="E2" s="212" t="s">
        <v>573</v>
      </c>
      <c r="F2" s="212" t="s">
        <v>574</v>
      </c>
      <c r="G2" s="212" t="s">
        <v>575</v>
      </c>
      <c r="H2" s="211" t="s">
        <v>576</v>
      </c>
    </row>
    <row r="3" spans="1:11" ht="51" x14ac:dyDescent="0.2">
      <c r="A3" s="168"/>
      <c r="C3" s="210" t="s">
        <v>577</v>
      </c>
      <c r="D3" s="209"/>
      <c r="E3" s="208"/>
      <c r="G3" s="207">
        <v>83</v>
      </c>
      <c r="H3" s="206">
        <v>46</v>
      </c>
      <c r="J3" s="169" t="s">
        <v>578</v>
      </c>
      <c r="K3" s="169" t="s">
        <v>579</v>
      </c>
    </row>
    <row r="4" spans="1:11" x14ac:dyDescent="0.2">
      <c r="A4" s="204">
        <v>1</v>
      </c>
      <c r="B4" s="202" t="s">
        <v>580</v>
      </c>
      <c r="C4" s="202" t="s">
        <v>581</v>
      </c>
      <c r="D4" s="203" t="s">
        <v>582</v>
      </c>
      <c r="E4" s="202" t="s">
        <v>583</v>
      </c>
      <c r="F4" s="202" t="s">
        <v>583</v>
      </c>
      <c r="G4" s="201">
        <v>92</v>
      </c>
      <c r="H4" s="200">
        <v>59</v>
      </c>
      <c r="I4" s="169" t="s">
        <v>584</v>
      </c>
    </row>
    <row r="5" spans="1:11" x14ac:dyDescent="0.2">
      <c r="A5" s="204">
        <v>2</v>
      </c>
      <c r="B5" s="202" t="s">
        <v>580</v>
      </c>
      <c r="C5" s="203" t="s">
        <v>585</v>
      </c>
      <c r="D5" s="203" t="s">
        <v>586</v>
      </c>
      <c r="E5" s="202" t="s">
        <v>587</v>
      </c>
      <c r="F5" s="202" t="s">
        <v>588</v>
      </c>
      <c r="G5" s="201">
        <v>100</v>
      </c>
      <c r="H5" s="200">
        <v>51</v>
      </c>
      <c r="J5" s="205">
        <f>AVERAGE(G4:G648)</f>
        <v>117.6015503875969</v>
      </c>
      <c r="K5" s="205">
        <f>AVERAGE(H4:H648)</f>
        <v>58.500775193798447</v>
      </c>
    </row>
    <row r="6" spans="1:11" x14ac:dyDescent="0.2">
      <c r="A6" s="204">
        <v>2</v>
      </c>
      <c r="B6" s="202" t="s">
        <v>580</v>
      </c>
      <c r="C6" s="203" t="s">
        <v>585</v>
      </c>
      <c r="D6" s="203" t="s">
        <v>586</v>
      </c>
      <c r="E6" s="202" t="s">
        <v>589</v>
      </c>
      <c r="F6" s="202" t="s">
        <v>590</v>
      </c>
      <c r="G6" s="201">
        <v>128</v>
      </c>
      <c r="H6" s="200">
        <v>51</v>
      </c>
    </row>
    <row r="7" spans="1:11" x14ac:dyDescent="0.2">
      <c r="A7" s="204">
        <v>2</v>
      </c>
      <c r="B7" s="202" t="s">
        <v>580</v>
      </c>
      <c r="C7" s="203" t="s">
        <v>585</v>
      </c>
      <c r="D7" s="203" t="s">
        <v>586</v>
      </c>
      <c r="E7" s="202" t="s">
        <v>591</v>
      </c>
      <c r="F7" s="202" t="s">
        <v>592</v>
      </c>
      <c r="G7" s="201">
        <v>100</v>
      </c>
      <c r="H7" s="200">
        <v>51</v>
      </c>
    </row>
    <row r="8" spans="1:11" x14ac:dyDescent="0.2">
      <c r="A8" s="204">
        <v>3</v>
      </c>
      <c r="B8" s="202" t="s">
        <v>580</v>
      </c>
      <c r="C8" s="203" t="s">
        <v>593</v>
      </c>
      <c r="D8" s="203" t="s">
        <v>594</v>
      </c>
      <c r="E8" s="202" t="s">
        <v>583</v>
      </c>
      <c r="F8" s="202" t="s">
        <v>583</v>
      </c>
      <c r="G8" s="201">
        <v>86</v>
      </c>
      <c r="H8" s="200">
        <v>51</v>
      </c>
    </row>
    <row r="9" spans="1:11" x14ac:dyDescent="0.2">
      <c r="A9" s="204">
        <v>460</v>
      </c>
      <c r="B9" s="202" t="s">
        <v>580</v>
      </c>
      <c r="C9" s="203" t="s">
        <v>595</v>
      </c>
      <c r="D9" s="203" t="s">
        <v>595</v>
      </c>
      <c r="E9" s="202" t="s">
        <v>587</v>
      </c>
      <c r="F9" s="202" t="s">
        <v>596</v>
      </c>
      <c r="G9" s="201">
        <v>86</v>
      </c>
      <c r="H9" s="200">
        <v>51</v>
      </c>
    </row>
    <row r="10" spans="1:11" x14ac:dyDescent="0.2">
      <c r="A10" s="204">
        <v>460</v>
      </c>
      <c r="B10" s="202" t="s">
        <v>580</v>
      </c>
      <c r="C10" s="203" t="s">
        <v>595</v>
      </c>
      <c r="D10" s="203" t="s">
        <v>595</v>
      </c>
      <c r="E10" s="202" t="s">
        <v>597</v>
      </c>
      <c r="F10" s="202" t="s">
        <v>588</v>
      </c>
      <c r="G10" s="201">
        <v>95</v>
      </c>
      <c r="H10" s="200">
        <v>51</v>
      </c>
    </row>
    <row r="11" spans="1:11" x14ac:dyDescent="0.2">
      <c r="A11" s="204">
        <v>460</v>
      </c>
      <c r="B11" s="202" t="s">
        <v>580</v>
      </c>
      <c r="C11" s="203" t="s">
        <v>595</v>
      </c>
      <c r="D11" s="203" t="s">
        <v>595</v>
      </c>
      <c r="E11" s="202" t="s">
        <v>589</v>
      </c>
      <c r="F11" s="202" t="s">
        <v>592</v>
      </c>
      <c r="G11" s="201">
        <v>86</v>
      </c>
      <c r="H11" s="200">
        <v>51</v>
      </c>
    </row>
    <row r="12" spans="1:11" x14ac:dyDescent="0.2">
      <c r="A12" s="204">
        <v>6</v>
      </c>
      <c r="B12" s="202" t="s">
        <v>598</v>
      </c>
      <c r="C12" s="203" t="s">
        <v>599</v>
      </c>
      <c r="D12" s="203" t="s">
        <v>600</v>
      </c>
      <c r="E12" s="202" t="s">
        <v>583</v>
      </c>
      <c r="F12" s="202" t="s">
        <v>583</v>
      </c>
      <c r="G12" s="201">
        <v>100</v>
      </c>
      <c r="H12" s="200">
        <v>46</v>
      </c>
    </row>
    <row r="13" spans="1:11" x14ac:dyDescent="0.2">
      <c r="A13" s="204">
        <v>7</v>
      </c>
      <c r="B13" s="202" t="s">
        <v>598</v>
      </c>
      <c r="C13" s="203" t="s">
        <v>601</v>
      </c>
      <c r="D13" s="203" t="s">
        <v>602</v>
      </c>
      <c r="E13" s="202" t="s">
        <v>583</v>
      </c>
      <c r="F13" s="202" t="s">
        <v>583</v>
      </c>
      <c r="G13" s="201">
        <v>89</v>
      </c>
      <c r="H13" s="200">
        <v>61</v>
      </c>
    </row>
    <row r="14" spans="1:11" ht="25.5" x14ac:dyDescent="0.2">
      <c r="A14" s="204">
        <v>9</v>
      </c>
      <c r="B14" s="202" t="s">
        <v>603</v>
      </c>
      <c r="C14" s="203" t="s">
        <v>604</v>
      </c>
      <c r="D14" s="203" t="s">
        <v>605</v>
      </c>
      <c r="E14" s="202" t="s">
        <v>587</v>
      </c>
      <c r="F14" s="202" t="s">
        <v>588</v>
      </c>
      <c r="G14" s="201">
        <v>83</v>
      </c>
      <c r="H14" s="200">
        <v>66</v>
      </c>
    </row>
    <row r="15" spans="1:11" ht="25.5" x14ac:dyDescent="0.2">
      <c r="A15" s="204">
        <v>9</v>
      </c>
      <c r="B15" s="202" t="s">
        <v>603</v>
      </c>
      <c r="C15" s="203" t="s">
        <v>604</v>
      </c>
      <c r="D15" s="203" t="s">
        <v>605</v>
      </c>
      <c r="E15" s="202" t="s">
        <v>589</v>
      </c>
      <c r="F15" s="202" t="s">
        <v>592</v>
      </c>
      <c r="G15" s="201">
        <v>112</v>
      </c>
      <c r="H15" s="200">
        <v>66</v>
      </c>
    </row>
    <row r="16" spans="1:11" x14ac:dyDescent="0.2">
      <c r="A16" s="204">
        <v>8</v>
      </c>
      <c r="B16" s="202" t="s">
        <v>603</v>
      </c>
      <c r="C16" s="203" t="s">
        <v>606</v>
      </c>
      <c r="D16" s="203" t="s">
        <v>607</v>
      </c>
      <c r="E16" s="202" t="s">
        <v>583</v>
      </c>
      <c r="F16" s="202" t="s">
        <v>583</v>
      </c>
      <c r="G16" s="201">
        <v>109</v>
      </c>
      <c r="H16" s="200">
        <v>61</v>
      </c>
    </row>
    <row r="17" spans="1:8" x14ac:dyDescent="0.2">
      <c r="A17" s="204">
        <v>10</v>
      </c>
      <c r="B17" s="202" t="s">
        <v>603</v>
      </c>
      <c r="C17" s="203" t="s">
        <v>608</v>
      </c>
      <c r="D17" s="203" t="s">
        <v>609</v>
      </c>
      <c r="E17" s="202" t="s">
        <v>587</v>
      </c>
      <c r="F17" s="202" t="s">
        <v>596</v>
      </c>
      <c r="G17" s="201">
        <v>106</v>
      </c>
      <c r="H17" s="200">
        <v>71</v>
      </c>
    </row>
    <row r="18" spans="1:8" x14ac:dyDescent="0.2">
      <c r="A18" s="204">
        <v>10</v>
      </c>
      <c r="B18" s="202" t="s">
        <v>603</v>
      </c>
      <c r="C18" s="203" t="s">
        <v>608</v>
      </c>
      <c r="D18" s="203" t="s">
        <v>609</v>
      </c>
      <c r="E18" s="202" t="s">
        <v>597</v>
      </c>
      <c r="F18" s="202" t="s">
        <v>610</v>
      </c>
      <c r="G18" s="201">
        <v>141</v>
      </c>
      <c r="H18" s="200">
        <v>71</v>
      </c>
    </row>
    <row r="19" spans="1:8" x14ac:dyDescent="0.2">
      <c r="A19" s="204">
        <v>10</v>
      </c>
      <c r="B19" s="202" t="s">
        <v>603</v>
      </c>
      <c r="C19" s="203" t="s">
        <v>608</v>
      </c>
      <c r="D19" s="203" t="s">
        <v>609</v>
      </c>
      <c r="E19" s="202" t="s">
        <v>611</v>
      </c>
      <c r="F19" s="202" t="s">
        <v>612</v>
      </c>
      <c r="G19" s="201">
        <v>113</v>
      </c>
      <c r="H19" s="200">
        <v>71</v>
      </c>
    </row>
    <row r="20" spans="1:8" x14ac:dyDescent="0.2">
      <c r="A20" s="204">
        <v>10</v>
      </c>
      <c r="B20" s="202" t="s">
        <v>603</v>
      </c>
      <c r="C20" s="203" t="s">
        <v>608</v>
      </c>
      <c r="D20" s="203" t="s">
        <v>609</v>
      </c>
      <c r="E20" s="202" t="s">
        <v>613</v>
      </c>
      <c r="F20" s="202" t="s">
        <v>614</v>
      </c>
      <c r="G20" s="201">
        <v>83</v>
      </c>
      <c r="H20" s="200">
        <v>71</v>
      </c>
    </row>
    <row r="21" spans="1:8" x14ac:dyDescent="0.2">
      <c r="A21" s="204">
        <v>10</v>
      </c>
      <c r="B21" s="202" t="s">
        <v>603</v>
      </c>
      <c r="C21" s="203" t="s">
        <v>608</v>
      </c>
      <c r="D21" s="203" t="s">
        <v>609</v>
      </c>
      <c r="E21" s="202" t="s">
        <v>615</v>
      </c>
      <c r="F21" s="202" t="s">
        <v>592</v>
      </c>
      <c r="G21" s="201">
        <v>106</v>
      </c>
      <c r="H21" s="200">
        <v>71</v>
      </c>
    </row>
    <row r="22" spans="1:8" x14ac:dyDescent="0.2">
      <c r="A22" s="204">
        <v>11</v>
      </c>
      <c r="B22" s="202" t="s">
        <v>603</v>
      </c>
      <c r="C22" s="203" t="s">
        <v>616</v>
      </c>
      <c r="D22" s="203" t="s">
        <v>617</v>
      </c>
      <c r="E22" s="202" t="s">
        <v>587</v>
      </c>
      <c r="F22" s="202" t="s">
        <v>588</v>
      </c>
      <c r="G22" s="201">
        <v>131</v>
      </c>
      <c r="H22" s="200">
        <v>66</v>
      </c>
    </row>
    <row r="23" spans="1:8" x14ac:dyDescent="0.2">
      <c r="A23" s="204">
        <v>11</v>
      </c>
      <c r="B23" s="202" t="s">
        <v>603</v>
      </c>
      <c r="C23" s="203" t="s">
        <v>616</v>
      </c>
      <c r="D23" s="203" t="s">
        <v>617</v>
      </c>
      <c r="E23" s="202" t="s">
        <v>589</v>
      </c>
      <c r="F23" s="202" t="s">
        <v>612</v>
      </c>
      <c r="G23" s="201">
        <v>150</v>
      </c>
      <c r="H23" s="200">
        <v>66</v>
      </c>
    </row>
    <row r="24" spans="1:8" x14ac:dyDescent="0.2">
      <c r="A24" s="204">
        <v>11</v>
      </c>
      <c r="B24" s="202" t="s">
        <v>603</v>
      </c>
      <c r="C24" s="203" t="s">
        <v>616</v>
      </c>
      <c r="D24" s="203" t="s">
        <v>617</v>
      </c>
      <c r="E24" s="202" t="s">
        <v>613</v>
      </c>
      <c r="F24" s="202" t="s">
        <v>592</v>
      </c>
      <c r="G24" s="201">
        <v>131</v>
      </c>
      <c r="H24" s="200">
        <v>66</v>
      </c>
    </row>
    <row r="25" spans="1:8" x14ac:dyDescent="0.2">
      <c r="A25" s="204">
        <v>12</v>
      </c>
      <c r="B25" s="202" t="s">
        <v>603</v>
      </c>
      <c r="C25" s="203" t="s">
        <v>618</v>
      </c>
      <c r="D25" s="203" t="s">
        <v>619</v>
      </c>
      <c r="E25" s="202" t="s">
        <v>587</v>
      </c>
      <c r="F25" s="202" t="s">
        <v>620</v>
      </c>
      <c r="G25" s="201">
        <v>86</v>
      </c>
      <c r="H25" s="200">
        <v>56</v>
      </c>
    </row>
    <row r="26" spans="1:8" x14ac:dyDescent="0.2">
      <c r="A26" s="204">
        <v>12</v>
      </c>
      <c r="B26" s="202" t="s">
        <v>603</v>
      </c>
      <c r="C26" s="203" t="s">
        <v>618</v>
      </c>
      <c r="D26" s="203" t="s">
        <v>619</v>
      </c>
      <c r="E26" s="202" t="s">
        <v>621</v>
      </c>
      <c r="F26" s="202" t="s">
        <v>612</v>
      </c>
      <c r="G26" s="201">
        <v>100</v>
      </c>
      <c r="H26" s="200">
        <v>56</v>
      </c>
    </row>
    <row r="27" spans="1:8" x14ac:dyDescent="0.2">
      <c r="A27" s="204">
        <v>12</v>
      </c>
      <c r="B27" s="202" t="s">
        <v>603</v>
      </c>
      <c r="C27" s="203" t="s">
        <v>618</v>
      </c>
      <c r="D27" s="203" t="s">
        <v>619</v>
      </c>
      <c r="E27" s="202" t="s">
        <v>613</v>
      </c>
      <c r="F27" s="202" t="s">
        <v>614</v>
      </c>
      <c r="G27" s="201">
        <v>83</v>
      </c>
      <c r="H27" s="200">
        <v>56</v>
      </c>
    </row>
    <row r="28" spans="1:8" x14ac:dyDescent="0.2">
      <c r="A28" s="204">
        <v>12</v>
      </c>
      <c r="B28" s="202" t="s">
        <v>603</v>
      </c>
      <c r="C28" s="203" t="s">
        <v>618</v>
      </c>
      <c r="D28" s="203" t="s">
        <v>619</v>
      </c>
      <c r="E28" s="202" t="s">
        <v>615</v>
      </c>
      <c r="F28" s="202" t="s">
        <v>592</v>
      </c>
      <c r="G28" s="201">
        <v>86</v>
      </c>
      <c r="H28" s="200">
        <v>56</v>
      </c>
    </row>
    <row r="29" spans="1:8" x14ac:dyDescent="0.2">
      <c r="A29" s="204">
        <v>14</v>
      </c>
      <c r="B29" s="202" t="s">
        <v>622</v>
      </c>
      <c r="C29" s="203" t="s">
        <v>623</v>
      </c>
      <c r="D29" s="203" t="s">
        <v>624</v>
      </c>
      <c r="E29" s="202" t="s">
        <v>583</v>
      </c>
      <c r="F29" s="202" t="s">
        <v>583</v>
      </c>
      <c r="G29" s="201">
        <v>122</v>
      </c>
      <c r="H29" s="200">
        <v>66</v>
      </c>
    </row>
    <row r="30" spans="1:8" x14ac:dyDescent="0.2">
      <c r="A30" s="204">
        <v>481</v>
      </c>
      <c r="B30" s="202" t="s">
        <v>622</v>
      </c>
      <c r="C30" s="203" t="s">
        <v>625</v>
      </c>
      <c r="D30" s="203" t="s">
        <v>626</v>
      </c>
      <c r="E30" s="202" t="s">
        <v>583</v>
      </c>
      <c r="F30" s="202" t="s">
        <v>583</v>
      </c>
      <c r="G30" s="201">
        <v>92</v>
      </c>
      <c r="H30" s="200">
        <v>51</v>
      </c>
    </row>
    <row r="31" spans="1:8" x14ac:dyDescent="0.2">
      <c r="A31" s="204">
        <v>16</v>
      </c>
      <c r="B31" s="202" t="s">
        <v>622</v>
      </c>
      <c r="C31" s="203" t="s">
        <v>627</v>
      </c>
      <c r="D31" s="203" t="s">
        <v>628</v>
      </c>
      <c r="E31" s="202" t="s">
        <v>583</v>
      </c>
      <c r="F31" s="202" t="s">
        <v>583</v>
      </c>
      <c r="G31" s="201">
        <v>98</v>
      </c>
      <c r="H31" s="200">
        <v>56</v>
      </c>
    </row>
    <row r="32" spans="1:8" x14ac:dyDescent="0.2">
      <c r="A32" s="204">
        <v>20</v>
      </c>
      <c r="B32" s="202" t="s">
        <v>622</v>
      </c>
      <c r="C32" s="203" t="s">
        <v>629</v>
      </c>
      <c r="D32" s="203" t="s">
        <v>630</v>
      </c>
      <c r="E32" s="202" t="s">
        <v>583</v>
      </c>
      <c r="F32" s="202" t="s">
        <v>583</v>
      </c>
      <c r="G32" s="201">
        <v>100</v>
      </c>
      <c r="H32" s="200">
        <v>46</v>
      </c>
    </row>
    <row r="33" spans="1:8" x14ac:dyDescent="0.2">
      <c r="A33" s="204">
        <v>461</v>
      </c>
      <c r="B33" s="202" t="s">
        <v>622</v>
      </c>
      <c r="C33" s="203" t="s">
        <v>631</v>
      </c>
      <c r="D33" s="203" t="s">
        <v>632</v>
      </c>
      <c r="E33" s="202" t="s">
        <v>587</v>
      </c>
      <c r="F33" s="202" t="s">
        <v>633</v>
      </c>
      <c r="G33" s="201">
        <v>91</v>
      </c>
      <c r="H33" s="200">
        <v>61</v>
      </c>
    </row>
    <row r="34" spans="1:8" x14ac:dyDescent="0.2">
      <c r="A34" s="204">
        <v>461</v>
      </c>
      <c r="B34" s="202" t="s">
        <v>622</v>
      </c>
      <c r="C34" s="203" t="s">
        <v>631</v>
      </c>
      <c r="D34" s="203" t="s">
        <v>632</v>
      </c>
      <c r="E34" s="202" t="s">
        <v>634</v>
      </c>
      <c r="F34" s="202" t="s">
        <v>614</v>
      </c>
      <c r="G34" s="201">
        <v>109</v>
      </c>
      <c r="H34" s="200">
        <v>61</v>
      </c>
    </row>
    <row r="35" spans="1:8" x14ac:dyDescent="0.2">
      <c r="A35" s="204">
        <v>461</v>
      </c>
      <c r="B35" s="202" t="s">
        <v>622</v>
      </c>
      <c r="C35" s="203" t="s">
        <v>631</v>
      </c>
      <c r="D35" s="203" t="s">
        <v>632</v>
      </c>
      <c r="E35" s="202" t="s">
        <v>615</v>
      </c>
      <c r="F35" s="202" t="s">
        <v>592</v>
      </c>
      <c r="G35" s="201">
        <v>91</v>
      </c>
      <c r="H35" s="200">
        <v>61</v>
      </c>
    </row>
    <row r="36" spans="1:8" x14ac:dyDescent="0.2">
      <c r="A36" s="204">
        <v>21</v>
      </c>
      <c r="B36" s="202" t="s">
        <v>622</v>
      </c>
      <c r="C36" s="203" t="s">
        <v>635</v>
      </c>
      <c r="D36" s="203" t="s">
        <v>635</v>
      </c>
      <c r="E36" s="202" t="s">
        <v>583</v>
      </c>
      <c r="F36" s="202" t="s">
        <v>583</v>
      </c>
      <c r="G36" s="201">
        <v>89</v>
      </c>
      <c r="H36" s="200">
        <v>61</v>
      </c>
    </row>
    <row r="37" spans="1:8" ht="38.25" x14ac:dyDescent="0.2">
      <c r="A37" s="204">
        <v>22</v>
      </c>
      <c r="B37" s="202" t="s">
        <v>622</v>
      </c>
      <c r="C37" s="203" t="s">
        <v>636</v>
      </c>
      <c r="D37" s="203" t="s">
        <v>637</v>
      </c>
      <c r="E37" s="202" t="s">
        <v>583</v>
      </c>
      <c r="F37" s="202" t="s">
        <v>583</v>
      </c>
      <c r="G37" s="201">
        <v>138</v>
      </c>
      <c r="H37" s="200">
        <v>71</v>
      </c>
    </row>
    <row r="38" spans="1:8" x14ac:dyDescent="0.2">
      <c r="A38" s="204">
        <v>23</v>
      </c>
      <c r="B38" s="202" t="s">
        <v>622</v>
      </c>
      <c r="C38" s="203" t="s">
        <v>638</v>
      </c>
      <c r="D38" s="203" t="s">
        <v>639</v>
      </c>
      <c r="E38" s="202" t="s">
        <v>587</v>
      </c>
      <c r="F38" s="202" t="s">
        <v>640</v>
      </c>
      <c r="G38" s="201">
        <v>102</v>
      </c>
      <c r="H38" s="200">
        <v>61</v>
      </c>
    </row>
    <row r="39" spans="1:8" x14ac:dyDescent="0.2">
      <c r="A39" s="204">
        <v>23</v>
      </c>
      <c r="B39" s="202" t="s">
        <v>622</v>
      </c>
      <c r="C39" s="203" t="s">
        <v>638</v>
      </c>
      <c r="D39" s="203" t="s">
        <v>639</v>
      </c>
      <c r="E39" s="202" t="s">
        <v>641</v>
      </c>
      <c r="F39" s="202" t="s">
        <v>610</v>
      </c>
      <c r="G39" s="201">
        <v>128</v>
      </c>
      <c r="H39" s="200">
        <v>61</v>
      </c>
    </row>
    <row r="40" spans="1:8" x14ac:dyDescent="0.2">
      <c r="A40" s="204">
        <v>23</v>
      </c>
      <c r="B40" s="202" t="s">
        <v>622</v>
      </c>
      <c r="C40" s="203" t="s">
        <v>638</v>
      </c>
      <c r="D40" s="203" t="s">
        <v>639</v>
      </c>
      <c r="E40" s="202" t="s">
        <v>611</v>
      </c>
      <c r="F40" s="202" t="s">
        <v>592</v>
      </c>
      <c r="G40" s="201">
        <v>102</v>
      </c>
      <c r="H40" s="200">
        <v>61</v>
      </c>
    </row>
    <row r="41" spans="1:8" x14ac:dyDescent="0.2">
      <c r="A41" s="204">
        <v>24</v>
      </c>
      <c r="B41" s="202" t="s">
        <v>622</v>
      </c>
      <c r="C41" s="203" t="s">
        <v>642</v>
      </c>
      <c r="D41" s="203" t="s">
        <v>643</v>
      </c>
      <c r="E41" s="202" t="s">
        <v>583</v>
      </c>
      <c r="F41" s="202" t="s">
        <v>583</v>
      </c>
      <c r="G41" s="201">
        <v>133</v>
      </c>
      <c r="H41" s="200">
        <v>56</v>
      </c>
    </row>
    <row r="42" spans="1:8" x14ac:dyDescent="0.2">
      <c r="A42" s="204">
        <v>25</v>
      </c>
      <c r="B42" s="202" t="s">
        <v>622</v>
      </c>
      <c r="C42" s="203" t="s">
        <v>644</v>
      </c>
      <c r="D42" s="203" t="s">
        <v>645</v>
      </c>
      <c r="E42" s="202" t="s">
        <v>583</v>
      </c>
      <c r="F42" s="202" t="s">
        <v>583</v>
      </c>
      <c r="G42" s="201">
        <v>85</v>
      </c>
      <c r="H42" s="200">
        <v>51</v>
      </c>
    </row>
    <row r="43" spans="1:8" x14ac:dyDescent="0.2">
      <c r="A43" s="204">
        <v>26</v>
      </c>
      <c r="B43" s="202" t="s">
        <v>622</v>
      </c>
      <c r="C43" s="203" t="s">
        <v>646</v>
      </c>
      <c r="D43" s="203" t="s">
        <v>646</v>
      </c>
      <c r="E43" s="202" t="s">
        <v>587</v>
      </c>
      <c r="F43" s="202" t="s">
        <v>633</v>
      </c>
      <c r="G43" s="201">
        <v>131</v>
      </c>
      <c r="H43" s="200">
        <v>71</v>
      </c>
    </row>
    <row r="44" spans="1:8" x14ac:dyDescent="0.2">
      <c r="A44" s="204">
        <v>26</v>
      </c>
      <c r="B44" s="202" t="s">
        <v>622</v>
      </c>
      <c r="C44" s="203" t="s">
        <v>646</v>
      </c>
      <c r="D44" s="203" t="s">
        <v>646</v>
      </c>
      <c r="E44" s="202" t="s">
        <v>634</v>
      </c>
      <c r="F44" s="202" t="s">
        <v>614</v>
      </c>
      <c r="G44" s="201">
        <v>166</v>
      </c>
      <c r="H44" s="200">
        <v>71</v>
      </c>
    </row>
    <row r="45" spans="1:8" x14ac:dyDescent="0.2">
      <c r="A45" s="204">
        <v>26</v>
      </c>
      <c r="B45" s="202" t="s">
        <v>622</v>
      </c>
      <c r="C45" s="203" t="s">
        <v>646</v>
      </c>
      <c r="D45" s="203" t="s">
        <v>646</v>
      </c>
      <c r="E45" s="202" t="s">
        <v>615</v>
      </c>
      <c r="F45" s="202" t="s">
        <v>592</v>
      </c>
      <c r="G45" s="201">
        <v>131</v>
      </c>
      <c r="H45" s="200">
        <v>71</v>
      </c>
    </row>
    <row r="46" spans="1:8" x14ac:dyDescent="0.2">
      <c r="A46" s="204">
        <v>27</v>
      </c>
      <c r="B46" s="202" t="s">
        <v>622</v>
      </c>
      <c r="C46" s="203" t="s">
        <v>647</v>
      </c>
      <c r="D46" s="203" t="s">
        <v>647</v>
      </c>
      <c r="E46" s="202" t="s">
        <v>587</v>
      </c>
      <c r="F46" s="202" t="s">
        <v>640</v>
      </c>
      <c r="G46" s="201">
        <v>171</v>
      </c>
      <c r="H46" s="200">
        <v>66</v>
      </c>
    </row>
    <row r="47" spans="1:8" x14ac:dyDescent="0.2">
      <c r="A47" s="204">
        <v>27</v>
      </c>
      <c r="B47" s="202" t="s">
        <v>622</v>
      </c>
      <c r="C47" s="203" t="s">
        <v>647</v>
      </c>
      <c r="D47" s="203" t="s">
        <v>647</v>
      </c>
      <c r="E47" s="202" t="s">
        <v>641</v>
      </c>
      <c r="F47" s="202" t="s">
        <v>620</v>
      </c>
      <c r="G47" s="201">
        <v>131</v>
      </c>
      <c r="H47" s="200">
        <v>66</v>
      </c>
    </row>
    <row r="48" spans="1:8" x14ac:dyDescent="0.2">
      <c r="A48" s="204">
        <v>27</v>
      </c>
      <c r="B48" s="202" t="s">
        <v>622</v>
      </c>
      <c r="C48" s="203" t="s">
        <v>647</v>
      </c>
      <c r="D48" s="203" t="s">
        <v>647</v>
      </c>
      <c r="E48" s="202" t="s">
        <v>621</v>
      </c>
      <c r="F48" s="202" t="s">
        <v>592</v>
      </c>
      <c r="G48" s="201">
        <v>171</v>
      </c>
      <c r="H48" s="200">
        <v>66</v>
      </c>
    </row>
    <row r="49" spans="1:8" x14ac:dyDescent="0.2">
      <c r="A49" s="204">
        <v>28</v>
      </c>
      <c r="B49" s="202" t="s">
        <v>622</v>
      </c>
      <c r="C49" s="203" t="s">
        <v>648</v>
      </c>
      <c r="D49" s="203" t="s">
        <v>649</v>
      </c>
      <c r="E49" s="202" t="s">
        <v>587</v>
      </c>
      <c r="F49" s="202" t="s">
        <v>612</v>
      </c>
      <c r="G49" s="201">
        <v>87</v>
      </c>
      <c r="H49" s="200">
        <v>56</v>
      </c>
    </row>
    <row r="50" spans="1:8" x14ac:dyDescent="0.2">
      <c r="A50" s="204">
        <v>28</v>
      </c>
      <c r="B50" s="202" t="s">
        <v>622</v>
      </c>
      <c r="C50" s="203" t="s">
        <v>648</v>
      </c>
      <c r="D50" s="203" t="s">
        <v>649</v>
      </c>
      <c r="E50" s="202" t="s">
        <v>613</v>
      </c>
      <c r="F50" s="202" t="s">
        <v>614</v>
      </c>
      <c r="G50" s="201">
        <v>111</v>
      </c>
      <c r="H50" s="200">
        <v>56</v>
      </c>
    </row>
    <row r="51" spans="1:8" x14ac:dyDescent="0.2">
      <c r="A51" s="204">
        <v>28</v>
      </c>
      <c r="B51" s="202" t="s">
        <v>622</v>
      </c>
      <c r="C51" s="203" t="s">
        <v>648</v>
      </c>
      <c r="D51" s="203" t="s">
        <v>649</v>
      </c>
      <c r="E51" s="202" t="s">
        <v>615</v>
      </c>
      <c r="F51" s="202" t="s">
        <v>592</v>
      </c>
      <c r="G51" s="201">
        <v>87</v>
      </c>
      <c r="H51" s="200">
        <v>56</v>
      </c>
    </row>
    <row r="52" spans="1:8" x14ac:dyDescent="0.2">
      <c r="A52" s="204">
        <v>29</v>
      </c>
      <c r="B52" s="202" t="s">
        <v>622</v>
      </c>
      <c r="C52" s="203" t="s">
        <v>650</v>
      </c>
      <c r="D52" s="203" t="s">
        <v>651</v>
      </c>
      <c r="E52" s="202" t="s">
        <v>583</v>
      </c>
      <c r="F52" s="202" t="s">
        <v>583</v>
      </c>
      <c r="G52" s="201">
        <v>124</v>
      </c>
      <c r="H52" s="200">
        <v>61</v>
      </c>
    </row>
    <row r="53" spans="1:8" x14ac:dyDescent="0.2">
      <c r="A53" s="204">
        <v>30</v>
      </c>
      <c r="B53" s="202" t="s">
        <v>622</v>
      </c>
      <c r="C53" s="203" t="s">
        <v>652</v>
      </c>
      <c r="D53" s="203" t="s">
        <v>653</v>
      </c>
      <c r="E53" s="202" t="s">
        <v>587</v>
      </c>
      <c r="F53" s="202" t="s">
        <v>596</v>
      </c>
      <c r="G53" s="201">
        <v>110</v>
      </c>
      <c r="H53" s="200">
        <v>71</v>
      </c>
    </row>
    <row r="54" spans="1:8" x14ac:dyDescent="0.2">
      <c r="A54" s="204">
        <v>30</v>
      </c>
      <c r="B54" s="202" t="s">
        <v>622</v>
      </c>
      <c r="C54" s="203" t="s">
        <v>652</v>
      </c>
      <c r="D54" s="203" t="s">
        <v>653</v>
      </c>
      <c r="E54" s="202" t="s">
        <v>597</v>
      </c>
      <c r="F54" s="202" t="s">
        <v>612</v>
      </c>
      <c r="G54" s="201">
        <v>128</v>
      </c>
      <c r="H54" s="200">
        <v>71</v>
      </c>
    </row>
    <row r="55" spans="1:8" x14ac:dyDescent="0.2">
      <c r="A55" s="204">
        <v>30</v>
      </c>
      <c r="B55" s="202" t="s">
        <v>622</v>
      </c>
      <c r="C55" s="203" t="s">
        <v>652</v>
      </c>
      <c r="D55" s="203" t="s">
        <v>653</v>
      </c>
      <c r="E55" s="202" t="s">
        <v>613</v>
      </c>
      <c r="F55" s="202" t="s">
        <v>592</v>
      </c>
      <c r="G55" s="201">
        <v>90</v>
      </c>
      <c r="H55" s="200">
        <v>71</v>
      </c>
    </row>
    <row r="56" spans="1:8" x14ac:dyDescent="0.2">
      <c r="A56" s="204">
        <v>31</v>
      </c>
      <c r="B56" s="202" t="s">
        <v>622</v>
      </c>
      <c r="C56" s="203" t="s">
        <v>654</v>
      </c>
      <c r="D56" s="203" t="s">
        <v>655</v>
      </c>
      <c r="E56" s="202" t="s">
        <v>583</v>
      </c>
      <c r="F56" s="202" t="s">
        <v>583</v>
      </c>
      <c r="G56" s="201">
        <v>96</v>
      </c>
      <c r="H56" s="200">
        <v>66</v>
      </c>
    </row>
    <row r="57" spans="1:8" x14ac:dyDescent="0.2">
      <c r="A57" s="204">
        <v>32</v>
      </c>
      <c r="B57" s="202" t="s">
        <v>622</v>
      </c>
      <c r="C57" s="203" t="s">
        <v>656</v>
      </c>
      <c r="D57" s="203" t="s">
        <v>657</v>
      </c>
      <c r="E57" s="202" t="s">
        <v>583</v>
      </c>
      <c r="F57" s="202" t="s">
        <v>583</v>
      </c>
      <c r="G57" s="201">
        <v>89</v>
      </c>
      <c r="H57" s="200">
        <v>61</v>
      </c>
    </row>
    <row r="58" spans="1:8" x14ac:dyDescent="0.2">
      <c r="A58" s="204">
        <v>33</v>
      </c>
      <c r="B58" s="202" t="s">
        <v>622</v>
      </c>
      <c r="C58" s="203" t="s">
        <v>658</v>
      </c>
      <c r="D58" s="203" t="s">
        <v>658</v>
      </c>
      <c r="E58" s="202" t="s">
        <v>583</v>
      </c>
      <c r="F58" s="202" t="s">
        <v>583</v>
      </c>
      <c r="G58" s="201">
        <v>107</v>
      </c>
      <c r="H58" s="200">
        <v>61</v>
      </c>
    </row>
    <row r="59" spans="1:8" x14ac:dyDescent="0.2">
      <c r="A59" s="204">
        <v>34</v>
      </c>
      <c r="B59" s="202" t="s">
        <v>622</v>
      </c>
      <c r="C59" s="203" t="s">
        <v>659</v>
      </c>
      <c r="D59" s="203" t="s">
        <v>659</v>
      </c>
      <c r="E59" s="202" t="s">
        <v>583</v>
      </c>
      <c r="F59" s="202" t="s">
        <v>583</v>
      </c>
      <c r="G59" s="201">
        <v>142</v>
      </c>
      <c r="H59" s="200">
        <v>71</v>
      </c>
    </row>
    <row r="60" spans="1:8" x14ac:dyDescent="0.2">
      <c r="A60" s="204">
        <v>35</v>
      </c>
      <c r="B60" s="202" t="s">
        <v>622</v>
      </c>
      <c r="C60" s="203" t="s">
        <v>660</v>
      </c>
      <c r="D60" s="203" t="s">
        <v>660</v>
      </c>
      <c r="E60" s="202" t="s">
        <v>587</v>
      </c>
      <c r="F60" s="202" t="s">
        <v>661</v>
      </c>
      <c r="G60" s="201">
        <v>251</v>
      </c>
      <c r="H60" s="200">
        <v>71</v>
      </c>
    </row>
    <row r="61" spans="1:8" x14ac:dyDescent="0.2">
      <c r="A61" s="204">
        <v>35</v>
      </c>
      <c r="B61" s="202" t="s">
        <v>622</v>
      </c>
      <c r="C61" s="203" t="s">
        <v>660</v>
      </c>
      <c r="D61" s="203" t="s">
        <v>660</v>
      </c>
      <c r="E61" s="202" t="s">
        <v>662</v>
      </c>
      <c r="F61" s="202" t="s">
        <v>596</v>
      </c>
      <c r="G61" s="201">
        <v>209</v>
      </c>
      <c r="H61" s="200">
        <v>71</v>
      </c>
    </row>
    <row r="62" spans="1:8" x14ac:dyDescent="0.2">
      <c r="A62" s="204">
        <v>35</v>
      </c>
      <c r="B62" s="202" t="s">
        <v>622</v>
      </c>
      <c r="C62" s="203" t="s">
        <v>660</v>
      </c>
      <c r="D62" s="203" t="s">
        <v>660</v>
      </c>
      <c r="E62" s="202" t="s">
        <v>597</v>
      </c>
      <c r="F62" s="202" t="s">
        <v>614</v>
      </c>
      <c r="G62" s="201">
        <v>219</v>
      </c>
      <c r="H62" s="200">
        <v>71</v>
      </c>
    </row>
    <row r="63" spans="1:8" x14ac:dyDescent="0.2">
      <c r="A63" s="204">
        <v>35</v>
      </c>
      <c r="B63" s="202" t="s">
        <v>622</v>
      </c>
      <c r="C63" s="203" t="s">
        <v>660</v>
      </c>
      <c r="D63" s="203" t="s">
        <v>660</v>
      </c>
      <c r="E63" s="202" t="s">
        <v>615</v>
      </c>
      <c r="F63" s="202" t="s">
        <v>592</v>
      </c>
      <c r="G63" s="201">
        <v>251</v>
      </c>
      <c r="H63" s="200">
        <v>71</v>
      </c>
    </row>
    <row r="64" spans="1:8" x14ac:dyDescent="0.2">
      <c r="A64" s="204">
        <v>36</v>
      </c>
      <c r="B64" s="202" t="s">
        <v>622</v>
      </c>
      <c r="C64" s="203" t="s">
        <v>663</v>
      </c>
      <c r="D64" s="203" t="s">
        <v>663</v>
      </c>
      <c r="E64" s="202" t="s">
        <v>583</v>
      </c>
      <c r="F64" s="202" t="s">
        <v>583</v>
      </c>
      <c r="G64" s="201">
        <v>111</v>
      </c>
      <c r="H64" s="200">
        <v>66</v>
      </c>
    </row>
    <row r="65" spans="1:8" x14ac:dyDescent="0.2">
      <c r="A65" s="204">
        <v>37</v>
      </c>
      <c r="B65" s="202" t="s">
        <v>622</v>
      </c>
      <c r="C65" s="203" t="s">
        <v>664</v>
      </c>
      <c r="D65" s="203" t="s">
        <v>665</v>
      </c>
      <c r="E65" s="202" t="s">
        <v>583</v>
      </c>
      <c r="F65" s="202" t="s">
        <v>583</v>
      </c>
      <c r="G65" s="201">
        <v>155</v>
      </c>
      <c r="H65" s="200">
        <v>61</v>
      </c>
    </row>
    <row r="66" spans="1:8" x14ac:dyDescent="0.2">
      <c r="A66" s="204">
        <v>38</v>
      </c>
      <c r="B66" s="202" t="s">
        <v>622</v>
      </c>
      <c r="C66" s="203" t="s">
        <v>666</v>
      </c>
      <c r="D66" s="203" t="s">
        <v>666</v>
      </c>
      <c r="E66" s="202" t="s">
        <v>587</v>
      </c>
      <c r="F66" s="202" t="s">
        <v>633</v>
      </c>
      <c r="G66" s="201">
        <v>151</v>
      </c>
      <c r="H66" s="200">
        <v>66</v>
      </c>
    </row>
    <row r="67" spans="1:8" x14ac:dyDescent="0.2">
      <c r="A67" s="204">
        <v>38</v>
      </c>
      <c r="B67" s="202" t="s">
        <v>622</v>
      </c>
      <c r="C67" s="203" t="s">
        <v>666</v>
      </c>
      <c r="D67" s="203" t="s">
        <v>666</v>
      </c>
      <c r="E67" s="202" t="s">
        <v>634</v>
      </c>
      <c r="F67" s="202" t="s">
        <v>614</v>
      </c>
      <c r="G67" s="201">
        <v>200</v>
      </c>
      <c r="H67" s="200">
        <v>66</v>
      </c>
    </row>
    <row r="68" spans="1:8" x14ac:dyDescent="0.2">
      <c r="A68" s="204">
        <v>38</v>
      </c>
      <c r="B68" s="202" t="s">
        <v>622</v>
      </c>
      <c r="C68" s="203" t="s">
        <v>666</v>
      </c>
      <c r="D68" s="203" t="s">
        <v>666</v>
      </c>
      <c r="E68" s="202" t="s">
        <v>615</v>
      </c>
      <c r="F68" s="202" t="s">
        <v>592</v>
      </c>
      <c r="G68" s="201">
        <v>151</v>
      </c>
      <c r="H68" s="200">
        <v>66</v>
      </c>
    </row>
    <row r="69" spans="1:8" x14ac:dyDescent="0.2">
      <c r="A69" s="204">
        <v>39</v>
      </c>
      <c r="B69" s="202" t="s">
        <v>622</v>
      </c>
      <c r="C69" s="203" t="s">
        <v>667</v>
      </c>
      <c r="D69" s="203" t="s">
        <v>667</v>
      </c>
      <c r="E69" s="202" t="s">
        <v>587</v>
      </c>
      <c r="F69" s="202" t="s">
        <v>612</v>
      </c>
      <c r="G69" s="201">
        <v>128</v>
      </c>
      <c r="H69" s="200">
        <v>66</v>
      </c>
    </row>
    <row r="70" spans="1:8" x14ac:dyDescent="0.2">
      <c r="A70" s="204">
        <v>39</v>
      </c>
      <c r="B70" s="202" t="s">
        <v>622</v>
      </c>
      <c r="C70" s="203" t="s">
        <v>667</v>
      </c>
      <c r="D70" s="203" t="s">
        <v>667</v>
      </c>
      <c r="E70" s="202" t="s">
        <v>613</v>
      </c>
      <c r="F70" s="202" t="s">
        <v>614</v>
      </c>
      <c r="G70" s="201">
        <v>168</v>
      </c>
      <c r="H70" s="200">
        <v>66</v>
      </c>
    </row>
    <row r="71" spans="1:8" x14ac:dyDescent="0.2">
      <c r="A71" s="204">
        <v>39</v>
      </c>
      <c r="B71" s="202" t="s">
        <v>622</v>
      </c>
      <c r="C71" s="203" t="s">
        <v>667</v>
      </c>
      <c r="D71" s="203" t="s">
        <v>667</v>
      </c>
      <c r="E71" s="202" t="s">
        <v>615</v>
      </c>
      <c r="F71" s="202" t="s">
        <v>592</v>
      </c>
      <c r="G71" s="201">
        <v>128</v>
      </c>
      <c r="H71" s="200">
        <v>66</v>
      </c>
    </row>
    <row r="72" spans="1:8" x14ac:dyDescent="0.2">
      <c r="A72" s="204">
        <v>40</v>
      </c>
      <c r="B72" s="202" t="s">
        <v>622</v>
      </c>
      <c r="C72" s="203" t="s">
        <v>668</v>
      </c>
      <c r="D72" s="203" t="s">
        <v>669</v>
      </c>
      <c r="E72" s="202" t="s">
        <v>587</v>
      </c>
      <c r="F72" s="202" t="s">
        <v>596</v>
      </c>
      <c r="G72" s="201">
        <v>190</v>
      </c>
      <c r="H72" s="200">
        <v>71</v>
      </c>
    </row>
    <row r="73" spans="1:8" x14ac:dyDescent="0.2">
      <c r="A73" s="204">
        <v>40</v>
      </c>
      <c r="B73" s="202" t="s">
        <v>622</v>
      </c>
      <c r="C73" s="203" t="s">
        <v>668</v>
      </c>
      <c r="D73" s="203" t="s">
        <v>669</v>
      </c>
      <c r="E73" s="202" t="s">
        <v>597</v>
      </c>
      <c r="F73" s="202" t="s">
        <v>612</v>
      </c>
      <c r="G73" s="201">
        <v>202</v>
      </c>
      <c r="H73" s="200">
        <v>71</v>
      </c>
    </row>
    <row r="74" spans="1:8" x14ac:dyDescent="0.2">
      <c r="A74" s="204">
        <v>40</v>
      </c>
      <c r="B74" s="202" t="s">
        <v>622</v>
      </c>
      <c r="C74" s="203" t="s">
        <v>668</v>
      </c>
      <c r="D74" s="203" t="s">
        <v>669</v>
      </c>
      <c r="E74" s="202" t="s">
        <v>613</v>
      </c>
      <c r="F74" s="202" t="s">
        <v>614</v>
      </c>
      <c r="G74" s="201">
        <v>230</v>
      </c>
      <c r="H74" s="200">
        <v>71</v>
      </c>
    </row>
    <row r="75" spans="1:8" x14ac:dyDescent="0.2">
      <c r="A75" s="204">
        <v>40</v>
      </c>
      <c r="B75" s="202" t="s">
        <v>622</v>
      </c>
      <c r="C75" s="203" t="s">
        <v>668</v>
      </c>
      <c r="D75" s="203" t="s">
        <v>669</v>
      </c>
      <c r="E75" s="202" t="s">
        <v>615</v>
      </c>
      <c r="F75" s="202" t="s">
        <v>592</v>
      </c>
      <c r="G75" s="201">
        <v>190</v>
      </c>
      <c r="H75" s="200">
        <v>71</v>
      </c>
    </row>
    <row r="76" spans="1:8" x14ac:dyDescent="0.2">
      <c r="A76" s="204">
        <v>41</v>
      </c>
      <c r="B76" s="202" t="s">
        <v>622</v>
      </c>
      <c r="C76" s="203" t="s">
        <v>670</v>
      </c>
      <c r="D76" s="203" t="s">
        <v>671</v>
      </c>
      <c r="E76" s="202" t="s">
        <v>583</v>
      </c>
      <c r="F76" s="202" t="s">
        <v>583</v>
      </c>
      <c r="G76" s="201">
        <v>121</v>
      </c>
      <c r="H76" s="200">
        <v>61</v>
      </c>
    </row>
    <row r="77" spans="1:8" x14ac:dyDescent="0.2">
      <c r="A77" s="204">
        <v>42</v>
      </c>
      <c r="B77" s="202" t="s">
        <v>622</v>
      </c>
      <c r="C77" s="203" t="s">
        <v>672</v>
      </c>
      <c r="D77" s="203" t="s">
        <v>673</v>
      </c>
      <c r="E77" s="202" t="s">
        <v>583</v>
      </c>
      <c r="F77" s="202" t="s">
        <v>583</v>
      </c>
      <c r="G77" s="201">
        <v>114</v>
      </c>
      <c r="H77" s="200">
        <v>71</v>
      </c>
    </row>
    <row r="78" spans="1:8" x14ac:dyDescent="0.2">
      <c r="A78" s="204">
        <v>43</v>
      </c>
      <c r="B78" s="202" t="s">
        <v>622</v>
      </c>
      <c r="C78" s="203" t="s">
        <v>674</v>
      </c>
      <c r="D78" s="203" t="s">
        <v>675</v>
      </c>
      <c r="E78" s="202" t="s">
        <v>583</v>
      </c>
      <c r="F78" s="202" t="s">
        <v>583</v>
      </c>
      <c r="G78" s="201">
        <v>93</v>
      </c>
      <c r="H78" s="200">
        <v>56</v>
      </c>
    </row>
    <row r="79" spans="1:8" x14ac:dyDescent="0.2">
      <c r="A79" s="204">
        <v>44</v>
      </c>
      <c r="B79" s="202" t="s">
        <v>622</v>
      </c>
      <c r="C79" s="203" t="s">
        <v>676</v>
      </c>
      <c r="D79" s="203" t="s">
        <v>677</v>
      </c>
      <c r="E79" s="202" t="s">
        <v>583</v>
      </c>
      <c r="F79" s="202" t="s">
        <v>583</v>
      </c>
      <c r="G79" s="201">
        <v>162</v>
      </c>
      <c r="H79" s="200">
        <v>56</v>
      </c>
    </row>
    <row r="80" spans="1:8" x14ac:dyDescent="0.2">
      <c r="A80" s="204">
        <v>45</v>
      </c>
      <c r="B80" s="202" t="s">
        <v>622</v>
      </c>
      <c r="C80" s="203" t="s">
        <v>678</v>
      </c>
      <c r="D80" s="203" t="s">
        <v>679</v>
      </c>
      <c r="E80" s="202" t="s">
        <v>583</v>
      </c>
      <c r="F80" s="202" t="s">
        <v>583</v>
      </c>
      <c r="G80" s="201">
        <v>87</v>
      </c>
      <c r="H80" s="200">
        <v>61</v>
      </c>
    </row>
    <row r="81" spans="1:8" x14ac:dyDescent="0.2">
      <c r="A81" s="204">
        <v>46</v>
      </c>
      <c r="B81" s="202" t="s">
        <v>622</v>
      </c>
      <c r="C81" s="203" t="s">
        <v>680</v>
      </c>
      <c r="D81" s="203" t="s">
        <v>681</v>
      </c>
      <c r="E81" s="202" t="s">
        <v>583</v>
      </c>
      <c r="F81" s="202" t="s">
        <v>583</v>
      </c>
      <c r="G81" s="201">
        <v>106</v>
      </c>
      <c r="H81" s="200">
        <v>71</v>
      </c>
    </row>
    <row r="82" spans="1:8" x14ac:dyDescent="0.2">
      <c r="A82" s="204">
        <v>47</v>
      </c>
      <c r="B82" s="202" t="s">
        <v>622</v>
      </c>
      <c r="C82" s="203" t="s">
        <v>682</v>
      </c>
      <c r="D82" s="203" t="s">
        <v>683</v>
      </c>
      <c r="E82" s="202" t="s">
        <v>583</v>
      </c>
      <c r="F82" s="202" t="s">
        <v>583</v>
      </c>
      <c r="G82" s="201">
        <v>88</v>
      </c>
      <c r="H82" s="200">
        <v>61</v>
      </c>
    </row>
    <row r="83" spans="1:8" x14ac:dyDescent="0.2">
      <c r="A83" s="204">
        <v>48</v>
      </c>
      <c r="B83" s="202" t="s">
        <v>622</v>
      </c>
      <c r="C83" s="203" t="s">
        <v>684</v>
      </c>
      <c r="D83" s="203" t="s">
        <v>685</v>
      </c>
      <c r="E83" s="202" t="s">
        <v>583</v>
      </c>
      <c r="F83" s="202" t="s">
        <v>583</v>
      </c>
      <c r="G83" s="201">
        <v>108</v>
      </c>
      <c r="H83" s="200">
        <v>51</v>
      </c>
    </row>
    <row r="84" spans="1:8" x14ac:dyDescent="0.2">
      <c r="A84" s="204">
        <v>49</v>
      </c>
      <c r="B84" s="202" t="s">
        <v>622</v>
      </c>
      <c r="C84" s="203" t="s">
        <v>686</v>
      </c>
      <c r="D84" s="203" t="s">
        <v>687</v>
      </c>
      <c r="E84" s="202" t="s">
        <v>587</v>
      </c>
      <c r="F84" s="202" t="s">
        <v>640</v>
      </c>
      <c r="G84" s="201">
        <v>90</v>
      </c>
      <c r="H84" s="200">
        <v>71</v>
      </c>
    </row>
    <row r="85" spans="1:8" x14ac:dyDescent="0.2">
      <c r="A85" s="204">
        <v>49</v>
      </c>
      <c r="B85" s="202" t="s">
        <v>622</v>
      </c>
      <c r="C85" s="203" t="s">
        <v>686</v>
      </c>
      <c r="D85" s="203" t="s">
        <v>687</v>
      </c>
      <c r="E85" s="202" t="s">
        <v>641</v>
      </c>
      <c r="F85" s="202" t="s">
        <v>612</v>
      </c>
      <c r="G85" s="201">
        <v>113</v>
      </c>
      <c r="H85" s="200">
        <v>71</v>
      </c>
    </row>
    <row r="86" spans="1:8" x14ac:dyDescent="0.2">
      <c r="A86" s="204">
        <v>49</v>
      </c>
      <c r="B86" s="202" t="s">
        <v>622</v>
      </c>
      <c r="C86" s="203" t="s">
        <v>686</v>
      </c>
      <c r="D86" s="203" t="s">
        <v>687</v>
      </c>
      <c r="E86" s="202" t="s">
        <v>613</v>
      </c>
      <c r="F86" s="202" t="s">
        <v>614</v>
      </c>
      <c r="G86" s="201">
        <v>124</v>
      </c>
      <c r="H86" s="200">
        <v>71</v>
      </c>
    </row>
    <row r="87" spans="1:8" x14ac:dyDescent="0.2">
      <c r="A87" s="204">
        <v>49</v>
      </c>
      <c r="B87" s="202" t="s">
        <v>622</v>
      </c>
      <c r="C87" s="203" t="s">
        <v>686</v>
      </c>
      <c r="D87" s="203" t="s">
        <v>687</v>
      </c>
      <c r="E87" s="202" t="s">
        <v>615</v>
      </c>
      <c r="F87" s="202" t="s">
        <v>592</v>
      </c>
      <c r="G87" s="201">
        <v>90</v>
      </c>
      <c r="H87" s="200">
        <v>71</v>
      </c>
    </row>
    <row r="88" spans="1:8" x14ac:dyDescent="0.2">
      <c r="A88" s="204">
        <v>50</v>
      </c>
      <c r="B88" s="202" t="s">
        <v>688</v>
      </c>
      <c r="C88" s="203" t="s">
        <v>689</v>
      </c>
      <c r="D88" s="203" t="s">
        <v>690</v>
      </c>
      <c r="E88" s="202" t="s">
        <v>587</v>
      </c>
      <c r="F88" s="202" t="s">
        <v>640</v>
      </c>
      <c r="G88" s="201">
        <v>116</v>
      </c>
      <c r="H88" s="200">
        <v>71</v>
      </c>
    </row>
    <row r="89" spans="1:8" x14ac:dyDescent="0.2">
      <c r="A89" s="204">
        <v>50</v>
      </c>
      <c r="B89" s="202" t="s">
        <v>688</v>
      </c>
      <c r="C89" s="203" t="s">
        <v>689</v>
      </c>
      <c r="D89" s="203" t="s">
        <v>690</v>
      </c>
      <c r="E89" s="202" t="s">
        <v>641</v>
      </c>
      <c r="F89" s="202" t="s">
        <v>610</v>
      </c>
      <c r="G89" s="201">
        <v>270</v>
      </c>
      <c r="H89" s="200">
        <v>71</v>
      </c>
    </row>
    <row r="90" spans="1:8" x14ac:dyDescent="0.2">
      <c r="A90" s="204">
        <v>50</v>
      </c>
      <c r="B90" s="202" t="s">
        <v>688</v>
      </c>
      <c r="C90" s="203" t="s">
        <v>689</v>
      </c>
      <c r="D90" s="203" t="s">
        <v>690</v>
      </c>
      <c r="E90" s="202" t="s">
        <v>611</v>
      </c>
      <c r="F90" s="202" t="s">
        <v>612</v>
      </c>
      <c r="G90" s="201">
        <v>117</v>
      </c>
      <c r="H90" s="200">
        <v>71</v>
      </c>
    </row>
    <row r="91" spans="1:8" x14ac:dyDescent="0.2">
      <c r="A91" s="204">
        <v>50</v>
      </c>
      <c r="B91" s="202" t="s">
        <v>688</v>
      </c>
      <c r="C91" s="203" t="s">
        <v>689</v>
      </c>
      <c r="D91" s="203" t="s">
        <v>690</v>
      </c>
      <c r="E91" s="202" t="s">
        <v>613</v>
      </c>
      <c r="F91" s="202" t="s">
        <v>614</v>
      </c>
      <c r="G91" s="201">
        <v>201</v>
      </c>
      <c r="H91" s="200">
        <v>71</v>
      </c>
    </row>
    <row r="92" spans="1:8" x14ac:dyDescent="0.2">
      <c r="A92" s="204">
        <v>50</v>
      </c>
      <c r="B92" s="202" t="s">
        <v>688</v>
      </c>
      <c r="C92" s="203" t="s">
        <v>689</v>
      </c>
      <c r="D92" s="203" t="s">
        <v>690</v>
      </c>
      <c r="E92" s="202" t="s">
        <v>615</v>
      </c>
      <c r="F92" s="202" t="s">
        <v>592</v>
      </c>
      <c r="G92" s="201">
        <v>116</v>
      </c>
      <c r="H92" s="200">
        <v>71</v>
      </c>
    </row>
    <row r="93" spans="1:8" x14ac:dyDescent="0.2">
      <c r="A93" s="204">
        <v>52</v>
      </c>
      <c r="B93" s="202" t="s">
        <v>688</v>
      </c>
      <c r="C93" s="203" t="s">
        <v>691</v>
      </c>
      <c r="D93" s="203" t="s">
        <v>691</v>
      </c>
      <c r="E93" s="202" t="s">
        <v>583</v>
      </c>
      <c r="F93" s="202" t="s">
        <v>583</v>
      </c>
      <c r="G93" s="201">
        <v>114</v>
      </c>
      <c r="H93" s="200">
        <v>61</v>
      </c>
    </row>
    <row r="94" spans="1:8" x14ac:dyDescent="0.2">
      <c r="A94" s="204">
        <v>53</v>
      </c>
      <c r="B94" s="202" t="s">
        <v>688</v>
      </c>
      <c r="C94" s="203" t="s">
        <v>692</v>
      </c>
      <c r="D94" s="203" t="s">
        <v>693</v>
      </c>
      <c r="E94" s="202" t="s">
        <v>583</v>
      </c>
      <c r="F94" s="202" t="s">
        <v>583</v>
      </c>
      <c r="G94" s="201">
        <v>89</v>
      </c>
      <c r="H94" s="200">
        <v>66</v>
      </c>
    </row>
    <row r="95" spans="1:8" x14ac:dyDescent="0.2">
      <c r="A95" s="204">
        <v>54</v>
      </c>
      <c r="B95" s="202" t="s">
        <v>688</v>
      </c>
      <c r="C95" s="203" t="s">
        <v>694</v>
      </c>
      <c r="D95" s="203" t="s">
        <v>695</v>
      </c>
      <c r="E95" s="202" t="s">
        <v>587</v>
      </c>
      <c r="F95" s="202" t="s">
        <v>612</v>
      </c>
      <c r="G95" s="201">
        <v>88</v>
      </c>
      <c r="H95" s="200">
        <v>51</v>
      </c>
    </row>
    <row r="96" spans="1:8" x14ac:dyDescent="0.2">
      <c r="A96" s="204">
        <v>54</v>
      </c>
      <c r="B96" s="202" t="s">
        <v>688</v>
      </c>
      <c r="C96" s="203" t="s">
        <v>694</v>
      </c>
      <c r="D96" s="203" t="s">
        <v>695</v>
      </c>
      <c r="E96" s="202" t="s">
        <v>613</v>
      </c>
      <c r="F96" s="202" t="s">
        <v>592</v>
      </c>
      <c r="G96" s="201">
        <v>111</v>
      </c>
      <c r="H96" s="200">
        <v>51</v>
      </c>
    </row>
    <row r="97" spans="1:8" x14ac:dyDescent="0.2">
      <c r="A97" s="204">
        <v>55</v>
      </c>
      <c r="B97" s="202" t="s">
        <v>688</v>
      </c>
      <c r="C97" s="203" t="s">
        <v>696</v>
      </c>
      <c r="D97" s="203" t="s">
        <v>697</v>
      </c>
      <c r="E97" s="202" t="s">
        <v>583</v>
      </c>
      <c r="F97" s="202" t="s">
        <v>583</v>
      </c>
      <c r="G97" s="201">
        <v>95</v>
      </c>
      <c r="H97" s="200">
        <v>51</v>
      </c>
    </row>
    <row r="98" spans="1:8" x14ac:dyDescent="0.2">
      <c r="A98" s="204">
        <v>56</v>
      </c>
      <c r="B98" s="202" t="s">
        <v>688</v>
      </c>
      <c r="C98" s="203" t="s">
        <v>698</v>
      </c>
      <c r="D98" s="203" t="s">
        <v>699</v>
      </c>
      <c r="E98" s="202" t="s">
        <v>583</v>
      </c>
      <c r="F98" s="202" t="s">
        <v>583</v>
      </c>
      <c r="G98" s="201">
        <v>163</v>
      </c>
      <c r="H98" s="200">
        <v>66</v>
      </c>
    </row>
    <row r="99" spans="1:8" x14ac:dyDescent="0.2">
      <c r="A99" s="204">
        <v>427</v>
      </c>
      <c r="B99" s="202" t="s">
        <v>688</v>
      </c>
      <c r="C99" s="203" t="s">
        <v>700</v>
      </c>
      <c r="D99" s="203" t="s">
        <v>701</v>
      </c>
      <c r="E99" s="202" t="s">
        <v>583</v>
      </c>
      <c r="F99" s="202" t="s">
        <v>583</v>
      </c>
      <c r="G99" s="201">
        <v>108</v>
      </c>
      <c r="H99" s="200">
        <v>61</v>
      </c>
    </row>
    <row r="100" spans="1:8" x14ac:dyDescent="0.2">
      <c r="A100" s="204">
        <v>57</v>
      </c>
      <c r="B100" s="202" t="s">
        <v>688</v>
      </c>
      <c r="C100" s="203" t="s">
        <v>702</v>
      </c>
      <c r="D100" s="203" t="s">
        <v>703</v>
      </c>
      <c r="E100" s="202" t="s">
        <v>587</v>
      </c>
      <c r="F100" s="202" t="s">
        <v>612</v>
      </c>
      <c r="G100" s="201">
        <v>97</v>
      </c>
      <c r="H100" s="200">
        <v>61</v>
      </c>
    </row>
    <row r="101" spans="1:8" x14ac:dyDescent="0.2">
      <c r="A101" s="204">
        <v>57</v>
      </c>
      <c r="B101" s="202" t="s">
        <v>688</v>
      </c>
      <c r="C101" s="203" t="s">
        <v>702</v>
      </c>
      <c r="D101" s="203" t="s">
        <v>703</v>
      </c>
      <c r="E101" s="202" t="s">
        <v>613</v>
      </c>
      <c r="F101" s="202" t="s">
        <v>592</v>
      </c>
      <c r="G101" s="201">
        <v>141</v>
      </c>
      <c r="H101" s="200">
        <v>61</v>
      </c>
    </row>
    <row r="102" spans="1:8" x14ac:dyDescent="0.2">
      <c r="A102" s="204">
        <v>58</v>
      </c>
      <c r="B102" s="202" t="s">
        <v>688</v>
      </c>
      <c r="C102" s="203" t="s">
        <v>704</v>
      </c>
      <c r="D102" s="203" t="s">
        <v>705</v>
      </c>
      <c r="E102" s="202" t="s">
        <v>583</v>
      </c>
      <c r="F102" s="202" t="s">
        <v>583</v>
      </c>
      <c r="G102" s="201">
        <v>98</v>
      </c>
      <c r="H102" s="200">
        <v>56</v>
      </c>
    </row>
    <row r="103" spans="1:8" x14ac:dyDescent="0.2">
      <c r="A103" s="204">
        <v>61</v>
      </c>
      <c r="B103" s="202" t="s">
        <v>688</v>
      </c>
      <c r="C103" s="203" t="s">
        <v>706</v>
      </c>
      <c r="D103" s="203" t="s">
        <v>706</v>
      </c>
      <c r="E103" s="202" t="s">
        <v>583</v>
      </c>
      <c r="F103" s="202" t="s">
        <v>583</v>
      </c>
      <c r="G103" s="201">
        <v>87</v>
      </c>
      <c r="H103" s="200">
        <v>56</v>
      </c>
    </row>
    <row r="104" spans="1:8" x14ac:dyDescent="0.2">
      <c r="A104" s="204">
        <v>63</v>
      </c>
      <c r="B104" s="202" t="s">
        <v>688</v>
      </c>
      <c r="C104" s="203" t="s">
        <v>707</v>
      </c>
      <c r="D104" s="203" t="s">
        <v>708</v>
      </c>
      <c r="E104" s="202" t="s">
        <v>587</v>
      </c>
      <c r="F104" s="202" t="s">
        <v>640</v>
      </c>
      <c r="G104" s="201">
        <v>94</v>
      </c>
      <c r="H104" s="200">
        <v>56</v>
      </c>
    </row>
    <row r="105" spans="1:8" x14ac:dyDescent="0.2">
      <c r="A105" s="204">
        <v>63</v>
      </c>
      <c r="B105" s="202" t="s">
        <v>688</v>
      </c>
      <c r="C105" s="203" t="s">
        <v>707</v>
      </c>
      <c r="D105" s="203" t="s">
        <v>708</v>
      </c>
      <c r="E105" s="202" t="s">
        <v>641</v>
      </c>
      <c r="F105" s="202" t="s">
        <v>610</v>
      </c>
      <c r="G105" s="201">
        <v>138</v>
      </c>
      <c r="H105" s="200">
        <v>56</v>
      </c>
    </row>
    <row r="106" spans="1:8" x14ac:dyDescent="0.2">
      <c r="A106" s="204">
        <v>63</v>
      </c>
      <c r="B106" s="202" t="s">
        <v>688</v>
      </c>
      <c r="C106" s="203" t="s">
        <v>707</v>
      </c>
      <c r="D106" s="203" t="s">
        <v>708</v>
      </c>
      <c r="E106" s="202" t="s">
        <v>611</v>
      </c>
      <c r="F106" s="202" t="s">
        <v>612</v>
      </c>
      <c r="G106" s="201">
        <v>83</v>
      </c>
      <c r="H106" s="200">
        <v>56</v>
      </c>
    </row>
    <row r="107" spans="1:8" x14ac:dyDescent="0.2">
      <c r="A107" s="204">
        <v>63</v>
      </c>
      <c r="B107" s="202" t="s">
        <v>688</v>
      </c>
      <c r="C107" s="203" t="s">
        <v>707</v>
      </c>
      <c r="D107" s="203" t="s">
        <v>708</v>
      </c>
      <c r="E107" s="202" t="s">
        <v>613</v>
      </c>
      <c r="F107" s="202" t="s">
        <v>592</v>
      </c>
      <c r="G107" s="201">
        <v>94</v>
      </c>
      <c r="H107" s="200">
        <v>56</v>
      </c>
    </row>
    <row r="108" spans="1:8" x14ac:dyDescent="0.2">
      <c r="A108" s="204">
        <v>64</v>
      </c>
      <c r="B108" s="202" t="s">
        <v>688</v>
      </c>
      <c r="C108" s="203" t="s">
        <v>709</v>
      </c>
      <c r="D108" s="203" t="s">
        <v>710</v>
      </c>
      <c r="E108" s="202" t="s">
        <v>587</v>
      </c>
      <c r="F108" s="202" t="s">
        <v>640</v>
      </c>
      <c r="G108" s="201">
        <v>99</v>
      </c>
      <c r="H108" s="200">
        <v>56</v>
      </c>
    </row>
    <row r="109" spans="1:8" x14ac:dyDescent="0.2">
      <c r="A109" s="204">
        <v>64</v>
      </c>
      <c r="B109" s="202" t="s">
        <v>688</v>
      </c>
      <c r="C109" s="203" t="s">
        <v>709</v>
      </c>
      <c r="D109" s="203" t="s">
        <v>710</v>
      </c>
      <c r="E109" s="202" t="s">
        <v>641</v>
      </c>
      <c r="F109" s="202" t="s">
        <v>610</v>
      </c>
      <c r="G109" s="201">
        <v>172</v>
      </c>
      <c r="H109" s="200">
        <v>56</v>
      </c>
    </row>
    <row r="110" spans="1:8" x14ac:dyDescent="0.2">
      <c r="A110" s="204">
        <v>64</v>
      </c>
      <c r="B110" s="202" t="s">
        <v>688</v>
      </c>
      <c r="C110" s="203" t="s">
        <v>709</v>
      </c>
      <c r="D110" s="203" t="s">
        <v>710</v>
      </c>
      <c r="E110" s="202" t="s">
        <v>611</v>
      </c>
      <c r="F110" s="202" t="s">
        <v>592</v>
      </c>
      <c r="G110" s="201">
        <v>99</v>
      </c>
      <c r="H110" s="200">
        <v>56</v>
      </c>
    </row>
    <row r="111" spans="1:8" x14ac:dyDescent="0.2">
      <c r="A111" s="204">
        <v>65</v>
      </c>
      <c r="B111" s="202" t="s">
        <v>688</v>
      </c>
      <c r="C111" s="203" t="s">
        <v>711</v>
      </c>
      <c r="D111" s="203" t="s">
        <v>712</v>
      </c>
      <c r="E111" s="202" t="s">
        <v>587</v>
      </c>
      <c r="F111" s="202" t="s">
        <v>640</v>
      </c>
      <c r="G111" s="201">
        <v>127</v>
      </c>
      <c r="H111" s="200">
        <v>71</v>
      </c>
    </row>
    <row r="112" spans="1:8" x14ac:dyDescent="0.2">
      <c r="A112" s="204">
        <v>65</v>
      </c>
      <c r="B112" s="202" t="s">
        <v>688</v>
      </c>
      <c r="C112" s="203" t="s">
        <v>711</v>
      </c>
      <c r="D112" s="203" t="s">
        <v>712</v>
      </c>
      <c r="E112" s="202" t="s">
        <v>641</v>
      </c>
      <c r="F112" s="202" t="s">
        <v>610</v>
      </c>
      <c r="G112" s="201">
        <v>334</v>
      </c>
      <c r="H112" s="200">
        <v>71</v>
      </c>
    </row>
    <row r="113" spans="1:8" x14ac:dyDescent="0.2">
      <c r="A113" s="204">
        <v>65</v>
      </c>
      <c r="B113" s="202" t="s">
        <v>688</v>
      </c>
      <c r="C113" s="203" t="s">
        <v>711</v>
      </c>
      <c r="D113" s="203" t="s">
        <v>712</v>
      </c>
      <c r="E113" s="202" t="s">
        <v>611</v>
      </c>
      <c r="F113" s="202" t="s">
        <v>612</v>
      </c>
      <c r="G113" s="201">
        <v>136</v>
      </c>
      <c r="H113" s="200">
        <v>71</v>
      </c>
    </row>
    <row r="114" spans="1:8" x14ac:dyDescent="0.2">
      <c r="A114" s="204">
        <v>65</v>
      </c>
      <c r="B114" s="202" t="s">
        <v>688</v>
      </c>
      <c r="C114" s="203" t="s">
        <v>711</v>
      </c>
      <c r="D114" s="203" t="s">
        <v>712</v>
      </c>
      <c r="E114" s="202" t="s">
        <v>613</v>
      </c>
      <c r="F114" s="202" t="s">
        <v>592</v>
      </c>
      <c r="G114" s="201">
        <v>174</v>
      </c>
      <c r="H114" s="200">
        <v>71</v>
      </c>
    </row>
    <row r="115" spans="1:8" x14ac:dyDescent="0.2">
      <c r="A115" s="204">
        <v>66</v>
      </c>
      <c r="B115" s="202" t="s">
        <v>688</v>
      </c>
      <c r="C115" s="203" t="s">
        <v>713</v>
      </c>
      <c r="D115" s="203" t="s">
        <v>714</v>
      </c>
      <c r="E115" s="202" t="s">
        <v>587</v>
      </c>
      <c r="F115" s="202" t="s">
        <v>640</v>
      </c>
      <c r="G115" s="201">
        <v>116</v>
      </c>
      <c r="H115" s="200">
        <v>71</v>
      </c>
    </row>
    <row r="116" spans="1:8" x14ac:dyDescent="0.2">
      <c r="A116" s="204">
        <v>66</v>
      </c>
      <c r="B116" s="202" t="s">
        <v>688</v>
      </c>
      <c r="C116" s="203" t="s">
        <v>713</v>
      </c>
      <c r="D116" s="203" t="s">
        <v>714</v>
      </c>
      <c r="E116" s="202" t="s">
        <v>641</v>
      </c>
      <c r="F116" s="202" t="s">
        <v>610</v>
      </c>
      <c r="G116" s="201">
        <v>312</v>
      </c>
      <c r="H116" s="200">
        <v>71</v>
      </c>
    </row>
    <row r="117" spans="1:8" x14ac:dyDescent="0.2">
      <c r="A117" s="204">
        <v>66</v>
      </c>
      <c r="B117" s="202" t="s">
        <v>688</v>
      </c>
      <c r="C117" s="203" t="s">
        <v>713</v>
      </c>
      <c r="D117" s="203" t="s">
        <v>714</v>
      </c>
      <c r="E117" s="202" t="s">
        <v>611</v>
      </c>
      <c r="F117" s="202" t="s">
        <v>633</v>
      </c>
      <c r="G117" s="201">
        <v>126</v>
      </c>
      <c r="H117" s="200">
        <v>71</v>
      </c>
    </row>
    <row r="118" spans="1:8" x14ac:dyDescent="0.2">
      <c r="A118" s="204">
        <v>66</v>
      </c>
      <c r="B118" s="202" t="s">
        <v>688</v>
      </c>
      <c r="C118" s="203" t="s">
        <v>713</v>
      </c>
      <c r="D118" s="203" t="s">
        <v>714</v>
      </c>
      <c r="E118" s="202" t="s">
        <v>634</v>
      </c>
      <c r="F118" s="202" t="s">
        <v>614</v>
      </c>
      <c r="G118" s="201">
        <v>151</v>
      </c>
      <c r="H118" s="200">
        <v>71</v>
      </c>
    </row>
    <row r="119" spans="1:8" x14ac:dyDescent="0.2">
      <c r="A119" s="204">
        <v>66</v>
      </c>
      <c r="B119" s="202" t="s">
        <v>688</v>
      </c>
      <c r="C119" s="203" t="s">
        <v>713</v>
      </c>
      <c r="D119" s="203" t="s">
        <v>714</v>
      </c>
      <c r="E119" s="202" t="s">
        <v>615</v>
      </c>
      <c r="F119" s="202" t="s">
        <v>592</v>
      </c>
      <c r="G119" s="201">
        <v>116</v>
      </c>
      <c r="H119" s="200">
        <v>71</v>
      </c>
    </row>
    <row r="120" spans="1:8" x14ac:dyDescent="0.2">
      <c r="A120" s="204">
        <v>67</v>
      </c>
      <c r="B120" s="202" t="s">
        <v>715</v>
      </c>
      <c r="C120" s="203" t="s">
        <v>716</v>
      </c>
      <c r="D120" s="203" t="s">
        <v>717</v>
      </c>
      <c r="E120" s="202" t="s">
        <v>583</v>
      </c>
      <c r="F120" s="202" t="s">
        <v>583</v>
      </c>
      <c r="G120" s="201">
        <v>125</v>
      </c>
      <c r="H120" s="200">
        <v>71</v>
      </c>
    </row>
    <row r="121" spans="1:8" x14ac:dyDescent="0.2">
      <c r="A121" s="204">
        <v>68</v>
      </c>
      <c r="B121" s="202" t="s">
        <v>715</v>
      </c>
      <c r="C121" s="203" t="s">
        <v>718</v>
      </c>
      <c r="D121" s="203" t="s">
        <v>719</v>
      </c>
      <c r="E121" s="202" t="s">
        <v>583</v>
      </c>
      <c r="F121" s="202" t="s">
        <v>583</v>
      </c>
      <c r="G121" s="201">
        <v>93</v>
      </c>
      <c r="H121" s="200">
        <v>61</v>
      </c>
    </row>
    <row r="122" spans="1:8" x14ac:dyDescent="0.2">
      <c r="A122" s="204">
        <v>69</v>
      </c>
      <c r="B122" s="202" t="s">
        <v>715</v>
      </c>
      <c r="C122" s="203" t="s">
        <v>720</v>
      </c>
      <c r="D122" s="203" t="s">
        <v>720</v>
      </c>
      <c r="E122" s="202" t="s">
        <v>583</v>
      </c>
      <c r="F122" s="202" t="s">
        <v>583</v>
      </c>
      <c r="G122" s="201">
        <v>116</v>
      </c>
      <c r="H122" s="200">
        <v>56</v>
      </c>
    </row>
    <row r="123" spans="1:8" x14ac:dyDescent="0.2">
      <c r="A123" s="204">
        <v>71</v>
      </c>
      <c r="B123" s="202" t="s">
        <v>715</v>
      </c>
      <c r="C123" s="203" t="s">
        <v>721</v>
      </c>
      <c r="D123" s="203" t="s">
        <v>721</v>
      </c>
      <c r="E123" s="202" t="s">
        <v>583</v>
      </c>
      <c r="F123" s="202" t="s">
        <v>583</v>
      </c>
      <c r="G123" s="201">
        <v>94</v>
      </c>
      <c r="H123" s="200">
        <v>61</v>
      </c>
    </row>
    <row r="124" spans="1:8" x14ac:dyDescent="0.2">
      <c r="A124" s="204">
        <v>72</v>
      </c>
      <c r="B124" s="202" t="s">
        <v>715</v>
      </c>
      <c r="C124" s="203" t="s">
        <v>722</v>
      </c>
      <c r="D124" s="203" t="s">
        <v>723</v>
      </c>
      <c r="E124" s="202" t="s">
        <v>583</v>
      </c>
      <c r="F124" s="202" t="s">
        <v>583</v>
      </c>
      <c r="G124" s="201">
        <v>98</v>
      </c>
      <c r="H124" s="200">
        <v>61</v>
      </c>
    </row>
    <row r="125" spans="1:8" ht="76.5" x14ac:dyDescent="0.2">
      <c r="A125" s="204">
        <v>75</v>
      </c>
      <c r="B125" s="202" t="s">
        <v>724</v>
      </c>
      <c r="C125" s="203" t="s">
        <v>725</v>
      </c>
      <c r="D125" s="203" t="s">
        <v>726</v>
      </c>
      <c r="E125" s="202" t="s">
        <v>587</v>
      </c>
      <c r="F125" s="202" t="s">
        <v>661</v>
      </c>
      <c r="G125" s="201">
        <v>222</v>
      </c>
      <c r="H125" s="200">
        <v>71</v>
      </c>
    </row>
    <row r="126" spans="1:8" ht="76.5" x14ac:dyDescent="0.2">
      <c r="A126" s="204">
        <v>75</v>
      </c>
      <c r="B126" s="202" t="s">
        <v>724</v>
      </c>
      <c r="C126" s="203" t="s">
        <v>725</v>
      </c>
      <c r="D126" s="203" t="s">
        <v>726</v>
      </c>
      <c r="E126" s="202" t="s">
        <v>662</v>
      </c>
      <c r="F126" s="202" t="s">
        <v>588</v>
      </c>
      <c r="G126" s="201">
        <v>177</v>
      </c>
      <c r="H126" s="200">
        <v>71</v>
      </c>
    </row>
    <row r="127" spans="1:8" ht="76.5" x14ac:dyDescent="0.2">
      <c r="A127" s="204">
        <v>75</v>
      </c>
      <c r="B127" s="202" t="s">
        <v>724</v>
      </c>
      <c r="C127" s="203" t="s">
        <v>725</v>
      </c>
      <c r="D127" s="203" t="s">
        <v>726</v>
      </c>
      <c r="E127" s="202" t="s">
        <v>589</v>
      </c>
      <c r="F127" s="202" t="s">
        <v>633</v>
      </c>
      <c r="G127" s="201">
        <v>229</v>
      </c>
      <c r="H127" s="200">
        <v>71</v>
      </c>
    </row>
    <row r="128" spans="1:8" ht="76.5" x14ac:dyDescent="0.2">
      <c r="A128" s="204">
        <v>75</v>
      </c>
      <c r="B128" s="202" t="s">
        <v>724</v>
      </c>
      <c r="C128" s="203" t="s">
        <v>725</v>
      </c>
      <c r="D128" s="203" t="s">
        <v>726</v>
      </c>
      <c r="E128" s="202" t="s">
        <v>634</v>
      </c>
      <c r="F128" s="202" t="s">
        <v>614</v>
      </c>
      <c r="G128" s="201">
        <v>162</v>
      </c>
      <c r="H128" s="200">
        <v>71</v>
      </c>
    </row>
    <row r="129" spans="1:8" ht="76.5" x14ac:dyDescent="0.2">
      <c r="A129" s="204">
        <v>75</v>
      </c>
      <c r="B129" s="202" t="s">
        <v>724</v>
      </c>
      <c r="C129" s="203" t="s">
        <v>725</v>
      </c>
      <c r="D129" s="203" t="s">
        <v>726</v>
      </c>
      <c r="E129" s="202" t="s">
        <v>615</v>
      </c>
      <c r="F129" s="202" t="s">
        <v>592</v>
      </c>
      <c r="G129" s="201">
        <v>222</v>
      </c>
      <c r="H129" s="200">
        <v>71</v>
      </c>
    </row>
    <row r="130" spans="1:8" x14ac:dyDescent="0.2">
      <c r="A130" s="204">
        <v>76</v>
      </c>
      <c r="B130" s="202" t="s">
        <v>727</v>
      </c>
      <c r="C130" s="203" t="s">
        <v>728</v>
      </c>
      <c r="D130" s="203" t="s">
        <v>729</v>
      </c>
      <c r="E130" s="202" t="s">
        <v>587</v>
      </c>
      <c r="F130" s="202" t="s">
        <v>730</v>
      </c>
      <c r="G130" s="201">
        <v>83</v>
      </c>
      <c r="H130" s="200">
        <v>46</v>
      </c>
    </row>
    <row r="131" spans="1:8" x14ac:dyDescent="0.2">
      <c r="A131" s="204">
        <v>76</v>
      </c>
      <c r="B131" s="202" t="s">
        <v>727</v>
      </c>
      <c r="C131" s="203" t="s">
        <v>728</v>
      </c>
      <c r="D131" s="203" t="s">
        <v>729</v>
      </c>
      <c r="E131" s="202" t="s">
        <v>731</v>
      </c>
      <c r="F131" s="202" t="s">
        <v>592</v>
      </c>
      <c r="G131" s="201">
        <v>101</v>
      </c>
      <c r="H131" s="200">
        <v>46</v>
      </c>
    </row>
    <row r="132" spans="1:8" x14ac:dyDescent="0.2">
      <c r="A132" s="204">
        <v>77</v>
      </c>
      <c r="B132" s="202" t="s">
        <v>727</v>
      </c>
      <c r="C132" s="203" t="s">
        <v>732</v>
      </c>
      <c r="D132" s="203" t="s">
        <v>733</v>
      </c>
      <c r="E132" s="202" t="s">
        <v>587</v>
      </c>
      <c r="F132" s="202" t="s">
        <v>633</v>
      </c>
      <c r="G132" s="201">
        <v>88</v>
      </c>
      <c r="H132" s="200">
        <v>46</v>
      </c>
    </row>
    <row r="133" spans="1:8" x14ac:dyDescent="0.2">
      <c r="A133" s="204">
        <v>77</v>
      </c>
      <c r="B133" s="202" t="s">
        <v>727</v>
      </c>
      <c r="C133" s="203" t="s">
        <v>732</v>
      </c>
      <c r="D133" s="203" t="s">
        <v>733</v>
      </c>
      <c r="E133" s="202" t="s">
        <v>634</v>
      </c>
      <c r="F133" s="202" t="s">
        <v>614</v>
      </c>
      <c r="G133" s="201">
        <v>137</v>
      </c>
      <c r="H133" s="200">
        <v>46</v>
      </c>
    </row>
    <row r="134" spans="1:8" x14ac:dyDescent="0.2">
      <c r="A134" s="204">
        <v>77</v>
      </c>
      <c r="B134" s="202" t="s">
        <v>727</v>
      </c>
      <c r="C134" s="203" t="s">
        <v>732</v>
      </c>
      <c r="D134" s="203" t="s">
        <v>733</v>
      </c>
      <c r="E134" s="202" t="s">
        <v>615</v>
      </c>
      <c r="F134" s="202" t="s">
        <v>592</v>
      </c>
      <c r="G134" s="201">
        <v>88</v>
      </c>
      <c r="H134" s="200">
        <v>46</v>
      </c>
    </row>
    <row r="135" spans="1:8" x14ac:dyDescent="0.2">
      <c r="A135" s="204">
        <v>78</v>
      </c>
      <c r="B135" s="202" t="s">
        <v>727</v>
      </c>
      <c r="C135" s="203" t="s">
        <v>734</v>
      </c>
      <c r="D135" s="203" t="s">
        <v>735</v>
      </c>
      <c r="E135" s="202" t="s">
        <v>583</v>
      </c>
      <c r="F135" s="202" t="s">
        <v>583</v>
      </c>
      <c r="G135" s="201">
        <v>120</v>
      </c>
      <c r="H135" s="200">
        <v>56</v>
      </c>
    </row>
    <row r="136" spans="1:8" x14ac:dyDescent="0.2">
      <c r="A136" s="204">
        <v>99</v>
      </c>
      <c r="B136" s="202" t="s">
        <v>736</v>
      </c>
      <c r="C136" s="203" t="s">
        <v>737</v>
      </c>
      <c r="D136" s="203" t="s">
        <v>738</v>
      </c>
      <c r="E136" s="202" t="s">
        <v>587</v>
      </c>
      <c r="F136" s="202" t="s">
        <v>596</v>
      </c>
      <c r="G136" s="201">
        <v>97</v>
      </c>
      <c r="H136" s="200">
        <v>71</v>
      </c>
    </row>
    <row r="137" spans="1:8" x14ac:dyDescent="0.2">
      <c r="A137" s="204">
        <v>99</v>
      </c>
      <c r="B137" s="202" t="s">
        <v>736</v>
      </c>
      <c r="C137" s="203" t="s">
        <v>737</v>
      </c>
      <c r="D137" s="203" t="s">
        <v>738</v>
      </c>
      <c r="E137" s="202" t="s">
        <v>597</v>
      </c>
      <c r="F137" s="202" t="s">
        <v>730</v>
      </c>
      <c r="G137" s="201">
        <v>157</v>
      </c>
      <c r="H137" s="200">
        <v>71</v>
      </c>
    </row>
    <row r="138" spans="1:8" x14ac:dyDescent="0.2">
      <c r="A138" s="204">
        <v>99</v>
      </c>
      <c r="B138" s="202" t="s">
        <v>736</v>
      </c>
      <c r="C138" s="203" t="s">
        <v>737</v>
      </c>
      <c r="D138" s="203" t="s">
        <v>738</v>
      </c>
      <c r="E138" s="202" t="s">
        <v>731</v>
      </c>
      <c r="F138" s="202" t="s">
        <v>592</v>
      </c>
      <c r="G138" s="201">
        <v>97</v>
      </c>
      <c r="H138" s="200">
        <v>71</v>
      </c>
    </row>
    <row r="139" spans="1:8" x14ac:dyDescent="0.2">
      <c r="A139" s="204">
        <v>80</v>
      </c>
      <c r="B139" s="202" t="s">
        <v>736</v>
      </c>
      <c r="C139" s="203" t="s">
        <v>739</v>
      </c>
      <c r="D139" s="203" t="s">
        <v>740</v>
      </c>
      <c r="E139" s="202" t="s">
        <v>587</v>
      </c>
      <c r="F139" s="202" t="s">
        <v>620</v>
      </c>
      <c r="G139" s="201">
        <v>83</v>
      </c>
      <c r="H139" s="200">
        <v>56</v>
      </c>
    </row>
    <row r="140" spans="1:8" x14ac:dyDescent="0.2">
      <c r="A140" s="204">
        <v>80</v>
      </c>
      <c r="B140" s="202" t="s">
        <v>736</v>
      </c>
      <c r="C140" s="203" t="s">
        <v>739</v>
      </c>
      <c r="D140" s="203" t="s">
        <v>740</v>
      </c>
      <c r="E140" s="202" t="s">
        <v>621</v>
      </c>
      <c r="F140" s="202" t="s">
        <v>610</v>
      </c>
      <c r="G140" s="201">
        <v>119</v>
      </c>
      <c r="H140" s="200">
        <v>56</v>
      </c>
    </row>
    <row r="141" spans="1:8" x14ac:dyDescent="0.2">
      <c r="A141" s="204">
        <v>80</v>
      </c>
      <c r="B141" s="202" t="s">
        <v>736</v>
      </c>
      <c r="C141" s="203" t="s">
        <v>739</v>
      </c>
      <c r="D141" s="203" t="s">
        <v>740</v>
      </c>
      <c r="E141" s="202" t="s">
        <v>611</v>
      </c>
      <c r="F141" s="202" t="s">
        <v>592</v>
      </c>
      <c r="G141" s="201">
        <v>83</v>
      </c>
      <c r="H141" s="200">
        <v>56</v>
      </c>
    </row>
    <row r="142" spans="1:8" x14ac:dyDescent="0.2">
      <c r="A142" s="204">
        <v>81</v>
      </c>
      <c r="B142" s="202" t="s">
        <v>736</v>
      </c>
      <c r="C142" s="203" t="s">
        <v>741</v>
      </c>
      <c r="D142" s="203" t="s">
        <v>742</v>
      </c>
      <c r="E142" s="202" t="s">
        <v>583</v>
      </c>
      <c r="F142" s="202" t="s">
        <v>583</v>
      </c>
      <c r="G142" s="201">
        <v>105</v>
      </c>
      <c r="H142" s="200">
        <v>51</v>
      </c>
    </row>
    <row r="143" spans="1:8" x14ac:dyDescent="0.2">
      <c r="A143" s="204">
        <v>82</v>
      </c>
      <c r="B143" s="202" t="s">
        <v>736</v>
      </c>
      <c r="C143" s="203" t="s">
        <v>743</v>
      </c>
      <c r="D143" s="203" t="s">
        <v>744</v>
      </c>
      <c r="E143" s="202" t="s">
        <v>587</v>
      </c>
      <c r="F143" s="202" t="s">
        <v>620</v>
      </c>
      <c r="G143" s="201">
        <v>83</v>
      </c>
      <c r="H143" s="200">
        <v>51</v>
      </c>
    </row>
    <row r="144" spans="1:8" x14ac:dyDescent="0.2">
      <c r="A144" s="204">
        <v>82</v>
      </c>
      <c r="B144" s="202" t="s">
        <v>736</v>
      </c>
      <c r="C144" s="203" t="s">
        <v>743</v>
      </c>
      <c r="D144" s="203" t="s">
        <v>744</v>
      </c>
      <c r="E144" s="202" t="s">
        <v>621</v>
      </c>
      <c r="F144" s="202" t="s">
        <v>610</v>
      </c>
      <c r="G144" s="201">
        <v>110</v>
      </c>
      <c r="H144" s="200">
        <v>51</v>
      </c>
    </row>
    <row r="145" spans="1:8" x14ac:dyDescent="0.2">
      <c r="A145" s="204">
        <v>82</v>
      </c>
      <c r="B145" s="202" t="s">
        <v>736</v>
      </c>
      <c r="C145" s="203" t="s">
        <v>743</v>
      </c>
      <c r="D145" s="203" t="s">
        <v>744</v>
      </c>
      <c r="E145" s="202" t="s">
        <v>611</v>
      </c>
      <c r="F145" s="202" t="s">
        <v>590</v>
      </c>
      <c r="G145" s="201">
        <v>90</v>
      </c>
      <c r="H145" s="200">
        <v>51</v>
      </c>
    </row>
    <row r="146" spans="1:8" x14ac:dyDescent="0.2">
      <c r="A146" s="204">
        <v>82</v>
      </c>
      <c r="B146" s="202" t="s">
        <v>736</v>
      </c>
      <c r="C146" s="203" t="s">
        <v>743</v>
      </c>
      <c r="D146" s="203" t="s">
        <v>744</v>
      </c>
      <c r="E146" s="202" t="s">
        <v>591</v>
      </c>
      <c r="F146" s="202" t="s">
        <v>592</v>
      </c>
      <c r="G146" s="201">
        <v>83</v>
      </c>
      <c r="H146" s="200">
        <v>51</v>
      </c>
    </row>
    <row r="147" spans="1:8" x14ac:dyDescent="0.2">
      <c r="A147" s="204">
        <v>84</v>
      </c>
      <c r="B147" s="202" t="s">
        <v>736</v>
      </c>
      <c r="C147" s="203" t="s">
        <v>745</v>
      </c>
      <c r="D147" s="203" t="s">
        <v>746</v>
      </c>
      <c r="E147" s="202" t="s">
        <v>587</v>
      </c>
      <c r="F147" s="202" t="s">
        <v>596</v>
      </c>
      <c r="G147" s="201">
        <v>134</v>
      </c>
      <c r="H147" s="200">
        <v>71</v>
      </c>
    </row>
    <row r="148" spans="1:8" x14ac:dyDescent="0.2">
      <c r="A148" s="204">
        <v>84</v>
      </c>
      <c r="B148" s="202" t="s">
        <v>736</v>
      </c>
      <c r="C148" s="203" t="s">
        <v>745</v>
      </c>
      <c r="D148" s="203" t="s">
        <v>746</v>
      </c>
      <c r="E148" s="202" t="s">
        <v>597</v>
      </c>
      <c r="F148" s="202" t="s">
        <v>610</v>
      </c>
      <c r="G148" s="201">
        <v>188</v>
      </c>
      <c r="H148" s="200">
        <v>71</v>
      </c>
    </row>
    <row r="149" spans="1:8" x14ac:dyDescent="0.2">
      <c r="A149" s="204">
        <v>84</v>
      </c>
      <c r="B149" s="202" t="s">
        <v>736</v>
      </c>
      <c r="C149" s="203" t="s">
        <v>745</v>
      </c>
      <c r="D149" s="203" t="s">
        <v>746</v>
      </c>
      <c r="E149" s="202" t="s">
        <v>611</v>
      </c>
      <c r="F149" s="202" t="s">
        <v>612</v>
      </c>
      <c r="G149" s="201">
        <v>140</v>
      </c>
      <c r="H149" s="200">
        <v>71</v>
      </c>
    </row>
    <row r="150" spans="1:8" x14ac:dyDescent="0.2">
      <c r="A150" s="204">
        <v>84</v>
      </c>
      <c r="B150" s="202" t="s">
        <v>736</v>
      </c>
      <c r="C150" s="203" t="s">
        <v>745</v>
      </c>
      <c r="D150" s="203" t="s">
        <v>746</v>
      </c>
      <c r="E150" s="202" t="s">
        <v>613</v>
      </c>
      <c r="F150" s="202" t="s">
        <v>592</v>
      </c>
      <c r="G150" s="201">
        <v>109</v>
      </c>
      <c r="H150" s="200">
        <v>71</v>
      </c>
    </row>
    <row r="151" spans="1:8" x14ac:dyDescent="0.2">
      <c r="A151" s="204">
        <v>85</v>
      </c>
      <c r="B151" s="202" t="s">
        <v>736</v>
      </c>
      <c r="C151" s="203" t="s">
        <v>747</v>
      </c>
      <c r="D151" s="203" t="s">
        <v>748</v>
      </c>
      <c r="E151" s="202" t="s">
        <v>587</v>
      </c>
      <c r="F151" s="202" t="s">
        <v>596</v>
      </c>
      <c r="G151" s="201">
        <v>93</v>
      </c>
      <c r="H151" s="200">
        <v>56</v>
      </c>
    </row>
    <row r="152" spans="1:8" x14ac:dyDescent="0.2">
      <c r="A152" s="204">
        <v>85</v>
      </c>
      <c r="B152" s="202" t="s">
        <v>736</v>
      </c>
      <c r="C152" s="203" t="s">
        <v>747</v>
      </c>
      <c r="D152" s="203" t="s">
        <v>748</v>
      </c>
      <c r="E152" s="202" t="s">
        <v>597</v>
      </c>
      <c r="F152" s="202" t="s">
        <v>730</v>
      </c>
      <c r="G152" s="201">
        <v>142</v>
      </c>
      <c r="H152" s="200">
        <v>56</v>
      </c>
    </row>
    <row r="153" spans="1:8" x14ac:dyDescent="0.2">
      <c r="A153" s="204">
        <v>85</v>
      </c>
      <c r="B153" s="202" t="s">
        <v>736</v>
      </c>
      <c r="C153" s="203" t="s">
        <v>747</v>
      </c>
      <c r="D153" s="203" t="s">
        <v>748</v>
      </c>
      <c r="E153" s="202" t="s">
        <v>731</v>
      </c>
      <c r="F153" s="202" t="s">
        <v>592</v>
      </c>
      <c r="G153" s="201">
        <v>93</v>
      </c>
      <c r="H153" s="200">
        <v>56</v>
      </c>
    </row>
    <row r="154" spans="1:8" ht="25.5" x14ac:dyDescent="0.2">
      <c r="A154" s="204">
        <v>83</v>
      </c>
      <c r="B154" s="202" t="s">
        <v>736</v>
      </c>
      <c r="C154" s="203" t="s">
        <v>749</v>
      </c>
      <c r="D154" s="203" t="s">
        <v>750</v>
      </c>
      <c r="E154" s="202" t="s">
        <v>587</v>
      </c>
      <c r="F154" s="202" t="s">
        <v>661</v>
      </c>
      <c r="G154" s="201">
        <v>129</v>
      </c>
      <c r="H154" s="200">
        <v>51</v>
      </c>
    </row>
    <row r="155" spans="1:8" ht="25.5" x14ac:dyDescent="0.2">
      <c r="A155" s="204">
        <v>83</v>
      </c>
      <c r="B155" s="202" t="s">
        <v>736</v>
      </c>
      <c r="C155" s="203" t="s">
        <v>749</v>
      </c>
      <c r="D155" s="203" t="s">
        <v>750</v>
      </c>
      <c r="E155" s="202" t="s">
        <v>662</v>
      </c>
      <c r="F155" s="202" t="s">
        <v>588</v>
      </c>
      <c r="G155" s="201">
        <v>86</v>
      </c>
      <c r="H155" s="200">
        <v>51</v>
      </c>
    </row>
    <row r="156" spans="1:8" ht="25.5" x14ac:dyDescent="0.2">
      <c r="A156" s="204">
        <v>83</v>
      </c>
      <c r="B156" s="202" t="s">
        <v>736</v>
      </c>
      <c r="C156" s="203" t="s">
        <v>749</v>
      </c>
      <c r="D156" s="203" t="s">
        <v>750</v>
      </c>
      <c r="E156" s="202" t="s">
        <v>589</v>
      </c>
      <c r="F156" s="202" t="s">
        <v>612</v>
      </c>
      <c r="G156" s="201">
        <v>145</v>
      </c>
      <c r="H156" s="200">
        <v>51</v>
      </c>
    </row>
    <row r="157" spans="1:8" ht="25.5" x14ac:dyDescent="0.2">
      <c r="A157" s="204">
        <v>83</v>
      </c>
      <c r="B157" s="202" t="s">
        <v>736</v>
      </c>
      <c r="C157" s="203" t="s">
        <v>749</v>
      </c>
      <c r="D157" s="203" t="s">
        <v>750</v>
      </c>
      <c r="E157" s="202" t="s">
        <v>613</v>
      </c>
      <c r="F157" s="202" t="s">
        <v>590</v>
      </c>
      <c r="G157" s="201">
        <v>196</v>
      </c>
      <c r="H157" s="200">
        <v>51</v>
      </c>
    </row>
    <row r="158" spans="1:8" ht="25.5" x14ac:dyDescent="0.2">
      <c r="A158" s="204">
        <v>83</v>
      </c>
      <c r="B158" s="202" t="s">
        <v>736</v>
      </c>
      <c r="C158" s="203" t="s">
        <v>749</v>
      </c>
      <c r="D158" s="203" t="s">
        <v>750</v>
      </c>
      <c r="E158" s="202" t="s">
        <v>591</v>
      </c>
      <c r="F158" s="202" t="s">
        <v>592</v>
      </c>
      <c r="G158" s="201">
        <v>129</v>
      </c>
      <c r="H158" s="200">
        <v>51</v>
      </c>
    </row>
    <row r="159" spans="1:8" x14ac:dyDescent="0.2">
      <c r="A159" s="204">
        <v>88</v>
      </c>
      <c r="B159" s="202" t="s">
        <v>736</v>
      </c>
      <c r="C159" s="203" t="s">
        <v>751</v>
      </c>
      <c r="D159" s="203" t="s">
        <v>752</v>
      </c>
      <c r="E159" s="202" t="s">
        <v>583</v>
      </c>
      <c r="F159" s="202" t="s">
        <v>583</v>
      </c>
      <c r="G159" s="201">
        <v>94</v>
      </c>
      <c r="H159" s="200">
        <v>51</v>
      </c>
    </row>
    <row r="160" spans="1:8" x14ac:dyDescent="0.2">
      <c r="A160" s="204">
        <v>89</v>
      </c>
      <c r="B160" s="202" t="s">
        <v>736</v>
      </c>
      <c r="C160" s="203" t="s">
        <v>753</v>
      </c>
      <c r="D160" s="203" t="s">
        <v>670</v>
      </c>
      <c r="E160" s="202" t="s">
        <v>587</v>
      </c>
      <c r="F160" s="202" t="s">
        <v>612</v>
      </c>
      <c r="G160" s="201">
        <v>83</v>
      </c>
      <c r="H160" s="200">
        <v>51</v>
      </c>
    </row>
    <row r="161" spans="1:8" x14ac:dyDescent="0.2">
      <c r="A161" s="204">
        <v>89</v>
      </c>
      <c r="B161" s="202" t="s">
        <v>736</v>
      </c>
      <c r="C161" s="203" t="s">
        <v>753</v>
      </c>
      <c r="D161" s="203" t="s">
        <v>670</v>
      </c>
      <c r="E161" s="202" t="s">
        <v>613</v>
      </c>
      <c r="F161" s="202" t="s">
        <v>590</v>
      </c>
      <c r="G161" s="201">
        <v>108</v>
      </c>
      <c r="H161" s="200">
        <v>51</v>
      </c>
    </row>
    <row r="162" spans="1:8" x14ac:dyDescent="0.2">
      <c r="A162" s="204">
        <v>89</v>
      </c>
      <c r="B162" s="202" t="s">
        <v>736</v>
      </c>
      <c r="C162" s="203" t="s">
        <v>753</v>
      </c>
      <c r="D162" s="203" t="s">
        <v>670</v>
      </c>
      <c r="E162" s="202" t="s">
        <v>591</v>
      </c>
      <c r="F162" s="202" t="s">
        <v>592</v>
      </c>
      <c r="G162" s="201">
        <v>83</v>
      </c>
      <c r="H162" s="200">
        <v>51</v>
      </c>
    </row>
    <row r="163" spans="1:8" x14ac:dyDescent="0.2">
      <c r="A163" s="204">
        <v>91</v>
      </c>
      <c r="B163" s="202" t="s">
        <v>736</v>
      </c>
      <c r="C163" s="203" t="s">
        <v>754</v>
      </c>
      <c r="D163" s="203" t="s">
        <v>755</v>
      </c>
      <c r="E163" s="202" t="s">
        <v>587</v>
      </c>
      <c r="F163" s="202" t="s">
        <v>640</v>
      </c>
      <c r="G163" s="201">
        <v>183</v>
      </c>
      <c r="H163" s="200">
        <v>71</v>
      </c>
    </row>
    <row r="164" spans="1:8" x14ac:dyDescent="0.2">
      <c r="A164" s="204">
        <v>91</v>
      </c>
      <c r="B164" s="202" t="s">
        <v>736</v>
      </c>
      <c r="C164" s="203" t="s">
        <v>754</v>
      </c>
      <c r="D164" s="203" t="s">
        <v>755</v>
      </c>
      <c r="E164" s="202" t="s">
        <v>641</v>
      </c>
      <c r="F164" s="202" t="s">
        <v>620</v>
      </c>
      <c r="G164" s="201">
        <v>230</v>
      </c>
      <c r="H164" s="200">
        <v>71</v>
      </c>
    </row>
    <row r="165" spans="1:8" x14ac:dyDescent="0.2">
      <c r="A165" s="204">
        <v>91</v>
      </c>
      <c r="B165" s="202" t="s">
        <v>736</v>
      </c>
      <c r="C165" s="203" t="s">
        <v>754</v>
      </c>
      <c r="D165" s="203" t="s">
        <v>755</v>
      </c>
      <c r="E165" s="202" t="s">
        <v>621</v>
      </c>
      <c r="F165" s="202" t="s">
        <v>610</v>
      </c>
      <c r="G165" s="201">
        <v>279</v>
      </c>
      <c r="H165" s="200">
        <v>71</v>
      </c>
    </row>
    <row r="166" spans="1:8" x14ac:dyDescent="0.2">
      <c r="A166" s="204">
        <v>91</v>
      </c>
      <c r="B166" s="202" t="s">
        <v>736</v>
      </c>
      <c r="C166" s="203" t="s">
        <v>754</v>
      </c>
      <c r="D166" s="203" t="s">
        <v>755</v>
      </c>
      <c r="E166" s="202" t="s">
        <v>611</v>
      </c>
      <c r="F166" s="202" t="s">
        <v>592</v>
      </c>
      <c r="G166" s="201">
        <v>183</v>
      </c>
      <c r="H166" s="200">
        <v>71</v>
      </c>
    </row>
    <row r="167" spans="1:8" x14ac:dyDescent="0.2">
      <c r="A167" s="204">
        <v>95</v>
      </c>
      <c r="B167" s="202" t="s">
        <v>736</v>
      </c>
      <c r="C167" s="203" t="s">
        <v>756</v>
      </c>
      <c r="D167" s="203" t="s">
        <v>757</v>
      </c>
      <c r="E167" s="202" t="s">
        <v>587</v>
      </c>
      <c r="F167" s="202" t="s">
        <v>596</v>
      </c>
      <c r="G167" s="201">
        <v>152</v>
      </c>
      <c r="H167" s="200">
        <v>66</v>
      </c>
    </row>
    <row r="168" spans="1:8" x14ac:dyDescent="0.2">
      <c r="A168" s="204">
        <v>95</v>
      </c>
      <c r="B168" s="202" t="s">
        <v>736</v>
      </c>
      <c r="C168" s="203" t="s">
        <v>756</v>
      </c>
      <c r="D168" s="203" t="s">
        <v>757</v>
      </c>
      <c r="E168" s="202" t="s">
        <v>597</v>
      </c>
      <c r="F168" s="202" t="s">
        <v>610</v>
      </c>
      <c r="G168" s="201">
        <v>203</v>
      </c>
      <c r="H168" s="200">
        <v>66</v>
      </c>
    </row>
    <row r="169" spans="1:8" x14ac:dyDescent="0.2">
      <c r="A169" s="204">
        <v>95</v>
      </c>
      <c r="B169" s="202" t="s">
        <v>736</v>
      </c>
      <c r="C169" s="203" t="s">
        <v>756</v>
      </c>
      <c r="D169" s="203" t="s">
        <v>757</v>
      </c>
      <c r="E169" s="202" t="s">
        <v>611</v>
      </c>
      <c r="F169" s="202" t="s">
        <v>612</v>
      </c>
      <c r="G169" s="201">
        <v>146</v>
      </c>
      <c r="H169" s="200">
        <v>66</v>
      </c>
    </row>
    <row r="170" spans="1:8" x14ac:dyDescent="0.2">
      <c r="A170" s="204">
        <v>95</v>
      </c>
      <c r="B170" s="202" t="s">
        <v>736</v>
      </c>
      <c r="C170" s="203" t="s">
        <v>756</v>
      </c>
      <c r="D170" s="203" t="s">
        <v>757</v>
      </c>
      <c r="E170" s="202" t="s">
        <v>613</v>
      </c>
      <c r="F170" s="202" t="s">
        <v>592</v>
      </c>
      <c r="G170" s="201">
        <v>119</v>
      </c>
      <c r="H170" s="200">
        <v>66</v>
      </c>
    </row>
    <row r="171" spans="1:8" x14ac:dyDescent="0.2">
      <c r="A171" s="204">
        <v>96</v>
      </c>
      <c r="B171" s="202" t="s">
        <v>736</v>
      </c>
      <c r="C171" s="203" t="s">
        <v>758</v>
      </c>
      <c r="D171" s="203" t="s">
        <v>759</v>
      </c>
      <c r="E171" s="202" t="s">
        <v>587</v>
      </c>
      <c r="F171" s="202" t="s">
        <v>596</v>
      </c>
      <c r="G171" s="201">
        <v>136</v>
      </c>
      <c r="H171" s="200">
        <v>61</v>
      </c>
    </row>
    <row r="172" spans="1:8" x14ac:dyDescent="0.2">
      <c r="A172" s="204">
        <v>96</v>
      </c>
      <c r="B172" s="202" t="s">
        <v>736</v>
      </c>
      <c r="C172" s="203" t="s">
        <v>758</v>
      </c>
      <c r="D172" s="203" t="s">
        <v>759</v>
      </c>
      <c r="E172" s="202" t="s">
        <v>597</v>
      </c>
      <c r="F172" s="202" t="s">
        <v>730</v>
      </c>
      <c r="G172" s="201">
        <v>203</v>
      </c>
      <c r="H172" s="200">
        <v>61</v>
      </c>
    </row>
    <row r="173" spans="1:8" x14ac:dyDescent="0.2">
      <c r="A173" s="204">
        <v>96</v>
      </c>
      <c r="B173" s="202" t="s">
        <v>736</v>
      </c>
      <c r="C173" s="203" t="s">
        <v>758</v>
      </c>
      <c r="D173" s="203" t="s">
        <v>759</v>
      </c>
      <c r="E173" s="202" t="s">
        <v>731</v>
      </c>
      <c r="F173" s="202" t="s">
        <v>592</v>
      </c>
      <c r="G173" s="201">
        <v>116</v>
      </c>
      <c r="H173" s="200">
        <v>61</v>
      </c>
    </row>
    <row r="174" spans="1:8" x14ac:dyDescent="0.2">
      <c r="A174" s="204">
        <v>98</v>
      </c>
      <c r="B174" s="202" t="s">
        <v>736</v>
      </c>
      <c r="C174" s="203" t="s">
        <v>760</v>
      </c>
      <c r="D174" s="203" t="s">
        <v>761</v>
      </c>
      <c r="E174" s="202" t="s">
        <v>583</v>
      </c>
      <c r="F174" s="202" t="s">
        <v>583</v>
      </c>
      <c r="G174" s="201">
        <v>115</v>
      </c>
      <c r="H174" s="200">
        <v>56</v>
      </c>
    </row>
    <row r="175" spans="1:8" x14ac:dyDescent="0.2">
      <c r="A175" s="204">
        <v>100</v>
      </c>
      <c r="B175" s="202" t="s">
        <v>736</v>
      </c>
      <c r="C175" s="203" t="s">
        <v>762</v>
      </c>
      <c r="D175" s="203" t="s">
        <v>763</v>
      </c>
      <c r="E175" s="202" t="s">
        <v>587</v>
      </c>
      <c r="F175" s="202" t="s">
        <v>588</v>
      </c>
      <c r="G175" s="201">
        <v>83</v>
      </c>
      <c r="H175" s="200">
        <v>51</v>
      </c>
    </row>
    <row r="176" spans="1:8" x14ac:dyDescent="0.2">
      <c r="A176" s="204">
        <v>100</v>
      </c>
      <c r="B176" s="202" t="s">
        <v>736</v>
      </c>
      <c r="C176" s="203" t="s">
        <v>762</v>
      </c>
      <c r="D176" s="203" t="s">
        <v>763</v>
      </c>
      <c r="E176" s="202" t="s">
        <v>589</v>
      </c>
      <c r="F176" s="202" t="s">
        <v>590</v>
      </c>
      <c r="G176" s="201">
        <v>119</v>
      </c>
      <c r="H176" s="200">
        <v>51</v>
      </c>
    </row>
    <row r="177" spans="1:8" x14ac:dyDescent="0.2">
      <c r="A177" s="204">
        <v>100</v>
      </c>
      <c r="B177" s="202" t="s">
        <v>736</v>
      </c>
      <c r="C177" s="203" t="s">
        <v>762</v>
      </c>
      <c r="D177" s="203" t="s">
        <v>763</v>
      </c>
      <c r="E177" s="202" t="s">
        <v>591</v>
      </c>
      <c r="F177" s="202" t="s">
        <v>592</v>
      </c>
      <c r="G177" s="201">
        <v>83</v>
      </c>
      <c r="H177" s="200">
        <v>51</v>
      </c>
    </row>
    <row r="178" spans="1:8" x14ac:dyDescent="0.2">
      <c r="A178" s="204">
        <v>101</v>
      </c>
      <c r="B178" s="202" t="s">
        <v>736</v>
      </c>
      <c r="C178" s="203" t="s">
        <v>764</v>
      </c>
      <c r="D178" s="203" t="s">
        <v>765</v>
      </c>
      <c r="E178" s="202" t="s">
        <v>587</v>
      </c>
      <c r="F178" s="202" t="s">
        <v>588</v>
      </c>
      <c r="G178" s="201">
        <v>94</v>
      </c>
      <c r="H178" s="200">
        <v>46</v>
      </c>
    </row>
    <row r="179" spans="1:8" x14ac:dyDescent="0.2">
      <c r="A179" s="204">
        <v>101</v>
      </c>
      <c r="B179" s="202" t="s">
        <v>736</v>
      </c>
      <c r="C179" s="203" t="s">
        <v>764</v>
      </c>
      <c r="D179" s="203" t="s">
        <v>765</v>
      </c>
      <c r="E179" s="202" t="s">
        <v>589</v>
      </c>
      <c r="F179" s="202" t="s">
        <v>614</v>
      </c>
      <c r="G179" s="201">
        <v>121</v>
      </c>
      <c r="H179" s="200">
        <v>46</v>
      </c>
    </row>
    <row r="180" spans="1:8" x14ac:dyDescent="0.2">
      <c r="A180" s="204">
        <v>101</v>
      </c>
      <c r="B180" s="202" t="s">
        <v>736</v>
      </c>
      <c r="C180" s="203" t="s">
        <v>764</v>
      </c>
      <c r="D180" s="203" t="s">
        <v>765</v>
      </c>
      <c r="E180" s="202" t="s">
        <v>615</v>
      </c>
      <c r="F180" s="202" t="s">
        <v>592</v>
      </c>
      <c r="G180" s="201">
        <v>94</v>
      </c>
      <c r="H180" s="200">
        <v>46</v>
      </c>
    </row>
    <row r="181" spans="1:8" x14ac:dyDescent="0.2">
      <c r="A181" s="204">
        <v>102</v>
      </c>
      <c r="B181" s="202" t="s">
        <v>736</v>
      </c>
      <c r="C181" s="203" t="s">
        <v>766</v>
      </c>
      <c r="D181" s="203" t="s">
        <v>767</v>
      </c>
      <c r="E181" s="202" t="s">
        <v>587</v>
      </c>
      <c r="F181" s="202" t="s">
        <v>620</v>
      </c>
      <c r="G181" s="201">
        <v>83</v>
      </c>
      <c r="H181" s="200">
        <v>51</v>
      </c>
    </row>
    <row r="182" spans="1:8" x14ac:dyDescent="0.2">
      <c r="A182" s="204">
        <v>102</v>
      </c>
      <c r="B182" s="202" t="s">
        <v>736</v>
      </c>
      <c r="C182" s="203" t="s">
        <v>766</v>
      </c>
      <c r="D182" s="203" t="s">
        <v>767</v>
      </c>
      <c r="E182" s="202" t="s">
        <v>621</v>
      </c>
      <c r="F182" s="202" t="s">
        <v>610</v>
      </c>
      <c r="G182" s="201">
        <v>123</v>
      </c>
      <c r="H182" s="200">
        <v>51</v>
      </c>
    </row>
    <row r="183" spans="1:8" x14ac:dyDescent="0.2">
      <c r="A183" s="204">
        <v>102</v>
      </c>
      <c r="B183" s="202" t="s">
        <v>736</v>
      </c>
      <c r="C183" s="203" t="s">
        <v>766</v>
      </c>
      <c r="D183" s="203" t="s">
        <v>767</v>
      </c>
      <c r="E183" s="202" t="s">
        <v>611</v>
      </c>
      <c r="F183" s="202" t="s">
        <v>592</v>
      </c>
      <c r="G183" s="201">
        <v>83</v>
      </c>
      <c r="H183" s="200">
        <v>51</v>
      </c>
    </row>
    <row r="184" spans="1:8" x14ac:dyDescent="0.2">
      <c r="A184" s="204">
        <v>103</v>
      </c>
      <c r="B184" s="202" t="s">
        <v>736</v>
      </c>
      <c r="C184" s="203" t="s">
        <v>768</v>
      </c>
      <c r="D184" s="203" t="s">
        <v>768</v>
      </c>
      <c r="E184" s="202" t="s">
        <v>587</v>
      </c>
      <c r="F184" s="202" t="s">
        <v>596</v>
      </c>
      <c r="G184" s="201">
        <v>92</v>
      </c>
      <c r="H184" s="200">
        <v>56</v>
      </c>
    </row>
    <row r="185" spans="1:8" x14ac:dyDescent="0.2">
      <c r="A185" s="204">
        <v>103</v>
      </c>
      <c r="B185" s="202" t="s">
        <v>736</v>
      </c>
      <c r="C185" s="203" t="s">
        <v>768</v>
      </c>
      <c r="D185" s="203" t="s">
        <v>768</v>
      </c>
      <c r="E185" s="202" t="s">
        <v>597</v>
      </c>
      <c r="F185" s="202" t="s">
        <v>730</v>
      </c>
      <c r="G185" s="201">
        <v>126</v>
      </c>
      <c r="H185" s="200">
        <v>56</v>
      </c>
    </row>
    <row r="186" spans="1:8" x14ac:dyDescent="0.2">
      <c r="A186" s="204">
        <v>103</v>
      </c>
      <c r="B186" s="202" t="s">
        <v>736</v>
      </c>
      <c r="C186" s="203" t="s">
        <v>768</v>
      </c>
      <c r="D186" s="203" t="s">
        <v>768</v>
      </c>
      <c r="E186" s="202" t="s">
        <v>731</v>
      </c>
      <c r="F186" s="202" t="s">
        <v>592</v>
      </c>
      <c r="G186" s="201">
        <v>92</v>
      </c>
      <c r="H186" s="200">
        <v>56</v>
      </c>
    </row>
    <row r="187" spans="1:8" x14ac:dyDescent="0.2">
      <c r="A187" s="204">
        <v>104</v>
      </c>
      <c r="B187" s="202" t="s">
        <v>736</v>
      </c>
      <c r="C187" s="203" t="s">
        <v>769</v>
      </c>
      <c r="D187" s="203" t="s">
        <v>770</v>
      </c>
      <c r="E187" s="202" t="s">
        <v>583</v>
      </c>
      <c r="F187" s="202" t="s">
        <v>583</v>
      </c>
      <c r="G187" s="201">
        <v>99</v>
      </c>
      <c r="H187" s="200">
        <v>46</v>
      </c>
    </row>
    <row r="188" spans="1:8" x14ac:dyDescent="0.2">
      <c r="A188" s="204">
        <v>105</v>
      </c>
      <c r="B188" s="202" t="s">
        <v>736</v>
      </c>
      <c r="C188" s="203" t="s">
        <v>771</v>
      </c>
      <c r="D188" s="203" t="s">
        <v>772</v>
      </c>
      <c r="E188" s="202" t="s">
        <v>583</v>
      </c>
      <c r="F188" s="202" t="s">
        <v>583</v>
      </c>
      <c r="G188" s="201">
        <v>107</v>
      </c>
      <c r="H188" s="200">
        <v>56</v>
      </c>
    </row>
    <row r="189" spans="1:8" x14ac:dyDescent="0.2">
      <c r="A189" s="204">
        <v>106</v>
      </c>
      <c r="B189" s="202" t="s">
        <v>736</v>
      </c>
      <c r="C189" s="203" t="s">
        <v>773</v>
      </c>
      <c r="D189" s="203" t="s">
        <v>774</v>
      </c>
      <c r="E189" s="202" t="s">
        <v>583</v>
      </c>
      <c r="F189" s="202" t="s">
        <v>583</v>
      </c>
      <c r="G189" s="201">
        <v>91</v>
      </c>
      <c r="H189" s="200">
        <v>51</v>
      </c>
    </row>
    <row r="190" spans="1:8" x14ac:dyDescent="0.2">
      <c r="A190" s="204">
        <v>107</v>
      </c>
      <c r="B190" s="202" t="s">
        <v>736</v>
      </c>
      <c r="C190" s="203" t="s">
        <v>775</v>
      </c>
      <c r="D190" s="203" t="s">
        <v>776</v>
      </c>
      <c r="E190" s="202" t="s">
        <v>587</v>
      </c>
      <c r="F190" s="202" t="s">
        <v>596</v>
      </c>
      <c r="G190" s="201">
        <v>88</v>
      </c>
      <c r="H190" s="200">
        <v>46</v>
      </c>
    </row>
    <row r="191" spans="1:8" x14ac:dyDescent="0.2">
      <c r="A191" s="204">
        <v>107</v>
      </c>
      <c r="B191" s="202" t="s">
        <v>736</v>
      </c>
      <c r="C191" s="203" t="s">
        <v>775</v>
      </c>
      <c r="D191" s="203" t="s">
        <v>776</v>
      </c>
      <c r="E191" s="202" t="s">
        <v>597</v>
      </c>
      <c r="F191" s="202" t="s">
        <v>730</v>
      </c>
      <c r="G191" s="201">
        <v>104</v>
      </c>
      <c r="H191" s="200">
        <v>46</v>
      </c>
    </row>
    <row r="192" spans="1:8" x14ac:dyDescent="0.2">
      <c r="A192" s="204">
        <v>107</v>
      </c>
      <c r="B192" s="202" t="s">
        <v>736</v>
      </c>
      <c r="C192" s="203" t="s">
        <v>775</v>
      </c>
      <c r="D192" s="203" t="s">
        <v>776</v>
      </c>
      <c r="E192" s="202" t="s">
        <v>731</v>
      </c>
      <c r="F192" s="202" t="s">
        <v>592</v>
      </c>
      <c r="G192" s="201">
        <v>88</v>
      </c>
      <c r="H192" s="200">
        <v>46</v>
      </c>
    </row>
    <row r="193" spans="1:8" x14ac:dyDescent="0.2">
      <c r="A193" s="204">
        <v>108</v>
      </c>
      <c r="B193" s="202" t="s">
        <v>736</v>
      </c>
      <c r="C193" s="203" t="s">
        <v>777</v>
      </c>
      <c r="D193" s="203" t="s">
        <v>778</v>
      </c>
      <c r="E193" s="202" t="s">
        <v>587</v>
      </c>
      <c r="F193" s="202" t="s">
        <v>596</v>
      </c>
      <c r="G193" s="201">
        <v>104</v>
      </c>
      <c r="H193" s="200">
        <v>51</v>
      </c>
    </row>
    <row r="194" spans="1:8" x14ac:dyDescent="0.2">
      <c r="A194" s="204">
        <v>108</v>
      </c>
      <c r="B194" s="202" t="s">
        <v>736</v>
      </c>
      <c r="C194" s="203" t="s">
        <v>777</v>
      </c>
      <c r="D194" s="203" t="s">
        <v>778</v>
      </c>
      <c r="E194" s="202" t="s">
        <v>597</v>
      </c>
      <c r="F194" s="202" t="s">
        <v>588</v>
      </c>
      <c r="G194" s="201">
        <v>115</v>
      </c>
      <c r="H194" s="200">
        <v>51</v>
      </c>
    </row>
    <row r="195" spans="1:8" x14ac:dyDescent="0.2">
      <c r="A195" s="204">
        <v>108</v>
      </c>
      <c r="B195" s="202" t="s">
        <v>736</v>
      </c>
      <c r="C195" s="203" t="s">
        <v>777</v>
      </c>
      <c r="D195" s="203" t="s">
        <v>778</v>
      </c>
      <c r="E195" s="202" t="s">
        <v>589</v>
      </c>
      <c r="F195" s="202" t="s">
        <v>592</v>
      </c>
      <c r="G195" s="201">
        <v>104</v>
      </c>
      <c r="H195" s="200">
        <v>51</v>
      </c>
    </row>
    <row r="196" spans="1:8" x14ac:dyDescent="0.2">
      <c r="A196" s="204">
        <v>109</v>
      </c>
      <c r="B196" s="202" t="s">
        <v>736</v>
      </c>
      <c r="C196" s="203" t="s">
        <v>779</v>
      </c>
      <c r="D196" s="203" t="s">
        <v>780</v>
      </c>
      <c r="E196" s="202" t="s">
        <v>587</v>
      </c>
      <c r="F196" s="202" t="s">
        <v>620</v>
      </c>
      <c r="G196" s="201">
        <v>109</v>
      </c>
      <c r="H196" s="200">
        <v>51</v>
      </c>
    </row>
    <row r="197" spans="1:8" x14ac:dyDescent="0.2">
      <c r="A197" s="204">
        <v>109</v>
      </c>
      <c r="B197" s="202" t="s">
        <v>736</v>
      </c>
      <c r="C197" s="203" t="s">
        <v>779</v>
      </c>
      <c r="D197" s="203" t="s">
        <v>780</v>
      </c>
      <c r="E197" s="202" t="s">
        <v>621</v>
      </c>
      <c r="F197" s="202" t="s">
        <v>730</v>
      </c>
      <c r="G197" s="201">
        <v>155</v>
      </c>
      <c r="H197" s="200">
        <v>51</v>
      </c>
    </row>
    <row r="198" spans="1:8" x14ac:dyDescent="0.2">
      <c r="A198" s="204">
        <v>109</v>
      </c>
      <c r="B198" s="202" t="s">
        <v>736</v>
      </c>
      <c r="C198" s="203" t="s">
        <v>779</v>
      </c>
      <c r="D198" s="203" t="s">
        <v>780</v>
      </c>
      <c r="E198" s="202" t="s">
        <v>731</v>
      </c>
      <c r="F198" s="202" t="s">
        <v>592</v>
      </c>
      <c r="G198" s="201">
        <v>109</v>
      </c>
      <c r="H198" s="200">
        <v>51</v>
      </c>
    </row>
    <row r="199" spans="1:8" x14ac:dyDescent="0.2">
      <c r="A199" s="204">
        <v>110</v>
      </c>
      <c r="B199" s="202" t="s">
        <v>781</v>
      </c>
      <c r="C199" s="203" t="s">
        <v>782</v>
      </c>
      <c r="D199" s="203" t="s">
        <v>783</v>
      </c>
      <c r="E199" s="202" t="s">
        <v>583</v>
      </c>
      <c r="F199" s="202" t="s">
        <v>583</v>
      </c>
      <c r="G199" s="201">
        <v>91</v>
      </c>
      <c r="H199" s="200">
        <v>46</v>
      </c>
    </row>
    <row r="200" spans="1:8" x14ac:dyDescent="0.2">
      <c r="A200" s="204">
        <v>111</v>
      </c>
      <c r="B200" s="202" t="s">
        <v>781</v>
      </c>
      <c r="C200" s="203" t="s">
        <v>784</v>
      </c>
      <c r="D200" s="203" t="s">
        <v>785</v>
      </c>
      <c r="E200" s="202" t="s">
        <v>583</v>
      </c>
      <c r="F200" s="202" t="s">
        <v>583</v>
      </c>
      <c r="G200" s="201">
        <v>135</v>
      </c>
      <c r="H200" s="200">
        <v>56</v>
      </c>
    </row>
    <row r="201" spans="1:8" x14ac:dyDescent="0.2">
      <c r="A201" s="204">
        <v>413</v>
      </c>
      <c r="B201" s="202" t="s">
        <v>781</v>
      </c>
      <c r="C201" s="203" t="s">
        <v>786</v>
      </c>
      <c r="D201" s="203" t="s">
        <v>787</v>
      </c>
      <c r="E201" s="202" t="s">
        <v>583</v>
      </c>
      <c r="F201" s="202" t="s">
        <v>583</v>
      </c>
      <c r="G201" s="201">
        <v>91</v>
      </c>
      <c r="H201" s="200">
        <v>51</v>
      </c>
    </row>
    <row r="202" spans="1:8" x14ac:dyDescent="0.2">
      <c r="A202" s="204">
        <v>115</v>
      </c>
      <c r="B202" s="202" t="s">
        <v>781</v>
      </c>
      <c r="C202" s="203" t="s">
        <v>788</v>
      </c>
      <c r="D202" s="203" t="s">
        <v>789</v>
      </c>
      <c r="E202" s="202" t="s">
        <v>587</v>
      </c>
      <c r="F202" s="202" t="s">
        <v>661</v>
      </c>
      <c r="G202" s="201">
        <v>148</v>
      </c>
      <c r="H202" s="200">
        <v>56</v>
      </c>
    </row>
    <row r="203" spans="1:8" x14ac:dyDescent="0.2">
      <c r="A203" s="204">
        <v>115</v>
      </c>
      <c r="B203" s="202" t="s">
        <v>781</v>
      </c>
      <c r="C203" s="203" t="s">
        <v>788</v>
      </c>
      <c r="D203" s="203" t="s">
        <v>789</v>
      </c>
      <c r="E203" s="202" t="s">
        <v>662</v>
      </c>
      <c r="F203" s="202" t="s">
        <v>588</v>
      </c>
      <c r="G203" s="201">
        <v>110</v>
      </c>
      <c r="H203" s="200">
        <v>56</v>
      </c>
    </row>
    <row r="204" spans="1:8" x14ac:dyDescent="0.2">
      <c r="A204" s="204">
        <v>115</v>
      </c>
      <c r="B204" s="202" t="s">
        <v>781</v>
      </c>
      <c r="C204" s="203" t="s">
        <v>788</v>
      </c>
      <c r="D204" s="203" t="s">
        <v>789</v>
      </c>
      <c r="E204" s="202" t="s">
        <v>589</v>
      </c>
      <c r="F204" s="202" t="s">
        <v>592</v>
      </c>
      <c r="G204" s="201">
        <v>148</v>
      </c>
      <c r="H204" s="200">
        <v>56</v>
      </c>
    </row>
    <row r="205" spans="1:8" x14ac:dyDescent="0.2">
      <c r="A205" s="204">
        <v>116</v>
      </c>
      <c r="B205" s="202" t="s">
        <v>781</v>
      </c>
      <c r="C205" s="203" t="s">
        <v>790</v>
      </c>
      <c r="D205" s="203" t="s">
        <v>791</v>
      </c>
      <c r="E205" s="202" t="s">
        <v>583</v>
      </c>
      <c r="F205" s="202" t="s">
        <v>583</v>
      </c>
      <c r="G205" s="201">
        <v>101</v>
      </c>
      <c r="H205" s="200">
        <v>56</v>
      </c>
    </row>
    <row r="206" spans="1:8" x14ac:dyDescent="0.2">
      <c r="A206" s="204">
        <v>117</v>
      </c>
      <c r="B206" s="202" t="s">
        <v>792</v>
      </c>
      <c r="C206" s="203" t="s">
        <v>793</v>
      </c>
      <c r="D206" s="203" t="s">
        <v>794</v>
      </c>
      <c r="E206" s="202" t="s">
        <v>583</v>
      </c>
      <c r="F206" s="202" t="s">
        <v>583</v>
      </c>
      <c r="G206" s="201">
        <v>88</v>
      </c>
      <c r="H206" s="200">
        <v>51</v>
      </c>
    </row>
    <row r="207" spans="1:8" x14ac:dyDescent="0.2">
      <c r="A207" s="204">
        <v>476</v>
      </c>
      <c r="B207" s="202" t="s">
        <v>792</v>
      </c>
      <c r="C207" s="203" t="s">
        <v>795</v>
      </c>
      <c r="D207" s="203" t="s">
        <v>795</v>
      </c>
      <c r="E207" s="202" t="s">
        <v>583</v>
      </c>
      <c r="F207" s="202" t="s">
        <v>583</v>
      </c>
      <c r="G207" s="201">
        <v>114</v>
      </c>
      <c r="H207" s="200">
        <v>51</v>
      </c>
    </row>
    <row r="208" spans="1:8" x14ac:dyDescent="0.2">
      <c r="A208" s="204">
        <v>118</v>
      </c>
      <c r="B208" s="202" t="s">
        <v>792</v>
      </c>
      <c r="C208" s="203" t="s">
        <v>796</v>
      </c>
      <c r="D208" s="203" t="s">
        <v>797</v>
      </c>
      <c r="E208" s="202" t="s">
        <v>583</v>
      </c>
      <c r="F208" s="202" t="s">
        <v>583</v>
      </c>
      <c r="G208" s="201">
        <v>97</v>
      </c>
      <c r="H208" s="200">
        <v>51</v>
      </c>
    </row>
    <row r="209" spans="1:8" x14ac:dyDescent="0.2">
      <c r="A209" s="204">
        <v>466</v>
      </c>
      <c r="B209" s="202" t="s">
        <v>569</v>
      </c>
      <c r="C209" s="203" t="s">
        <v>798</v>
      </c>
      <c r="D209" s="203" t="s">
        <v>799</v>
      </c>
      <c r="E209" s="202" t="s">
        <v>587</v>
      </c>
      <c r="F209" s="202" t="s">
        <v>633</v>
      </c>
      <c r="G209" s="201">
        <v>83</v>
      </c>
      <c r="H209" s="200">
        <v>61</v>
      </c>
    </row>
    <row r="210" spans="1:8" x14ac:dyDescent="0.2">
      <c r="A210" s="204">
        <v>466</v>
      </c>
      <c r="B210" s="202" t="s">
        <v>569</v>
      </c>
      <c r="C210" s="203" t="s">
        <v>798</v>
      </c>
      <c r="D210" s="203" t="s">
        <v>799</v>
      </c>
      <c r="E210" s="202" t="s">
        <v>634</v>
      </c>
      <c r="F210" s="202" t="s">
        <v>614</v>
      </c>
      <c r="G210" s="201">
        <v>101</v>
      </c>
      <c r="H210" s="200">
        <v>61</v>
      </c>
    </row>
    <row r="211" spans="1:8" x14ac:dyDescent="0.2">
      <c r="A211" s="204">
        <v>466</v>
      </c>
      <c r="B211" s="202" t="s">
        <v>569</v>
      </c>
      <c r="C211" s="203" t="s">
        <v>798</v>
      </c>
      <c r="D211" s="203" t="s">
        <v>799</v>
      </c>
      <c r="E211" s="202" t="s">
        <v>615</v>
      </c>
      <c r="F211" s="202" t="s">
        <v>592</v>
      </c>
      <c r="G211" s="201">
        <v>83</v>
      </c>
      <c r="H211" s="200">
        <v>61</v>
      </c>
    </row>
    <row r="212" spans="1:8" x14ac:dyDescent="0.2">
      <c r="A212" s="204">
        <v>120</v>
      </c>
      <c r="B212" s="202" t="s">
        <v>569</v>
      </c>
      <c r="C212" s="203" t="s">
        <v>800</v>
      </c>
      <c r="D212" s="203" t="s">
        <v>801</v>
      </c>
      <c r="E212" s="202" t="s">
        <v>587</v>
      </c>
      <c r="F212" s="202" t="s">
        <v>612</v>
      </c>
      <c r="G212" s="201">
        <v>85</v>
      </c>
      <c r="H212" s="200">
        <v>61</v>
      </c>
    </row>
    <row r="213" spans="1:8" x14ac:dyDescent="0.2">
      <c r="A213" s="204">
        <v>120</v>
      </c>
      <c r="B213" s="202" t="s">
        <v>569</v>
      </c>
      <c r="C213" s="203" t="s">
        <v>800</v>
      </c>
      <c r="D213" s="203" t="s">
        <v>801</v>
      </c>
      <c r="E213" s="202" t="s">
        <v>613</v>
      </c>
      <c r="F213" s="202" t="s">
        <v>614</v>
      </c>
      <c r="G213" s="201">
        <v>124</v>
      </c>
      <c r="H213" s="200">
        <v>61</v>
      </c>
    </row>
    <row r="214" spans="1:8" x14ac:dyDescent="0.2">
      <c r="A214" s="204">
        <v>120</v>
      </c>
      <c r="B214" s="202" t="s">
        <v>569</v>
      </c>
      <c r="C214" s="203" t="s">
        <v>800</v>
      </c>
      <c r="D214" s="203" t="s">
        <v>801</v>
      </c>
      <c r="E214" s="202" t="s">
        <v>615</v>
      </c>
      <c r="F214" s="202" t="s">
        <v>592</v>
      </c>
      <c r="G214" s="201">
        <v>85</v>
      </c>
      <c r="H214" s="200">
        <v>61</v>
      </c>
    </row>
    <row r="215" spans="1:8" x14ac:dyDescent="0.2">
      <c r="A215" s="204">
        <v>467</v>
      </c>
      <c r="B215" s="202" t="s">
        <v>569</v>
      </c>
      <c r="C215" s="203" t="s">
        <v>802</v>
      </c>
      <c r="D215" s="203" t="s">
        <v>803</v>
      </c>
      <c r="E215" s="202" t="s">
        <v>583</v>
      </c>
      <c r="F215" s="202" t="s">
        <v>583</v>
      </c>
      <c r="G215" s="201">
        <v>86</v>
      </c>
      <c r="H215" s="200">
        <v>46</v>
      </c>
    </row>
    <row r="216" spans="1:8" x14ac:dyDescent="0.2">
      <c r="A216" s="204">
        <v>122</v>
      </c>
      <c r="B216" s="202" t="s">
        <v>569</v>
      </c>
      <c r="C216" s="203" t="s">
        <v>804</v>
      </c>
      <c r="D216" s="203" t="s">
        <v>805</v>
      </c>
      <c r="E216" s="202" t="s">
        <v>583</v>
      </c>
      <c r="F216" s="202" t="s">
        <v>583</v>
      </c>
      <c r="G216" s="201">
        <v>99</v>
      </c>
      <c r="H216" s="200">
        <v>71</v>
      </c>
    </row>
    <row r="217" spans="1:8" x14ac:dyDescent="0.2">
      <c r="A217" s="204">
        <v>422</v>
      </c>
      <c r="B217" s="202" t="s">
        <v>806</v>
      </c>
      <c r="C217" s="203" t="s">
        <v>807</v>
      </c>
      <c r="D217" s="203" t="s">
        <v>808</v>
      </c>
      <c r="E217" s="202" t="s">
        <v>583</v>
      </c>
      <c r="F217" s="202" t="s">
        <v>583</v>
      </c>
      <c r="G217" s="201">
        <v>90</v>
      </c>
      <c r="H217" s="200">
        <v>51</v>
      </c>
    </row>
    <row r="218" spans="1:8" x14ac:dyDescent="0.2">
      <c r="A218" s="204">
        <v>123</v>
      </c>
      <c r="B218" s="202" t="s">
        <v>806</v>
      </c>
      <c r="C218" s="203" t="s">
        <v>809</v>
      </c>
      <c r="D218" s="203" t="s">
        <v>810</v>
      </c>
      <c r="E218" s="202" t="s">
        <v>587</v>
      </c>
      <c r="F218" s="202" t="s">
        <v>640</v>
      </c>
      <c r="G218" s="201">
        <v>194</v>
      </c>
      <c r="H218" s="200">
        <v>71</v>
      </c>
    </row>
    <row r="219" spans="1:8" x14ac:dyDescent="0.2">
      <c r="A219" s="204">
        <v>123</v>
      </c>
      <c r="B219" s="202" t="s">
        <v>806</v>
      </c>
      <c r="C219" s="203" t="s">
        <v>809</v>
      </c>
      <c r="D219" s="203" t="s">
        <v>810</v>
      </c>
      <c r="E219" s="202" t="s">
        <v>641</v>
      </c>
      <c r="F219" s="202" t="s">
        <v>588</v>
      </c>
      <c r="G219" s="201">
        <v>132</v>
      </c>
      <c r="H219" s="200">
        <v>71</v>
      </c>
    </row>
    <row r="220" spans="1:8" x14ac:dyDescent="0.2">
      <c r="A220" s="204">
        <v>123</v>
      </c>
      <c r="B220" s="202" t="s">
        <v>806</v>
      </c>
      <c r="C220" s="203" t="s">
        <v>809</v>
      </c>
      <c r="D220" s="203" t="s">
        <v>810</v>
      </c>
      <c r="E220" s="202" t="s">
        <v>589</v>
      </c>
      <c r="F220" s="202" t="s">
        <v>730</v>
      </c>
      <c r="G220" s="201">
        <v>159</v>
      </c>
      <c r="H220" s="200">
        <v>71</v>
      </c>
    </row>
    <row r="221" spans="1:8" x14ac:dyDescent="0.2">
      <c r="A221" s="204">
        <v>123</v>
      </c>
      <c r="B221" s="202" t="s">
        <v>806</v>
      </c>
      <c r="C221" s="203" t="s">
        <v>809</v>
      </c>
      <c r="D221" s="203" t="s">
        <v>810</v>
      </c>
      <c r="E221" s="202" t="s">
        <v>731</v>
      </c>
      <c r="F221" s="202" t="s">
        <v>614</v>
      </c>
      <c r="G221" s="201">
        <v>192</v>
      </c>
      <c r="H221" s="200">
        <v>71</v>
      </c>
    </row>
    <row r="222" spans="1:8" x14ac:dyDescent="0.2">
      <c r="A222" s="204">
        <v>123</v>
      </c>
      <c r="B222" s="202" t="s">
        <v>806</v>
      </c>
      <c r="C222" s="203" t="s">
        <v>809</v>
      </c>
      <c r="D222" s="203" t="s">
        <v>810</v>
      </c>
      <c r="E222" s="202" t="s">
        <v>615</v>
      </c>
      <c r="F222" s="202" t="s">
        <v>592</v>
      </c>
      <c r="G222" s="201">
        <v>194</v>
      </c>
      <c r="H222" s="200">
        <v>71</v>
      </c>
    </row>
    <row r="223" spans="1:8" ht="25.5" x14ac:dyDescent="0.2">
      <c r="A223" s="204">
        <v>462</v>
      </c>
      <c r="B223" s="202" t="s">
        <v>806</v>
      </c>
      <c r="C223" s="203" t="s">
        <v>811</v>
      </c>
      <c r="D223" s="203" t="s">
        <v>812</v>
      </c>
      <c r="E223" s="202" t="s">
        <v>583</v>
      </c>
      <c r="F223" s="202" t="s">
        <v>583</v>
      </c>
      <c r="G223" s="201">
        <v>115</v>
      </c>
      <c r="H223" s="200">
        <v>56</v>
      </c>
    </row>
    <row r="224" spans="1:8" x14ac:dyDescent="0.2">
      <c r="A224" s="204">
        <v>124</v>
      </c>
      <c r="B224" s="202" t="s">
        <v>806</v>
      </c>
      <c r="C224" s="203" t="s">
        <v>813</v>
      </c>
      <c r="D224" s="203" t="s">
        <v>814</v>
      </c>
      <c r="E224" s="202" t="s">
        <v>583</v>
      </c>
      <c r="F224" s="202" t="s">
        <v>583</v>
      </c>
      <c r="G224" s="201">
        <v>103</v>
      </c>
      <c r="H224" s="200">
        <v>61</v>
      </c>
    </row>
    <row r="225" spans="1:8" x14ac:dyDescent="0.2">
      <c r="A225" s="204">
        <v>126</v>
      </c>
      <c r="B225" s="202" t="s">
        <v>806</v>
      </c>
      <c r="C225" s="203" t="s">
        <v>815</v>
      </c>
      <c r="D225" s="203" t="s">
        <v>816</v>
      </c>
      <c r="E225" s="202" t="s">
        <v>583</v>
      </c>
      <c r="F225" s="202" t="s">
        <v>583</v>
      </c>
      <c r="G225" s="201">
        <v>89</v>
      </c>
      <c r="H225" s="200">
        <v>56</v>
      </c>
    </row>
    <row r="226" spans="1:8" x14ac:dyDescent="0.2">
      <c r="A226" s="204">
        <v>127</v>
      </c>
      <c r="B226" s="202" t="s">
        <v>817</v>
      </c>
      <c r="C226" s="203" t="s">
        <v>818</v>
      </c>
      <c r="D226" s="203" t="s">
        <v>755</v>
      </c>
      <c r="E226" s="202" t="s">
        <v>583</v>
      </c>
      <c r="F226" s="202" t="s">
        <v>583</v>
      </c>
      <c r="G226" s="201">
        <v>104</v>
      </c>
      <c r="H226" s="200">
        <v>56</v>
      </c>
    </row>
    <row r="227" spans="1:8" x14ac:dyDescent="0.2">
      <c r="A227" s="204">
        <v>129</v>
      </c>
      <c r="B227" s="202" t="s">
        <v>817</v>
      </c>
      <c r="C227" s="203" t="s">
        <v>819</v>
      </c>
      <c r="D227" s="203" t="s">
        <v>820</v>
      </c>
      <c r="E227" s="202" t="s">
        <v>583</v>
      </c>
      <c r="F227" s="202" t="s">
        <v>583</v>
      </c>
      <c r="G227" s="201">
        <v>88</v>
      </c>
      <c r="H227" s="200">
        <v>56</v>
      </c>
    </row>
    <row r="228" spans="1:8" x14ac:dyDescent="0.2">
      <c r="A228" s="204">
        <v>414</v>
      </c>
      <c r="B228" s="202" t="s">
        <v>817</v>
      </c>
      <c r="C228" s="203" t="s">
        <v>821</v>
      </c>
      <c r="D228" s="203" t="s">
        <v>822</v>
      </c>
      <c r="E228" s="202" t="s">
        <v>583</v>
      </c>
      <c r="F228" s="202" t="s">
        <v>583</v>
      </c>
      <c r="G228" s="201">
        <v>96</v>
      </c>
      <c r="H228" s="200">
        <v>46</v>
      </c>
    </row>
    <row r="229" spans="1:8" x14ac:dyDescent="0.2">
      <c r="A229" s="204">
        <v>130</v>
      </c>
      <c r="B229" s="202" t="s">
        <v>817</v>
      </c>
      <c r="C229" s="203" t="s">
        <v>823</v>
      </c>
      <c r="D229" s="203" t="s">
        <v>824</v>
      </c>
      <c r="E229" s="202" t="s">
        <v>583</v>
      </c>
      <c r="F229" s="202" t="s">
        <v>583</v>
      </c>
      <c r="G229" s="201">
        <v>98</v>
      </c>
      <c r="H229" s="200">
        <v>61</v>
      </c>
    </row>
    <row r="230" spans="1:8" x14ac:dyDescent="0.2">
      <c r="A230" s="204">
        <v>131</v>
      </c>
      <c r="B230" s="202" t="s">
        <v>817</v>
      </c>
      <c r="C230" s="203" t="s">
        <v>825</v>
      </c>
      <c r="D230" s="203" t="s">
        <v>826</v>
      </c>
      <c r="E230" s="202" t="s">
        <v>583</v>
      </c>
      <c r="F230" s="202" t="s">
        <v>583</v>
      </c>
      <c r="G230" s="201">
        <v>88</v>
      </c>
      <c r="H230" s="200">
        <v>51</v>
      </c>
    </row>
    <row r="231" spans="1:8" x14ac:dyDescent="0.2">
      <c r="A231" s="204">
        <v>134</v>
      </c>
      <c r="B231" s="202" t="s">
        <v>817</v>
      </c>
      <c r="C231" s="203" t="s">
        <v>827</v>
      </c>
      <c r="D231" s="203" t="s">
        <v>828</v>
      </c>
      <c r="E231" s="202" t="s">
        <v>583</v>
      </c>
      <c r="F231" s="202" t="s">
        <v>583</v>
      </c>
      <c r="G231" s="201">
        <v>90</v>
      </c>
      <c r="H231" s="200">
        <v>56</v>
      </c>
    </row>
    <row r="232" spans="1:8" x14ac:dyDescent="0.2">
      <c r="A232" s="204">
        <v>137</v>
      </c>
      <c r="B232" s="202" t="s">
        <v>829</v>
      </c>
      <c r="C232" s="203" t="s">
        <v>830</v>
      </c>
      <c r="D232" s="203" t="s">
        <v>831</v>
      </c>
      <c r="E232" s="202" t="s">
        <v>583</v>
      </c>
      <c r="F232" s="202" t="s">
        <v>583</v>
      </c>
      <c r="G232" s="201">
        <v>106</v>
      </c>
      <c r="H232" s="200">
        <v>61</v>
      </c>
    </row>
    <row r="233" spans="1:8" x14ac:dyDescent="0.2">
      <c r="A233" s="204">
        <v>138</v>
      </c>
      <c r="B233" s="202" t="s">
        <v>829</v>
      </c>
      <c r="C233" s="203" t="s">
        <v>832</v>
      </c>
      <c r="D233" s="203" t="s">
        <v>833</v>
      </c>
      <c r="E233" s="202" t="s">
        <v>583</v>
      </c>
      <c r="F233" s="202" t="s">
        <v>583</v>
      </c>
      <c r="G233" s="201">
        <v>93</v>
      </c>
      <c r="H233" s="200">
        <v>56</v>
      </c>
    </row>
    <row r="234" spans="1:8" x14ac:dyDescent="0.2">
      <c r="A234" s="204">
        <v>139</v>
      </c>
      <c r="B234" s="202" t="s">
        <v>834</v>
      </c>
      <c r="C234" s="203" t="s">
        <v>835</v>
      </c>
      <c r="D234" s="203" t="s">
        <v>835</v>
      </c>
      <c r="E234" s="202" t="s">
        <v>583</v>
      </c>
      <c r="F234" s="202" t="s">
        <v>583</v>
      </c>
      <c r="G234" s="201">
        <v>92</v>
      </c>
      <c r="H234" s="200">
        <v>51</v>
      </c>
    </row>
    <row r="235" spans="1:8" x14ac:dyDescent="0.2">
      <c r="A235" s="204">
        <v>436</v>
      </c>
      <c r="B235" s="202" t="s">
        <v>834</v>
      </c>
      <c r="C235" s="203" t="s">
        <v>836</v>
      </c>
      <c r="D235" s="203" t="s">
        <v>836</v>
      </c>
      <c r="E235" s="202" t="s">
        <v>583</v>
      </c>
      <c r="F235" s="202" t="s">
        <v>583</v>
      </c>
      <c r="G235" s="201">
        <v>132</v>
      </c>
      <c r="H235" s="200">
        <v>56</v>
      </c>
    </row>
    <row r="236" spans="1:8" x14ac:dyDescent="0.2">
      <c r="A236" s="204">
        <v>140</v>
      </c>
      <c r="B236" s="202" t="s">
        <v>834</v>
      </c>
      <c r="C236" s="203" t="s">
        <v>837</v>
      </c>
      <c r="D236" s="203" t="s">
        <v>838</v>
      </c>
      <c r="E236" s="202" t="s">
        <v>583</v>
      </c>
      <c r="F236" s="202" t="s">
        <v>583</v>
      </c>
      <c r="G236" s="201">
        <v>97</v>
      </c>
      <c r="H236" s="200">
        <v>61</v>
      </c>
    </row>
    <row r="237" spans="1:8" x14ac:dyDescent="0.2">
      <c r="A237" s="204">
        <v>141</v>
      </c>
      <c r="B237" s="202" t="s">
        <v>834</v>
      </c>
      <c r="C237" s="203" t="s">
        <v>839</v>
      </c>
      <c r="D237" s="203" t="s">
        <v>840</v>
      </c>
      <c r="E237" s="202" t="s">
        <v>587</v>
      </c>
      <c r="F237" s="202" t="s">
        <v>620</v>
      </c>
      <c r="G237" s="201">
        <v>106</v>
      </c>
      <c r="H237" s="200">
        <v>61</v>
      </c>
    </row>
    <row r="238" spans="1:8" x14ac:dyDescent="0.2">
      <c r="A238" s="204">
        <v>141</v>
      </c>
      <c r="B238" s="202" t="s">
        <v>834</v>
      </c>
      <c r="C238" s="203" t="s">
        <v>839</v>
      </c>
      <c r="D238" s="203" t="s">
        <v>840</v>
      </c>
      <c r="E238" s="202" t="s">
        <v>621</v>
      </c>
      <c r="F238" s="202" t="s">
        <v>612</v>
      </c>
      <c r="G238" s="201">
        <v>121</v>
      </c>
      <c r="H238" s="200">
        <v>61</v>
      </c>
    </row>
    <row r="239" spans="1:8" x14ac:dyDescent="0.2">
      <c r="A239" s="204">
        <v>141</v>
      </c>
      <c r="B239" s="202" t="s">
        <v>834</v>
      </c>
      <c r="C239" s="203" t="s">
        <v>839</v>
      </c>
      <c r="D239" s="203" t="s">
        <v>840</v>
      </c>
      <c r="E239" s="202" t="s">
        <v>613</v>
      </c>
      <c r="F239" s="202" t="s">
        <v>592</v>
      </c>
      <c r="G239" s="201">
        <v>106</v>
      </c>
      <c r="H239" s="200">
        <v>61</v>
      </c>
    </row>
    <row r="240" spans="1:8" ht="25.5" x14ac:dyDescent="0.2">
      <c r="A240" s="204">
        <v>478</v>
      </c>
      <c r="B240" s="202" t="s">
        <v>841</v>
      </c>
      <c r="C240" s="203" t="s">
        <v>842</v>
      </c>
      <c r="D240" s="203" t="s">
        <v>843</v>
      </c>
      <c r="E240" s="202" t="s">
        <v>583</v>
      </c>
      <c r="F240" s="202" t="s">
        <v>583</v>
      </c>
      <c r="G240" s="201">
        <v>86</v>
      </c>
      <c r="H240" s="200">
        <v>61</v>
      </c>
    </row>
    <row r="241" spans="1:8" x14ac:dyDescent="0.2">
      <c r="A241" s="204">
        <v>142</v>
      </c>
      <c r="B241" s="202" t="s">
        <v>841</v>
      </c>
      <c r="C241" s="203" t="s">
        <v>844</v>
      </c>
      <c r="D241" s="203" t="s">
        <v>845</v>
      </c>
      <c r="E241" s="202" t="s">
        <v>583</v>
      </c>
      <c r="F241" s="202" t="s">
        <v>583</v>
      </c>
      <c r="G241" s="201">
        <v>94</v>
      </c>
      <c r="H241" s="200">
        <v>56</v>
      </c>
    </row>
    <row r="242" spans="1:8" x14ac:dyDescent="0.2">
      <c r="A242" s="204">
        <v>438</v>
      </c>
      <c r="B242" s="202" t="s">
        <v>841</v>
      </c>
      <c r="C242" s="203" t="s">
        <v>846</v>
      </c>
      <c r="D242" s="203" t="s">
        <v>847</v>
      </c>
      <c r="E242" s="202" t="s">
        <v>583</v>
      </c>
      <c r="F242" s="202" t="s">
        <v>583</v>
      </c>
      <c r="G242" s="201">
        <v>90</v>
      </c>
      <c r="H242" s="200">
        <v>56</v>
      </c>
    </row>
    <row r="243" spans="1:8" ht="25.5" x14ac:dyDescent="0.2">
      <c r="A243" s="204">
        <v>144</v>
      </c>
      <c r="B243" s="202" t="s">
        <v>841</v>
      </c>
      <c r="C243" s="203" t="s">
        <v>848</v>
      </c>
      <c r="D243" s="203" t="s">
        <v>849</v>
      </c>
      <c r="E243" s="202" t="s">
        <v>587</v>
      </c>
      <c r="F243" s="202" t="s">
        <v>596</v>
      </c>
      <c r="G243" s="201">
        <v>154</v>
      </c>
      <c r="H243" s="200">
        <v>71</v>
      </c>
    </row>
    <row r="244" spans="1:8" ht="25.5" x14ac:dyDescent="0.2">
      <c r="A244" s="204">
        <v>144</v>
      </c>
      <c r="B244" s="202" t="s">
        <v>841</v>
      </c>
      <c r="C244" s="203" t="s">
        <v>848</v>
      </c>
      <c r="D244" s="203" t="s">
        <v>849</v>
      </c>
      <c r="E244" s="202" t="s">
        <v>597</v>
      </c>
      <c r="F244" s="202" t="s">
        <v>633</v>
      </c>
      <c r="G244" s="201">
        <v>151</v>
      </c>
      <c r="H244" s="200">
        <v>71</v>
      </c>
    </row>
    <row r="245" spans="1:8" ht="25.5" x14ac:dyDescent="0.2">
      <c r="A245" s="204">
        <v>144</v>
      </c>
      <c r="B245" s="202" t="s">
        <v>841</v>
      </c>
      <c r="C245" s="203" t="s">
        <v>848</v>
      </c>
      <c r="D245" s="203" t="s">
        <v>849</v>
      </c>
      <c r="E245" s="202" t="s">
        <v>634</v>
      </c>
      <c r="F245" s="202" t="s">
        <v>592</v>
      </c>
      <c r="G245" s="201">
        <v>107</v>
      </c>
      <c r="H245" s="200">
        <v>71</v>
      </c>
    </row>
    <row r="246" spans="1:8" x14ac:dyDescent="0.2">
      <c r="A246" s="204">
        <v>147</v>
      </c>
      <c r="B246" s="202" t="s">
        <v>850</v>
      </c>
      <c r="C246" s="203" t="s">
        <v>851</v>
      </c>
      <c r="D246" s="203" t="s">
        <v>852</v>
      </c>
      <c r="E246" s="202" t="s">
        <v>583</v>
      </c>
      <c r="F246" s="202" t="s">
        <v>583</v>
      </c>
      <c r="G246" s="201">
        <v>101</v>
      </c>
      <c r="H246" s="200">
        <v>56</v>
      </c>
    </row>
    <row r="247" spans="1:8" x14ac:dyDescent="0.2">
      <c r="A247" s="204">
        <v>148</v>
      </c>
      <c r="B247" s="202" t="s">
        <v>850</v>
      </c>
      <c r="C247" s="203" t="s">
        <v>853</v>
      </c>
      <c r="D247" s="203" t="s">
        <v>854</v>
      </c>
      <c r="E247" s="202" t="s">
        <v>587</v>
      </c>
      <c r="F247" s="202" t="s">
        <v>661</v>
      </c>
      <c r="G247" s="201">
        <v>258</v>
      </c>
      <c r="H247" s="200">
        <v>71</v>
      </c>
    </row>
    <row r="248" spans="1:8" x14ac:dyDescent="0.2">
      <c r="A248" s="204">
        <v>148</v>
      </c>
      <c r="B248" s="202" t="s">
        <v>850</v>
      </c>
      <c r="C248" s="203" t="s">
        <v>853</v>
      </c>
      <c r="D248" s="203" t="s">
        <v>854</v>
      </c>
      <c r="E248" s="202" t="s">
        <v>662</v>
      </c>
      <c r="F248" s="202" t="s">
        <v>610</v>
      </c>
      <c r="G248" s="201">
        <v>179</v>
      </c>
      <c r="H248" s="200">
        <v>71</v>
      </c>
    </row>
    <row r="249" spans="1:8" x14ac:dyDescent="0.2">
      <c r="A249" s="204">
        <v>148</v>
      </c>
      <c r="B249" s="202" t="s">
        <v>850</v>
      </c>
      <c r="C249" s="203" t="s">
        <v>853</v>
      </c>
      <c r="D249" s="203" t="s">
        <v>854</v>
      </c>
      <c r="E249" s="202" t="s">
        <v>611</v>
      </c>
      <c r="F249" s="202" t="s">
        <v>633</v>
      </c>
      <c r="G249" s="201">
        <v>231</v>
      </c>
      <c r="H249" s="200">
        <v>71</v>
      </c>
    </row>
    <row r="250" spans="1:8" x14ac:dyDescent="0.2">
      <c r="A250" s="204">
        <v>148</v>
      </c>
      <c r="B250" s="202" t="s">
        <v>850</v>
      </c>
      <c r="C250" s="203" t="s">
        <v>853</v>
      </c>
      <c r="D250" s="203" t="s">
        <v>854</v>
      </c>
      <c r="E250" s="202" t="s">
        <v>634</v>
      </c>
      <c r="F250" s="202" t="s">
        <v>614</v>
      </c>
      <c r="G250" s="201">
        <v>210</v>
      </c>
      <c r="H250" s="200">
        <v>71</v>
      </c>
    </row>
    <row r="251" spans="1:8" x14ac:dyDescent="0.2">
      <c r="A251" s="204">
        <v>148</v>
      </c>
      <c r="B251" s="202" t="s">
        <v>850</v>
      </c>
      <c r="C251" s="203" t="s">
        <v>853</v>
      </c>
      <c r="D251" s="203" t="s">
        <v>854</v>
      </c>
      <c r="E251" s="202" t="s">
        <v>615</v>
      </c>
      <c r="F251" s="202" t="s">
        <v>592</v>
      </c>
      <c r="G251" s="201">
        <v>258</v>
      </c>
      <c r="H251" s="200">
        <v>71</v>
      </c>
    </row>
    <row r="252" spans="1:8" x14ac:dyDescent="0.2">
      <c r="A252" s="204">
        <v>149</v>
      </c>
      <c r="B252" s="202" t="s">
        <v>850</v>
      </c>
      <c r="C252" s="203" t="s">
        <v>855</v>
      </c>
      <c r="D252" s="203" t="s">
        <v>856</v>
      </c>
      <c r="E252" s="202" t="s">
        <v>583</v>
      </c>
      <c r="F252" s="202" t="s">
        <v>583</v>
      </c>
      <c r="G252" s="201">
        <v>127</v>
      </c>
      <c r="H252" s="200">
        <v>71</v>
      </c>
    </row>
    <row r="253" spans="1:8" x14ac:dyDescent="0.2">
      <c r="A253" s="204">
        <v>150</v>
      </c>
      <c r="B253" s="202" t="s">
        <v>850</v>
      </c>
      <c r="C253" s="203" t="s">
        <v>857</v>
      </c>
      <c r="D253" s="203" t="s">
        <v>858</v>
      </c>
      <c r="E253" s="202" t="s">
        <v>587</v>
      </c>
      <c r="F253" s="202" t="s">
        <v>633</v>
      </c>
      <c r="G253" s="201">
        <v>110</v>
      </c>
      <c r="H253" s="200">
        <v>51</v>
      </c>
    </row>
    <row r="254" spans="1:8" x14ac:dyDescent="0.2">
      <c r="A254" s="204">
        <v>150</v>
      </c>
      <c r="B254" s="202" t="s">
        <v>850</v>
      </c>
      <c r="C254" s="203" t="s">
        <v>857</v>
      </c>
      <c r="D254" s="203" t="s">
        <v>858</v>
      </c>
      <c r="E254" s="202" t="s">
        <v>634</v>
      </c>
      <c r="F254" s="202" t="s">
        <v>614</v>
      </c>
      <c r="G254" s="201">
        <v>184</v>
      </c>
      <c r="H254" s="200">
        <v>51</v>
      </c>
    </row>
    <row r="255" spans="1:8" x14ac:dyDescent="0.2">
      <c r="A255" s="204">
        <v>150</v>
      </c>
      <c r="B255" s="202" t="s">
        <v>850</v>
      </c>
      <c r="C255" s="203" t="s">
        <v>857</v>
      </c>
      <c r="D255" s="203" t="s">
        <v>858</v>
      </c>
      <c r="E255" s="202" t="s">
        <v>615</v>
      </c>
      <c r="F255" s="202" t="s">
        <v>592</v>
      </c>
      <c r="G255" s="201">
        <v>110</v>
      </c>
      <c r="H255" s="200">
        <v>51</v>
      </c>
    </row>
    <row r="256" spans="1:8" x14ac:dyDescent="0.2">
      <c r="A256" s="204">
        <v>151</v>
      </c>
      <c r="B256" s="202" t="s">
        <v>850</v>
      </c>
      <c r="C256" s="203" t="s">
        <v>859</v>
      </c>
      <c r="D256" s="203" t="s">
        <v>860</v>
      </c>
      <c r="E256" s="202" t="s">
        <v>587</v>
      </c>
      <c r="F256" s="202" t="s">
        <v>633</v>
      </c>
      <c r="G256" s="201">
        <v>97</v>
      </c>
      <c r="H256" s="200">
        <v>56</v>
      </c>
    </row>
    <row r="257" spans="1:8" x14ac:dyDescent="0.2">
      <c r="A257" s="204">
        <v>151</v>
      </c>
      <c r="B257" s="202" t="s">
        <v>850</v>
      </c>
      <c r="C257" s="203" t="s">
        <v>859</v>
      </c>
      <c r="D257" s="203" t="s">
        <v>860</v>
      </c>
      <c r="E257" s="202" t="s">
        <v>634</v>
      </c>
      <c r="F257" s="202" t="s">
        <v>614</v>
      </c>
      <c r="G257" s="201">
        <v>157</v>
      </c>
      <c r="H257" s="200">
        <v>56</v>
      </c>
    </row>
    <row r="258" spans="1:8" x14ac:dyDescent="0.2">
      <c r="A258" s="204">
        <v>151</v>
      </c>
      <c r="B258" s="202" t="s">
        <v>850</v>
      </c>
      <c r="C258" s="203" t="s">
        <v>859</v>
      </c>
      <c r="D258" s="203" t="s">
        <v>860</v>
      </c>
      <c r="E258" s="202" t="s">
        <v>615</v>
      </c>
      <c r="F258" s="202" t="s">
        <v>592</v>
      </c>
      <c r="G258" s="201">
        <v>97</v>
      </c>
      <c r="H258" s="200">
        <v>56</v>
      </c>
    </row>
    <row r="259" spans="1:8" x14ac:dyDescent="0.2">
      <c r="A259" s="204">
        <v>152</v>
      </c>
      <c r="B259" s="202" t="s">
        <v>850</v>
      </c>
      <c r="C259" s="203" t="s">
        <v>861</v>
      </c>
      <c r="D259" s="203" t="s">
        <v>862</v>
      </c>
      <c r="E259" s="202" t="s">
        <v>587</v>
      </c>
      <c r="F259" s="202" t="s">
        <v>633</v>
      </c>
      <c r="G259" s="201">
        <v>124</v>
      </c>
      <c r="H259" s="200">
        <v>71</v>
      </c>
    </row>
    <row r="260" spans="1:8" x14ac:dyDescent="0.2">
      <c r="A260" s="204">
        <v>152</v>
      </c>
      <c r="B260" s="202" t="s">
        <v>850</v>
      </c>
      <c r="C260" s="203" t="s">
        <v>861</v>
      </c>
      <c r="D260" s="203" t="s">
        <v>862</v>
      </c>
      <c r="E260" s="202" t="s">
        <v>634</v>
      </c>
      <c r="F260" s="202" t="s">
        <v>614</v>
      </c>
      <c r="G260" s="201">
        <v>265</v>
      </c>
      <c r="H260" s="200">
        <v>71</v>
      </c>
    </row>
    <row r="261" spans="1:8" x14ac:dyDescent="0.2">
      <c r="A261" s="204">
        <v>152</v>
      </c>
      <c r="B261" s="202" t="s">
        <v>850</v>
      </c>
      <c r="C261" s="203" t="s">
        <v>861</v>
      </c>
      <c r="D261" s="203" t="s">
        <v>862</v>
      </c>
      <c r="E261" s="202" t="s">
        <v>615</v>
      </c>
      <c r="F261" s="202" t="s">
        <v>592</v>
      </c>
      <c r="G261" s="201">
        <v>124</v>
      </c>
      <c r="H261" s="200">
        <v>71</v>
      </c>
    </row>
    <row r="262" spans="1:8" x14ac:dyDescent="0.2">
      <c r="A262" s="204">
        <v>153</v>
      </c>
      <c r="B262" s="202" t="s">
        <v>850</v>
      </c>
      <c r="C262" s="203" t="s">
        <v>863</v>
      </c>
      <c r="D262" s="203" t="s">
        <v>863</v>
      </c>
      <c r="E262" s="202" t="s">
        <v>587</v>
      </c>
      <c r="F262" s="202" t="s">
        <v>612</v>
      </c>
      <c r="G262" s="201">
        <v>137</v>
      </c>
      <c r="H262" s="200">
        <v>61</v>
      </c>
    </row>
    <row r="263" spans="1:8" x14ac:dyDescent="0.2">
      <c r="A263" s="204">
        <v>153</v>
      </c>
      <c r="B263" s="202" t="s">
        <v>850</v>
      </c>
      <c r="C263" s="203" t="s">
        <v>863</v>
      </c>
      <c r="D263" s="203" t="s">
        <v>863</v>
      </c>
      <c r="E263" s="202" t="s">
        <v>613</v>
      </c>
      <c r="F263" s="202" t="s">
        <v>592</v>
      </c>
      <c r="G263" s="201">
        <v>289</v>
      </c>
      <c r="H263" s="200">
        <v>61</v>
      </c>
    </row>
    <row r="264" spans="1:8" x14ac:dyDescent="0.2">
      <c r="A264" s="204">
        <v>154</v>
      </c>
      <c r="B264" s="202" t="s">
        <v>850</v>
      </c>
      <c r="C264" s="203" t="s">
        <v>864</v>
      </c>
      <c r="D264" s="203" t="s">
        <v>865</v>
      </c>
      <c r="E264" s="202" t="s">
        <v>583</v>
      </c>
      <c r="F264" s="202" t="s">
        <v>583</v>
      </c>
      <c r="G264" s="201">
        <v>106</v>
      </c>
      <c r="H264" s="200">
        <v>56</v>
      </c>
    </row>
    <row r="265" spans="1:8" x14ac:dyDescent="0.2">
      <c r="A265" s="204">
        <v>155</v>
      </c>
      <c r="B265" s="202" t="s">
        <v>850</v>
      </c>
      <c r="C265" s="203" t="s">
        <v>866</v>
      </c>
      <c r="D265" s="203" t="s">
        <v>867</v>
      </c>
      <c r="E265" s="202" t="s">
        <v>583</v>
      </c>
      <c r="F265" s="202" t="s">
        <v>583</v>
      </c>
      <c r="G265" s="201">
        <v>122</v>
      </c>
      <c r="H265" s="200">
        <v>61</v>
      </c>
    </row>
    <row r="266" spans="1:8" x14ac:dyDescent="0.2">
      <c r="A266" s="204">
        <v>156</v>
      </c>
      <c r="B266" s="202" t="s">
        <v>850</v>
      </c>
      <c r="C266" s="203" t="s">
        <v>868</v>
      </c>
      <c r="D266" s="203" t="s">
        <v>869</v>
      </c>
      <c r="E266" s="202" t="s">
        <v>583</v>
      </c>
      <c r="F266" s="202" t="s">
        <v>583</v>
      </c>
      <c r="G266" s="201">
        <v>99</v>
      </c>
      <c r="H266" s="200">
        <v>56</v>
      </c>
    </row>
    <row r="267" spans="1:8" x14ac:dyDescent="0.2">
      <c r="A267" s="204">
        <v>157</v>
      </c>
      <c r="B267" s="202" t="s">
        <v>850</v>
      </c>
      <c r="C267" s="203" t="s">
        <v>870</v>
      </c>
      <c r="D267" s="203" t="s">
        <v>871</v>
      </c>
      <c r="E267" s="202" t="s">
        <v>583</v>
      </c>
      <c r="F267" s="202" t="s">
        <v>583</v>
      </c>
      <c r="G267" s="201">
        <v>133</v>
      </c>
      <c r="H267" s="200">
        <v>51</v>
      </c>
    </row>
    <row r="268" spans="1:8" x14ac:dyDescent="0.2">
      <c r="A268" s="204">
        <v>158</v>
      </c>
      <c r="B268" s="202" t="s">
        <v>850</v>
      </c>
      <c r="C268" s="203" t="s">
        <v>872</v>
      </c>
      <c r="D268" s="203" t="s">
        <v>873</v>
      </c>
      <c r="E268" s="202" t="s">
        <v>583</v>
      </c>
      <c r="F268" s="202" t="s">
        <v>583</v>
      </c>
      <c r="G268" s="201">
        <v>104</v>
      </c>
      <c r="H268" s="200">
        <v>51</v>
      </c>
    </row>
    <row r="269" spans="1:8" x14ac:dyDescent="0.2">
      <c r="A269" s="204">
        <v>160</v>
      </c>
      <c r="B269" s="202" t="s">
        <v>850</v>
      </c>
      <c r="C269" s="203" t="s">
        <v>874</v>
      </c>
      <c r="D269" s="203" t="s">
        <v>874</v>
      </c>
      <c r="E269" s="202" t="s">
        <v>583</v>
      </c>
      <c r="F269" s="202" t="s">
        <v>583</v>
      </c>
      <c r="G269" s="201">
        <v>106</v>
      </c>
      <c r="H269" s="200">
        <v>61</v>
      </c>
    </row>
    <row r="270" spans="1:8" x14ac:dyDescent="0.2">
      <c r="A270" s="204">
        <v>161</v>
      </c>
      <c r="B270" s="202" t="s">
        <v>875</v>
      </c>
      <c r="C270" s="203" t="s">
        <v>876</v>
      </c>
      <c r="D270" s="203" t="s">
        <v>877</v>
      </c>
      <c r="E270" s="202" t="s">
        <v>583</v>
      </c>
      <c r="F270" s="202" t="s">
        <v>583</v>
      </c>
      <c r="G270" s="201">
        <v>94</v>
      </c>
      <c r="H270" s="200">
        <v>56</v>
      </c>
    </row>
    <row r="271" spans="1:8" x14ac:dyDescent="0.2">
      <c r="A271" s="204">
        <v>162</v>
      </c>
      <c r="B271" s="202" t="s">
        <v>875</v>
      </c>
      <c r="C271" s="203" t="s">
        <v>878</v>
      </c>
      <c r="D271" s="203" t="s">
        <v>879</v>
      </c>
      <c r="E271" s="202" t="s">
        <v>587</v>
      </c>
      <c r="F271" s="202" t="s">
        <v>661</v>
      </c>
      <c r="G271" s="201">
        <v>121</v>
      </c>
      <c r="H271" s="200">
        <v>61</v>
      </c>
    </row>
    <row r="272" spans="1:8" x14ac:dyDescent="0.2">
      <c r="A272" s="204">
        <v>162</v>
      </c>
      <c r="B272" s="202" t="s">
        <v>875</v>
      </c>
      <c r="C272" s="203" t="s">
        <v>878</v>
      </c>
      <c r="D272" s="203" t="s">
        <v>879</v>
      </c>
      <c r="E272" s="202" t="s">
        <v>662</v>
      </c>
      <c r="F272" s="202" t="s">
        <v>730</v>
      </c>
      <c r="G272" s="201">
        <v>100</v>
      </c>
      <c r="H272" s="200">
        <v>61</v>
      </c>
    </row>
    <row r="273" spans="1:8" x14ac:dyDescent="0.2">
      <c r="A273" s="204">
        <v>162</v>
      </c>
      <c r="B273" s="202" t="s">
        <v>875</v>
      </c>
      <c r="C273" s="203" t="s">
        <v>878</v>
      </c>
      <c r="D273" s="203" t="s">
        <v>879</v>
      </c>
      <c r="E273" s="202" t="s">
        <v>731</v>
      </c>
      <c r="F273" s="202" t="s">
        <v>592</v>
      </c>
      <c r="G273" s="201">
        <v>121</v>
      </c>
      <c r="H273" s="200">
        <v>61</v>
      </c>
    </row>
    <row r="274" spans="1:8" x14ac:dyDescent="0.2">
      <c r="A274" s="204">
        <v>429</v>
      </c>
      <c r="B274" s="202" t="s">
        <v>875</v>
      </c>
      <c r="C274" s="203" t="s">
        <v>880</v>
      </c>
      <c r="D274" s="203" t="s">
        <v>881</v>
      </c>
      <c r="E274" s="202" t="s">
        <v>583</v>
      </c>
      <c r="F274" s="202" t="s">
        <v>583</v>
      </c>
      <c r="G274" s="201">
        <v>98</v>
      </c>
      <c r="H274" s="200">
        <v>61</v>
      </c>
    </row>
    <row r="275" spans="1:8" x14ac:dyDescent="0.2">
      <c r="A275" s="204">
        <v>163</v>
      </c>
      <c r="B275" s="202" t="s">
        <v>875</v>
      </c>
      <c r="C275" s="203" t="s">
        <v>882</v>
      </c>
      <c r="D275" s="203" t="s">
        <v>882</v>
      </c>
      <c r="E275" s="202" t="s">
        <v>587</v>
      </c>
      <c r="F275" s="202" t="s">
        <v>640</v>
      </c>
      <c r="G275" s="201">
        <v>153</v>
      </c>
      <c r="H275" s="200">
        <v>71</v>
      </c>
    </row>
    <row r="276" spans="1:8" x14ac:dyDescent="0.2">
      <c r="A276" s="204">
        <v>163</v>
      </c>
      <c r="B276" s="202" t="s">
        <v>875</v>
      </c>
      <c r="C276" s="203" t="s">
        <v>882</v>
      </c>
      <c r="D276" s="203" t="s">
        <v>882</v>
      </c>
      <c r="E276" s="202" t="s">
        <v>641</v>
      </c>
      <c r="F276" s="202" t="s">
        <v>588</v>
      </c>
      <c r="G276" s="201">
        <v>118</v>
      </c>
      <c r="H276" s="200">
        <v>71</v>
      </c>
    </row>
    <row r="277" spans="1:8" x14ac:dyDescent="0.2">
      <c r="A277" s="204">
        <v>163</v>
      </c>
      <c r="B277" s="202" t="s">
        <v>875</v>
      </c>
      <c r="C277" s="203" t="s">
        <v>882</v>
      </c>
      <c r="D277" s="203" t="s">
        <v>882</v>
      </c>
      <c r="E277" s="202" t="s">
        <v>589</v>
      </c>
      <c r="F277" s="202" t="s">
        <v>614</v>
      </c>
      <c r="G277" s="201">
        <v>150</v>
      </c>
      <c r="H277" s="200">
        <v>71</v>
      </c>
    </row>
    <row r="278" spans="1:8" x14ac:dyDescent="0.2">
      <c r="A278" s="204">
        <v>163</v>
      </c>
      <c r="B278" s="202" t="s">
        <v>875</v>
      </c>
      <c r="C278" s="203" t="s">
        <v>882</v>
      </c>
      <c r="D278" s="203" t="s">
        <v>882</v>
      </c>
      <c r="E278" s="202" t="s">
        <v>615</v>
      </c>
      <c r="F278" s="202" t="s">
        <v>592</v>
      </c>
      <c r="G278" s="201">
        <v>153</v>
      </c>
      <c r="H278" s="200">
        <v>71</v>
      </c>
    </row>
    <row r="279" spans="1:8" x14ac:dyDescent="0.2">
      <c r="A279" s="204">
        <v>164</v>
      </c>
      <c r="B279" s="202" t="s">
        <v>875</v>
      </c>
      <c r="C279" s="203" t="s">
        <v>883</v>
      </c>
      <c r="D279" s="203" t="s">
        <v>884</v>
      </c>
      <c r="E279" s="202" t="s">
        <v>587</v>
      </c>
      <c r="F279" s="202" t="s">
        <v>612</v>
      </c>
      <c r="G279" s="201">
        <v>124</v>
      </c>
      <c r="H279" s="200">
        <v>61</v>
      </c>
    </row>
    <row r="280" spans="1:8" x14ac:dyDescent="0.2">
      <c r="A280" s="204">
        <v>164</v>
      </c>
      <c r="B280" s="202" t="s">
        <v>875</v>
      </c>
      <c r="C280" s="203" t="s">
        <v>883</v>
      </c>
      <c r="D280" s="203" t="s">
        <v>884</v>
      </c>
      <c r="E280" s="202" t="s">
        <v>613</v>
      </c>
      <c r="F280" s="202" t="s">
        <v>614</v>
      </c>
      <c r="G280" s="201">
        <v>170</v>
      </c>
      <c r="H280" s="200">
        <v>61</v>
      </c>
    </row>
    <row r="281" spans="1:8" x14ac:dyDescent="0.2">
      <c r="A281" s="204">
        <v>164</v>
      </c>
      <c r="B281" s="202" t="s">
        <v>875</v>
      </c>
      <c r="C281" s="203" t="s">
        <v>883</v>
      </c>
      <c r="D281" s="203" t="s">
        <v>884</v>
      </c>
      <c r="E281" s="202" t="s">
        <v>615</v>
      </c>
      <c r="F281" s="202" t="s">
        <v>592</v>
      </c>
      <c r="G281" s="201">
        <v>124</v>
      </c>
      <c r="H281" s="200">
        <v>61</v>
      </c>
    </row>
    <row r="282" spans="1:8" x14ac:dyDescent="0.2">
      <c r="A282" s="204">
        <v>473</v>
      </c>
      <c r="B282" s="202" t="s">
        <v>875</v>
      </c>
      <c r="C282" s="203" t="s">
        <v>885</v>
      </c>
      <c r="D282" s="203" t="s">
        <v>886</v>
      </c>
      <c r="E282" s="202" t="s">
        <v>587</v>
      </c>
      <c r="F282" s="202" t="s">
        <v>661</v>
      </c>
      <c r="G282" s="201">
        <v>121</v>
      </c>
      <c r="H282" s="200">
        <v>51</v>
      </c>
    </row>
    <row r="283" spans="1:8" x14ac:dyDescent="0.2">
      <c r="A283" s="204">
        <v>473</v>
      </c>
      <c r="B283" s="202" t="s">
        <v>875</v>
      </c>
      <c r="C283" s="203" t="s">
        <v>885</v>
      </c>
      <c r="D283" s="203" t="s">
        <v>886</v>
      </c>
      <c r="E283" s="202" t="s">
        <v>662</v>
      </c>
      <c r="F283" s="202" t="s">
        <v>620</v>
      </c>
      <c r="G283" s="201">
        <v>105</v>
      </c>
      <c r="H283" s="200">
        <v>51</v>
      </c>
    </row>
    <row r="284" spans="1:8" x14ac:dyDescent="0.2">
      <c r="A284" s="204">
        <v>473</v>
      </c>
      <c r="B284" s="202" t="s">
        <v>875</v>
      </c>
      <c r="C284" s="203" t="s">
        <v>885</v>
      </c>
      <c r="D284" s="203" t="s">
        <v>886</v>
      </c>
      <c r="E284" s="202" t="s">
        <v>621</v>
      </c>
      <c r="F284" s="202" t="s">
        <v>592</v>
      </c>
      <c r="G284" s="201">
        <v>121</v>
      </c>
      <c r="H284" s="200">
        <v>51</v>
      </c>
    </row>
    <row r="285" spans="1:8" x14ac:dyDescent="0.2">
      <c r="A285" s="204">
        <v>165</v>
      </c>
      <c r="B285" s="202" t="s">
        <v>875</v>
      </c>
      <c r="C285" s="203" t="s">
        <v>887</v>
      </c>
      <c r="D285" s="203" t="s">
        <v>888</v>
      </c>
      <c r="E285" s="202" t="s">
        <v>583</v>
      </c>
      <c r="F285" s="202" t="s">
        <v>583</v>
      </c>
      <c r="G285" s="201">
        <v>102</v>
      </c>
      <c r="H285" s="200">
        <v>61</v>
      </c>
    </row>
    <row r="286" spans="1:8" x14ac:dyDescent="0.2">
      <c r="A286" s="204">
        <v>166</v>
      </c>
      <c r="B286" s="202" t="s">
        <v>875</v>
      </c>
      <c r="C286" s="203" t="s">
        <v>889</v>
      </c>
      <c r="D286" s="203" t="s">
        <v>889</v>
      </c>
      <c r="E286" s="202" t="s">
        <v>583</v>
      </c>
      <c r="F286" s="202" t="s">
        <v>583</v>
      </c>
      <c r="G286" s="201">
        <v>99</v>
      </c>
      <c r="H286" s="200">
        <v>56</v>
      </c>
    </row>
    <row r="287" spans="1:8" ht="25.5" x14ac:dyDescent="0.2">
      <c r="A287" s="204">
        <v>169</v>
      </c>
      <c r="B287" s="202" t="s">
        <v>875</v>
      </c>
      <c r="C287" s="203" t="s">
        <v>890</v>
      </c>
      <c r="D287" s="203" t="s">
        <v>891</v>
      </c>
      <c r="E287" s="202" t="s">
        <v>583</v>
      </c>
      <c r="F287" s="202" t="s">
        <v>583</v>
      </c>
      <c r="G287" s="201">
        <v>94</v>
      </c>
      <c r="H287" s="200">
        <v>61</v>
      </c>
    </row>
    <row r="288" spans="1:8" x14ac:dyDescent="0.2">
      <c r="A288" s="204">
        <v>170</v>
      </c>
      <c r="B288" s="202" t="s">
        <v>875</v>
      </c>
      <c r="C288" s="203" t="s">
        <v>892</v>
      </c>
      <c r="D288" s="203" t="s">
        <v>874</v>
      </c>
      <c r="E288" s="202" t="s">
        <v>587</v>
      </c>
      <c r="F288" s="202" t="s">
        <v>612</v>
      </c>
      <c r="G288" s="201">
        <v>85</v>
      </c>
      <c r="H288" s="200">
        <v>71</v>
      </c>
    </row>
    <row r="289" spans="1:8" x14ac:dyDescent="0.2">
      <c r="A289" s="204">
        <v>170</v>
      </c>
      <c r="B289" s="202" t="s">
        <v>875</v>
      </c>
      <c r="C289" s="203" t="s">
        <v>892</v>
      </c>
      <c r="D289" s="203" t="s">
        <v>874</v>
      </c>
      <c r="E289" s="202" t="s">
        <v>613</v>
      </c>
      <c r="F289" s="202" t="s">
        <v>614</v>
      </c>
      <c r="G289" s="201">
        <v>193</v>
      </c>
      <c r="H289" s="200">
        <v>71</v>
      </c>
    </row>
    <row r="290" spans="1:8" x14ac:dyDescent="0.2">
      <c r="A290" s="204">
        <v>170</v>
      </c>
      <c r="B290" s="202" t="s">
        <v>875</v>
      </c>
      <c r="C290" s="203" t="s">
        <v>892</v>
      </c>
      <c r="D290" s="203" t="s">
        <v>874</v>
      </c>
      <c r="E290" s="202" t="s">
        <v>615</v>
      </c>
      <c r="F290" s="202" t="s">
        <v>592</v>
      </c>
      <c r="G290" s="201">
        <v>85</v>
      </c>
      <c r="H290" s="200">
        <v>71</v>
      </c>
    </row>
    <row r="291" spans="1:8" x14ac:dyDescent="0.2">
      <c r="A291" s="204">
        <v>171</v>
      </c>
      <c r="B291" s="202" t="s">
        <v>893</v>
      </c>
      <c r="C291" s="203" t="s">
        <v>894</v>
      </c>
      <c r="D291" s="203" t="s">
        <v>895</v>
      </c>
      <c r="E291" s="202" t="s">
        <v>587</v>
      </c>
      <c r="F291" s="202" t="s">
        <v>661</v>
      </c>
      <c r="G291" s="201">
        <v>124</v>
      </c>
      <c r="H291" s="200">
        <v>61</v>
      </c>
    </row>
    <row r="292" spans="1:8" x14ac:dyDescent="0.2">
      <c r="A292" s="204">
        <v>171</v>
      </c>
      <c r="B292" s="202" t="s">
        <v>893</v>
      </c>
      <c r="C292" s="203" t="s">
        <v>894</v>
      </c>
      <c r="D292" s="203" t="s">
        <v>895</v>
      </c>
      <c r="E292" s="202" t="s">
        <v>662</v>
      </c>
      <c r="F292" s="202" t="s">
        <v>610</v>
      </c>
      <c r="G292" s="201">
        <v>83</v>
      </c>
      <c r="H292" s="200">
        <v>61</v>
      </c>
    </row>
    <row r="293" spans="1:8" x14ac:dyDescent="0.2">
      <c r="A293" s="204">
        <v>171</v>
      </c>
      <c r="B293" s="202" t="s">
        <v>893</v>
      </c>
      <c r="C293" s="203" t="s">
        <v>894</v>
      </c>
      <c r="D293" s="203" t="s">
        <v>895</v>
      </c>
      <c r="E293" s="202" t="s">
        <v>611</v>
      </c>
      <c r="F293" s="202" t="s">
        <v>633</v>
      </c>
      <c r="G293" s="201">
        <v>107</v>
      </c>
      <c r="H293" s="200">
        <v>61</v>
      </c>
    </row>
    <row r="294" spans="1:8" x14ac:dyDescent="0.2">
      <c r="A294" s="204">
        <v>171</v>
      </c>
      <c r="B294" s="202" t="s">
        <v>893</v>
      </c>
      <c r="C294" s="203" t="s">
        <v>894</v>
      </c>
      <c r="D294" s="203" t="s">
        <v>895</v>
      </c>
      <c r="E294" s="202" t="s">
        <v>634</v>
      </c>
      <c r="F294" s="202" t="s">
        <v>614</v>
      </c>
      <c r="G294" s="201">
        <v>168</v>
      </c>
      <c r="H294" s="200">
        <v>61</v>
      </c>
    </row>
    <row r="295" spans="1:8" x14ac:dyDescent="0.2">
      <c r="A295" s="204">
        <v>171</v>
      </c>
      <c r="B295" s="202" t="s">
        <v>893</v>
      </c>
      <c r="C295" s="203" t="s">
        <v>894</v>
      </c>
      <c r="D295" s="203" t="s">
        <v>895</v>
      </c>
      <c r="E295" s="202" t="s">
        <v>615</v>
      </c>
      <c r="F295" s="202" t="s">
        <v>592</v>
      </c>
      <c r="G295" s="201">
        <v>124</v>
      </c>
      <c r="H295" s="200">
        <v>61</v>
      </c>
    </row>
    <row r="296" spans="1:8" x14ac:dyDescent="0.2">
      <c r="A296" s="204">
        <v>172</v>
      </c>
      <c r="B296" s="202" t="s">
        <v>893</v>
      </c>
      <c r="C296" s="203" t="s">
        <v>896</v>
      </c>
      <c r="D296" s="203" t="s">
        <v>897</v>
      </c>
      <c r="E296" s="202" t="s">
        <v>587</v>
      </c>
      <c r="F296" s="202" t="s">
        <v>640</v>
      </c>
      <c r="G296" s="201">
        <v>96</v>
      </c>
      <c r="H296" s="200">
        <v>56</v>
      </c>
    </row>
    <row r="297" spans="1:8" x14ac:dyDescent="0.2">
      <c r="A297" s="204">
        <v>172</v>
      </c>
      <c r="B297" s="202" t="s">
        <v>893</v>
      </c>
      <c r="C297" s="203" t="s">
        <v>896</v>
      </c>
      <c r="D297" s="203" t="s">
        <v>897</v>
      </c>
      <c r="E297" s="202" t="s">
        <v>641</v>
      </c>
      <c r="F297" s="202" t="s">
        <v>610</v>
      </c>
      <c r="G297" s="201">
        <v>83</v>
      </c>
      <c r="H297" s="200">
        <v>56</v>
      </c>
    </row>
    <row r="298" spans="1:8" x14ac:dyDescent="0.2">
      <c r="A298" s="204">
        <v>172</v>
      </c>
      <c r="B298" s="202" t="s">
        <v>893</v>
      </c>
      <c r="C298" s="203" t="s">
        <v>896</v>
      </c>
      <c r="D298" s="203" t="s">
        <v>897</v>
      </c>
      <c r="E298" s="202" t="s">
        <v>611</v>
      </c>
      <c r="F298" s="202" t="s">
        <v>633</v>
      </c>
      <c r="G298" s="201">
        <v>89</v>
      </c>
      <c r="H298" s="200">
        <v>56</v>
      </c>
    </row>
    <row r="299" spans="1:8" x14ac:dyDescent="0.2">
      <c r="A299" s="204">
        <v>172</v>
      </c>
      <c r="B299" s="202" t="s">
        <v>893</v>
      </c>
      <c r="C299" s="203" t="s">
        <v>896</v>
      </c>
      <c r="D299" s="203" t="s">
        <v>897</v>
      </c>
      <c r="E299" s="202" t="s">
        <v>634</v>
      </c>
      <c r="F299" s="202" t="s">
        <v>614</v>
      </c>
      <c r="G299" s="201">
        <v>129</v>
      </c>
      <c r="H299" s="200">
        <v>56</v>
      </c>
    </row>
    <row r="300" spans="1:8" x14ac:dyDescent="0.2">
      <c r="A300" s="204">
        <v>172</v>
      </c>
      <c r="B300" s="202" t="s">
        <v>893</v>
      </c>
      <c r="C300" s="203" t="s">
        <v>896</v>
      </c>
      <c r="D300" s="203" t="s">
        <v>897</v>
      </c>
      <c r="E300" s="202" t="s">
        <v>615</v>
      </c>
      <c r="F300" s="202" t="s">
        <v>592</v>
      </c>
      <c r="G300" s="201">
        <v>96</v>
      </c>
      <c r="H300" s="200">
        <v>56</v>
      </c>
    </row>
    <row r="301" spans="1:8" x14ac:dyDescent="0.2">
      <c r="A301" s="204">
        <v>173</v>
      </c>
      <c r="B301" s="202" t="s">
        <v>893</v>
      </c>
      <c r="C301" s="203" t="s">
        <v>898</v>
      </c>
      <c r="D301" s="203" t="s">
        <v>899</v>
      </c>
      <c r="E301" s="202" t="s">
        <v>587</v>
      </c>
      <c r="F301" s="202" t="s">
        <v>661</v>
      </c>
      <c r="G301" s="201">
        <v>124</v>
      </c>
      <c r="H301" s="200">
        <v>56</v>
      </c>
    </row>
    <row r="302" spans="1:8" x14ac:dyDescent="0.2">
      <c r="A302" s="204">
        <v>173</v>
      </c>
      <c r="B302" s="202" t="s">
        <v>893</v>
      </c>
      <c r="C302" s="203" t="s">
        <v>898</v>
      </c>
      <c r="D302" s="203" t="s">
        <v>899</v>
      </c>
      <c r="E302" s="202" t="s">
        <v>662</v>
      </c>
      <c r="F302" s="202" t="s">
        <v>633</v>
      </c>
      <c r="G302" s="201">
        <v>99</v>
      </c>
      <c r="H302" s="200">
        <v>56</v>
      </c>
    </row>
    <row r="303" spans="1:8" x14ac:dyDescent="0.2">
      <c r="A303" s="204">
        <v>173</v>
      </c>
      <c r="B303" s="202" t="s">
        <v>893</v>
      </c>
      <c r="C303" s="203" t="s">
        <v>898</v>
      </c>
      <c r="D303" s="203" t="s">
        <v>899</v>
      </c>
      <c r="E303" s="202" t="s">
        <v>634</v>
      </c>
      <c r="F303" s="202" t="s">
        <v>614</v>
      </c>
      <c r="G303" s="201">
        <v>142</v>
      </c>
      <c r="H303" s="200">
        <v>56</v>
      </c>
    </row>
    <row r="304" spans="1:8" x14ac:dyDescent="0.2">
      <c r="A304" s="204">
        <v>173</v>
      </c>
      <c r="B304" s="202" t="s">
        <v>893</v>
      </c>
      <c r="C304" s="203" t="s">
        <v>898</v>
      </c>
      <c r="D304" s="203" t="s">
        <v>899</v>
      </c>
      <c r="E304" s="202" t="s">
        <v>615</v>
      </c>
      <c r="F304" s="202" t="s">
        <v>592</v>
      </c>
      <c r="G304" s="201">
        <v>124</v>
      </c>
      <c r="H304" s="200">
        <v>56</v>
      </c>
    </row>
    <row r="305" spans="1:8" x14ac:dyDescent="0.2">
      <c r="A305" s="204">
        <v>174</v>
      </c>
      <c r="B305" s="202" t="s">
        <v>893</v>
      </c>
      <c r="C305" s="203" t="s">
        <v>900</v>
      </c>
      <c r="D305" s="203" t="s">
        <v>901</v>
      </c>
      <c r="E305" s="202" t="s">
        <v>587</v>
      </c>
      <c r="F305" s="202" t="s">
        <v>633</v>
      </c>
      <c r="G305" s="201">
        <v>85</v>
      </c>
      <c r="H305" s="200">
        <v>56</v>
      </c>
    </row>
    <row r="306" spans="1:8" x14ac:dyDescent="0.2">
      <c r="A306" s="204">
        <v>174</v>
      </c>
      <c r="B306" s="202" t="s">
        <v>893</v>
      </c>
      <c r="C306" s="203" t="s">
        <v>900</v>
      </c>
      <c r="D306" s="203" t="s">
        <v>901</v>
      </c>
      <c r="E306" s="202" t="s">
        <v>634</v>
      </c>
      <c r="F306" s="202" t="s">
        <v>614</v>
      </c>
      <c r="G306" s="201">
        <v>108</v>
      </c>
      <c r="H306" s="200">
        <v>56</v>
      </c>
    </row>
    <row r="307" spans="1:8" x14ac:dyDescent="0.2">
      <c r="A307" s="204">
        <v>174</v>
      </c>
      <c r="B307" s="202" t="s">
        <v>893</v>
      </c>
      <c r="C307" s="203" t="s">
        <v>900</v>
      </c>
      <c r="D307" s="203" t="s">
        <v>901</v>
      </c>
      <c r="E307" s="202" t="s">
        <v>615</v>
      </c>
      <c r="F307" s="202" t="s">
        <v>592</v>
      </c>
      <c r="G307" s="201">
        <v>85</v>
      </c>
      <c r="H307" s="200">
        <v>56</v>
      </c>
    </row>
    <row r="308" spans="1:8" x14ac:dyDescent="0.2">
      <c r="A308" s="204">
        <v>175</v>
      </c>
      <c r="B308" s="202" t="s">
        <v>902</v>
      </c>
      <c r="C308" s="203" t="s">
        <v>903</v>
      </c>
      <c r="D308" s="203" t="s">
        <v>904</v>
      </c>
      <c r="E308" s="202" t="s">
        <v>583</v>
      </c>
      <c r="F308" s="202" t="s">
        <v>583</v>
      </c>
      <c r="G308" s="201">
        <v>105</v>
      </c>
      <c r="H308" s="200">
        <v>56</v>
      </c>
    </row>
    <row r="309" spans="1:8" ht="25.5" x14ac:dyDescent="0.2">
      <c r="A309" s="204">
        <v>176</v>
      </c>
      <c r="B309" s="202" t="s">
        <v>902</v>
      </c>
      <c r="C309" s="203" t="s">
        <v>905</v>
      </c>
      <c r="D309" s="203" t="s">
        <v>906</v>
      </c>
      <c r="E309" s="202" t="s">
        <v>583</v>
      </c>
      <c r="F309" s="202" t="s">
        <v>583</v>
      </c>
      <c r="G309" s="201">
        <v>91</v>
      </c>
      <c r="H309" s="200">
        <v>51</v>
      </c>
    </row>
    <row r="310" spans="1:8" x14ac:dyDescent="0.2">
      <c r="A310" s="204">
        <v>178</v>
      </c>
      <c r="B310" s="202" t="s">
        <v>902</v>
      </c>
      <c r="C310" s="203" t="s">
        <v>907</v>
      </c>
      <c r="D310" s="203" t="s">
        <v>908</v>
      </c>
      <c r="E310" s="202" t="s">
        <v>583</v>
      </c>
      <c r="F310" s="202" t="s">
        <v>583</v>
      </c>
      <c r="G310" s="201">
        <v>109</v>
      </c>
      <c r="H310" s="200">
        <v>56</v>
      </c>
    </row>
    <row r="311" spans="1:8" x14ac:dyDescent="0.2">
      <c r="A311" s="204">
        <v>179</v>
      </c>
      <c r="B311" s="202" t="s">
        <v>902</v>
      </c>
      <c r="C311" s="203" t="s">
        <v>909</v>
      </c>
      <c r="D311" s="203" t="s">
        <v>910</v>
      </c>
      <c r="E311" s="202" t="s">
        <v>583</v>
      </c>
      <c r="F311" s="202" t="s">
        <v>583</v>
      </c>
      <c r="G311" s="201">
        <v>91</v>
      </c>
      <c r="H311" s="200">
        <v>51</v>
      </c>
    </row>
    <row r="312" spans="1:8" x14ac:dyDescent="0.2">
      <c r="A312" s="204">
        <v>183</v>
      </c>
      <c r="B312" s="202" t="s">
        <v>902</v>
      </c>
      <c r="C312" s="203" t="s">
        <v>911</v>
      </c>
      <c r="D312" s="203" t="s">
        <v>729</v>
      </c>
      <c r="E312" s="202" t="s">
        <v>583</v>
      </c>
      <c r="F312" s="202" t="s">
        <v>583</v>
      </c>
      <c r="G312" s="201">
        <v>96</v>
      </c>
      <c r="H312" s="200">
        <v>51</v>
      </c>
    </row>
    <row r="313" spans="1:8" x14ac:dyDescent="0.2">
      <c r="A313" s="204">
        <v>184</v>
      </c>
      <c r="B313" s="202" t="s">
        <v>902</v>
      </c>
      <c r="C313" s="203" t="s">
        <v>912</v>
      </c>
      <c r="D313" s="203" t="s">
        <v>913</v>
      </c>
      <c r="E313" s="202" t="s">
        <v>583</v>
      </c>
      <c r="F313" s="202" t="s">
        <v>583</v>
      </c>
      <c r="G313" s="201">
        <v>98</v>
      </c>
      <c r="H313" s="200">
        <v>56</v>
      </c>
    </row>
    <row r="314" spans="1:8" x14ac:dyDescent="0.2">
      <c r="A314" s="204">
        <v>185</v>
      </c>
      <c r="B314" s="202" t="s">
        <v>902</v>
      </c>
      <c r="C314" s="203" t="s">
        <v>914</v>
      </c>
      <c r="D314" s="203" t="s">
        <v>915</v>
      </c>
      <c r="E314" s="202" t="s">
        <v>583</v>
      </c>
      <c r="F314" s="202" t="s">
        <v>583</v>
      </c>
      <c r="G314" s="201">
        <v>89</v>
      </c>
      <c r="H314" s="200">
        <v>51</v>
      </c>
    </row>
    <row r="315" spans="1:8" x14ac:dyDescent="0.2">
      <c r="A315" s="204">
        <v>187</v>
      </c>
      <c r="B315" s="202" t="s">
        <v>902</v>
      </c>
      <c r="C315" s="203" t="s">
        <v>916</v>
      </c>
      <c r="D315" s="203" t="s">
        <v>917</v>
      </c>
      <c r="E315" s="202" t="s">
        <v>587</v>
      </c>
      <c r="F315" s="202" t="s">
        <v>633</v>
      </c>
      <c r="G315" s="201">
        <v>83</v>
      </c>
      <c r="H315" s="200">
        <v>66</v>
      </c>
    </row>
    <row r="316" spans="1:8" x14ac:dyDescent="0.2">
      <c r="A316" s="204">
        <v>187</v>
      </c>
      <c r="B316" s="202" t="s">
        <v>902</v>
      </c>
      <c r="C316" s="203" t="s">
        <v>916</v>
      </c>
      <c r="D316" s="203" t="s">
        <v>917</v>
      </c>
      <c r="E316" s="202" t="s">
        <v>634</v>
      </c>
      <c r="F316" s="202" t="s">
        <v>614</v>
      </c>
      <c r="G316" s="201">
        <v>99</v>
      </c>
      <c r="H316" s="200">
        <v>66</v>
      </c>
    </row>
    <row r="317" spans="1:8" x14ac:dyDescent="0.2">
      <c r="A317" s="204">
        <v>187</v>
      </c>
      <c r="B317" s="202" t="s">
        <v>902</v>
      </c>
      <c r="C317" s="203" t="s">
        <v>916</v>
      </c>
      <c r="D317" s="203" t="s">
        <v>917</v>
      </c>
      <c r="E317" s="202" t="s">
        <v>615</v>
      </c>
      <c r="F317" s="202" t="s">
        <v>592</v>
      </c>
      <c r="G317" s="201">
        <v>83</v>
      </c>
      <c r="H317" s="200">
        <v>66</v>
      </c>
    </row>
    <row r="318" spans="1:8" x14ac:dyDescent="0.2">
      <c r="A318" s="204">
        <v>188</v>
      </c>
      <c r="B318" s="202" t="s">
        <v>902</v>
      </c>
      <c r="C318" s="203" t="s">
        <v>918</v>
      </c>
      <c r="D318" s="203" t="s">
        <v>918</v>
      </c>
      <c r="E318" s="202" t="s">
        <v>583</v>
      </c>
      <c r="F318" s="202" t="s">
        <v>583</v>
      </c>
      <c r="G318" s="201">
        <v>97</v>
      </c>
      <c r="H318" s="200">
        <v>46</v>
      </c>
    </row>
    <row r="319" spans="1:8" x14ac:dyDescent="0.2">
      <c r="A319" s="204">
        <v>190</v>
      </c>
      <c r="B319" s="202" t="s">
        <v>902</v>
      </c>
      <c r="C319" s="203" t="s">
        <v>919</v>
      </c>
      <c r="D319" s="203" t="s">
        <v>919</v>
      </c>
      <c r="E319" s="202" t="s">
        <v>587</v>
      </c>
      <c r="F319" s="202" t="s">
        <v>612</v>
      </c>
      <c r="G319" s="201">
        <v>83</v>
      </c>
      <c r="H319" s="200">
        <v>46</v>
      </c>
    </row>
    <row r="320" spans="1:8" x14ac:dyDescent="0.2">
      <c r="A320" s="204">
        <v>190</v>
      </c>
      <c r="B320" s="202" t="s">
        <v>902</v>
      </c>
      <c r="C320" s="203" t="s">
        <v>919</v>
      </c>
      <c r="D320" s="203" t="s">
        <v>919</v>
      </c>
      <c r="E320" s="202" t="s">
        <v>613</v>
      </c>
      <c r="F320" s="202" t="s">
        <v>614</v>
      </c>
      <c r="G320" s="201">
        <v>106</v>
      </c>
      <c r="H320" s="200">
        <v>46</v>
      </c>
    </row>
    <row r="321" spans="1:8" x14ac:dyDescent="0.2">
      <c r="A321" s="204">
        <v>190</v>
      </c>
      <c r="B321" s="202" t="s">
        <v>902</v>
      </c>
      <c r="C321" s="203" t="s">
        <v>919</v>
      </c>
      <c r="D321" s="203" t="s">
        <v>919</v>
      </c>
      <c r="E321" s="202" t="s">
        <v>615</v>
      </c>
      <c r="F321" s="202" t="s">
        <v>592</v>
      </c>
      <c r="G321" s="201">
        <v>83</v>
      </c>
      <c r="H321" s="200">
        <v>46</v>
      </c>
    </row>
    <row r="322" spans="1:8" x14ac:dyDescent="0.2">
      <c r="A322" s="204">
        <v>192</v>
      </c>
      <c r="B322" s="202" t="s">
        <v>902</v>
      </c>
      <c r="C322" s="203" t="s">
        <v>920</v>
      </c>
      <c r="D322" s="203" t="s">
        <v>921</v>
      </c>
      <c r="E322" s="202" t="s">
        <v>587</v>
      </c>
      <c r="F322" s="202" t="s">
        <v>633</v>
      </c>
      <c r="G322" s="201">
        <v>85</v>
      </c>
      <c r="H322" s="200">
        <v>51</v>
      </c>
    </row>
    <row r="323" spans="1:8" x14ac:dyDescent="0.2">
      <c r="A323" s="204">
        <v>192</v>
      </c>
      <c r="B323" s="202" t="s">
        <v>902</v>
      </c>
      <c r="C323" s="203" t="s">
        <v>920</v>
      </c>
      <c r="D323" s="203" t="s">
        <v>921</v>
      </c>
      <c r="E323" s="202" t="s">
        <v>634</v>
      </c>
      <c r="F323" s="202" t="s">
        <v>614</v>
      </c>
      <c r="G323" s="201">
        <v>116</v>
      </c>
      <c r="H323" s="200">
        <v>51</v>
      </c>
    </row>
    <row r="324" spans="1:8" x14ac:dyDescent="0.2">
      <c r="A324" s="204">
        <v>192</v>
      </c>
      <c r="B324" s="202" t="s">
        <v>902</v>
      </c>
      <c r="C324" s="203" t="s">
        <v>920</v>
      </c>
      <c r="D324" s="203" t="s">
        <v>921</v>
      </c>
      <c r="E324" s="202" t="s">
        <v>615</v>
      </c>
      <c r="F324" s="202" t="s">
        <v>592</v>
      </c>
      <c r="G324" s="201">
        <v>85</v>
      </c>
      <c r="H324" s="200">
        <v>51</v>
      </c>
    </row>
    <row r="325" spans="1:8" x14ac:dyDescent="0.2">
      <c r="A325" s="204">
        <v>193</v>
      </c>
      <c r="B325" s="202" t="s">
        <v>902</v>
      </c>
      <c r="C325" s="203" t="s">
        <v>922</v>
      </c>
      <c r="D325" s="203" t="s">
        <v>650</v>
      </c>
      <c r="E325" s="202" t="s">
        <v>583</v>
      </c>
      <c r="F325" s="202" t="s">
        <v>583</v>
      </c>
      <c r="G325" s="201">
        <v>96</v>
      </c>
      <c r="H325" s="200">
        <v>56</v>
      </c>
    </row>
    <row r="326" spans="1:8" x14ac:dyDescent="0.2">
      <c r="A326" s="204">
        <v>195</v>
      </c>
      <c r="B326" s="202" t="s">
        <v>902</v>
      </c>
      <c r="C326" s="203" t="s">
        <v>923</v>
      </c>
      <c r="D326" s="203" t="s">
        <v>924</v>
      </c>
      <c r="E326" s="202" t="s">
        <v>587</v>
      </c>
      <c r="F326" s="202" t="s">
        <v>612</v>
      </c>
      <c r="G326" s="201">
        <v>83</v>
      </c>
      <c r="H326" s="200">
        <v>56</v>
      </c>
    </row>
    <row r="327" spans="1:8" x14ac:dyDescent="0.2">
      <c r="A327" s="204">
        <v>195</v>
      </c>
      <c r="B327" s="202" t="s">
        <v>902</v>
      </c>
      <c r="C327" s="203" t="s">
        <v>923</v>
      </c>
      <c r="D327" s="203" t="s">
        <v>924</v>
      </c>
      <c r="E327" s="202" t="s">
        <v>613</v>
      </c>
      <c r="F327" s="202" t="s">
        <v>614</v>
      </c>
      <c r="G327" s="201">
        <v>104</v>
      </c>
      <c r="H327" s="200">
        <v>56</v>
      </c>
    </row>
    <row r="328" spans="1:8" x14ac:dyDescent="0.2">
      <c r="A328" s="204">
        <v>195</v>
      </c>
      <c r="B328" s="202" t="s">
        <v>902</v>
      </c>
      <c r="C328" s="203" t="s">
        <v>923</v>
      </c>
      <c r="D328" s="203" t="s">
        <v>924</v>
      </c>
      <c r="E328" s="202" t="s">
        <v>615</v>
      </c>
      <c r="F328" s="202" t="s">
        <v>592</v>
      </c>
      <c r="G328" s="201">
        <v>83</v>
      </c>
      <c r="H328" s="200">
        <v>56</v>
      </c>
    </row>
    <row r="329" spans="1:8" x14ac:dyDescent="0.2">
      <c r="A329" s="204">
        <v>196</v>
      </c>
      <c r="B329" s="202" t="s">
        <v>902</v>
      </c>
      <c r="C329" s="203" t="s">
        <v>925</v>
      </c>
      <c r="D329" s="203" t="s">
        <v>926</v>
      </c>
      <c r="E329" s="202" t="s">
        <v>587</v>
      </c>
      <c r="F329" s="202" t="s">
        <v>633</v>
      </c>
      <c r="G329" s="201">
        <v>88</v>
      </c>
      <c r="H329" s="200">
        <v>51</v>
      </c>
    </row>
    <row r="330" spans="1:8" x14ac:dyDescent="0.2">
      <c r="A330" s="204">
        <v>196</v>
      </c>
      <c r="B330" s="202" t="s">
        <v>902</v>
      </c>
      <c r="C330" s="203" t="s">
        <v>925</v>
      </c>
      <c r="D330" s="203" t="s">
        <v>926</v>
      </c>
      <c r="E330" s="202" t="s">
        <v>634</v>
      </c>
      <c r="F330" s="202" t="s">
        <v>614</v>
      </c>
      <c r="G330" s="201">
        <v>151</v>
      </c>
      <c r="H330" s="200">
        <v>51</v>
      </c>
    </row>
    <row r="331" spans="1:8" x14ac:dyDescent="0.2">
      <c r="A331" s="204">
        <v>196</v>
      </c>
      <c r="B331" s="202" t="s">
        <v>902</v>
      </c>
      <c r="C331" s="203" t="s">
        <v>925</v>
      </c>
      <c r="D331" s="203" t="s">
        <v>926</v>
      </c>
      <c r="E331" s="202" t="s">
        <v>615</v>
      </c>
      <c r="F331" s="202" t="s">
        <v>592</v>
      </c>
      <c r="G331" s="201">
        <v>88</v>
      </c>
      <c r="H331" s="200">
        <v>51</v>
      </c>
    </row>
    <row r="332" spans="1:8" x14ac:dyDescent="0.2">
      <c r="A332" s="204">
        <v>199</v>
      </c>
      <c r="B332" s="202" t="s">
        <v>927</v>
      </c>
      <c r="C332" s="203" t="s">
        <v>928</v>
      </c>
      <c r="D332" s="203" t="s">
        <v>929</v>
      </c>
      <c r="E332" s="202" t="s">
        <v>587</v>
      </c>
      <c r="F332" s="202" t="s">
        <v>633</v>
      </c>
      <c r="G332" s="201">
        <v>97</v>
      </c>
      <c r="H332" s="200">
        <v>56</v>
      </c>
    </row>
    <row r="333" spans="1:8" x14ac:dyDescent="0.2">
      <c r="A333" s="204">
        <v>199</v>
      </c>
      <c r="B333" s="202" t="s">
        <v>927</v>
      </c>
      <c r="C333" s="203" t="s">
        <v>928</v>
      </c>
      <c r="D333" s="203" t="s">
        <v>929</v>
      </c>
      <c r="E333" s="202" t="s">
        <v>634</v>
      </c>
      <c r="F333" s="202" t="s">
        <v>614</v>
      </c>
      <c r="G333" s="201">
        <v>125</v>
      </c>
      <c r="H333" s="200">
        <v>56</v>
      </c>
    </row>
    <row r="334" spans="1:8" x14ac:dyDescent="0.2">
      <c r="A334" s="204">
        <v>199</v>
      </c>
      <c r="B334" s="202" t="s">
        <v>927</v>
      </c>
      <c r="C334" s="203" t="s">
        <v>928</v>
      </c>
      <c r="D334" s="203" t="s">
        <v>929</v>
      </c>
      <c r="E334" s="202" t="s">
        <v>615</v>
      </c>
      <c r="F334" s="202" t="s">
        <v>592</v>
      </c>
      <c r="G334" s="201">
        <v>97</v>
      </c>
      <c r="H334" s="200">
        <v>56</v>
      </c>
    </row>
    <row r="335" spans="1:8" ht="25.5" x14ac:dyDescent="0.2">
      <c r="A335" s="204">
        <v>200</v>
      </c>
      <c r="B335" s="202" t="s">
        <v>927</v>
      </c>
      <c r="C335" s="203" t="s">
        <v>930</v>
      </c>
      <c r="D335" s="203" t="s">
        <v>931</v>
      </c>
      <c r="E335" s="202" t="s">
        <v>583</v>
      </c>
      <c r="F335" s="202" t="s">
        <v>583</v>
      </c>
      <c r="G335" s="201">
        <v>89</v>
      </c>
      <c r="H335" s="200">
        <v>56</v>
      </c>
    </row>
    <row r="336" spans="1:8" x14ac:dyDescent="0.2">
      <c r="A336" s="204">
        <v>201</v>
      </c>
      <c r="B336" s="202" t="s">
        <v>927</v>
      </c>
      <c r="C336" s="203" t="s">
        <v>932</v>
      </c>
      <c r="D336" s="203" t="s">
        <v>933</v>
      </c>
      <c r="E336" s="202" t="s">
        <v>583</v>
      </c>
      <c r="F336" s="202" t="s">
        <v>583</v>
      </c>
      <c r="G336" s="201">
        <v>135</v>
      </c>
      <c r="H336" s="200">
        <v>71</v>
      </c>
    </row>
    <row r="337" spans="1:8" x14ac:dyDescent="0.2">
      <c r="A337" s="204">
        <v>202</v>
      </c>
      <c r="B337" s="202" t="s">
        <v>927</v>
      </c>
      <c r="C337" s="203" t="s">
        <v>934</v>
      </c>
      <c r="D337" s="203" t="s">
        <v>935</v>
      </c>
      <c r="E337" s="202" t="s">
        <v>583</v>
      </c>
      <c r="F337" s="202" t="s">
        <v>583</v>
      </c>
      <c r="G337" s="201">
        <v>112</v>
      </c>
      <c r="H337" s="200">
        <v>51</v>
      </c>
    </row>
    <row r="338" spans="1:8" x14ac:dyDescent="0.2">
      <c r="A338" s="204">
        <v>204</v>
      </c>
      <c r="B338" s="202" t="s">
        <v>936</v>
      </c>
      <c r="C338" s="203" t="s">
        <v>937</v>
      </c>
      <c r="D338" s="203" t="s">
        <v>938</v>
      </c>
      <c r="E338" s="202" t="s">
        <v>583</v>
      </c>
      <c r="F338" s="202" t="s">
        <v>583</v>
      </c>
      <c r="G338" s="201">
        <v>106</v>
      </c>
      <c r="H338" s="200">
        <v>61</v>
      </c>
    </row>
    <row r="339" spans="1:8" ht="38.25" x14ac:dyDescent="0.2">
      <c r="A339" s="204">
        <v>207</v>
      </c>
      <c r="B339" s="202" t="s">
        <v>936</v>
      </c>
      <c r="C339" s="203" t="s">
        <v>929</v>
      </c>
      <c r="D339" s="203" t="s">
        <v>939</v>
      </c>
      <c r="E339" s="202" t="s">
        <v>583</v>
      </c>
      <c r="F339" s="202" t="s">
        <v>583</v>
      </c>
      <c r="G339" s="201">
        <v>115</v>
      </c>
      <c r="H339" s="200">
        <v>66</v>
      </c>
    </row>
    <row r="340" spans="1:8" x14ac:dyDescent="0.2">
      <c r="A340" s="204">
        <v>446</v>
      </c>
      <c r="B340" s="202" t="s">
        <v>940</v>
      </c>
      <c r="C340" s="203" t="s">
        <v>941</v>
      </c>
      <c r="D340" s="203" t="s">
        <v>942</v>
      </c>
      <c r="E340" s="202" t="s">
        <v>583</v>
      </c>
      <c r="F340" s="202" t="s">
        <v>583</v>
      </c>
      <c r="G340" s="201">
        <v>87</v>
      </c>
      <c r="H340" s="200">
        <v>51</v>
      </c>
    </row>
    <row r="341" spans="1:8" x14ac:dyDescent="0.2">
      <c r="A341" s="204">
        <v>477</v>
      </c>
      <c r="B341" s="202" t="s">
        <v>940</v>
      </c>
      <c r="C341" s="203" t="s">
        <v>943</v>
      </c>
      <c r="D341" s="203" t="s">
        <v>944</v>
      </c>
      <c r="E341" s="202" t="s">
        <v>583</v>
      </c>
      <c r="F341" s="202" t="s">
        <v>583</v>
      </c>
      <c r="G341" s="201">
        <v>102</v>
      </c>
      <c r="H341" s="200">
        <v>51</v>
      </c>
    </row>
    <row r="342" spans="1:8" x14ac:dyDescent="0.2">
      <c r="A342" s="204">
        <v>447</v>
      </c>
      <c r="B342" s="202" t="s">
        <v>940</v>
      </c>
      <c r="C342" s="203" t="s">
        <v>945</v>
      </c>
      <c r="D342" s="203" t="s">
        <v>946</v>
      </c>
      <c r="E342" s="202" t="s">
        <v>583</v>
      </c>
      <c r="F342" s="202" t="s">
        <v>583</v>
      </c>
      <c r="G342" s="201">
        <v>96</v>
      </c>
      <c r="H342" s="200">
        <v>46</v>
      </c>
    </row>
    <row r="343" spans="1:8" x14ac:dyDescent="0.2">
      <c r="A343" s="204">
        <v>211</v>
      </c>
      <c r="B343" s="202" t="s">
        <v>940</v>
      </c>
      <c r="C343" s="203" t="s">
        <v>947</v>
      </c>
      <c r="D343" s="203" t="s">
        <v>948</v>
      </c>
      <c r="E343" s="202" t="s">
        <v>583</v>
      </c>
      <c r="F343" s="202" t="s">
        <v>583</v>
      </c>
      <c r="G343" s="201">
        <v>98</v>
      </c>
      <c r="H343" s="200">
        <v>46</v>
      </c>
    </row>
    <row r="344" spans="1:8" x14ac:dyDescent="0.2">
      <c r="A344" s="204">
        <v>215</v>
      </c>
      <c r="B344" s="202" t="s">
        <v>949</v>
      </c>
      <c r="C344" s="203" t="s">
        <v>950</v>
      </c>
      <c r="D344" s="203" t="s">
        <v>951</v>
      </c>
      <c r="E344" s="202" t="s">
        <v>587</v>
      </c>
      <c r="F344" s="202" t="s">
        <v>612</v>
      </c>
      <c r="G344" s="201">
        <v>86</v>
      </c>
      <c r="H344" s="200">
        <v>61</v>
      </c>
    </row>
    <row r="345" spans="1:8" x14ac:dyDescent="0.2">
      <c r="A345" s="204">
        <v>215</v>
      </c>
      <c r="B345" s="202" t="s">
        <v>949</v>
      </c>
      <c r="C345" s="203" t="s">
        <v>950</v>
      </c>
      <c r="D345" s="203" t="s">
        <v>951</v>
      </c>
      <c r="E345" s="202" t="s">
        <v>613</v>
      </c>
      <c r="F345" s="202" t="s">
        <v>592</v>
      </c>
      <c r="G345" s="201">
        <v>125</v>
      </c>
      <c r="H345" s="200">
        <v>61</v>
      </c>
    </row>
    <row r="346" spans="1:8" x14ac:dyDescent="0.2">
      <c r="A346" s="204">
        <v>212</v>
      </c>
      <c r="B346" s="202" t="s">
        <v>949</v>
      </c>
      <c r="C346" s="203" t="s">
        <v>952</v>
      </c>
      <c r="D346" s="203" t="s">
        <v>953</v>
      </c>
      <c r="E346" s="202" t="s">
        <v>583</v>
      </c>
      <c r="F346" s="202" t="s">
        <v>583</v>
      </c>
      <c r="G346" s="201">
        <v>88</v>
      </c>
      <c r="H346" s="200">
        <v>51</v>
      </c>
    </row>
    <row r="347" spans="1:8" x14ac:dyDescent="0.2">
      <c r="A347" s="204">
        <v>488</v>
      </c>
      <c r="B347" s="202" t="s">
        <v>949</v>
      </c>
      <c r="C347" s="203" t="s">
        <v>954</v>
      </c>
      <c r="D347" s="203" t="s">
        <v>955</v>
      </c>
      <c r="E347" s="202" t="s">
        <v>583</v>
      </c>
      <c r="F347" s="202" t="s">
        <v>583</v>
      </c>
      <c r="G347" s="201">
        <v>161</v>
      </c>
      <c r="H347" s="200">
        <v>56</v>
      </c>
    </row>
    <row r="348" spans="1:8" x14ac:dyDescent="0.2">
      <c r="A348" s="204">
        <v>426</v>
      </c>
      <c r="B348" s="202" t="s">
        <v>949</v>
      </c>
      <c r="C348" s="203" t="s">
        <v>956</v>
      </c>
      <c r="D348" s="203" t="s">
        <v>957</v>
      </c>
      <c r="E348" s="202" t="s">
        <v>583</v>
      </c>
      <c r="F348" s="202" t="s">
        <v>583</v>
      </c>
      <c r="G348" s="201">
        <v>89</v>
      </c>
      <c r="H348" s="200">
        <v>56</v>
      </c>
    </row>
    <row r="349" spans="1:8" x14ac:dyDescent="0.2">
      <c r="A349" s="204">
        <v>213</v>
      </c>
      <c r="B349" s="202" t="s">
        <v>949</v>
      </c>
      <c r="C349" s="203" t="s">
        <v>958</v>
      </c>
      <c r="D349" s="203" t="s">
        <v>959</v>
      </c>
      <c r="E349" s="202" t="s">
        <v>587</v>
      </c>
      <c r="F349" s="202" t="s">
        <v>633</v>
      </c>
      <c r="G349" s="201">
        <v>92</v>
      </c>
      <c r="H349" s="200">
        <v>51</v>
      </c>
    </row>
    <row r="350" spans="1:8" x14ac:dyDescent="0.2">
      <c r="A350" s="204">
        <v>213</v>
      </c>
      <c r="B350" s="202" t="s">
        <v>949</v>
      </c>
      <c r="C350" s="203" t="s">
        <v>958</v>
      </c>
      <c r="D350" s="203" t="s">
        <v>959</v>
      </c>
      <c r="E350" s="202" t="s">
        <v>634</v>
      </c>
      <c r="F350" s="202" t="s">
        <v>614</v>
      </c>
      <c r="G350" s="201">
        <v>128</v>
      </c>
      <c r="H350" s="200">
        <v>51</v>
      </c>
    </row>
    <row r="351" spans="1:8" x14ac:dyDescent="0.2">
      <c r="A351" s="204">
        <v>213</v>
      </c>
      <c r="B351" s="202" t="s">
        <v>949</v>
      </c>
      <c r="C351" s="203" t="s">
        <v>958</v>
      </c>
      <c r="D351" s="203" t="s">
        <v>959</v>
      </c>
      <c r="E351" s="202" t="s">
        <v>615</v>
      </c>
      <c r="F351" s="202" t="s">
        <v>592</v>
      </c>
      <c r="G351" s="201">
        <v>92</v>
      </c>
      <c r="H351" s="200">
        <v>51</v>
      </c>
    </row>
    <row r="352" spans="1:8" x14ac:dyDescent="0.2">
      <c r="A352" s="204">
        <v>216</v>
      </c>
      <c r="B352" s="202" t="s">
        <v>960</v>
      </c>
      <c r="C352" s="203" t="s">
        <v>961</v>
      </c>
      <c r="D352" s="203" t="s">
        <v>962</v>
      </c>
      <c r="E352" s="202" t="s">
        <v>583</v>
      </c>
      <c r="F352" s="202" t="s">
        <v>583</v>
      </c>
      <c r="G352" s="201">
        <v>102</v>
      </c>
      <c r="H352" s="200">
        <v>51</v>
      </c>
    </row>
    <row r="353" spans="1:8" x14ac:dyDescent="0.2">
      <c r="A353" s="204">
        <v>217</v>
      </c>
      <c r="B353" s="202" t="s">
        <v>960</v>
      </c>
      <c r="C353" s="203" t="s">
        <v>963</v>
      </c>
      <c r="D353" s="203" t="s">
        <v>964</v>
      </c>
      <c r="E353" s="202" t="s">
        <v>587</v>
      </c>
      <c r="F353" s="202" t="s">
        <v>612</v>
      </c>
      <c r="G353" s="201">
        <v>83</v>
      </c>
      <c r="H353" s="200">
        <v>56</v>
      </c>
    </row>
    <row r="354" spans="1:8" x14ac:dyDescent="0.2">
      <c r="A354" s="204">
        <v>217</v>
      </c>
      <c r="B354" s="202" t="s">
        <v>960</v>
      </c>
      <c r="C354" s="203" t="s">
        <v>963</v>
      </c>
      <c r="D354" s="203" t="s">
        <v>964</v>
      </c>
      <c r="E354" s="202" t="s">
        <v>613</v>
      </c>
      <c r="F354" s="202" t="s">
        <v>614</v>
      </c>
      <c r="G354" s="201">
        <v>112</v>
      </c>
      <c r="H354" s="200">
        <v>56</v>
      </c>
    </row>
    <row r="355" spans="1:8" x14ac:dyDescent="0.2">
      <c r="A355" s="204">
        <v>217</v>
      </c>
      <c r="B355" s="202" t="s">
        <v>960</v>
      </c>
      <c r="C355" s="203" t="s">
        <v>963</v>
      </c>
      <c r="D355" s="203" t="s">
        <v>964</v>
      </c>
      <c r="E355" s="202" t="s">
        <v>615</v>
      </c>
      <c r="F355" s="202" t="s">
        <v>592</v>
      </c>
      <c r="G355" s="201">
        <v>83</v>
      </c>
      <c r="H355" s="200">
        <v>56</v>
      </c>
    </row>
    <row r="356" spans="1:8" x14ac:dyDescent="0.2">
      <c r="A356" s="204">
        <v>218</v>
      </c>
      <c r="B356" s="202" t="s">
        <v>960</v>
      </c>
      <c r="C356" s="203" t="s">
        <v>965</v>
      </c>
      <c r="D356" s="203" t="s">
        <v>761</v>
      </c>
      <c r="E356" s="202" t="s">
        <v>583</v>
      </c>
      <c r="F356" s="202" t="s">
        <v>583</v>
      </c>
      <c r="G356" s="201">
        <v>97</v>
      </c>
      <c r="H356" s="200">
        <v>56</v>
      </c>
    </row>
    <row r="357" spans="1:8" x14ac:dyDescent="0.2">
      <c r="A357" s="204">
        <v>219</v>
      </c>
      <c r="B357" s="202" t="s">
        <v>960</v>
      </c>
      <c r="C357" s="203" t="s">
        <v>767</v>
      </c>
      <c r="D357" s="203" t="s">
        <v>966</v>
      </c>
      <c r="E357" s="202" t="s">
        <v>583</v>
      </c>
      <c r="F357" s="202" t="s">
        <v>583</v>
      </c>
      <c r="G357" s="201">
        <v>110</v>
      </c>
      <c r="H357" s="200">
        <v>51</v>
      </c>
    </row>
    <row r="358" spans="1:8" x14ac:dyDescent="0.2">
      <c r="A358" s="204">
        <v>221</v>
      </c>
      <c r="B358" s="202" t="s">
        <v>960</v>
      </c>
      <c r="C358" s="203" t="s">
        <v>967</v>
      </c>
      <c r="D358" s="203" t="s">
        <v>967</v>
      </c>
      <c r="E358" s="202" t="s">
        <v>583</v>
      </c>
      <c r="F358" s="202" t="s">
        <v>583</v>
      </c>
      <c r="G358" s="201">
        <v>92</v>
      </c>
      <c r="H358" s="200">
        <v>51</v>
      </c>
    </row>
    <row r="359" spans="1:8" x14ac:dyDescent="0.2">
      <c r="A359" s="204">
        <v>464</v>
      </c>
      <c r="B359" s="202" t="s">
        <v>960</v>
      </c>
      <c r="C359" s="203" t="s">
        <v>968</v>
      </c>
      <c r="D359" s="203" t="s">
        <v>969</v>
      </c>
      <c r="E359" s="202" t="s">
        <v>583</v>
      </c>
      <c r="F359" s="202" t="s">
        <v>583</v>
      </c>
      <c r="G359" s="201">
        <v>99</v>
      </c>
      <c r="H359" s="200">
        <v>51</v>
      </c>
    </row>
    <row r="360" spans="1:8" x14ac:dyDescent="0.2">
      <c r="A360" s="204">
        <v>222</v>
      </c>
      <c r="B360" s="202" t="s">
        <v>960</v>
      </c>
      <c r="C360" s="203" t="s">
        <v>970</v>
      </c>
      <c r="D360" s="203" t="s">
        <v>971</v>
      </c>
      <c r="E360" s="202" t="s">
        <v>587</v>
      </c>
      <c r="F360" s="202" t="s">
        <v>661</v>
      </c>
      <c r="G360" s="201">
        <v>97</v>
      </c>
      <c r="H360" s="200">
        <v>56</v>
      </c>
    </row>
    <row r="361" spans="1:8" x14ac:dyDescent="0.2">
      <c r="A361" s="204">
        <v>222</v>
      </c>
      <c r="B361" s="202" t="s">
        <v>960</v>
      </c>
      <c r="C361" s="203" t="s">
        <v>970</v>
      </c>
      <c r="D361" s="203" t="s">
        <v>971</v>
      </c>
      <c r="E361" s="202" t="s">
        <v>662</v>
      </c>
      <c r="F361" s="202" t="s">
        <v>620</v>
      </c>
      <c r="G361" s="201">
        <v>89</v>
      </c>
      <c r="H361" s="200">
        <v>56</v>
      </c>
    </row>
    <row r="362" spans="1:8" x14ac:dyDescent="0.2">
      <c r="A362" s="204">
        <v>222</v>
      </c>
      <c r="B362" s="202" t="s">
        <v>960</v>
      </c>
      <c r="C362" s="203" t="s">
        <v>970</v>
      </c>
      <c r="D362" s="203" t="s">
        <v>971</v>
      </c>
      <c r="E362" s="202" t="s">
        <v>621</v>
      </c>
      <c r="F362" s="202" t="s">
        <v>592</v>
      </c>
      <c r="G362" s="201">
        <v>97</v>
      </c>
      <c r="H362" s="200">
        <v>56</v>
      </c>
    </row>
    <row r="363" spans="1:8" x14ac:dyDescent="0.2">
      <c r="A363" s="204">
        <v>224</v>
      </c>
      <c r="B363" s="202" t="s">
        <v>960</v>
      </c>
      <c r="C363" s="203" t="s">
        <v>972</v>
      </c>
      <c r="D363" s="203" t="s">
        <v>973</v>
      </c>
      <c r="E363" s="202" t="s">
        <v>587</v>
      </c>
      <c r="F363" s="202" t="s">
        <v>610</v>
      </c>
      <c r="G363" s="201">
        <v>93</v>
      </c>
      <c r="H363" s="200">
        <v>61</v>
      </c>
    </row>
    <row r="364" spans="1:8" x14ac:dyDescent="0.2">
      <c r="A364" s="204">
        <v>224</v>
      </c>
      <c r="B364" s="202" t="s">
        <v>960</v>
      </c>
      <c r="C364" s="203" t="s">
        <v>972</v>
      </c>
      <c r="D364" s="203" t="s">
        <v>973</v>
      </c>
      <c r="E364" s="202" t="s">
        <v>611</v>
      </c>
      <c r="F364" s="202" t="s">
        <v>612</v>
      </c>
      <c r="G364" s="201">
        <v>107</v>
      </c>
      <c r="H364" s="200">
        <v>61</v>
      </c>
    </row>
    <row r="365" spans="1:8" x14ac:dyDescent="0.2">
      <c r="A365" s="204">
        <v>224</v>
      </c>
      <c r="B365" s="202" t="s">
        <v>960</v>
      </c>
      <c r="C365" s="203" t="s">
        <v>972</v>
      </c>
      <c r="D365" s="203" t="s">
        <v>973</v>
      </c>
      <c r="E365" s="202" t="s">
        <v>613</v>
      </c>
      <c r="F365" s="202" t="s">
        <v>614</v>
      </c>
      <c r="G365" s="201">
        <v>162</v>
      </c>
      <c r="H365" s="200">
        <v>61</v>
      </c>
    </row>
    <row r="366" spans="1:8" x14ac:dyDescent="0.2">
      <c r="A366" s="204">
        <v>224</v>
      </c>
      <c r="B366" s="202" t="s">
        <v>960</v>
      </c>
      <c r="C366" s="203" t="s">
        <v>972</v>
      </c>
      <c r="D366" s="203" t="s">
        <v>973</v>
      </c>
      <c r="E366" s="202" t="s">
        <v>615</v>
      </c>
      <c r="F366" s="202" t="s">
        <v>592</v>
      </c>
      <c r="G366" s="201">
        <v>93</v>
      </c>
      <c r="H366" s="200">
        <v>61</v>
      </c>
    </row>
    <row r="367" spans="1:8" x14ac:dyDescent="0.2">
      <c r="A367" s="204">
        <v>226</v>
      </c>
      <c r="B367" s="202" t="s">
        <v>960</v>
      </c>
      <c r="C367" s="203" t="s">
        <v>974</v>
      </c>
      <c r="D367" s="203" t="s">
        <v>975</v>
      </c>
      <c r="E367" s="202" t="s">
        <v>583</v>
      </c>
      <c r="F367" s="202" t="s">
        <v>583</v>
      </c>
      <c r="G367" s="201">
        <v>90</v>
      </c>
      <c r="H367" s="200">
        <v>46</v>
      </c>
    </row>
    <row r="368" spans="1:8" x14ac:dyDescent="0.2">
      <c r="A368" s="204">
        <v>227</v>
      </c>
      <c r="B368" s="202" t="s">
        <v>960</v>
      </c>
      <c r="C368" s="203" t="s">
        <v>976</v>
      </c>
      <c r="D368" s="203" t="s">
        <v>977</v>
      </c>
      <c r="E368" s="202" t="s">
        <v>583</v>
      </c>
      <c r="F368" s="202" t="s">
        <v>583</v>
      </c>
      <c r="G368" s="201">
        <v>98</v>
      </c>
      <c r="H368" s="200">
        <v>66</v>
      </c>
    </row>
    <row r="369" spans="1:8" x14ac:dyDescent="0.2">
      <c r="A369" s="204">
        <v>229</v>
      </c>
      <c r="B369" s="202" t="s">
        <v>960</v>
      </c>
      <c r="C369" s="203" t="s">
        <v>734</v>
      </c>
      <c r="D369" s="203" t="s">
        <v>978</v>
      </c>
      <c r="E369" s="202" t="s">
        <v>583</v>
      </c>
      <c r="F369" s="202" t="s">
        <v>583</v>
      </c>
      <c r="G369" s="201">
        <v>94</v>
      </c>
      <c r="H369" s="200">
        <v>56</v>
      </c>
    </row>
    <row r="370" spans="1:8" x14ac:dyDescent="0.2">
      <c r="A370" s="204">
        <v>484</v>
      </c>
      <c r="B370" s="202" t="s">
        <v>979</v>
      </c>
      <c r="C370" s="203" t="s">
        <v>980</v>
      </c>
      <c r="D370" s="203" t="s">
        <v>981</v>
      </c>
      <c r="E370" s="202" t="s">
        <v>583</v>
      </c>
      <c r="F370" s="202" t="s">
        <v>583</v>
      </c>
      <c r="G370" s="201">
        <v>118</v>
      </c>
      <c r="H370" s="200">
        <v>56</v>
      </c>
    </row>
    <row r="371" spans="1:8" x14ac:dyDescent="0.2">
      <c r="A371" s="204">
        <v>483</v>
      </c>
      <c r="B371" s="202" t="s">
        <v>979</v>
      </c>
      <c r="C371" s="203" t="s">
        <v>982</v>
      </c>
      <c r="D371" s="203" t="s">
        <v>983</v>
      </c>
      <c r="E371" s="202" t="s">
        <v>583</v>
      </c>
      <c r="F371" s="202" t="s">
        <v>583</v>
      </c>
      <c r="G371" s="201">
        <v>102</v>
      </c>
      <c r="H371" s="200">
        <v>56</v>
      </c>
    </row>
    <row r="372" spans="1:8" x14ac:dyDescent="0.2">
      <c r="A372" s="204">
        <v>482</v>
      </c>
      <c r="B372" s="202" t="s">
        <v>979</v>
      </c>
      <c r="C372" s="203" t="s">
        <v>984</v>
      </c>
      <c r="D372" s="203" t="s">
        <v>985</v>
      </c>
      <c r="E372" s="202" t="s">
        <v>583</v>
      </c>
      <c r="F372" s="202" t="s">
        <v>583</v>
      </c>
      <c r="G372" s="201">
        <v>161</v>
      </c>
      <c r="H372" s="200">
        <v>56</v>
      </c>
    </row>
    <row r="373" spans="1:8" x14ac:dyDescent="0.2">
      <c r="A373" s="204">
        <v>231</v>
      </c>
      <c r="B373" s="202" t="s">
        <v>986</v>
      </c>
      <c r="C373" s="203" t="s">
        <v>987</v>
      </c>
      <c r="D373" s="203" t="s">
        <v>701</v>
      </c>
      <c r="E373" s="202" t="s">
        <v>583</v>
      </c>
      <c r="F373" s="202" t="s">
        <v>583</v>
      </c>
      <c r="G373" s="201">
        <v>102</v>
      </c>
      <c r="H373" s="200">
        <v>61</v>
      </c>
    </row>
    <row r="374" spans="1:8" x14ac:dyDescent="0.2">
      <c r="A374" s="204">
        <v>232</v>
      </c>
      <c r="B374" s="202" t="s">
        <v>988</v>
      </c>
      <c r="C374" s="203" t="s">
        <v>989</v>
      </c>
      <c r="D374" s="203" t="s">
        <v>990</v>
      </c>
      <c r="E374" s="202" t="s">
        <v>583</v>
      </c>
      <c r="F374" s="202" t="s">
        <v>583</v>
      </c>
      <c r="G374" s="201">
        <v>88</v>
      </c>
      <c r="H374" s="200">
        <v>51</v>
      </c>
    </row>
    <row r="375" spans="1:8" x14ac:dyDescent="0.2">
      <c r="A375" s="204">
        <v>233</v>
      </c>
      <c r="B375" s="202" t="s">
        <v>988</v>
      </c>
      <c r="C375" s="203" t="s">
        <v>991</v>
      </c>
      <c r="D375" s="203" t="s">
        <v>992</v>
      </c>
      <c r="E375" s="202" t="s">
        <v>587</v>
      </c>
      <c r="F375" s="202" t="s">
        <v>588</v>
      </c>
      <c r="G375" s="201">
        <v>119</v>
      </c>
      <c r="H375" s="200">
        <v>61</v>
      </c>
    </row>
    <row r="376" spans="1:8" x14ac:dyDescent="0.2">
      <c r="A376" s="204">
        <v>233</v>
      </c>
      <c r="B376" s="202" t="s">
        <v>988</v>
      </c>
      <c r="C376" s="203" t="s">
        <v>991</v>
      </c>
      <c r="D376" s="203" t="s">
        <v>992</v>
      </c>
      <c r="E376" s="202" t="s">
        <v>589</v>
      </c>
      <c r="F376" s="202" t="s">
        <v>633</v>
      </c>
      <c r="G376" s="201">
        <v>99</v>
      </c>
      <c r="H376" s="200">
        <v>61</v>
      </c>
    </row>
    <row r="377" spans="1:8" x14ac:dyDescent="0.2">
      <c r="A377" s="204">
        <v>233</v>
      </c>
      <c r="B377" s="202" t="s">
        <v>988</v>
      </c>
      <c r="C377" s="203" t="s">
        <v>991</v>
      </c>
      <c r="D377" s="203" t="s">
        <v>992</v>
      </c>
      <c r="E377" s="202" t="s">
        <v>634</v>
      </c>
      <c r="F377" s="202" t="s">
        <v>614</v>
      </c>
      <c r="G377" s="201">
        <v>158</v>
      </c>
      <c r="H377" s="200">
        <v>61</v>
      </c>
    </row>
    <row r="378" spans="1:8" x14ac:dyDescent="0.2">
      <c r="A378" s="204">
        <v>233</v>
      </c>
      <c r="B378" s="202" t="s">
        <v>988</v>
      </c>
      <c r="C378" s="203" t="s">
        <v>991</v>
      </c>
      <c r="D378" s="203" t="s">
        <v>992</v>
      </c>
      <c r="E378" s="202" t="s">
        <v>615</v>
      </c>
      <c r="F378" s="202" t="s">
        <v>592</v>
      </c>
      <c r="G378" s="201">
        <v>119</v>
      </c>
      <c r="H378" s="200">
        <v>61</v>
      </c>
    </row>
    <row r="379" spans="1:8" x14ac:dyDescent="0.2">
      <c r="A379" s="204">
        <v>234</v>
      </c>
      <c r="B379" s="202" t="s">
        <v>988</v>
      </c>
      <c r="C379" s="203" t="s">
        <v>967</v>
      </c>
      <c r="D379" s="203" t="s">
        <v>993</v>
      </c>
      <c r="E379" s="202" t="s">
        <v>583</v>
      </c>
      <c r="F379" s="202" t="s">
        <v>583</v>
      </c>
      <c r="G379" s="201">
        <v>97</v>
      </c>
      <c r="H379" s="200">
        <v>46</v>
      </c>
    </row>
    <row r="380" spans="1:8" x14ac:dyDescent="0.2">
      <c r="A380" s="204">
        <v>235</v>
      </c>
      <c r="B380" s="202" t="s">
        <v>988</v>
      </c>
      <c r="C380" s="203" t="s">
        <v>994</v>
      </c>
      <c r="D380" s="203" t="s">
        <v>995</v>
      </c>
      <c r="E380" s="202" t="s">
        <v>587</v>
      </c>
      <c r="F380" s="202" t="s">
        <v>661</v>
      </c>
      <c r="G380" s="201">
        <v>112</v>
      </c>
      <c r="H380" s="200">
        <v>51</v>
      </c>
    </row>
    <row r="381" spans="1:8" x14ac:dyDescent="0.2">
      <c r="A381" s="204">
        <v>235</v>
      </c>
      <c r="B381" s="202" t="s">
        <v>988</v>
      </c>
      <c r="C381" s="203" t="s">
        <v>994</v>
      </c>
      <c r="D381" s="203" t="s">
        <v>995</v>
      </c>
      <c r="E381" s="202" t="s">
        <v>662</v>
      </c>
      <c r="F381" s="202" t="s">
        <v>612</v>
      </c>
      <c r="G381" s="201">
        <v>84</v>
      </c>
      <c r="H381" s="200">
        <v>51</v>
      </c>
    </row>
    <row r="382" spans="1:8" x14ac:dyDescent="0.2">
      <c r="A382" s="204">
        <v>235</v>
      </c>
      <c r="B382" s="202" t="s">
        <v>988</v>
      </c>
      <c r="C382" s="203" t="s">
        <v>994</v>
      </c>
      <c r="D382" s="203" t="s">
        <v>995</v>
      </c>
      <c r="E382" s="202" t="s">
        <v>613</v>
      </c>
      <c r="F382" s="202" t="s">
        <v>592</v>
      </c>
      <c r="G382" s="201">
        <v>112</v>
      </c>
      <c r="H382" s="200">
        <v>51</v>
      </c>
    </row>
    <row r="383" spans="1:8" x14ac:dyDescent="0.2">
      <c r="A383" s="204">
        <v>236</v>
      </c>
      <c r="B383" s="202" t="s">
        <v>988</v>
      </c>
      <c r="C383" s="203" t="s">
        <v>996</v>
      </c>
      <c r="D383" s="203" t="s">
        <v>997</v>
      </c>
      <c r="E383" s="202" t="s">
        <v>583</v>
      </c>
      <c r="F383" s="202" t="s">
        <v>583</v>
      </c>
      <c r="G383" s="201">
        <v>115</v>
      </c>
      <c r="H383" s="200">
        <v>56</v>
      </c>
    </row>
    <row r="384" spans="1:8" x14ac:dyDescent="0.2">
      <c r="A384" s="204">
        <v>237</v>
      </c>
      <c r="B384" s="202" t="s">
        <v>988</v>
      </c>
      <c r="C384" s="203" t="s">
        <v>998</v>
      </c>
      <c r="D384" s="203" t="s">
        <v>999</v>
      </c>
      <c r="E384" s="202" t="s">
        <v>583</v>
      </c>
      <c r="F384" s="202" t="s">
        <v>583</v>
      </c>
      <c r="G384" s="201">
        <v>92</v>
      </c>
      <c r="H384" s="200">
        <v>56</v>
      </c>
    </row>
    <row r="385" spans="1:8" x14ac:dyDescent="0.2">
      <c r="A385" s="204">
        <v>238</v>
      </c>
      <c r="B385" s="202" t="s">
        <v>988</v>
      </c>
      <c r="C385" s="203" t="s">
        <v>1000</v>
      </c>
      <c r="D385" s="203" t="s">
        <v>1001</v>
      </c>
      <c r="E385" s="202" t="s">
        <v>587</v>
      </c>
      <c r="F385" s="202" t="s">
        <v>633</v>
      </c>
      <c r="G385" s="201">
        <v>106</v>
      </c>
      <c r="H385" s="200">
        <v>61</v>
      </c>
    </row>
    <row r="386" spans="1:8" x14ac:dyDescent="0.2">
      <c r="A386" s="204">
        <v>238</v>
      </c>
      <c r="B386" s="202" t="s">
        <v>988</v>
      </c>
      <c r="C386" s="203" t="s">
        <v>1000</v>
      </c>
      <c r="D386" s="203" t="s">
        <v>1001</v>
      </c>
      <c r="E386" s="202" t="s">
        <v>634</v>
      </c>
      <c r="F386" s="202" t="s">
        <v>614</v>
      </c>
      <c r="G386" s="201">
        <v>140</v>
      </c>
      <c r="H386" s="200">
        <v>61</v>
      </c>
    </row>
    <row r="387" spans="1:8" x14ac:dyDescent="0.2">
      <c r="A387" s="204">
        <v>238</v>
      </c>
      <c r="B387" s="202" t="s">
        <v>988</v>
      </c>
      <c r="C387" s="203" t="s">
        <v>1000</v>
      </c>
      <c r="D387" s="203" t="s">
        <v>1001</v>
      </c>
      <c r="E387" s="202" t="s">
        <v>615</v>
      </c>
      <c r="F387" s="202" t="s">
        <v>592</v>
      </c>
      <c r="G387" s="201">
        <v>106</v>
      </c>
      <c r="H387" s="200">
        <v>61</v>
      </c>
    </row>
    <row r="388" spans="1:8" x14ac:dyDescent="0.2">
      <c r="A388" s="204">
        <v>239</v>
      </c>
      <c r="B388" s="202" t="s">
        <v>1002</v>
      </c>
      <c r="C388" s="203" t="s">
        <v>1003</v>
      </c>
      <c r="D388" s="203" t="s">
        <v>1004</v>
      </c>
      <c r="E388" s="202" t="s">
        <v>583</v>
      </c>
      <c r="F388" s="202" t="s">
        <v>583</v>
      </c>
      <c r="G388" s="201">
        <v>94</v>
      </c>
      <c r="H388" s="200">
        <v>66</v>
      </c>
    </row>
    <row r="389" spans="1:8" x14ac:dyDescent="0.2">
      <c r="A389" s="204">
        <v>248</v>
      </c>
      <c r="B389" s="202" t="s">
        <v>1002</v>
      </c>
      <c r="C389" s="203" t="s">
        <v>1005</v>
      </c>
      <c r="D389" s="203" t="s">
        <v>1006</v>
      </c>
      <c r="E389" s="202" t="s">
        <v>583</v>
      </c>
      <c r="F389" s="202" t="s">
        <v>583</v>
      </c>
      <c r="G389" s="201">
        <v>135</v>
      </c>
      <c r="H389" s="200">
        <v>56</v>
      </c>
    </row>
    <row r="390" spans="1:8" x14ac:dyDescent="0.2">
      <c r="A390" s="204">
        <v>241</v>
      </c>
      <c r="B390" s="202" t="s">
        <v>1002</v>
      </c>
      <c r="C390" s="203" t="s">
        <v>1007</v>
      </c>
      <c r="D390" s="203" t="s">
        <v>1008</v>
      </c>
      <c r="E390" s="202" t="s">
        <v>583</v>
      </c>
      <c r="F390" s="202" t="s">
        <v>583</v>
      </c>
      <c r="G390" s="201">
        <v>97</v>
      </c>
      <c r="H390" s="200">
        <v>61</v>
      </c>
    </row>
    <row r="391" spans="1:8" x14ac:dyDescent="0.2">
      <c r="A391" s="204">
        <v>242</v>
      </c>
      <c r="B391" s="202" t="s">
        <v>1002</v>
      </c>
      <c r="C391" s="203" t="s">
        <v>1009</v>
      </c>
      <c r="D391" s="203" t="s">
        <v>1010</v>
      </c>
      <c r="E391" s="202" t="s">
        <v>583</v>
      </c>
      <c r="F391" s="202" t="s">
        <v>583</v>
      </c>
      <c r="G391" s="201">
        <v>103</v>
      </c>
      <c r="H391" s="200">
        <v>56</v>
      </c>
    </row>
    <row r="392" spans="1:8" x14ac:dyDescent="0.2">
      <c r="A392" s="204">
        <v>243</v>
      </c>
      <c r="B392" s="202" t="s">
        <v>1002</v>
      </c>
      <c r="C392" s="203" t="s">
        <v>1011</v>
      </c>
      <c r="D392" s="203" t="s">
        <v>1012</v>
      </c>
      <c r="E392" s="202" t="s">
        <v>583</v>
      </c>
      <c r="F392" s="202" t="s">
        <v>583</v>
      </c>
      <c r="G392" s="201">
        <v>109</v>
      </c>
      <c r="H392" s="200">
        <v>51</v>
      </c>
    </row>
    <row r="393" spans="1:8" x14ac:dyDescent="0.2">
      <c r="A393" s="204">
        <v>244</v>
      </c>
      <c r="B393" s="202" t="s">
        <v>1002</v>
      </c>
      <c r="C393" s="203" t="s">
        <v>1013</v>
      </c>
      <c r="D393" s="203" t="s">
        <v>1014</v>
      </c>
      <c r="E393" s="202" t="s">
        <v>583</v>
      </c>
      <c r="F393" s="202" t="s">
        <v>583</v>
      </c>
      <c r="G393" s="201">
        <v>114</v>
      </c>
      <c r="H393" s="200">
        <v>61</v>
      </c>
    </row>
    <row r="394" spans="1:8" x14ac:dyDescent="0.2">
      <c r="A394" s="204">
        <v>246</v>
      </c>
      <c r="B394" s="202" t="s">
        <v>1002</v>
      </c>
      <c r="C394" s="203" t="s">
        <v>1015</v>
      </c>
      <c r="D394" s="203" t="s">
        <v>1016</v>
      </c>
      <c r="E394" s="202" t="s">
        <v>583</v>
      </c>
      <c r="F394" s="202" t="s">
        <v>583</v>
      </c>
      <c r="G394" s="201">
        <v>134</v>
      </c>
      <c r="H394" s="200">
        <v>61</v>
      </c>
    </row>
    <row r="395" spans="1:8" x14ac:dyDescent="0.2">
      <c r="A395" s="204">
        <v>247</v>
      </c>
      <c r="B395" s="202" t="s">
        <v>1002</v>
      </c>
      <c r="C395" s="203" t="s">
        <v>1017</v>
      </c>
      <c r="D395" s="203" t="s">
        <v>1018</v>
      </c>
      <c r="E395" s="202" t="s">
        <v>583</v>
      </c>
      <c r="F395" s="202" t="s">
        <v>583</v>
      </c>
      <c r="G395" s="201">
        <v>136</v>
      </c>
      <c r="H395" s="200">
        <v>56</v>
      </c>
    </row>
    <row r="396" spans="1:8" x14ac:dyDescent="0.2">
      <c r="A396" s="204">
        <v>249</v>
      </c>
      <c r="B396" s="202" t="s">
        <v>1002</v>
      </c>
      <c r="C396" s="203" t="s">
        <v>1019</v>
      </c>
      <c r="D396" s="203" t="s">
        <v>1020</v>
      </c>
      <c r="E396" s="202" t="s">
        <v>583</v>
      </c>
      <c r="F396" s="202" t="s">
        <v>583</v>
      </c>
      <c r="G396" s="201">
        <v>127</v>
      </c>
      <c r="H396" s="200">
        <v>61</v>
      </c>
    </row>
    <row r="397" spans="1:8" ht="25.5" x14ac:dyDescent="0.2">
      <c r="A397" s="204">
        <v>250</v>
      </c>
      <c r="B397" s="202" t="s">
        <v>1002</v>
      </c>
      <c r="C397" s="203" t="s">
        <v>1021</v>
      </c>
      <c r="D397" s="203" t="s">
        <v>1022</v>
      </c>
      <c r="E397" s="202" t="s">
        <v>583</v>
      </c>
      <c r="F397" s="202" t="s">
        <v>583</v>
      </c>
      <c r="G397" s="201">
        <v>115</v>
      </c>
      <c r="H397" s="200">
        <v>56</v>
      </c>
    </row>
    <row r="398" spans="1:8" x14ac:dyDescent="0.2">
      <c r="A398" s="204">
        <v>251</v>
      </c>
      <c r="B398" s="202" t="s">
        <v>1002</v>
      </c>
      <c r="C398" s="203" t="s">
        <v>1023</v>
      </c>
      <c r="D398" s="203" t="s">
        <v>1024</v>
      </c>
      <c r="E398" s="202" t="s">
        <v>587</v>
      </c>
      <c r="F398" s="202" t="s">
        <v>612</v>
      </c>
      <c r="G398" s="201">
        <v>83</v>
      </c>
      <c r="H398" s="200">
        <v>51</v>
      </c>
    </row>
    <row r="399" spans="1:8" x14ac:dyDescent="0.2">
      <c r="A399" s="204">
        <v>251</v>
      </c>
      <c r="B399" s="202" t="s">
        <v>1002</v>
      </c>
      <c r="C399" s="203" t="s">
        <v>1023</v>
      </c>
      <c r="D399" s="203" t="s">
        <v>1024</v>
      </c>
      <c r="E399" s="202" t="s">
        <v>613</v>
      </c>
      <c r="F399" s="202" t="s">
        <v>614</v>
      </c>
      <c r="G399" s="201">
        <v>93</v>
      </c>
      <c r="H399" s="200">
        <v>51</v>
      </c>
    </row>
    <row r="400" spans="1:8" x14ac:dyDescent="0.2">
      <c r="A400" s="204">
        <v>251</v>
      </c>
      <c r="B400" s="202" t="s">
        <v>1002</v>
      </c>
      <c r="C400" s="203" t="s">
        <v>1023</v>
      </c>
      <c r="D400" s="203" t="s">
        <v>1024</v>
      </c>
      <c r="E400" s="202" t="s">
        <v>615</v>
      </c>
      <c r="F400" s="202" t="s">
        <v>592</v>
      </c>
      <c r="G400" s="201">
        <v>83</v>
      </c>
      <c r="H400" s="200">
        <v>51</v>
      </c>
    </row>
    <row r="401" spans="1:8" x14ac:dyDescent="0.2">
      <c r="A401" s="204">
        <v>479</v>
      </c>
      <c r="B401" s="202" t="s">
        <v>1025</v>
      </c>
      <c r="C401" s="203" t="s">
        <v>1026</v>
      </c>
      <c r="D401" s="203" t="s">
        <v>1027</v>
      </c>
      <c r="E401" s="202" t="s">
        <v>587</v>
      </c>
      <c r="F401" s="202" t="s">
        <v>610</v>
      </c>
      <c r="G401" s="201">
        <v>127</v>
      </c>
      <c r="H401" s="200">
        <v>51</v>
      </c>
    </row>
    <row r="402" spans="1:8" x14ac:dyDescent="0.2">
      <c r="A402" s="204">
        <v>479</v>
      </c>
      <c r="B402" s="202" t="s">
        <v>1025</v>
      </c>
      <c r="C402" s="203" t="s">
        <v>1026</v>
      </c>
      <c r="D402" s="203" t="s">
        <v>1027</v>
      </c>
      <c r="E402" s="202" t="s">
        <v>611</v>
      </c>
      <c r="F402" s="202" t="s">
        <v>633</v>
      </c>
      <c r="G402" s="201">
        <v>120</v>
      </c>
      <c r="H402" s="200">
        <v>51</v>
      </c>
    </row>
    <row r="403" spans="1:8" x14ac:dyDescent="0.2">
      <c r="A403" s="204">
        <v>479</v>
      </c>
      <c r="B403" s="202" t="s">
        <v>1025</v>
      </c>
      <c r="C403" s="203" t="s">
        <v>1026</v>
      </c>
      <c r="D403" s="203" t="s">
        <v>1027</v>
      </c>
      <c r="E403" s="202" t="s">
        <v>634</v>
      </c>
      <c r="F403" s="202" t="s">
        <v>592</v>
      </c>
      <c r="G403" s="201">
        <v>127</v>
      </c>
      <c r="H403" s="200">
        <v>51</v>
      </c>
    </row>
    <row r="404" spans="1:8" x14ac:dyDescent="0.2">
      <c r="A404" s="204">
        <v>472</v>
      </c>
      <c r="B404" s="202" t="s">
        <v>1025</v>
      </c>
      <c r="C404" s="203" t="s">
        <v>1028</v>
      </c>
      <c r="D404" s="203" t="s">
        <v>1029</v>
      </c>
      <c r="E404" s="202" t="s">
        <v>583</v>
      </c>
      <c r="F404" s="202" t="s">
        <v>583</v>
      </c>
      <c r="G404" s="201">
        <v>91</v>
      </c>
      <c r="H404" s="200">
        <v>56</v>
      </c>
    </row>
    <row r="405" spans="1:8" x14ac:dyDescent="0.2">
      <c r="A405" s="204">
        <v>253</v>
      </c>
      <c r="B405" s="202" t="s">
        <v>1025</v>
      </c>
      <c r="C405" s="203" t="s">
        <v>1030</v>
      </c>
      <c r="D405" s="203" t="s">
        <v>1031</v>
      </c>
      <c r="E405" s="202" t="s">
        <v>583</v>
      </c>
      <c r="F405" s="202" t="s">
        <v>583</v>
      </c>
      <c r="G405" s="201">
        <v>86</v>
      </c>
      <c r="H405" s="200">
        <v>51</v>
      </c>
    </row>
    <row r="406" spans="1:8" x14ac:dyDescent="0.2">
      <c r="A406" s="204">
        <v>254</v>
      </c>
      <c r="B406" s="202" t="s">
        <v>1025</v>
      </c>
      <c r="C406" s="203" t="s">
        <v>1032</v>
      </c>
      <c r="D406" s="203" t="s">
        <v>1032</v>
      </c>
      <c r="E406" s="202" t="s">
        <v>583</v>
      </c>
      <c r="F406" s="202" t="s">
        <v>583</v>
      </c>
      <c r="G406" s="201">
        <v>94</v>
      </c>
      <c r="H406" s="200">
        <v>71</v>
      </c>
    </row>
    <row r="407" spans="1:8" x14ac:dyDescent="0.2">
      <c r="A407" s="204">
        <v>423</v>
      </c>
      <c r="B407" s="202" t="s">
        <v>1025</v>
      </c>
      <c r="C407" s="203" t="s">
        <v>1033</v>
      </c>
      <c r="D407" s="203" t="s">
        <v>1033</v>
      </c>
      <c r="E407" s="202" t="s">
        <v>583</v>
      </c>
      <c r="F407" s="202" t="s">
        <v>583</v>
      </c>
      <c r="G407" s="201">
        <v>92</v>
      </c>
      <c r="H407" s="200">
        <v>66</v>
      </c>
    </row>
    <row r="408" spans="1:8" x14ac:dyDescent="0.2">
      <c r="A408" s="204">
        <v>255</v>
      </c>
      <c r="B408" s="202" t="s">
        <v>1034</v>
      </c>
      <c r="C408" s="203" t="s">
        <v>1035</v>
      </c>
      <c r="D408" s="203" t="s">
        <v>1036</v>
      </c>
      <c r="E408" s="202" t="s">
        <v>587</v>
      </c>
      <c r="F408" s="202" t="s">
        <v>633</v>
      </c>
      <c r="G408" s="201">
        <v>95</v>
      </c>
      <c r="H408" s="200">
        <v>51</v>
      </c>
    </row>
    <row r="409" spans="1:8" x14ac:dyDescent="0.2">
      <c r="A409" s="204">
        <v>255</v>
      </c>
      <c r="B409" s="202" t="s">
        <v>1034</v>
      </c>
      <c r="C409" s="203" t="s">
        <v>1035</v>
      </c>
      <c r="D409" s="203" t="s">
        <v>1036</v>
      </c>
      <c r="E409" s="202" t="s">
        <v>634</v>
      </c>
      <c r="F409" s="202" t="s">
        <v>614</v>
      </c>
      <c r="G409" s="201">
        <v>130</v>
      </c>
      <c r="H409" s="200">
        <v>51</v>
      </c>
    </row>
    <row r="410" spans="1:8" x14ac:dyDescent="0.2">
      <c r="A410" s="204">
        <v>255</v>
      </c>
      <c r="B410" s="202" t="s">
        <v>1034</v>
      </c>
      <c r="C410" s="203" t="s">
        <v>1035</v>
      </c>
      <c r="D410" s="203" t="s">
        <v>1036</v>
      </c>
      <c r="E410" s="202" t="s">
        <v>615</v>
      </c>
      <c r="F410" s="202" t="s">
        <v>592</v>
      </c>
      <c r="G410" s="201">
        <v>95</v>
      </c>
      <c r="H410" s="200">
        <v>51</v>
      </c>
    </row>
    <row r="411" spans="1:8" x14ac:dyDescent="0.2">
      <c r="A411" s="204">
        <v>256</v>
      </c>
      <c r="B411" s="202" t="s">
        <v>1034</v>
      </c>
      <c r="C411" s="203" t="s">
        <v>1037</v>
      </c>
      <c r="D411" s="203" t="s">
        <v>1038</v>
      </c>
      <c r="E411" s="202" t="s">
        <v>583</v>
      </c>
      <c r="F411" s="202" t="s">
        <v>583</v>
      </c>
      <c r="G411" s="201">
        <v>96</v>
      </c>
      <c r="H411" s="200">
        <v>71</v>
      </c>
    </row>
    <row r="412" spans="1:8" x14ac:dyDescent="0.2">
      <c r="A412" s="204">
        <v>257</v>
      </c>
      <c r="B412" s="202" t="s">
        <v>1034</v>
      </c>
      <c r="C412" s="203" t="s">
        <v>1039</v>
      </c>
      <c r="D412" s="203" t="s">
        <v>1040</v>
      </c>
      <c r="E412" s="202" t="s">
        <v>583</v>
      </c>
      <c r="F412" s="202" t="s">
        <v>583</v>
      </c>
      <c r="G412" s="201">
        <v>87</v>
      </c>
      <c r="H412" s="200">
        <v>61</v>
      </c>
    </row>
    <row r="413" spans="1:8" x14ac:dyDescent="0.2">
      <c r="A413" s="204">
        <v>258</v>
      </c>
      <c r="B413" s="202" t="s">
        <v>1041</v>
      </c>
      <c r="C413" s="203" t="s">
        <v>1042</v>
      </c>
      <c r="D413" s="203" t="s">
        <v>1042</v>
      </c>
      <c r="E413" s="202" t="s">
        <v>583</v>
      </c>
      <c r="F413" s="202" t="s">
        <v>583</v>
      </c>
      <c r="G413" s="201">
        <v>111</v>
      </c>
      <c r="H413" s="200">
        <v>61</v>
      </c>
    </row>
    <row r="414" spans="1:8" x14ac:dyDescent="0.2">
      <c r="A414" s="204">
        <v>269</v>
      </c>
      <c r="B414" s="202" t="s">
        <v>1041</v>
      </c>
      <c r="C414" s="203" t="s">
        <v>1043</v>
      </c>
      <c r="D414" s="203" t="s">
        <v>1044</v>
      </c>
      <c r="E414" s="202" t="s">
        <v>583</v>
      </c>
      <c r="F414" s="202" t="s">
        <v>583</v>
      </c>
      <c r="G414" s="201">
        <v>97</v>
      </c>
      <c r="H414" s="200">
        <v>46</v>
      </c>
    </row>
    <row r="415" spans="1:8" x14ac:dyDescent="0.2">
      <c r="A415" s="204">
        <v>260</v>
      </c>
      <c r="B415" s="202" t="s">
        <v>1041</v>
      </c>
      <c r="C415" s="203" t="s">
        <v>1045</v>
      </c>
      <c r="D415" s="203" t="s">
        <v>1046</v>
      </c>
      <c r="E415" s="202" t="s">
        <v>583</v>
      </c>
      <c r="F415" s="202" t="s">
        <v>583</v>
      </c>
      <c r="G415" s="201">
        <v>108</v>
      </c>
      <c r="H415" s="200">
        <v>56</v>
      </c>
    </row>
    <row r="416" spans="1:8" ht="25.5" x14ac:dyDescent="0.2">
      <c r="A416" s="204">
        <v>261</v>
      </c>
      <c r="B416" s="202" t="s">
        <v>1041</v>
      </c>
      <c r="C416" s="203" t="s">
        <v>1047</v>
      </c>
      <c r="D416" s="203" t="s">
        <v>1048</v>
      </c>
      <c r="E416" s="202" t="s">
        <v>583</v>
      </c>
      <c r="F416" s="202" t="s">
        <v>583</v>
      </c>
      <c r="G416" s="201">
        <v>149</v>
      </c>
      <c r="H416" s="200">
        <v>66</v>
      </c>
    </row>
    <row r="417" spans="1:8" x14ac:dyDescent="0.2">
      <c r="A417" s="204">
        <v>262</v>
      </c>
      <c r="B417" s="202" t="s">
        <v>1041</v>
      </c>
      <c r="C417" s="203" t="s">
        <v>1049</v>
      </c>
      <c r="D417" s="203" t="s">
        <v>1050</v>
      </c>
      <c r="E417" s="202" t="s">
        <v>587</v>
      </c>
      <c r="F417" s="202" t="s">
        <v>633</v>
      </c>
      <c r="G417" s="201">
        <v>101</v>
      </c>
      <c r="H417" s="200">
        <v>66</v>
      </c>
    </row>
    <row r="418" spans="1:8" x14ac:dyDescent="0.2">
      <c r="A418" s="204">
        <v>262</v>
      </c>
      <c r="B418" s="202" t="s">
        <v>1041</v>
      </c>
      <c r="C418" s="203" t="s">
        <v>1049</v>
      </c>
      <c r="D418" s="203" t="s">
        <v>1050</v>
      </c>
      <c r="E418" s="202" t="s">
        <v>634</v>
      </c>
      <c r="F418" s="202" t="s">
        <v>614</v>
      </c>
      <c r="G418" s="201">
        <v>159</v>
      </c>
      <c r="H418" s="200">
        <v>66</v>
      </c>
    </row>
    <row r="419" spans="1:8" x14ac:dyDescent="0.2">
      <c r="A419" s="204">
        <v>262</v>
      </c>
      <c r="B419" s="202" t="s">
        <v>1041</v>
      </c>
      <c r="C419" s="203" t="s">
        <v>1049</v>
      </c>
      <c r="D419" s="203" t="s">
        <v>1050</v>
      </c>
      <c r="E419" s="202" t="s">
        <v>615</v>
      </c>
      <c r="F419" s="202" t="s">
        <v>592</v>
      </c>
      <c r="G419" s="201">
        <v>101</v>
      </c>
      <c r="H419" s="200">
        <v>66</v>
      </c>
    </row>
    <row r="420" spans="1:8" x14ac:dyDescent="0.2">
      <c r="A420" s="204">
        <v>277</v>
      </c>
      <c r="B420" s="202" t="s">
        <v>1041</v>
      </c>
      <c r="C420" s="203" t="s">
        <v>1051</v>
      </c>
      <c r="D420" s="203" t="s">
        <v>1052</v>
      </c>
      <c r="E420" s="202" t="s">
        <v>583</v>
      </c>
      <c r="F420" s="202" t="s">
        <v>583</v>
      </c>
      <c r="G420" s="201">
        <v>115</v>
      </c>
      <c r="H420" s="200">
        <v>46</v>
      </c>
    </row>
    <row r="421" spans="1:8" x14ac:dyDescent="0.2">
      <c r="A421" s="204">
        <v>264</v>
      </c>
      <c r="B421" s="202" t="s">
        <v>1041</v>
      </c>
      <c r="C421" s="203" t="s">
        <v>1053</v>
      </c>
      <c r="D421" s="203" t="s">
        <v>1054</v>
      </c>
      <c r="E421" s="202" t="s">
        <v>583</v>
      </c>
      <c r="F421" s="202" t="s">
        <v>583</v>
      </c>
      <c r="G421" s="201">
        <v>112</v>
      </c>
      <c r="H421" s="200">
        <v>66</v>
      </c>
    </row>
    <row r="422" spans="1:8" x14ac:dyDescent="0.2">
      <c r="A422" s="204">
        <v>265</v>
      </c>
      <c r="B422" s="202" t="s">
        <v>1041</v>
      </c>
      <c r="C422" s="203" t="s">
        <v>1055</v>
      </c>
      <c r="D422" s="203" t="s">
        <v>852</v>
      </c>
      <c r="E422" s="202" t="s">
        <v>587</v>
      </c>
      <c r="F422" s="202" t="s">
        <v>640</v>
      </c>
      <c r="G422" s="201">
        <v>117</v>
      </c>
      <c r="H422" s="200">
        <v>61</v>
      </c>
    </row>
    <row r="423" spans="1:8" x14ac:dyDescent="0.2">
      <c r="A423" s="204">
        <v>265</v>
      </c>
      <c r="B423" s="202" t="s">
        <v>1041</v>
      </c>
      <c r="C423" s="203" t="s">
        <v>1055</v>
      </c>
      <c r="D423" s="203" t="s">
        <v>852</v>
      </c>
      <c r="E423" s="202" t="s">
        <v>641</v>
      </c>
      <c r="F423" s="202" t="s">
        <v>588</v>
      </c>
      <c r="G423" s="201">
        <v>129</v>
      </c>
      <c r="H423" s="200">
        <v>61</v>
      </c>
    </row>
    <row r="424" spans="1:8" x14ac:dyDescent="0.2">
      <c r="A424" s="204">
        <v>265</v>
      </c>
      <c r="B424" s="202" t="s">
        <v>1041</v>
      </c>
      <c r="C424" s="203" t="s">
        <v>1055</v>
      </c>
      <c r="D424" s="203" t="s">
        <v>852</v>
      </c>
      <c r="E424" s="202" t="s">
        <v>589</v>
      </c>
      <c r="F424" s="202" t="s">
        <v>633</v>
      </c>
      <c r="G424" s="201">
        <v>105</v>
      </c>
      <c r="H424" s="200">
        <v>61</v>
      </c>
    </row>
    <row r="425" spans="1:8" x14ac:dyDescent="0.2">
      <c r="A425" s="204">
        <v>265</v>
      </c>
      <c r="B425" s="202" t="s">
        <v>1041</v>
      </c>
      <c r="C425" s="203" t="s">
        <v>1055</v>
      </c>
      <c r="D425" s="203" t="s">
        <v>852</v>
      </c>
      <c r="E425" s="202" t="s">
        <v>634</v>
      </c>
      <c r="F425" s="202" t="s">
        <v>614</v>
      </c>
      <c r="G425" s="201">
        <v>166</v>
      </c>
      <c r="H425" s="200">
        <v>61</v>
      </c>
    </row>
    <row r="426" spans="1:8" x14ac:dyDescent="0.2">
      <c r="A426" s="204">
        <v>265</v>
      </c>
      <c r="B426" s="202" t="s">
        <v>1041</v>
      </c>
      <c r="C426" s="203" t="s">
        <v>1055</v>
      </c>
      <c r="D426" s="203" t="s">
        <v>852</v>
      </c>
      <c r="E426" s="202" t="s">
        <v>615</v>
      </c>
      <c r="F426" s="202" t="s">
        <v>592</v>
      </c>
      <c r="G426" s="201">
        <v>117</v>
      </c>
      <c r="H426" s="200">
        <v>61</v>
      </c>
    </row>
    <row r="427" spans="1:8" ht="25.5" x14ac:dyDescent="0.2">
      <c r="A427" s="204">
        <v>266</v>
      </c>
      <c r="B427" s="202" t="s">
        <v>1041</v>
      </c>
      <c r="C427" s="203" t="s">
        <v>1056</v>
      </c>
      <c r="D427" s="203" t="s">
        <v>1057</v>
      </c>
      <c r="E427" s="202" t="s">
        <v>587</v>
      </c>
      <c r="F427" s="202" t="s">
        <v>596</v>
      </c>
      <c r="G427" s="201">
        <v>304</v>
      </c>
      <c r="H427" s="200">
        <v>71</v>
      </c>
    </row>
    <row r="428" spans="1:8" ht="25.5" x14ac:dyDescent="0.2">
      <c r="A428" s="204">
        <v>266</v>
      </c>
      <c r="B428" s="202" t="s">
        <v>1041</v>
      </c>
      <c r="C428" s="203" t="s">
        <v>1056</v>
      </c>
      <c r="D428" s="203" t="s">
        <v>1057</v>
      </c>
      <c r="E428" s="202" t="s">
        <v>597</v>
      </c>
      <c r="F428" s="202" t="s">
        <v>588</v>
      </c>
      <c r="G428" s="201">
        <v>197</v>
      </c>
      <c r="H428" s="200">
        <v>71</v>
      </c>
    </row>
    <row r="429" spans="1:8" ht="25.5" x14ac:dyDescent="0.2">
      <c r="A429" s="204">
        <v>266</v>
      </c>
      <c r="B429" s="202" t="s">
        <v>1041</v>
      </c>
      <c r="C429" s="203" t="s">
        <v>1056</v>
      </c>
      <c r="D429" s="203" t="s">
        <v>1057</v>
      </c>
      <c r="E429" s="202" t="s">
        <v>589</v>
      </c>
      <c r="F429" s="202" t="s">
        <v>633</v>
      </c>
      <c r="G429" s="201">
        <v>268</v>
      </c>
      <c r="H429" s="200">
        <v>71</v>
      </c>
    </row>
    <row r="430" spans="1:8" ht="25.5" x14ac:dyDescent="0.2">
      <c r="A430" s="204">
        <v>266</v>
      </c>
      <c r="B430" s="202" t="s">
        <v>1041</v>
      </c>
      <c r="C430" s="203" t="s">
        <v>1056</v>
      </c>
      <c r="D430" s="203" t="s">
        <v>1057</v>
      </c>
      <c r="E430" s="202" t="s">
        <v>634</v>
      </c>
      <c r="F430" s="202" t="s">
        <v>614</v>
      </c>
      <c r="G430" s="201">
        <v>235</v>
      </c>
      <c r="H430" s="200">
        <v>71</v>
      </c>
    </row>
    <row r="431" spans="1:8" ht="25.5" x14ac:dyDescent="0.2">
      <c r="A431" s="204">
        <v>266</v>
      </c>
      <c r="B431" s="202" t="s">
        <v>1041</v>
      </c>
      <c r="C431" s="203" t="s">
        <v>1056</v>
      </c>
      <c r="D431" s="203" t="s">
        <v>1057</v>
      </c>
      <c r="E431" s="202" t="s">
        <v>615</v>
      </c>
      <c r="F431" s="202" t="s">
        <v>592</v>
      </c>
      <c r="G431" s="201">
        <v>304</v>
      </c>
      <c r="H431" s="200">
        <v>71</v>
      </c>
    </row>
    <row r="432" spans="1:8" x14ac:dyDescent="0.2">
      <c r="A432" s="204">
        <v>267</v>
      </c>
      <c r="B432" s="202" t="s">
        <v>1041</v>
      </c>
      <c r="C432" s="203" t="s">
        <v>1058</v>
      </c>
      <c r="D432" s="203" t="s">
        <v>1059</v>
      </c>
      <c r="E432" s="202" t="s">
        <v>587</v>
      </c>
      <c r="F432" s="202" t="s">
        <v>633</v>
      </c>
      <c r="G432" s="201">
        <v>83</v>
      </c>
      <c r="H432" s="200">
        <v>51</v>
      </c>
    </row>
    <row r="433" spans="1:8" x14ac:dyDescent="0.2">
      <c r="A433" s="204">
        <v>267</v>
      </c>
      <c r="B433" s="202" t="s">
        <v>1041</v>
      </c>
      <c r="C433" s="203" t="s">
        <v>1058</v>
      </c>
      <c r="D433" s="203" t="s">
        <v>1059</v>
      </c>
      <c r="E433" s="202" t="s">
        <v>634</v>
      </c>
      <c r="F433" s="202" t="s">
        <v>614</v>
      </c>
      <c r="G433" s="201">
        <v>108</v>
      </c>
      <c r="H433" s="200">
        <v>51</v>
      </c>
    </row>
    <row r="434" spans="1:8" x14ac:dyDescent="0.2">
      <c r="A434" s="204">
        <v>267</v>
      </c>
      <c r="B434" s="202" t="s">
        <v>1041</v>
      </c>
      <c r="C434" s="203" t="s">
        <v>1058</v>
      </c>
      <c r="D434" s="203" t="s">
        <v>1059</v>
      </c>
      <c r="E434" s="202" t="s">
        <v>615</v>
      </c>
      <c r="F434" s="202" t="s">
        <v>592</v>
      </c>
      <c r="G434" s="201">
        <v>83</v>
      </c>
      <c r="H434" s="200">
        <v>51</v>
      </c>
    </row>
    <row r="435" spans="1:8" x14ac:dyDescent="0.2">
      <c r="A435" s="204">
        <v>268</v>
      </c>
      <c r="B435" s="202" t="s">
        <v>1041</v>
      </c>
      <c r="C435" s="203" t="s">
        <v>1060</v>
      </c>
      <c r="D435" s="203" t="s">
        <v>1061</v>
      </c>
      <c r="E435" s="202" t="s">
        <v>583</v>
      </c>
      <c r="F435" s="202" t="s">
        <v>583</v>
      </c>
      <c r="G435" s="201">
        <v>110</v>
      </c>
      <c r="H435" s="200">
        <v>61</v>
      </c>
    </row>
    <row r="436" spans="1:8" x14ac:dyDescent="0.2">
      <c r="A436" s="204">
        <v>270</v>
      </c>
      <c r="B436" s="202" t="s">
        <v>1041</v>
      </c>
      <c r="C436" s="203" t="s">
        <v>1062</v>
      </c>
      <c r="D436" s="203" t="s">
        <v>1063</v>
      </c>
      <c r="E436" s="202" t="s">
        <v>583</v>
      </c>
      <c r="F436" s="202" t="s">
        <v>583</v>
      </c>
      <c r="G436" s="201">
        <v>105</v>
      </c>
      <c r="H436" s="200">
        <v>66</v>
      </c>
    </row>
    <row r="437" spans="1:8" x14ac:dyDescent="0.2">
      <c r="A437" s="204">
        <v>271</v>
      </c>
      <c r="B437" s="202" t="s">
        <v>1041</v>
      </c>
      <c r="C437" s="203" t="s">
        <v>1064</v>
      </c>
      <c r="D437" s="203" t="s">
        <v>1065</v>
      </c>
      <c r="E437" s="202" t="s">
        <v>583</v>
      </c>
      <c r="F437" s="202" t="s">
        <v>583</v>
      </c>
      <c r="G437" s="201">
        <v>121</v>
      </c>
      <c r="H437" s="200">
        <v>71</v>
      </c>
    </row>
    <row r="438" spans="1:8" x14ac:dyDescent="0.2">
      <c r="A438" s="204">
        <v>272</v>
      </c>
      <c r="B438" s="202" t="s">
        <v>1041</v>
      </c>
      <c r="C438" s="203" t="s">
        <v>934</v>
      </c>
      <c r="D438" s="203" t="s">
        <v>755</v>
      </c>
      <c r="E438" s="202" t="s">
        <v>583</v>
      </c>
      <c r="F438" s="202" t="s">
        <v>583</v>
      </c>
      <c r="G438" s="201">
        <v>105</v>
      </c>
      <c r="H438" s="200">
        <v>51</v>
      </c>
    </row>
    <row r="439" spans="1:8" x14ac:dyDescent="0.2">
      <c r="A439" s="204">
        <v>273</v>
      </c>
      <c r="B439" s="202" t="s">
        <v>1041</v>
      </c>
      <c r="C439" s="203" t="s">
        <v>1066</v>
      </c>
      <c r="D439" s="203" t="s">
        <v>1067</v>
      </c>
      <c r="E439" s="202" t="s">
        <v>587</v>
      </c>
      <c r="F439" s="202" t="s">
        <v>633</v>
      </c>
      <c r="G439" s="201">
        <v>116</v>
      </c>
      <c r="H439" s="200">
        <v>56</v>
      </c>
    </row>
    <row r="440" spans="1:8" x14ac:dyDescent="0.2">
      <c r="A440" s="204">
        <v>273</v>
      </c>
      <c r="B440" s="202" t="s">
        <v>1041</v>
      </c>
      <c r="C440" s="203" t="s">
        <v>1066</v>
      </c>
      <c r="D440" s="203" t="s">
        <v>1067</v>
      </c>
      <c r="E440" s="202" t="s">
        <v>634</v>
      </c>
      <c r="F440" s="202" t="s">
        <v>614</v>
      </c>
      <c r="G440" s="201">
        <v>178</v>
      </c>
      <c r="H440" s="200">
        <v>56</v>
      </c>
    </row>
    <row r="441" spans="1:8" x14ac:dyDescent="0.2">
      <c r="A441" s="204">
        <v>273</v>
      </c>
      <c r="B441" s="202" t="s">
        <v>1041</v>
      </c>
      <c r="C441" s="203" t="s">
        <v>1066</v>
      </c>
      <c r="D441" s="203" t="s">
        <v>1067</v>
      </c>
      <c r="E441" s="202" t="s">
        <v>615</v>
      </c>
      <c r="F441" s="202" t="s">
        <v>592</v>
      </c>
      <c r="G441" s="201">
        <v>116</v>
      </c>
      <c r="H441" s="200">
        <v>56</v>
      </c>
    </row>
    <row r="442" spans="1:8" x14ac:dyDescent="0.2">
      <c r="A442" s="204">
        <v>274</v>
      </c>
      <c r="B442" s="202" t="s">
        <v>1041</v>
      </c>
      <c r="C442" s="203" t="s">
        <v>1068</v>
      </c>
      <c r="D442" s="203" t="s">
        <v>1069</v>
      </c>
      <c r="E442" s="202" t="s">
        <v>583</v>
      </c>
      <c r="F442" s="202" t="s">
        <v>583</v>
      </c>
      <c r="G442" s="201">
        <v>96</v>
      </c>
      <c r="H442" s="200">
        <v>56</v>
      </c>
    </row>
    <row r="443" spans="1:8" ht="25.5" x14ac:dyDescent="0.2">
      <c r="A443" s="204">
        <v>275</v>
      </c>
      <c r="B443" s="202" t="s">
        <v>1041</v>
      </c>
      <c r="C443" s="203" t="s">
        <v>1070</v>
      </c>
      <c r="D443" s="203" t="s">
        <v>1071</v>
      </c>
      <c r="E443" s="202" t="s">
        <v>583</v>
      </c>
      <c r="F443" s="202" t="s">
        <v>583</v>
      </c>
      <c r="G443" s="201">
        <v>145</v>
      </c>
      <c r="H443" s="200">
        <v>71</v>
      </c>
    </row>
    <row r="444" spans="1:8" x14ac:dyDescent="0.2">
      <c r="A444" s="204">
        <v>276</v>
      </c>
      <c r="B444" s="202" t="s">
        <v>1041</v>
      </c>
      <c r="C444" s="203" t="s">
        <v>1072</v>
      </c>
      <c r="D444" s="203" t="s">
        <v>1073</v>
      </c>
      <c r="E444" s="202" t="s">
        <v>583</v>
      </c>
      <c r="F444" s="202" t="s">
        <v>583</v>
      </c>
      <c r="G444" s="201">
        <v>102</v>
      </c>
      <c r="H444" s="200">
        <v>51</v>
      </c>
    </row>
    <row r="445" spans="1:8" x14ac:dyDescent="0.2">
      <c r="A445" s="204">
        <v>480</v>
      </c>
      <c r="B445" s="202" t="s">
        <v>1041</v>
      </c>
      <c r="C445" s="203" t="s">
        <v>1074</v>
      </c>
      <c r="D445" s="203" t="s">
        <v>840</v>
      </c>
      <c r="E445" s="202" t="s">
        <v>583</v>
      </c>
      <c r="F445" s="202" t="s">
        <v>583</v>
      </c>
      <c r="G445" s="201">
        <v>96</v>
      </c>
      <c r="H445" s="200">
        <v>56</v>
      </c>
    </row>
    <row r="446" spans="1:8" x14ac:dyDescent="0.2">
      <c r="A446" s="204">
        <v>278</v>
      </c>
      <c r="B446" s="202" t="s">
        <v>1041</v>
      </c>
      <c r="C446" s="203" t="s">
        <v>1075</v>
      </c>
      <c r="D446" s="203" t="s">
        <v>761</v>
      </c>
      <c r="E446" s="202" t="s">
        <v>583</v>
      </c>
      <c r="F446" s="202" t="s">
        <v>583</v>
      </c>
      <c r="G446" s="201">
        <v>106</v>
      </c>
      <c r="H446" s="200">
        <v>51</v>
      </c>
    </row>
    <row r="447" spans="1:8" x14ac:dyDescent="0.2">
      <c r="A447" s="204">
        <v>279</v>
      </c>
      <c r="B447" s="202" t="s">
        <v>1076</v>
      </c>
      <c r="C447" s="203" t="s">
        <v>1077</v>
      </c>
      <c r="D447" s="203" t="s">
        <v>708</v>
      </c>
      <c r="E447" s="202" t="s">
        <v>583</v>
      </c>
      <c r="F447" s="202" t="s">
        <v>583</v>
      </c>
      <c r="G447" s="201">
        <v>104</v>
      </c>
      <c r="H447" s="200">
        <v>51</v>
      </c>
    </row>
    <row r="448" spans="1:8" x14ac:dyDescent="0.2">
      <c r="A448" s="204">
        <v>281</v>
      </c>
      <c r="B448" s="202" t="s">
        <v>1076</v>
      </c>
      <c r="C448" s="203" t="s">
        <v>1078</v>
      </c>
      <c r="D448" s="203" t="s">
        <v>1079</v>
      </c>
      <c r="E448" s="202" t="s">
        <v>583</v>
      </c>
      <c r="F448" s="202" t="s">
        <v>583</v>
      </c>
      <c r="G448" s="201">
        <v>109</v>
      </c>
      <c r="H448" s="200">
        <v>51</v>
      </c>
    </row>
    <row r="449" spans="1:8" x14ac:dyDescent="0.2">
      <c r="A449" s="204">
        <v>282</v>
      </c>
      <c r="B449" s="202" t="s">
        <v>1076</v>
      </c>
      <c r="C449" s="203" t="s">
        <v>1080</v>
      </c>
      <c r="D449" s="203" t="s">
        <v>1081</v>
      </c>
      <c r="E449" s="202" t="s">
        <v>583</v>
      </c>
      <c r="F449" s="202" t="s">
        <v>583</v>
      </c>
      <c r="G449" s="201">
        <v>132</v>
      </c>
      <c r="H449" s="200">
        <v>56</v>
      </c>
    </row>
    <row r="450" spans="1:8" x14ac:dyDescent="0.2">
      <c r="A450" s="204">
        <v>283</v>
      </c>
      <c r="B450" s="202" t="s">
        <v>1076</v>
      </c>
      <c r="C450" s="203" t="s">
        <v>1082</v>
      </c>
      <c r="D450" s="203" t="s">
        <v>1083</v>
      </c>
      <c r="E450" s="202" t="s">
        <v>583</v>
      </c>
      <c r="F450" s="202" t="s">
        <v>583</v>
      </c>
      <c r="G450" s="201">
        <v>119</v>
      </c>
      <c r="H450" s="200">
        <v>56</v>
      </c>
    </row>
    <row r="451" spans="1:8" x14ac:dyDescent="0.2">
      <c r="A451" s="204">
        <v>284</v>
      </c>
      <c r="B451" s="202" t="s">
        <v>1076</v>
      </c>
      <c r="C451" s="203" t="s">
        <v>1084</v>
      </c>
      <c r="D451" s="203" t="s">
        <v>1085</v>
      </c>
      <c r="E451" s="202" t="s">
        <v>583</v>
      </c>
      <c r="F451" s="202" t="s">
        <v>583</v>
      </c>
      <c r="G451" s="201">
        <v>106</v>
      </c>
      <c r="H451" s="200">
        <v>56</v>
      </c>
    </row>
    <row r="452" spans="1:8" x14ac:dyDescent="0.2">
      <c r="A452" s="204">
        <v>285</v>
      </c>
      <c r="B452" s="202" t="s">
        <v>1076</v>
      </c>
      <c r="C452" s="203" t="s">
        <v>1086</v>
      </c>
      <c r="D452" s="203" t="s">
        <v>1087</v>
      </c>
      <c r="E452" s="202" t="s">
        <v>583</v>
      </c>
      <c r="F452" s="202" t="s">
        <v>583</v>
      </c>
      <c r="G452" s="201">
        <v>89</v>
      </c>
      <c r="H452" s="200">
        <v>56</v>
      </c>
    </row>
    <row r="453" spans="1:8" x14ac:dyDescent="0.2">
      <c r="A453" s="204">
        <v>287</v>
      </c>
      <c r="B453" s="202" t="s">
        <v>1076</v>
      </c>
      <c r="C453" s="203" t="s">
        <v>1088</v>
      </c>
      <c r="D453" s="203" t="s">
        <v>1089</v>
      </c>
      <c r="E453" s="202" t="s">
        <v>583</v>
      </c>
      <c r="F453" s="202" t="s">
        <v>583</v>
      </c>
      <c r="G453" s="201">
        <v>98</v>
      </c>
      <c r="H453" s="200">
        <v>51</v>
      </c>
    </row>
    <row r="454" spans="1:8" x14ac:dyDescent="0.2">
      <c r="A454" s="204">
        <v>291</v>
      </c>
      <c r="B454" s="202" t="s">
        <v>1076</v>
      </c>
      <c r="C454" s="203" t="s">
        <v>1090</v>
      </c>
      <c r="D454" s="203" t="s">
        <v>1091</v>
      </c>
      <c r="E454" s="202" t="s">
        <v>583</v>
      </c>
      <c r="F454" s="202" t="s">
        <v>583</v>
      </c>
      <c r="G454" s="201">
        <v>95</v>
      </c>
      <c r="H454" s="200">
        <v>51</v>
      </c>
    </row>
    <row r="455" spans="1:8" x14ac:dyDescent="0.2">
      <c r="A455" s="204">
        <v>289</v>
      </c>
      <c r="B455" s="202" t="s">
        <v>1076</v>
      </c>
      <c r="C455" s="203" t="s">
        <v>1092</v>
      </c>
      <c r="D455" s="203" t="s">
        <v>822</v>
      </c>
      <c r="E455" s="202" t="s">
        <v>583</v>
      </c>
      <c r="F455" s="202" t="s">
        <v>583</v>
      </c>
      <c r="G455" s="201">
        <v>94</v>
      </c>
      <c r="H455" s="200">
        <v>46</v>
      </c>
    </row>
    <row r="456" spans="1:8" x14ac:dyDescent="0.2">
      <c r="A456" s="204">
        <v>280</v>
      </c>
      <c r="B456" s="202" t="s">
        <v>1076</v>
      </c>
      <c r="C456" s="203" t="s">
        <v>1093</v>
      </c>
      <c r="D456" s="203" t="s">
        <v>1094</v>
      </c>
      <c r="E456" s="202" t="s">
        <v>583</v>
      </c>
      <c r="F456" s="202" t="s">
        <v>583</v>
      </c>
      <c r="G456" s="201">
        <v>94</v>
      </c>
      <c r="H456" s="200">
        <v>46</v>
      </c>
    </row>
    <row r="457" spans="1:8" x14ac:dyDescent="0.2">
      <c r="A457" s="204">
        <v>294</v>
      </c>
      <c r="B457" s="202" t="s">
        <v>1076</v>
      </c>
      <c r="C457" s="203" t="s">
        <v>1095</v>
      </c>
      <c r="D457" s="203" t="s">
        <v>1096</v>
      </c>
      <c r="E457" s="202" t="s">
        <v>583</v>
      </c>
      <c r="F457" s="202" t="s">
        <v>583</v>
      </c>
      <c r="G457" s="201">
        <v>95</v>
      </c>
      <c r="H457" s="200">
        <v>51</v>
      </c>
    </row>
    <row r="458" spans="1:8" x14ac:dyDescent="0.2">
      <c r="A458" s="204">
        <v>485</v>
      </c>
      <c r="B458" s="202" t="s">
        <v>1097</v>
      </c>
      <c r="C458" s="203" t="s">
        <v>1098</v>
      </c>
      <c r="D458" s="203" t="s">
        <v>1099</v>
      </c>
      <c r="E458" s="202" t="s">
        <v>583</v>
      </c>
      <c r="F458" s="202" t="s">
        <v>583</v>
      </c>
      <c r="G458" s="201">
        <v>109</v>
      </c>
      <c r="H458" s="200">
        <v>56</v>
      </c>
    </row>
    <row r="459" spans="1:8" x14ac:dyDescent="0.2">
      <c r="A459" s="204">
        <v>295</v>
      </c>
      <c r="B459" s="202" t="s">
        <v>1097</v>
      </c>
      <c r="C459" s="203" t="s">
        <v>1100</v>
      </c>
      <c r="D459" s="203" t="s">
        <v>1101</v>
      </c>
      <c r="E459" s="202" t="s">
        <v>583</v>
      </c>
      <c r="F459" s="202" t="s">
        <v>583</v>
      </c>
      <c r="G459" s="201">
        <v>94</v>
      </c>
      <c r="H459" s="200">
        <v>66</v>
      </c>
    </row>
    <row r="460" spans="1:8" x14ac:dyDescent="0.2">
      <c r="A460" s="204">
        <v>298</v>
      </c>
      <c r="B460" s="202" t="s">
        <v>1102</v>
      </c>
      <c r="C460" s="203" t="s">
        <v>1103</v>
      </c>
      <c r="D460" s="203" t="s">
        <v>1104</v>
      </c>
      <c r="E460" s="202" t="s">
        <v>583</v>
      </c>
      <c r="F460" s="202" t="s">
        <v>583</v>
      </c>
      <c r="G460" s="201">
        <v>114</v>
      </c>
      <c r="H460" s="200">
        <v>51</v>
      </c>
    </row>
    <row r="461" spans="1:8" x14ac:dyDescent="0.2">
      <c r="A461" s="204">
        <v>299</v>
      </c>
      <c r="B461" s="202" t="s">
        <v>1102</v>
      </c>
      <c r="C461" s="203" t="s">
        <v>1105</v>
      </c>
      <c r="D461" s="203" t="s">
        <v>1106</v>
      </c>
      <c r="E461" s="202" t="s">
        <v>587</v>
      </c>
      <c r="F461" s="202" t="s">
        <v>633</v>
      </c>
      <c r="G461" s="201">
        <v>104</v>
      </c>
      <c r="H461" s="200">
        <v>61</v>
      </c>
    </row>
    <row r="462" spans="1:8" x14ac:dyDescent="0.2">
      <c r="A462" s="204">
        <v>299</v>
      </c>
      <c r="B462" s="202" t="s">
        <v>1102</v>
      </c>
      <c r="C462" s="203" t="s">
        <v>1105</v>
      </c>
      <c r="D462" s="203" t="s">
        <v>1106</v>
      </c>
      <c r="E462" s="202" t="s">
        <v>634</v>
      </c>
      <c r="F462" s="202" t="s">
        <v>614</v>
      </c>
      <c r="G462" s="201">
        <v>144</v>
      </c>
      <c r="H462" s="200">
        <v>61</v>
      </c>
    </row>
    <row r="463" spans="1:8" x14ac:dyDescent="0.2">
      <c r="A463" s="204">
        <v>299</v>
      </c>
      <c r="B463" s="202" t="s">
        <v>1102</v>
      </c>
      <c r="C463" s="203" t="s">
        <v>1105</v>
      </c>
      <c r="D463" s="203" t="s">
        <v>1106</v>
      </c>
      <c r="E463" s="202" t="s">
        <v>615</v>
      </c>
      <c r="F463" s="202" t="s">
        <v>592</v>
      </c>
      <c r="G463" s="201">
        <v>104</v>
      </c>
      <c r="H463" s="200">
        <v>61</v>
      </c>
    </row>
    <row r="464" spans="1:8" x14ac:dyDescent="0.2">
      <c r="A464" s="204">
        <v>300</v>
      </c>
      <c r="B464" s="202" t="s">
        <v>1102</v>
      </c>
      <c r="C464" s="203" t="s">
        <v>1107</v>
      </c>
      <c r="D464" s="203" t="s">
        <v>1107</v>
      </c>
      <c r="E464" s="202" t="s">
        <v>583</v>
      </c>
      <c r="F464" s="202" t="s">
        <v>583</v>
      </c>
      <c r="G464" s="201">
        <v>97</v>
      </c>
      <c r="H464" s="200">
        <v>61</v>
      </c>
    </row>
    <row r="465" spans="1:8" x14ac:dyDescent="0.2">
      <c r="A465" s="204">
        <v>302</v>
      </c>
      <c r="B465" s="202" t="s">
        <v>1102</v>
      </c>
      <c r="C465" s="203" t="s">
        <v>1108</v>
      </c>
      <c r="D465" s="203" t="s">
        <v>1109</v>
      </c>
      <c r="E465" s="202" t="s">
        <v>583</v>
      </c>
      <c r="F465" s="202" t="s">
        <v>583</v>
      </c>
      <c r="G465" s="201">
        <v>99</v>
      </c>
      <c r="H465" s="200">
        <v>51</v>
      </c>
    </row>
    <row r="466" spans="1:8" x14ac:dyDescent="0.2">
      <c r="A466" s="204">
        <v>304</v>
      </c>
      <c r="B466" s="202" t="s">
        <v>1102</v>
      </c>
      <c r="C466" s="203" t="s">
        <v>1110</v>
      </c>
      <c r="D466" s="203" t="s">
        <v>1111</v>
      </c>
      <c r="E466" s="202" t="s">
        <v>587</v>
      </c>
      <c r="F466" s="202" t="s">
        <v>633</v>
      </c>
      <c r="G466" s="201">
        <v>95</v>
      </c>
      <c r="H466" s="200">
        <v>56</v>
      </c>
    </row>
    <row r="467" spans="1:8" x14ac:dyDescent="0.2">
      <c r="A467" s="204">
        <v>304</v>
      </c>
      <c r="B467" s="202" t="s">
        <v>1102</v>
      </c>
      <c r="C467" s="203" t="s">
        <v>1110</v>
      </c>
      <c r="D467" s="203" t="s">
        <v>1111</v>
      </c>
      <c r="E467" s="202" t="s">
        <v>634</v>
      </c>
      <c r="F467" s="202" t="s">
        <v>614</v>
      </c>
      <c r="G467" s="201">
        <v>123</v>
      </c>
      <c r="H467" s="200">
        <v>56</v>
      </c>
    </row>
    <row r="468" spans="1:8" x14ac:dyDescent="0.2">
      <c r="A468" s="204">
        <v>304</v>
      </c>
      <c r="B468" s="202" t="s">
        <v>1102</v>
      </c>
      <c r="C468" s="203" t="s">
        <v>1110</v>
      </c>
      <c r="D468" s="203" t="s">
        <v>1111</v>
      </c>
      <c r="E468" s="202" t="s">
        <v>615</v>
      </c>
      <c r="F468" s="202" t="s">
        <v>592</v>
      </c>
      <c r="G468" s="201">
        <v>95</v>
      </c>
      <c r="H468" s="200">
        <v>56</v>
      </c>
    </row>
    <row r="469" spans="1:8" x14ac:dyDescent="0.2">
      <c r="A469" s="204">
        <v>305</v>
      </c>
      <c r="B469" s="202" t="s">
        <v>1102</v>
      </c>
      <c r="C469" s="203" t="s">
        <v>898</v>
      </c>
      <c r="D469" s="203" t="s">
        <v>1112</v>
      </c>
      <c r="E469" s="202" t="s">
        <v>583</v>
      </c>
      <c r="F469" s="202" t="s">
        <v>583</v>
      </c>
      <c r="G469" s="201">
        <v>137</v>
      </c>
      <c r="H469" s="200">
        <v>66</v>
      </c>
    </row>
    <row r="470" spans="1:8" x14ac:dyDescent="0.2">
      <c r="A470" s="204">
        <v>306</v>
      </c>
      <c r="B470" s="202" t="s">
        <v>1102</v>
      </c>
      <c r="C470" s="203" t="s">
        <v>1113</v>
      </c>
      <c r="D470" s="203" t="s">
        <v>1114</v>
      </c>
      <c r="E470" s="202" t="s">
        <v>587</v>
      </c>
      <c r="F470" s="202" t="s">
        <v>633</v>
      </c>
      <c r="G470" s="201">
        <v>100</v>
      </c>
      <c r="H470" s="200">
        <v>51</v>
      </c>
    </row>
    <row r="471" spans="1:8" x14ac:dyDescent="0.2">
      <c r="A471" s="204">
        <v>306</v>
      </c>
      <c r="B471" s="202" t="s">
        <v>1102</v>
      </c>
      <c r="C471" s="203" t="s">
        <v>1113</v>
      </c>
      <c r="D471" s="203" t="s">
        <v>1114</v>
      </c>
      <c r="E471" s="202" t="s">
        <v>634</v>
      </c>
      <c r="F471" s="202" t="s">
        <v>614</v>
      </c>
      <c r="G471" s="201">
        <v>148</v>
      </c>
      <c r="H471" s="200">
        <v>51</v>
      </c>
    </row>
    <row r="472" spans="1:8" x14ac:dyDescent="0.2">
      <c r="A472" s="204">
        <v>306</v>
      </c>
      <c r="B472" s="202" t="s">
        <v>1102</v>
      </c>
      <c r="C472" s="203" t="s">
        <v>1113</v>
      </c>
      <c r="D472" s="203" t="s">
        <v>1114</v>
      </c>
      <c r="E472" s="202" t="s">
        <v>615</v>
      </c>
      <c r="F472" s="202" t="s">
        <v>592</v>
      </c>
      <c r="G472" s="201">
        <v>100</v>
      </c>
      <c r="H472" s="200">
        <v>51</v>
      </c>
    </row>
    <row r="473" spans="1:8" x14ac:dyDescent="0.2">
      <c r="A473" s="204">
        <v>307</v>
      </c>
      <c r="B473" s="202" t="s">
        <v>1115</v>
      </c>
      <c r="C473" s="203" t="s">
        <v>1116</v>
      </c>
      <c r="D473" s="203" t="s">
        <v>1117</v>
      </c>
      <c r="E473" s="202" t="s">
        <v>583</v>
      </c>
      <c r="F473" s="202" t="s">
        <v>583</v>
      </c>
      <c r="G473" s="201">
        <v>88</v>
      </c>
      <c r="H473" s="200">
        <v>51</v>
      </c>
    </row>
    <row r="474" spans="1:8" x14ac:dyDescent="0.2">
      <c r="A474" s="204">
        <v>313</v>
      </c>
      <c r="B474" s="202" t="s">
        <v>1115</v>
      </c>
      <c r="C474" s="203" t="s">
        <v>1118</v>
      </c>
      <c r="D474" s="203" t="s">
        <v>1118</v>
      </c>
      <c r="E474" s="202" t="s">
        <v>583</v>
      </c>
      <c r="F474" s="202" t="s">
        <v>583</v>
      </c>
      <c r="G474" s="201">
        <v>99</v>
      </c>
      <c r="H474" s="200">
        <v>71</v>
      </c>
    </row>
    <row r="475" spans="1:8" x14ac:dyDescent="0.2">
      <c r="A475" s="204">
        <v>309</v>
      </c>
      <c r="B475" s="202" t="s">
        <v>1115</v>
      </c>
      <c r="C475" s="203" t="s">
        <v>1119</v>
      </c>
      <c r="D475" s="203" t="s">
        <v>1120</v>
      </c>
      <c r="E475" s="202" t="s">
        <v>583</v>
      </c>
      <c r="F475" s="202" t="s">
        <v>583</v>
      </c>
      <c r="G475" s="201">
        <v>95</v>
      </c>
      <c r="H475" s="200">
        <v>51</v>
      </c>
    </row>
    <row r="476" spans="1:8" x14ac:dyDescent="0.2">
      <c r="A476" s="204">
        <v>310</v>
      </c>
      <c r="B476" s="202" t="s">
        <v>1115</v>
      </c>
      <c r="C476" s="203" t="s">
        <v>1046</v>
      </c>
      <c r="D476" s="203" t="s">
        <v>1046</v>
      </c>
      <c r="E476" s="202" t="s">
        <v>583</v>
      </c>
      <c r="F476" s="202" t="s">
        <v>583</v>
      </c>
      <c r="G476" s="201">
        <v>91</v>
      </c>
      <c r="H476" s="200">
        <v>46</v>
      </c>
    </row>
    <row r="477" spans="1:8" x14ac:dyDescent="0.2">
      <c r="A477" s="204">
        <v>311</v>
      </c>
      <c r="B477" s="202" t="s">
        <v>1115</v>
      </c>
      <c r="C477" s="203" t="s">
        <v>1121</v>
      </c>
      <c r="D477" s="203" t="s">
        <v>1122</v>
      </c>
      <c r="E477" s="202" t="s">
        <v>587</v>
      </c>
      <c r="F477" s="202" t="s">
        <v>661</v>
      </c>
      <c r="G477" s="201">
        <v>105</v>
      </c>
      <c r="H477" s="200">
        <v>51</v>
      </c>
    </row>
    <row r="478" spans="1:8" x14ac:dyDescent="0.2">
      <c r="A478" s="204">
        <v>311</v>
      </c>
      <c r="B478" s="202" t="s">
        <v>1115</v>
      </c>
      <c r="C478" s="203" t="s">
        <v>1121</v>
      </c>
      <c r="D478" s="203" t="s">
        <v>1122</v>
      </c>
      <c r="E478" s="202" t="s">
        <v>662</v>
      </c>
      <c r="F478" s="202" t="s">
        <v>610</v>
      </c>
      <c r="G478" s="201">
        <v>83</v>
      </c>
      <c r="H478" s="200">
        <v>51</v>
      </c>
    </row>
    <row r="479" spans="1:8" x14ac:dyDescent="0.2">
      <c r="A479" s="204">
        <v>311</v>
      </c>
      <c r="B479" s="202" t="s">
        <v>1115</v>
      </c>
      <c r="C479" s="203" t="s">
        <v>1121</v>
      </c>
      <c r="D479" s="203" t="s">
        <v>1122</v>
      </c>
      <c r="E479" s="202" t="s">
        <v>611</v>
      </c>
      <c r="F479" s="202" t="s">
        <v>592</v>
      </c>
      <c r="G479" s="201">
        <v>105</v>
      </c>
      <c r="H479" s="200">
        <v>51</v>
      </c>
    </row>
    <row r="480" spans="1:8" x14ac:dyDescent="0.2">
      <c r="A480" s="204">
        <v>312</v>
      </c>
      <c r="B480" s="202" t="s">
        <v>1115</v>
      </c>
      <c r="C480" s="203" t="s">
        <v>1123</v>
      </c>
      <c r="D480" s="203" t="s">
        <v>1124</v>
      </c>
      <c r="E480" s="202" t="s">
        <v>583</v>
      </c>
      <c r="F480" s="202" t="s">
        <v>583</v>
      </c>
      <c r="G480" s="201">
        <v>108</v>
      </c>
      <c r="H480" s="200">
        <v>51</v>
      </c>
    </row>
    <row r="481" spans="1:8" x14ac:dyDescent="0.2">
      <c r="A481" s="204">
        <v>489</v>
      </c>
      <c r="B481" s="202" t="s">
        <v>1115</v>
      </c>
      <c r="C481" s="203" t="s">
        <v>1125</v>
      </c>
      <c r="D481" s="203" t="s">
        <v>1125</v>
      </c>
      <c r="E481" s="202" t="s">
        <v>587</v>
      </c>
      <c r="F481" s="202" t="s">
        <v>612</v>
      </c>
      <c r="G481" s="201">
        <v>103</v>
      </c>
      <c r="H481" s="200">
        <v>51</v>
      </c>
    </row>
    <row r="482" spans="1:8" x14ac:dyDescent="0.2">
      <c r="A482" s="204">
        <v>489</v>
      </c>
      <c r="B482" s="202" t="s">
        <v>1115</v>
      </c>
      <c r="C482" s="203" t="s">
        <v>1125</v>
      </c>
      <c r="D482" s="203" t="s">
        <v>1125</v>
      </c>
      <c r="E482" s="202" t="s">
        <v>613</v>
      </c>
      <c r="F482" s="202" t="s">
        <v>614</v>
      </c>
      <c r="G482" s="201">
        <v>154</v>
      </c>
      <c r="H482" s="200">
        <v>51</v>
      </c>
    </row>
    <row r="483" spans="1:8" x14ac:dyDescent="0.2">
      <c r="A483" s="204">
        <v>489</v>
      </c>
      <c r="B483" s="202" t="s">
        <v>1115</v>
      </c>
      <c r="C483" s="203" t="s">
        <v>1125</v>
      </c>
      <c r="D483" s="203" t="s">
        <v>1125</v>
      </c>
      <c r="E483" s="202" t="s">
        <v>615</v>
      </c>
      <c r="F483" s="202" t="s">
        <v>592</v>
      </c>
      <c r="G483" s="201">
        <v>103</v>
      </c>
      <c r="H483" s="200">
        <v>51</v>
      </c>
    </row>
    <row r="484" spans="1:8" x14ac:dyDescent="0.2">
      <c r="A484" s="204">
        <v>314</v>
      </c>
      <c r="B484" s="202" t="s">
        <v>1115</v>
      </c>
      <c r="C484" s="203" t="s">
        <v>1126</v>
      </c>
      <c r="D484" s="203" t="s">
        <v>1126</v>
      </c>
      <c r="E484" s="202" t="s">
        <v>583</v>
      </c>
      <c r="F484" s="202" t="s">
        <v>583</v>
      </c>
      <c r="G484" s="201">
        <v>100</v>
      </c>
      <c r="H484" s="200">
        <v>56</v>
      </c>
    </row>
    <row r="485" spans="1:8" x14ac:dyDescent="0.2">
      <c r="A485" s="204">
        <v>315</v>
      </c>
      <c r="B485" s="202" t="s">
        <v>1115</v>
      </c>
      <c r="C485" s="203" t="s">
        <v>1127</v>
      </c>
      <c r="D485" s="203" t="s">
        <v>1128</v>
      </c>
      <c r="E485" s="202" t="s">
        <v>583</v>
      </c>
      <c r="F485" s="202" t="s">
        <v>583</v>
      </c>
      <c r="G485" s="201">
        <v>122</v>
      </c>
      <c r="H485" s="200">
        <v>51</v>
      </c>
    </row>
    <row r="486" spans="1:8" x14ac:dyDescent="0.2">
      <c r="A486" s="204">
        <v>316</v>
      </c>
      <c r="B486" s="202" t="s">
        <v>1115</v>
      </c>
      <c r="C486" s="203" t="s">
        <v>1129</v>
      </c>
      <c r="D486" s="203" t="s">
        <v>969</v>
      </c>
      <c r="E486" s="202" t="s">
        <v>583</v>
      </c>
      <c r="F486" s="202" t="s">
        <v>583</v>
      </c>
      <c r="G486" s="201">
        <v>91</v>
      </c>
      <c r="H486" s="200">
        <v>56</v>
      </c>
    </row>
    <row r="487" spans="1:8" x14ac:dyDescent="0.2">
      <c r="A487" s="204">
        <v>435</v>
      </c>
      <c r="B487" s="202" t="s">
        <v>1115</v>
      </c>
      <c r="C487" s="203" t="s">
        <v>1130</v>
      </c>
      <c r="D487" s="203" t="s">
        <v>1130</v>
      </c>
      <c r="E487" s="202" t="s">
        <v>583</v>
      </c>
      <c r="F487" s="202" t="s">
        <v>583</v>
      </c>
      <c r="G487" s="201">
        <v>125</v>
      </c>
      <c r="H487" s="200">
        <v>66</v>
      </c>
    </row>
    <row r="488" spans="1:8" x14ac:dyDescent="0.2">
      <c r="A488" s="204">
        <v>317</v>
      </c>
      <c r="B488" s="202" t="s">
        <v>1115</v>
      </c>
      <c r="C488" s="203" t="s">
        <v>1131</v>
      </c>
      <c r="D488" s="203" t="s">
        <v>1131</v>
      </c>
      <c r="E488" s="202" t="s">
        <v>587</v>
      </c>
      <c r="F488" s="202" t="s">
        <v>640</v>
      </c>
      <c r="G488" s="201">
        <v>166</v>
      </c>
      <c r="H488" s="200">
        <v>66</v>
      </c>
    </row>
    <row r="489" spans="1:8" x14ac:dyDescent="0.2">
      <c r="A489" s="204">
        <v>317</v>
      </c>
      <c r="B489" s="202" t="s">
        <v>1115</v>
      </c>
      <c r="C489" s="203" t="s">
        <v>1131</v>
      </c>
      <c r="D489" s="203" t="s">
        <v>1131</v>
      </c>
      <c r="E489" s="202" t="s">
        <v>641</v>
      </c>
      <c r="F489" s="202" t="s">
        <v>588</v>
      </c>
      <c r="G489" s="201">
        <v>139</v>
      </c>
      <c r="H489" s="200">
        <v>66</v>
      </c>
    </row>
    <row r="490" spans="1:8" x14ac:dyDescent="0.2">
      <c r="A490" s="204">
        <v>317</v>
      </c>
      <c r="B490" s="202" t="s">
        <v>1115</v>
      </c>
      <c r="C490" s="203" t="s">
        <v>1131</v>
      </c>
      <c r="D490" s="203" t="s">
        <v>1131</v>
      </c>
      <c r="E490" s="202" t="s">
        <v>589</v>
      </c>
      <c r="F490" s="202" t="s">
        <v>633</v>
      </c>
      <c r="G490" s="201">
        <v>171</v>
      </c>
      <c r="H490" s="200">
        <v>66</v>
      </c>
    </row>
    <row r="491" spans="1:8" x14ac:dyDescent="0.2">
      <c r="A491" s="204">
        <v>317</v>
      </c>
      <c r="B491" s="202" t="s">
        <v>1115</v>
      </c>
      <c r="C491" s="203" t="s">
        <v>1131</v>
      </c>
      <c r="D491" s="203" t="s">
        <v>1131</v>
      </c>
      <c r="E491" s="202" t="s">
        <v>634</v>
      </c>
      <c r="F491" s="202" t="s">
        <v>614</v>
      </c>
      <c r="G491" s="201">
        <v>142</v>
      </c>
      <c r="H491" s="200">
        <v>66</v>
      </c>
    </row>
    <row r="492" spans="1:8" x14ac:dyDescent="0.2">
      <c r="A492" s="204">
        <v>317</v>
      </c>
      <c r="B492" s="202" t="s">
        <v>1115</v>
      </c>
      <c r="C492" s="203" t="s">
        <v>1131</v>
      </c>
      <c r="D492" s="203" t="s">
        <v>1131</v>
      </c>
      <c r="E492" s="202" t="s">
        <v>615</v>
      </c>
      <c r="F492" s="202" t="s">
        <v>592</v>
      </c>
      <c r="G492" s="201">
        <v>166</v>
      </c>
      <c r="H492" s="200">
        <v>66</v>
      </c>
    </row>
    <row r="493" spans="1:8" x14ac:dyDescent="0.2">
      <c r="A493" s="204">
        <v>318</v>
      </c>
      <c r="B493" s="202" t="s">
        <v>1115</v>
      </c>
      <c r="C493" s="203" t="s">
        <v>1132</v>
      </c>
      <c r="D493" s="203" t="s">
        <v>1133</v>
      </c>
      <c r="E493" s="202" t="s">
        <v>583</v>
      </c>
      <c r="F493" s="202" t="s">
        <v>583</v>
      </c>
      <c r="G493" s="201">
        <v>128</v>
      </c>
      <c r="H493" s="200">
        <v>71</v>
      </c>
    </row>
    <row r="494" spans="1:8" x14ac:dyDescent="0.2">
      <c r="A494" s="204">
        <v>319</v>
      </c>
      <c r="B494" s="202" t="s">
        <v>1115</v>
      </c>
      <c r="C494" s="203" t="s">
        <v>1134</v>
      </c>
      <c r="D494" s="203" t="s">
        <v>1135</v>
      </c>
      <c r="E494" s="202" t="s">
        <v>583</v>
      </c>
      <c r="F494" s="202" t="s">
        <v>583</v>
      </c>
      <c r="G494" s="201">
        <v>94</v>
      </c>
      <c r="H494" s="200">
        <v>56</v>
      </c>
    </row>
    <row r="495" spans="1:8" x14ac:dyDescent="0.2">
      <c r="A495" s="204">
        <v>320</v>
      </c>
      <c r="B495" s="202" t="s">
        <v>1115</v>
      </c>
      <c r="C495" s="203" t="s">
        <v>1136</v>
      </c>
      <c r="D495" s="203" t="s">
        <v>1137</v>
      </c>
      <c r="E495" s="202" t="s">
        <v>583</v>
      </c>
      <c r="F495" s="202" t="s">
        <v>583</v>
      </c>
      <c r="G495" s="201">
        <v>89</v>
      </c>
      <c r="H495" s="200">
        <v>56</v>
      </c>
    </row>
    <row r="496" spans="1:8" x14ac:dyDescent="0.2">
      <c r="A496" s="204">
        <v>321</v>
      </c>
      <c r="B496" s="202" t="s">
        <v>1115</v>
      </c>
      <c r="C496" s="203" t="s">
        <v>1138</v>
      </c>
      <c r="D496" s="203" t="s">
        <v>1139</v>
      </c>
      <c r="E496" s="202" t="s">
        <v>583</v>
      </c>
      <c r="F496" s="202" t="s">
        <v>583</v>
      </c>
      <c r="G496" s="201">
        <v>87</v>
      </c>
      <c r="H496" s="200">
        <v>56</v>
      </c>
    </row>
    <row r="497" spans="1:8" ht="25.5" x14ac:dyDescent="0.2">
      <c r="A497" s="204">
        <v>322</v>
      </c>
      <c r="B497" s="202" t="s">
        <v>1140</v>
      </c>
      <c r="C497" s="203" t="s">
        <v>1141</v>
      </c>
      <c r="D497" s="203" t="s">
        <v>1142</v>
      </c>
      <c r="E497" s="202" t="s">
        <v>583</v>
      </c>
      <c r="F497" s="202" t="s">
        <v>583</v>
      </c>
      <c r="G497" s="201">
        <v>91</v>
      </c>
      <c r="H497" s="200">
        <v>56</v>
      </c>
    </row>
    <row r="498" spans="1:8" x14ac:dyDescent="0.2">
      <c r="A498" s="204">
        <v>323</v>
      </c>
      <c r="B498" s="202" t="s">
        <v>1140</v>
      </c>
      <c r="C498" s="203" t="s">
        <v>1143</v>
      </c>
      <c r="D498" s="203" t="s">
        <v>1144</v>
      </c>
      <c r="E498" s="202" t="s">
        <v>587</v>
      </c>
      <c r="F498" s="202" t="s">
        <v>661</v>
      </c>
      <c r="G498" s="201">
        <v>165</v>
      </c>
      <c r="H498" s="200">
        <v>71</v>
      </c>
    </row>
    <row r="499" spans="1:8" x14ac:dyDescent="0.2">
      <c r="A499" s="204">
        <v>323</v>
      </c>
      <c r="B499" s="202" t="s">
        <v>1140</v>
      </c>
      <c r="C499" s="203" t="s">
        <v>1143</v>
      </c>
      <c r="D499" s="203" t="s">
        <v>1144</v>
      </c>
      <c r="E499" s="202" t="s">
        <v>662</v>
      </c>
      <c r="F499" s="202" t="s">
        <v>730</v>
      </c>
      <c r="G499" s="201">
        <v>96</v>
      </c>
      <c r="H499" s="200">
        <v>71</v>
      </c>
    </row>
    <row r="500" spans="1:8" x14ac:dyDescent="0.2">
      <c r="A500" s="204">
        <v>323</v>
      </c>
      <c r="B500" s="202" t="s">
        <v>1140</v>
      </c>
      <c r="C500" s="203" t="s">
        <v>1143</v>
      </c>
      <c r="D500" s="203" t="s">
        <v>1144</v>
      </c>
      <c r="E500" s="202" t="s">
        <v>731</v>
      </c>
      <c r="F500" s="202" t="s">
        <v>592</v>
      </c>
      <c r="G500" s="201">
        <v>165</v>
      </c>
      <c r="H500" s="200">
        <v>71</v>
      </c>
    </row>
    <row r="501" spans="1:8" x14ac:dyDescent="0.2">
      <c r="A501" s="204">
        <v>325</v>
      </c>
      <c r="B501" s="202" t="s">
        <v>1140</v>
      </c>
      <c r="C501" s="203" t="s">
        <v>1145</v>
      </c>
      <c r="D501" s="203" t="s">
        <v>1145</v>
      </c>
      <c r="E501" s="202" t="s">
        <v>583</v>
      </c>
      <c r="F501" s="202" t="s">
        <v>583</v>
      </c>
      <c r="G501" s="201">
        <v>131</v>
      </c>
      <c r="H501" s="200">
        <v>71</v>
      </c>
    </row>
    <row r="502" spans="1:8" x14ac:dyDescent="0.2">
      <c r="A502" s="204">
        <v>437</v>
      </c>
      <c r="B502" s="202" t="s">
        <v>1146</v>
      </c>
      <c r="C502" s="203" t="s">
        <v>1147</v>
      </c>
      <c r="D502" s="203" t="s">
        <v>1147</v>
      </c>
      <c r="E502" s="202" t="s">
        <v>583</v>
      </c>
      <c r="F502" s="202" t="s">
        <v>583</v>
      </c>
      <c r="G502" s="201">
        <v>88</v>
      </c>
      <c r="H502" s="200">
        <v>46</v>
      </c>
    </row>
    <row r="503" spans="1:8" x14ac:dyDescent="0.2">
      <c r="A503" s="204">
        <v>326</v>
      </c>
      <c r="B503" s="202" t="s">
        <v>1146</v>
      </c>
      <c r="C503" s="203" t="s">
        <v>1148</v>
      </c>
      <c r="D503" s="203" t="s">
        <v>1149</v>
      </c>
      <c r="E503" s="202" t="s">
        <v>587</v>
      </c>
      <c r="F503" s="202" t="s">
        <v>661</v>
      </c>
      <c r="G503" s="201">
        <v>157</v>
      </c>
      <c r="H503" s="200">
        <v>56</v>
      </c>
    </row>
    <row r="504" spans="1:8" x14ac:dyDescent="0.2">
      <c r="A504" s="204">
        <v>326</v>
      </c>
      <c r="B504" s="202" t="s">
        <v>1146</v>
      </c>
      <c r="C504" s="203" t="s">
        <v>1148</v>
      </c>
      <c r="D504" s="203" t="s">
        <v>1149</v>
      </c>
      <c r="E504" s="202" t="s">
        <v>662</v>
      </c>
      <c r="F504" s="202" t="s">
        <v>588</v>
      </c>
      <c r="G504" s="201">
        <v>142</v>
      </c>
      <c r="H504" s="200">
        <v>56</v>
      </c>
    </row>
    <row r="505" spans="1:8" x14ac:dyDescent="0.2">
      <c r="A505" s="204">
        <v>326</v>
      </c>
      <c r="B505" s="202" t="s">
        <v>1146</v>
      </c>
      <c r="C505" s="203" t="s">
        <v>1148</v>
      </c>
      <c r="D505" s="203" t="s">
        <v>1149</v>
      </c>
      <c r="E505" s="202" t="s">
        <v>589</v>
      </c>
      <c r="F505" s="202" t="s">
        <v>612</v>
      </c>
      <c r="G505" s="201">
        <v>186</v>
      </c>
      <c r="H505" s="200">
        <v>56</v>
      </c>
    </row>
    <row r="506" spans="1:8" x14ac:dyDescent="0.2">
      <c r="A506" s="204">
        <v>326</v>
      </c>
      <c r="B506" s="202" t="s">
        <v>1146</v>
      </c>
      <c r="C506" s="203" t="s">
        <v>1148</v>
      </c>
      <c r="D506" s="203" t="s">
        <v>1149</v>
      </c>
      <c r="E506" s="202" t="s">
        <v>613</v>
      </c>
      <c r="F506" s="202" t="s">
        <v>592</v>
      </c>
      <c r="G506" s="201">
        <v>157</v>
      </c>
      <c r="H506" s="200">
        <v>56</v>
      </c>
    </row>
    <row r="507" spans="1:8" x14ac:dyDescent="0.2">
      <c r="A507" s="204">
        <v>327</v>
      </c>
      <c r="B507" s="202" t="s">
        <v>1146</v>
      </c>
      <c r="C507" s="203" t="s">
        <v>887</v>
      </c>
      <c r="D507" s="203" t="s">
        <v>1150</v>
      </c>
      <c r="E507" s="202" t="s">
        <v>583</v>
      </c>
      <c r="F507" s="202" t="s">
        <v>583</v>
      </c>
      <c r="G507" s="201">
        <v>94</v>
      </c>
      <c r="H507" s="200">
        <v>51</v>
      </c>
    </row>
    <row r="508" spans="1:8" x14ac:dyDescent="0.2">
      <c r="A508" s="204">
        <v>329</v>
      </c>
      <c r="B508" s="202" t="s">
        <v>1146</v>
      </c>
      <c r="C508" s="203" t="s">
        <v>1151</v>
      </c>
      <c r="D508" s="203" t="s">
        <v>1152</v>
      </c>
      <c r="E508" s="202" t="s">
        <v>587</v>
      </c>
      <c r="F508" s="202" t="s">
        <v>610</v>
      </c>
      <c r="G508" s="201">
        <v>104</v>
      </c>
      <c r="H508" s="200">
        <v>61</v>
      </c>
    </row>
    <row r="509" spans="1:8" x14ac:dyDescent="0.2">
      <c r="A509" s="204">
        <v>329</v>
      </c>
      <c r="B509" s="202" t="s">
        <v>1146</v>
      </c>
      <c r="C509" s="203" t="s">
        <v>1151</v>
      </c>
      <c r="D509" s="203" t="s">
        <v>1152</v>
      </c>
      <c r="E509" s="202" t="s">
        <v>611</v>
      </c>
      <c r="F509" s="202" t="s">
        <v>590</v>
      </c>
      <c r="G509" s="201">
        <v>133</v>
      </c>
      <c r="H509" s="200">
        <v>61</v>
      </c>
    </row>
    <row r="510" spans="1:8" x14ac:dyDescent="0.2">
      <c r="A510" s="204">
        <v>329</v>
      </c>
      <c r="B510" s="202" t="s">
        <v>1146</v>
      </c>
      <c r="C510" s="203" t="s">
        <v>1151</v>
      </c>
      <c r="D510" s="203" t="s">
        <v>1152</v>
      </c>
      <c r="E510" s="202" t="s">
        <v>591</v>
      </c>
      <c r="F510" s="202" t="s">
        <v>592</v>
      </c>
      <c r="G510" s="201">
        <v>104</v>
      </c>
      <c r="H510" s="200">
        <v>61</v>
      </c>
    </row>
    <row r="511" spans="1:8" x14ac:dyDescent="0.2">
      <c r="A511" s="204">
        <v>330</v>
      </c>
      <c r="B511" s="202" t="s">
        <v>1146</v>
      </c>
      <c r="C511" s="203" t="s">
        <v>1153</v>
      </c>
      <c r="D511" s="203" t="s">
        <v>1154</v>
      </c>
      <c r="E511" s="202" t="s">
        <v>587</v>
      </c>
      <c r="F511" s="202" t="s">
        <v>610</v>
      </c>
      <c r="G511" s="201">
        <v>83</v>
      </c>
      <c r="H511" s="200">
        <v>51</v>
      </c>
    </row>
    <row r="512" spans="1:8" x14ac:dyDescent="0.2">
      <c r="A512" s="204">
        <v>330</v>
      </c>
      <c r="B512" s="202" t="s">
        <v>1146</v>
      </c>
      <c r="C512" s="203" t="s">
        <v>1153</v>
      </c>
      <c r="D512" s="203" t="s">
        <v>1154</v>
      </c>
      <c r="E512" s="202" t="s">
        <v>611</v>
      </c>
      <c r="F512" s="202" t="s">
        <v>612</v>
      </c>
      <c r="G512" s="201">
        <v>101</v>
      </c>
      <c r="H512" s="200">
        <v>51</v>
      </c>
    </row>
    <row r="513" spans="1:8" x14ac:dyDescent="0.2">
      <c r="A513" s="204">
        <v>330</v>
      </c>
      <c r="B513" s="202" t="s">
        <v>1146</v>
      </c>
      <c r="C513" s="203" t="s">
        <v>1153</v>
      </c>
      <c r="D513" s="203" t="s">
        <v>1154</v>
      </c>
      <c r="E513" s="202" t="s">
        <v>613</v>
      </c>
      <c r="F513" s="202" t="s">
        <v>614</v>
      </c>
      <c r="G513" s="201">
        <v>143</v>
      </c>
      <c r="H513" s="200">
        <v>51</v>
      </c>
    </row>
    <row r="514" spans="1:8" x14ac:dyDescent="0.2">
      <c r="A514" s="204">
        <v>330</v>
      </c>
      <c r="B514" s="202" t="s">
        <v>1146</v>
      </c>
      <c r="C514" s="203" t="s">
        <v>1153</v>
      </c>
      <c r="D514" s="203" t="s">
        <v>1154</v>
      </c>
      <c r="E514" s="202" t="s">
        <v>615</v>
      </c>
      <c r="F514" s="202" t="s">
        <v>592</v>
      </c>
      <c r="G514" s="201">
        <v>83</v>
      </c>
      <c r="H514" s="200">
        <v>51</v>
      </c>
    </row>
    <row r="515" spans="1:8" x14ac:dyDescent="0.2">
      <c r="A515" s="204">
        <v>332</v>
      </c>
      <c r="B515" s="202" t="s">
        <v>1155</v>
      </c>
      <c r="C515" s="203" t="s">
        <v>599</v>
      </c>
      <c r="D515" s="203" t="s">
        <v>1156</v>
      </c>
      <c r="E515" s="202" t="s">
        <v>587</v>
      </c>
      <c r="F515" s="202" t="s">
        <v>661</v>
      </c>
      <c r="G515" s="201">
        <v>89</v>
      </c>
      <c r="H515" s="200">
        <v>46</v>
      </c>
    </row>
    <row r="516" spans="1:8" x14ac:dyDescent="0.2">
      <c r="A516" s="204">
        <v>332</v>
      </c>
      <c r="B516" s="202" t="s">
        <v>1155</v>
      </c>
      <c r="C516" s="203" t="s">
        <v>599</v>
      </c>
      <c r="D516" s="203" t="s">
        <v>1156</v>
      </c>
      <c r="E516" s="202" t="s">
        <v>662</v>
      </c>
      <c r="F516" s="202" t="s">
        <v>612</v>
      </c>
      <c r="G516" s="201">
        <v>83</v>
      </c>
      <c r="H516" s="200">
        <v>46</v>
      </c>
    </row>
    <row r="517" spans="1:8" x14ac:dyDescent="0.2">
      <c r="A517" s="204">
        <v>332</v>
      </c>
      <c r="B517" s="202" t="s">
        <v>1155</v>
      </c>
      <c r="C517" s="203" t="s">
        <v>599</v>
      </c>
      <c r="D517" s="203" t="s">
        <v>1156</v>
      </c>
      <c r="E517" s="202" t="s">
        <v>613</v>
      </c>
      <c r="F517" s="202" t="s">
        <v>614</v>
      </c>
      <c r="G517" s="201">
        <v>128</v>
      </c>
      <c r="H517" s="200">
        <v>46</v>
      </c>
    </row>
    <row r="518" spans="1:8" x14ac:dyDescent="0.2">
      <c r="A518" s="204">
        <v>332</v>
      </c>
      <c r="B518" s="202" t="s">
        <v>1155</v>
      </c>
      <c r="C518" s="203" t="s">
        <v>599</v>
      </c>
      <c r="D518" s="203" t="s">
        <v>1156</v>
      </c>
      <c r="E518" s="202" t="s">
        <v>615</v>
      </c>
      <c r="F518" s="202" t="s">
        <v>592</v>
      </c>
      <c r="G518" s="201">
        <v>89</v>
      </c>
      <c r="H518" s="200">
        <v>46</v>
      </c>
    </row>
    <row r="519" spans="1:8" x14ac:dyDescent="0.2">
      <c r="A519" s="204">
        <v>333</v>
      </c>
      <c r="B519" s="202" t="s">
        <v>1155</v>
      </c>
      <c r="C519" s="203" t="s">
        <v>1157</v>
      </c>
      <c r="D519" s="203" t="s">
        <v>1158</v>
      </c>
      <c r="E519" s="202" t="s">
        <v>587</v>
      </c>
      <c r="F519" s="202" t="s">
        <v>612</v>
      </c>
      <c r="G519" s="201">
        <v>83</v>
      </c>
      <c r="H519" s="200">
        <v>51</v>
      </c>
    </row>
    <row r="520" spans="1:8" x14ac:dyDescent="0.2">
      <c r="A520" s="204">
        <v>333</v>
      </c>
      <c r="B520" s="202" t="s">
        <v>1155</v>
      </c>
      <c r="C520" s="203" t="s">
        <v>1157</v>
      </c>
      <c r="D520" s="203" t="s">
        <v>1158</v>
      </c>
      <c r="E520" s="202" t="s">
        <v>613</v>
      </c>
      <c r="F520" s="202" t="s">
        <v>614</v>
      </c>
      <c r="G520" s="201">
        <v>133</v>
      </c>
      <c r="H520" s="200">
        <v>51</v>
      </c>
    </row>
    <row r="521" spans="1:8" x14ac:dyDescent="0.2">
      <c r="A521" s="204">
        <v>333</v>
      </c>
      <c r="B521" s="202" t="s">
        <v>1155</v>
      </c>
      <c r="C521" s="203" t="s">
        <v>1157</v>
      </c>
      <c r="D521" s="203" t="s">
        <v>1158</v>
      </c>
      <c r="E521" s="202" t="s">
        <v>615</v>
      </c>
      <c r="F521" s="202" t="s">
        <v>592</v>
      </c>
      <c r="G521" s="201">
        <v>83</v>
      </c>
      <c r="H521" s="200">
        <v>51</v>
      </c>
    </row>
    <row r="522" spans="1:8" x14ac:dyDescent="0.2">
      <c r="A522" s="204">
        <v>334</v>
      </c>
      <c r="B522" s="202" t="s">
        <v>1155</v>
      </c>
      <c r="C522" s="203" t="s">
        <v>1159</v>
      </c>
      <c r="D522" s="203" t="s">
        <v>1160</v>
      </c>
      <c r="E522" s="202" t="s">
        <v>587</v>
      </c>
      <c r="F522" s="202" t="s">
        <v>612</v>
      </c>
      <c r="G522" s="201">
        <v>83</v>
      </c>
      <c r="H522" s="200">
        <v>51</v>
      </c>
    </row>
    <row r="523" spans="1:8" x14ac:dyDescent="0.2">
      <c r="A523" s="204">
        <v>334</v>
      </c>
      <c r="B523" s="202" t="s">
        <v>1155</v>
      </c>
      <c r="C523" s="203" t="s">
        <v>1159</v>
      </c>
      <c r="D523" s="203" t="s">
        <v>1160</v>
      </c>
      <c r="E523" s="202" t="s">
        <v>613</v>
      </c>
      <c r="F523" s="202" t="s">
        <v>614</v>
      </c>
      <c r="G523" s="201">
        <v>113</v>
      </c>
      <c r="H523" s="200">
        <v>51</v>
      </c>
    </row>
    <row r="524" spans="1:8" x14ac:dyDescent="0.2">
      <c r="A524" s="204">
        <v>334</v>
      </c>
      <c r="B524" s="202" t="s">
        <v>1155</v>
      </c>
      <c r="C524" s="203" t="s">
        <v>1159</v>
      </c>
      <c r="D524" s="203" t="s">
        <v>1160</v>
      </c>
      <c r="E524" s="202" t="s">
        <v>615</v>
      </c>
      <c r="F524" s="202" t="s">
        <v>592</v>
      </c>
      <c r="G524" s="201">
        <v>83</v>
      </c>
      <c r="H524" s="200">
        <v>51</v>
      </c>
    </row>
    <row r="525" spans="1:8" x14ac:dyDescent="0.2">
      <c r="A525" s="204">
        <v>335</v>
      </c>
      <c r="B525" s="202" t="s">
        <v>1161</v>
      </c>
      <c r="C525" s="203" t="s">
        <v>1162</v>
      </c>
      <c r="D525" s="203" t="s">
        <v>1163</v>
      </c>
      <c r="E525" s="202" t="s">
        <v>583</v>
      </c>
      <c r="F525" s="202" t="s">
        <v>583</v>
      </c>
      <c r="G525" s="201">
        <v>107</v>
      </c>
      <c r="H525" s="200">
        <v>56</v>
      </c>
    </row>
    <row r="526" spans="1:8" x14ac:dyDescent="0.2">
      <c r="A526" s="204">
        <v>336</v>
      </c>
      <c r="B526" s="202" t="s">
        <v>1161</v>
      </c>
      <c r="C526" s="203" t="s">
        <v>1164</v>
      </c>
      <c r="D526" s="203" t="s">
        <v>1088</v>
      </c>
      <c r="E526" s="202" t="s">
        <v>583</v>
      </c>
      <c r="F526" s="202" t="s">
        <v>583</v>
      </c>
      <c r="G526" s="201">
        <v>94</v>
      </c>
      <c r="H526" s="200">
        <v>56</v>
      </c>
    </row>
    <row r="527" spans="1:8" x14ac:dyDescent="0.2">
      <c r="A527" s="204">
        <v>338</v>
      </c>
      <c r="B527" s="202" t="s">
        <v>1161</v>
      </c>
      <c r="C527" s="203" t="s">
        <v>1165</v>
      </c>
      <c r="D527" s="203" t="s">
        <v>901</v>
      </c>
      <c r="E527" s="202" t="s">
        <v>583</v>
      </c>
      <c r="F527" s="202" t="s">
        <v>583</v>
      </c>
      <c r="G527" s="201">
        <v>88</v>
      </c>
      <c r="H527" s="200">
        <v>56</v>
      </c>
    </row>
    <row r="528" spans="1:8" x14ac:dyDescent="0.2">
      <c r="A528" s="204">
        <v>339</v>
      </c>
      <c r="B528" s="202" t="s">
        <v>1161</v>
      </c>
      <c r="C528" s="203" t="s">
        <v>1166</v>
      </c>
      <c r="D528" s="203" t="s">
        <v>1167</v>
      </c>
      <c r="E528" s="202" t="s">
        <v>583</v>
      </c>
      <c r="F528" s="202" t="s">
        <v>583</v>
      </c>
      <c r="G528" s="201">
        <v>102</v>
      </c>
      <c r="H528" s="200">
        <v>61</v>
      </c>
    </row>
    <row r="529" spans="1:8" x14ac:dyDescent="0.2">
      <c r="A529" s="204">
        <v>340</v>
      </c>
      <c r="B529" s="202" t="s">
        <v>1161</v>
      </c>
      <c r="C529" s="203" t="s">
        <v>1168</v>
      </c>
      <c r="D529" s="203" t="s">
        <v>1169</v>
      </c>
      <c r="E529" s="202" t="s">
        <v>587</v>
      </c>
      <c r="F529" s="202" t="s">
        <v>633</v>
      </c>
      <c r="G529" s="201">
        <v>132</v>
      </c>
      <c r="H529" s="200">
        <v>66</v>
      </c>
    </row>
    <row r="530" spans="1:8" x14ac:dyDescent="0.2">
      <c r="A530" s="204">
        <v>340</v>
      </c>
      <c r="B530" s="202" t="s">
        <v>1161</v>
      </c>
      <c r="C530" s="203" t="s">
        <v>1168</v>
      </c>
      <c r="D530" s="203" t="s">
        <v>1169</v>
      </c>
      <c r="E530" s="202" t="s">
        <v>634</v>
      </c>
      <c r="F530" s="202" t="s">
        <v>614</v>
      </c>
      <c r="G530" s="201">
        <v>123</v>
      </c>
      <c r="H530" s="200">
        <v>66</v>
      </c>
    </row>
    <row r="531" spans="1:8" x14ac:dyDescent="0.2">
      <c r="A531" s="204">
        <v>340</v>
      </c>
      <c r="B531" s="202" t="s">
        <v>1161</v>
      </c>
      <c r="C531" s="203" t="s">
        <v>1168</v>
      </c>
      <c r="D531" s="203" t="s">
        <v>1169</v>
      </c>
      <c r="E531" s="202" t="s">
        <v>615</v>
      </c>
      <c r="F531" s="202" t="s">
        <v>592</v>
      </c>
      <c r="G531" s="201">
        <v>132</v>
      </c>
      <c r="H531" s="200">
        <v>66</v>
      </c>
    </row>
    <row r="532" spans="1:8" x14ac:dyDescent="0.2">
      <c r="A532" s="204">
        <v>424</v>
      </c>
      <c r="B532" s="202" t="s">
        <v>1161</v>
      </c>
      <c r="C532" s="203" t="s">
        <v>1170</v>
      </c>
      <c r="D532" s="203" t="s">
        <v>1171</v>
      </c>
      <c r="E532" s="202" t="s">
        <v>583</v>
      </c>
      <c r="F532" s="202" t="s">
        <v>583</v>
      </c>
      <c r="G532" s="201">
        <v>84</v>
      </c>
      <c r="H532" s="200">
        <v>46</v>
      </c>
    </row>
    <row r="533" spans="1:8" x14ac:dyDescent="0.2">
      <c r="A533" s="204">
        <v>342</v>
      </c>
      <c r="B533" s="202" t="s">
        <v>1172</v>
      </c>
      <c r="C533" s="203" t="s">
        <v>1173</v>
      </c>
      <c r="D533" s="203" t="s">
        <v>1174</v>
      </c>
      <c r="E533" s="202" t="s">
        <v>583</v>
      </c>
      <c r="F533" s="202" t="s">
        <v>583</v>
      </c>
      <c r="G533" s="201">
        <v>144</v>
      </c>
      <c r="H533" s="200">
        <v>56</v>
      </c>
    </row>
    <row r="534" spans="1:8" x14ac:dyDescent="0.2">
      <c r="A534" s="204">
        <v>343</v>
      </c>
      <c r="B534" s="202" t="s">
        <v>1172</v>
      </c>
      <c r="C534" s="203" t="s">
        <v>1175</v>
      </c>
      <c r="D534" s="203" t="s">
        <v>1176</v>
      </c>
      <c r="E534" s="202" t="s">
        <v>587</v>
      </c>
      <c r="F534" s="202" t="s">
        <v>640</v>
      </c>
      <c r="G534" s="201">
        <v>126</v>
      </c>
      <c r="H534" s="200">
        <v>71</v>
      </c>
    </row>
    <row r="535" spans="1:8" x14ac:dyDescent="0.2">
      <c r="A535" s="204">
        <v>343</v>
      </c>
      <c r="B535" s="202" t="s">
        <v>1172</v>
      </c>
      <c r="C535" s="203" t="s">
        <v>1175</v>
      </c>
      <c r="D535" s="203" t="s">
        <v>1176</v>
      </c>
      <c r="E535" s="202" t="s">
        <v>641</v>
      </c>
      <c r="F535" s="202" t="s">
        <v>610</v>
      </c>
      <c r="G535" s="201">
        <v>139</v>
      </c>
      <c r="H535" s="200">
        <v>71</v>
      </c>
    </row>
    <row r="536" spans="1:8" x14ac:dyDescent="0.2">
      <c r="A536" s="204">
        <v>343</v>
      </c>
      <c r="B536" s="202" t="s">
        <v>1172</v>
      </c>
      <c r="C536" s="203" t="s">
        <v>1175</v>
      </c>
      <c r="D536" s="203" t="s">
        <v>1176</v>
      </c>
      <c r="E536" s="202" t="s">
        <v>611</v>
      </c>
      <c r="F536" s="202" t="s">
        <v>592</v>
      </c>
      <c r="G536" s="201">
        <v>126</v>
      </c>
      <c r="H536" s="200">
        <v>71</v>
      </c>
    </row>
    <row r="537" spans="1:8" x14ac:dyDescent="0.2">
      <c r="A537" s="204">
        <v>486</v>
      </c>
      <c r="B537" s="202" t="s">
        <v>1172</v>
      </c>
      <c r="C537" s="203" t="s">
        <v>1177</v>
      </c>
      <c r="D537" s="203" t="s">
        <v>888</v>
      </c>
      <c r="E537" s="202" t="s">
        <v>583</v>
      </c>
      <c r="F537" s="202" t="s">
        <v>583</v>
      </c>
      <c r="G537" s="201">
        <v>148</v>
      </c>
      <c r="H537" s="200">
        <v>46</v>
      </c>
    </row>
    <row r="538" spans="1:8" x14ac:dyDescent="0.2">
      <c r="A538" s="204">
        <v>344</v>
      </c>
      <c r="B538" s="202" t="s">
        <v>1172</v>
      </c>
      <c r="C538" s="203" t="s">
        <v>1178</v>
      </c>
      <c r="D538" s="203" t="s">
        <v>1179</v>
      </c>
      <c r="E538" s="202" t="s">
        <v>583</v>
      </c>
      <c r="F538" s="202" t="s">
        <v>583</v>
      </c>
      <c r="G538" s="201">
        <v>102</v>
      </c>
      <c r="H538" s="200">
        <v>56</v>
      </c>
    </row>
    <row r="539" spans="1:8" x14ac:dyDescent="0.2">
      <c r="A539" s="204">
        <v>345</v>
      </c>
      <c r="B539" s="202" t="s">
        <v>1172</v>
      </c>
      <c r="C539" s="203" t="s">
        <v>1180</v>
      </c>
      <c r="D539" s="203" t="s">
        <v>1181</v>
      </c>
      <c r="E539" s="202" t="s">
        <v>583</v>
      </c>
      <c r="F539" s="202" t="s">
        <v>583</v>
      </c>
      <c r="G539" s="201">
        <v>103</v>
      </c>
      <c r="H539" s="200">
        <v>51</v>
      </c>
    </row>
    <row r="540" spans="1:8" x14ac:dyDescent="0.2">
      <c r="A540" s="204">
        <v>346</v>
      </c>
      <c r="B540" s="202" t="s">
        <v>1172</v>
      </c>
      <c r="C540" s="203" t="s">
        <v>795</v>
      </c>
      <c r="D540" s="203" t="s">
        <v>1182</v>
      </c>
      <c r="E540" s="202" t="s">
        <v>587</v>
      </c>
      <c r="F540" s="202" t="s">
        <v>596</v>
      </c>
      <c r="G540" s="201">
        <v>125</v>
      </c>
      <c r="H540" s="200">
        <v>71</v>
      </c>
    </row>
    <row r="541" spans="1:8" x14ac:dyDescent="0.2">
      <c r="A541" s="204">
        <v>346</v>
      </c>
      <c r="B541" s="202" t="s">
        <v>1172</v>
      </c>
      <c r="C541" s="203" t="s">
        <v>795</v>
      </c>
      <c r="D541" s="203" t="s">
        <v>1182</v>
      </c>
      <c r="E541" s="202" t="s">
        <v>597</v>
      </c>
      <c r="F541" s="202" t="s">
        <v>610</v>
      </c>
      <c r="G541" s="201">
        <v>135</v>
      </c>
      <c r="H541" s="200">
        <v>71</v>
      </c>
    </row>
    <row r="542" spans="1:8" x14ac:dyDescent="0.2">
      <c r="A542" s="204">
        <v>346</v>
      </c>
      <c r="B542" s="202" t="s">
        <v>1172</v>
      </c>
      <c r="C542" s="203" t="s">
        <v>795</v>
      </c>
      <c r="D542" s="203" t="s">
        <v>1182</v>
      </c>
      <c r="E542" s="202" t="s">
        <v>611</v>
      </c>
      <c r="F542" s="202" t="s">
        <v>592</v>
      </c>
      <c r="G542" s="201">
        <v>125</v>
      </c>
      <c r="H542" s="200">
        <v>71</v>
      </c>
    </row>
    <row r="543" spans="1:8" x14ac:dyDescent="0.2">
      <c r="A543" s="204">
        <v>347</v>
      </c>
      <c r="B543" s="202" t="s">
        <v>1172</v>
      </c>
      <c r="C543" s="203" t="s">
        <v>693</v>
      </c>
      <c r="D543" s="203" t="s">
        <v>693</v>
      </c>
      <c r="E543" s="202" t="s">
        <v>583</v>
      </c>
      <c r="F543" s="202" t="s">
        <v>583</v>
      </c>
      <c r="G543" s="201">
        <v>92</v>
      </c>
      <c r="H543" s="200">
        <v>51</v>
      </c>
    </row>
    <row r="544" spans="1:8" x14ac:dyDescent="0.2">
      <c r="A544" s="204">
        <v>348</v>
      </c>
      <c r="B544" s="202" t="s">
        <v>1172</v>
      </c>
      <c r="C544" s="203" t="s">
        <v>1183</v>
      </c>
      <c r="D544" s="203" t="s">
        <v>1183</v>
      </c>
      <c r="E544" s="202" t="s">
        <v>587</v>
      </c>
      <c r="F544" s="202" t="s">
        <v>612</v>
      </c>
      <c r="G544" s="201">
        <v>95</v>
      </c>
      <c r="H544" s="200">
        <v>56</v>
      </c>
    </row>
    <row r="545" spans="1:8" x14ac:dyDescent="0.2">
      <c r="A545" s="204">
        <v>348</v>
      </c>
      <c r="B545" s="202" t="s">
        <v>1172</v>
      </c>
      <c r="C545" s="203" t="s">
        <v>1183</v>
      </c>
      <c r="D545" s="203" t="s">
        <v>1183</v>
      </c>
      <c r="E545" s="202" t="s">
        <v>613</v>
      </c>
      <c r="F545" s="202" t="s">
        <v>614</v>
      </c>
      <c r="G545" s="201">
        <v>124</v>
      </c>
      <c r="H545" s="200">
        <v>56</v>
      </c>
    </row>
    <row r="546" spans="1:8" x14ac:dyDescent="0.2">
      <c r="A546" s="204">
        <v>348</v>
      </c>
      <c r="B546" s="202" t="s">
        <v>1172</v>
      </c>
      <c r="C546" s="203" t="s">
        <v>1183</v>
      </c>
      <c r="D546" s="203" t="s">
        <v>1183</v>
      </c>
      <c r="E546" s="202" t="s">
        <v>615</v>
      </c>
      <c r="F546" s="202" t="s">
        <v>592</v>
      </c>
      <c r="G546" s="201">
        <v>95</v>
      </c>
      <c r="H546" s="200">
        <v>56</v>
      </c>
    </row>
    <row r="547" spans="1:8" x14ac:dyDescent="0.2">
      <c r="A547" s="204">
        <v>416</v>
      </c>
      <c r="B547" s="202" t="s">
        <v>1172</v>
      </c>
      <c r="C547" s="203" t="s">
        <v>1184</v>
      </c>
      <c r="D547" s="203" t="s">
        <v>1185</v>
      </c>
      <c r="E547" s="202" t="s">
        <v>583</v>
      </c>
      <c r="F547" s="202" t="s">
        <v>583</v>
      </c>
      <c r="G547" s="201">
        <v>84</v>
      </c>
      <c r="H547" s="200">
        <v>51</v>
      </c>
    </row>
    <row r="548" spans="1:8" ht="25.5" x14ac:dyDescent="0.2">
      <c r="A548" s="204">
        <v>350</v>
      </c>
      <c r="B548" s="202" t="s">
        <v>1172</v>
      </c>
      <c r="C548" s="203" t="s">
        <v>1186</v>
      </c>
      <c r="D548" s="203" t="s">
        <v>1187</v>
      </c>
      <c r="E548" s="202" t="s">
        <v>587</v>
      </c>
      <c r="F548" s="202" t="s">
        <v>612</v>
      </c>
      <c r="G548" s="201">
        <v>132</v>
      </c>
      <c r="H548" s="200">
        <v>71</v>
      </c>
    </row>
    <row r="549" spans="1:8" ht="25.5" x14ac:dyDescent="0.2">
      <c r="A549" s="204">
        <v>350</v>
      </c>
      <c r="B549" s="202" t="s">
        <v>1172</v>
      </c>
      <c r="C549" s="203" t="s">
        <v>1186</v>
      </c>
      <c r="D549" s="203" t="s">
        <v>1187</v>
      </c>
      <c r="E549" s="202" t="s">
        <v>613</v>
      </c>
      <c r="F549" s="202" t="s">
        <v>592</v>
      </c>
      <c r="G549" s="201">
        <v>121</v>
      </c>
      <c r="H549" s="200">
        <v>71</v>
      </c>
    </row>
    <row r="550" spans="1:8" x14ac:dyDescent="0.2">
      <c r="A550" s="204">
        <v>352</v>
      </c>
      <c r="B550" s="202" t="s">
        <v>1172</v>
      </c>
      <c r="C550" s="203" t="s">
        <v>1188</v>
      </c>
      <c r="D550" s="203" t="s">
        <v>1189</v>
      </c>
      <c r="E550" s="202" t="s">
        <v>583</v>
      </c>
      <c r="F550" s="202" t="s">
        <v>583</v>
      </c>
      <c r="G550" s="201">
        <v>98</v>
      </c>
      <c r="H550" s="200">
        <v>56</v>
      </c>
    </row>
    <row r="551" spans="1:8" x14ac:dyDescent="0.2">
      <c r="A551" s="204">
        <v>353</v>
      </c>
      <c r="B551" s="202" t="s">
        <v>1172</v>
      </c>
      <c r="C551" s="203" t="s">
        <v>1190</v>
      </c>
      <c r="D551" s="203" t="s">
        <v>1191</v>
      </c>
      <c r="E551" s="202" t="s">
        <v>583</v>
      </c>
      <c r="F551" s="202" t="s">
        <v>583</v>
      </c>
      <c r="G551" s="201">
        <v>88</v>
      </c>
      <c r="H551" s="200">
        <v>56</v>
      </c>
    </row>
    <row r="552" spans="1:8" x14ac:dyDescent="0.2">
      <c r="A552" s="204">
        <v>471</v>
      </c>
      <c r="B552" s="202" t="s">
        <v>1172</v>
      </c>
      <c r="C552" s="203" t="s">
        <v>918</v>
      </c>
      <c r="D552" s="203" t="s">
        <v>918</v>
      </c>
      <c r="E552" s="202" t="s">
        <v>587</v>
      </c>
      <c r="F552" s="202" t="s">
        <v>610</v>
      </c>
      <c r="G552" s="201">
        <v>162</v>
      </c>
      <c r="H552" s="200">
        <v>56</v>
      </c>
    </row>
    <row r="553" spans="1:8" x14ac:dyDescent="0.2">
      <c r="A553" s="204">
        <v>471</v>
      </c>
      <c r="B553" s="202" t="s">
        <v>1172</v>
      </c>
      <c r="C553" s="203" t="s">
        <v>918</v>
      </c>
      <c r="D553" s="203" t="s">
        <v>918</v>
      </c>
      <c r="E553" s="202" t="s">
        <v>611</v>
      </c>
      <c r="F553" s="202" t="s">
        <v>612</v>
      </c>
      <c r="G553" s="201">
        <v>172</v>
      </c>
      <c r="H553" s="200">
        <v>56</v>
      </c>
    </row>
    <row r="554" spans="1:8" x14ac:dyDescent="0.2">
      <c r="A554" s="204">
        <v>471</v>
      </c>
      <c r="B554" s="202" t="s">
        <v>1172</v>
      </c>
      <c r="C554" s="203" t="s">
        <v>918</v>
      </c>
      <c r="D554" s="203" t="s">
        <v>918</v>
      </c>
      <c r="E554" s="202" t="s">
        <v>613</v>
      </c>
      <c r="F554" s="202" t="s">
        <v>592</v>
      </c>
      <c r="G554" s="201">
        <v>162</v>
      </c>
      <c r="H554" s="200">
        <v>56</v>
      </c>
    </row>
    <row r="555" spans="1:8" x14ac:dyDescent="0.2">
      <c r="A555" s="204">
        <v>487</v>
      </c>
      <c r="B555" s="202" t="s">
        <v>1172</v>
      </c>
      <c r="C555" s="203" t="s">
        <v>1192</v>
      </c>
      <c r="D555" s="203" t="s">
        <v>1193</v>
      </c>
      <c r="E555" s="202" t="s">
        <v>583</v>
      </c>
      <c r="F555" s="202" t="s">
        <v>583</v>
      </c>
      <c r="G555" s="201">
        <v>137</v>
      </c>
      <c r="H555" s="200">
        <v>46</v>
      </c>
    </row>
    <row r="556" spans="1:8" x14ac:dyDescent="0.2">
      <c r="A556" s="204">
        <v>354</v>
      </c>
      <c r="B556" s="202" t="s">
        <v>1172</v>
      </c>
      <c r="C556" s="203" t="s">
        <v>1194</v>
      </c>
      <c r="D556" s="203" t="s">
        <v>1195</v>
      </c>
      <c r="E556" s="202" t="s">
        <v>583</v>
      </c>
      <c r="F556" s="202" t="s">
        <v>583</v>
      </c>
      <c r="G556" s="201">
        <v>108</v>
      </c>
      <c r="H556" s="200">
        <v>61</v>
      </c>
    </row>
    <row r="557" spans="1:8" x14ac:dyDescent="0.2">
      <c r="A557" s="204">
        <v>355</v>
      </c>
      <c r="B557" s="202" t="s">
        <v>1172</v>
      </c>
      <c r="C557" s="203" t="s">
        <v>1196</v>
      </c>
      <c r="D557" s="203" t="s">
        <v>1163</v>
      </c>
      <c r="E557" s="202" t="s">
        <v>583</v>
      </c>
      <c r="F557" s="202" t="s">
        <v>583</v>
      </c>
      <c r="G557" s="201">
        <v>93</v>
      </c>
      <c r="H557" s="200">
        <v>51</v>
      </c>
    </row>
    <row r="558" spans="1:8" x14ac:dyDescent="0.2">
      <c r="A558" s="204">
        <v>490</v>
      </c>
      <c r="B558" s="202" t="s">
        <v>1172</v>
      </c>
      <c r="C558" s="203" t="s">
        <v>1197</v>
      </c>
      <c r="D558" s="203" t="s">
        <v>1198</v>
      </c>
      <c r="E558" s="202" t="s">
        <v>587</v>
      </c>
      <c r="F558" s="202" t="s">
        <v>610</v>
      </c>
      <c r="G558" s="201">
        <v>147</v>
      </c>
      <c r="H558" s="200">
        <v>51</v>
      </c>
    </row>
    <row r="559" spans="1:8" x14ac:dyDescent="0.2">
      <c r="A559" s="204">
        <v>490</v>
      </c>
      <c r="B559" s="202" t="s">
        <v>1172</v>
      </c>
      <c r="C559" s="203" t="s">
        <v>1197</v>
      </c>
      <c r="D559" s="203" t="s">
        <v>1198</v>
      </c>
      <c r="E559" s="202" t="s">
        <v>611</v>
      </c>
      <c r="F559" s="202" t="s">
        <v>612</v>
      </c>
      <c r="G559" s="201">
        <v>126</v>
      </c>
      <c r="H559" s="200">
        <v>51</v>
      </c>
    </row>
    <row r="560" spans="1:8" x14ac:dyDescent="0.2">
      <c r="A560" s="204">
        <v>490</v>
      </c>
      <c r="B560" s="202" t="s">
        <v>1172</v>
      </c>
      <c r="C560" s="203" t="s">
        <v>1197</v>
      </c>
      <c r="D560" s="203" t="s">
        <v>1198</v>
      </c>
      <c r="E560" s="202" t="s">
        <v>613</v>
      </c>
      <c r="F560" s="202" t="s">
        <v>592</v>
      </c>
      <c r="G560" s="201">
        <v>147</v>
      </c>
      <c r="H560" s="200">
        <v>51</v>
      </c>
    </row>
    <row r="561" spans="1:8" x14ac:dyDescent="0.2">
      <c r="A561" s="204">
        <v>356</v>
      </c>
      <c r="B561" s="202" t="s">
        <v>1172</v>
      </c>
      <c r="C561" s="203" t="s">
        <v>1199</v>
      </c>
      <c r="D561" s="203" t="s">
        <v>1200</v>
      </c>
      <c r="E561" s="202" t="s">
        <v>583</v>
      </c>
      <c r="F561" s="202" t="s">
        <v>583</v>
      </c>
      <c r="G561" s="201">
        <v>115</v>
      </c>
      <c r="H561" s="200">
        <v>66</v>
      </c>
    </row>
    <row r="562" spans="1:8" x14ac:dyDescent="0.2">
      <c r="A562" s="204">
        <v>357</v>
      </c>
      <c r="B562" s="202" t="s">
        <v>1172</v>
      </c>
      <c r="C562" s="203" t="s">
        <v>1201</v>
      </c>
      <c r="D562" s="203" t="s">
        <v>1202</v>
      </c>
      <c r="E562" s="202" t="s">
        <v>587</v>
      </c>
      <c r="F562" s="202" t="s">
        <v>612</v>
      </c>
      <c r="G562" s="201">
        <v>88</v>
      </c>
      <c r="H562" s="200">
        <v>56</v>
      </c>
    </row>
    <row r="563" spans="1:8" x14ac:dyDescent="0.2">
      <c r="A563" s="204">
        <v>357</v>
      </c>
      <c r="B563" s="202" t="s">
        <v>1172</v>
      </c>
      <c r="C563" s="203" t="s">
        <v>1201</v>
      </c>
      <c r="D563" s="203" t="s">
        <v>1202</v>
      </c>
      <c r="E563" s="202" t="s">
        <v>613</v>
      </c>
      <c r="F563" s="202" t="s">
        <v>590</v>
      </c>
      <c r="G563" s="201">
        <v>112</v>
      </c>
      <c r="H563" s="200">
        <v>56</v>
      </c>
    </row>
    <row r="564" spans="1:8" x14ac:dyDescent="0.2">
      <c r="A564" s="204">
        <v>357</v>
      </c>
      <c r="B564" s="202" t="s">
        <v>1172</v>
      </c>
      <c r="C564" s="203" t="s">
        <v>1201</v>
      </c>
      <c r="D564" s="203" t="s">
        <v>1202</v>
      </c>
      <c r="E564" s="202" t="s">
        <v>591</v>
      </c>
      <c r="F564" s="202" t="s">
        <v>592</v>
      </c>
      <c r="G564" s="201">
        <v>88</v>
      </c>
      <c r="H564" s="200">
        <v>56</v>
      </c>
    </row>
    <row r="565" spans="1:8" x14ac:dyDescent="0.2">
      <c r="A565" s="204">
        <v>358</v>
      </c>
      <c r="B565" s="202" t="s">
        <v>1172</v>
      </c>
      <c r="C565" s="203" t="s">
        <v>1203</v>
      </c>
      <c r="D565" s="203" t="s">
        <v>1204</v>
      </c>
      <c r="E565" s="202" t="s">
        <v>583</v>
      </c>
      <c r="F565" s="202" t="s">
        <v>583</v>
      </c>
      <c r="G565" s="201">
        <v>89</v>
      </c>
      <c r="H565" s="200">
        <v>51</v>
      </c>
    </row>
    <row r="566" spans="1:8" x14ac:dyDescent="0.2">
      <c r="A566" s="204">
        <v>474</v>
      </c>
      <c r="B566" s="202" t="s">
        <v>1205</v>
      </c>
      <c r="C566" s="203" t="s">
        <v>1206</v>
      </c>
      <c r="D566" s="203" t="s">
        <v>1207</v>
      </c>
      <c r="E566" s="202" t="s">
        <v>587</v>
      </c>
      <c r="F566" s="202" t="s">
        <v>661</v>
      </c>
      <c r="G566" s="201">
        <v>130</v>
      </c>
      <c r="H566" s="200">
        <v>56</v>
      </c>
    </row>
    <row r="567" spans="1:8" x14ac:dyDescent="0.2">
      <c r="A567" s="204">
        <v>474</v>
      </c>
      <c r="B567" s="202" t="s">
        <v>1205</v>
      </c>
      <c r="C567" s="203" t="s">
        <v>1206</v>
      </c>
      <c r="D567" s="203" t="s">
        <v>1207</v>
      </c>
      <c r="E567" s="202" t="s">
        <v>662</v>
      </c>
      <c r="F567" s="202" t="s">
        <v>588</v>
      </c>
      <c r="G567" s="201">
        <v>83</v>
      </c>
      <c r="H567" s="200">
        <v>56</v>
      </c>
    </row>
    <row r="568" spans="1:8" x14ac:dyDescent="0.2">
      <c r="A568" s="204">
        <v>474</v>
      </c>
      <c r="B568" s="202" t="s">
        <v>1205</v>
      </c>
      <c r="C568" s="203" t="s">
        <v>1206</v>
      </c>
      <c r="D568" s="203" t="s">
        <v>1207</v>
      </c>
      <c r="E568" s="202" t="s">
        <v>589</v>
      </c>
      <c r="F568" s="202" t="s">
        <v>592</v>
      </c>
      <c r="G568" s="201">
        <v>130</v>
      </c>
      <c r="H568" s="200">
        <v>56</v>
      </c>
    </row>
    <row r="569" spans="1:8" x14ac:dyDescent="0.2">
      <c r="A569" s="204">
        <v>360</v>
      </c>
      <c r="B569" s="202" t="s">
        <v>1205</v>
      </c>
      <c r="C569" s="203" t="s">
        <v>1208</v>
      </c>
      <c r="D569" s="203" t="s">
        <v>708</v>
      </c>
      <c r="E569" s="202" t="s">
        <v>587</v>
      </c>
      <c r="F569" s="202" t="s">
        <v>640</v>
      </c>
      <c r="G569" s="201">
        <v>115</v>
      </c>
      <c r="H569" s="200">
        <v>71</v>
      </c>
    </row>
    <row r="570" spans="1:8" x14ac:dyDescent="0.2">
      <c r="A570" s="204">
        <v>360</v>
      </c>
      <c r="B570" s="202" t="s">
        <v>1205</v>
      </c>
      <c r="C570" s="203" t="s">
        <v>1208</v>
      </c>
      <c r="D570" s="203" t="s">
        <v>708</v>
      </c>
      <c r="E570" s="202" t="s">
        <v>641</v>
      </c>
      <c r="F570" s="202" t="s">
        <v>610</v>
      </c>
      <c r="G570" s="201">
        <v>246</v>
      </c>
      <c r="H570" s="200">
        <v>71</v>
      </c>
    </row>
    <row r="571" spans="1:8" x14ac:dyDescent="0.2">
      <c r="A571" s="204">
        <v>360</v>
      </c>
      <c r="B571" s="202" t="s">
        <v>1205</v>
      </c>
      <c r="C571" s="203" t="s">
        <v>1208</v>
      </c>
      <c r="D571" s="203" t="s">
        <v>708</v>
      </c>
      <c r="E571" s="202" t="s">
        <v>611</v>
      </c>
      <c r="F571" s="202" t="s">
        <v>592</v>
      </c>
      <c r="G571" s="201">
        <v>115</v>
      </c>
      <c r="H571" s="200">
        <v>71</v>
      </c>
    </row>
    <row r="572" spans="1:8" x14ac:dyDescent="0.2">
      <c r="A572" s="204">
        <v>361</v>
      </c>
      <c r="B572" s="202" t="s">
        <v>1205</v>
      </c>
      <c r="C572" s="203" t="s">
        <v>1209</v>
      </c>
      <c r="D572" s="203" t="s">
        <v>1210</v>
      </c>
      <c r="E572" s="202" t="s">
        <v>583</v>
      </c>
      <c r="F572" s="202" t="s">
        <v>583</v>
      </c>
      <c r="G572" s="201">
        <v>87</v>
      </c>
      <c r="H572" s="200">
        <v>51</v>
      </c>
    </row>
    <row r="573" spans="1:8" x14ac:dyDescent="0.2">
      <c r="A573" s="204">
        <v>362</v>
      </c>
      <c r="B573" s="202" t="s">
        <v>1205</v>
      </c>
      <c r="C573" s="203" t="s">
        <v>1211</v>
      </c>
      <c r="D573" s="203" t="s">
        <v>1212</v>
      </c>
      <c r="E573" s="202" t="s">
        <v>587</v>
      </c>
      <c r="F573" s="202" t="s">
        <v>596</v>
      </c>
      <c r="G573" s="201">
        <v>106</v>
      </c>
      <c r="H573" s="200">
        <v>61</v>
      </c>
    </row>
    <row r="574" spans="1:8" x14ac:dyDescent="0.2">
      <c r="A574" s="204">
        <v>362</v>
      </c>
      <c r="B574" s="202" t="s">
        <v>1205</v>
      </c>
      <c r="C574" s="203" t="s">
        <v>1211</v>
      </c>
      <c r="D574" s="203" t="s">
        <v>1212</v>
      </c>
      <c r="E574" s="202" t="s">
        <v>597</v>
      </c>
      <c r="F574" s="202" t="s">
        <v>610</v>
      </c>
      <c r="G574" s="201">
        <v>117</v>
      </c>
      <c r="H574" s="200">
        <v>61</v>
      </c>
    </row>
    <row r="575" spans="1:8" x14ac:dyDescent="0.2">
      <c r="A575" s="204">
        <v>362</v>
      </c>
      <c r="B575" s="202" t="s">
        <v>1205</v>
      </c>
      <c r="C575" s="203" t="s">
        <v>1211</v>
      </c>
      <c r="D575" s="203" t="s">
        <v>1212</v>
      </c>
      <c r="E575" s="202" t="s">
        <v>611</v>
      </c>
      <c r="F575" s="202" t="s">
        <v>592</v>
      </c>
      <c r="G575" s="201">
        <v>106</v>
      </c>
      <c r="H575" s="200">
        <v>61</v>
      </c>
    </row>
    <row r="576" spans="1:8" x14ac:dyDescent="0.2">
      <c r="A576" s="204">
        <v>458</v>
      </c>
      <c r="B576" s="202" t="s">
        <v>1213</v>
      </c>
      <c r="C576" s="203" t="s">
        <v>1214</v>
      </c>
      <c r="D576" s="203" t="s">
        <v>1104</v>
      </c>
      <c r="E576" s="202" t="s">
        <v>583</v>
      </c>
      <c r="F576" s="202" t="s">
        <v>583</v>
      </c>
      <c r="G576" s="201">
        <v>96</v>
      </c>
      <c r="H576" s="200">
        <v>46</v>
      </c>
    </row>
    <row r="577" spans="1:8" x14ac:dyDescent="0.2">
      <c r="A577" s="204">
        <v>459</v>
      </c>
      <c r="B577" s="202" t="s">
        <v>1213</v>
      </c>
      <c r="C577" s="203" t="s">
        <v>1215</v>
      </c>
      <c r="D577" s="203" t="s">
        <v>1130</v>
      </c>
      <c r="E577" s="202" t="s">
        <v>583</v>
      </c>
      <c r="F577" s="202" t="s">
        <v>583</v>
      </c>
      <c r="G577" s="201">
        <v>96</v>
      </c>
      <c r="H577" s="200">
        <v>46</v>
      </c>
    </row>
    <row r="578" spans="1:8" ht="25.5" x14ac:dyDescent="0.2">
      <c r="A578" s="204">
        <v>363</v>
      </c>
      <c r="B578" s="202" t="s">
        <v>1213</v>
      </c>
      <c r="C578" s="203" t="s">
        <v>1216</v>
      </c>
      <c r="D578" s="203" t="s">
        <v>1217</v>
      </c>
      <c r="E578" s="202" t="s">
        <v>583</v>
      </c>
      <c r="F578" s="202" t="s">
        <v>583</v>
      </c>
      <c r="G578" s="201">
        <v>125</v>
      </c>
      <c r="H578" s="200">
        <v>56</v>
      </c>
    </row>
    <row r="579" spans="1:8" ht="25.5" x14ac:dyDescent="0.2">
      <c r="A579" s="204">
        <v>465</v>
      </c>
      <c r="B579" s="202" t="s">
        <v>1213</v>
      </c>
      <c r="C579" s="203" t="s">
        <v>1218</v>
      </c>
      <c r="D579" s="203" t="s">
        <v>1219</v>
      </c>
      <c r="E579" s="202" t="s">
        <v>583</v>
      </c>
      <c r="F579" s="202" t="s">
        <v>583</v>
      </c>
      <c r="G579" s="201">
        <v>84</v>
      </c>
      <c r="H579" s="200">
        <v>56</v>
      </c>
    </row>
    <row r="580" spans="1:8" x14ac:dyDescent="0.2">
      <c r="A580" s="204">
        <v>428</v>
      </c>
      <c r="B580" s="202" t="s">
        <v>1213</v>
      </c>
      <c r="C580" s="203" t="s">
        <v>1220</v>
      </c>
      <c r="D580" s="203" t="s">
        <v>1220</v>
      </c>
      <c r="E580" s="202" t="s">
        <v>583</v>
      </c>
      <c r="F580" s="202" t="s">
        <v>583</v>
      </c>
      <c r="G580" s="201">
        <v>96</v>
      </c>
      <c r="H580" s="200">
        <v>61</v>
      </c>
    </row>
    <row r="581" spans="1:8" x14ac:dyDescent="0.2">
      <c r="A581" s="204">
        <v>365</v>
      </c>
      <c r="B581" s="202" t="s">
        <v>1213</v>
      </c>
      <c r="C581" s="203" t="s">
        <v>1221</v>
      </c>
      <c r="D581" s="203" t="s">
        <v>1222</v>
      </c>
      <c r="E581" s="202" t="s">
        <v>583</v>
      </c>
      <c r="F581" s="202" t="s">
        <v>583</v>
      </c>
      <c r="G581" s="201">
        <v>90</v>
      </c>
      <c r="H581" s="200">
        <v>51</v>
      </c>
    </row>
    <row r="582" spans="1:8" x14ac:dyDescent="0.2">
      <c r="A582" s="204">
        <v>432</v>
      </c>
      <c r="B582" s="202" t="s">
        <v>1213</v>
      </c>
      <c r="C582" s="203" t="s">
        <v>1223</v>
      </c>
      <c r="D582" s="203" t="s">
        <v>1224</v>
      </c>
      <c r="E582" s="202" t="s">
        <v>583</v>
      </c>
      <c r="F582" s="202" t="s">
        <v>583</v>
      </c>
      <c r="G582" s="201">
        <v>87</v>
      </c>
      <c r="H582" s="200">
        <v>61</v>
      </c>
    </row>
    <row r="583" spans="1:8" x14ac:dyDescent="0.2">
      <c r="A583" s="204">
        <v>376</v>
      </c>
      <c r="B583" s="202" t="s">
        <v>1213</v>
      </c>
      <c r="C583" s="203" t="s">
        <v>1225</v>
      </c>
      <c r="D583" s="203" t="s">
        <v>1226</v>
      </c>
      <c r="E583" s="202" t="s">
        <v>583</v>
      </c>
      <c r="F583" s="202" t="s">
        <v>583</v>
      </c>
      <c r="G583" s="201">
        <v>85</v>
      </c>
      <c r="H583" s="200">
        <v>56</v>
      </c>
    </row>
    <row r="584" spans="1:8" x14ac:dyDescent="0.2">
      <c r="A584" s="204">
        <v>368</v>
      </c>
      <c r="B584" s="202" t="s">
        <v>1213</v>
      </c>
      <c r="C584" s="203" t="s">
        <v>787</v>
      </c>
      <c r="D584" s="203" t="s">
        <v>1227</v>
      </c>
      <c r="E584" s="202" t="s">
        <v>583</v>
      </c>
      <c r="F584" s="202" t="s">
        <v>583</v>
      </c>
      <c r="G584" s="201">
        <v>113</v>
      </c>
      <c r="H584" s="200">
        <v>66</v>
      </c>
    </row>
    <row r="585" spans="1:8" x14ac:dyDescent="0.2">
      <c r="A585" s="204">
        <v>369</v>
      </c>
      <c r="B585" s="202" t="s">
        <v>1213</v>
      </c>
      <c r="C585" s="203" t="s">
        <v>1228</v>
      </c>
      <c r="D585" s="203" t="s">
        <v>1229</v>
      </c>
      <c r="E585" s="202" t="s">
        <v>583</v>
      </c>
      <c r="F585" s="202" t="s">
        <v>583</v>
      </c>
      <c r="G585" s="201">
        <v>102</v>
      </c>
      <c r="H585" s="200">
        <v>51</v>
      </c>
    </row>
    <row r="586" spans="1:8" x14ac:dyDescent="0.2">
      <c r="A586" s="204">
        <v>371</v>
      </c>
      <c r="B586" s="202" t="s">
        <v>1213</v>
      </c>
      <c r="C586" s="203" t="s">
        <v>1230</v>
      </c>
      <c r="D586" s="203" t="s">
        <v>1231</v>
      </c>
      <c r="E586" s="202" t="s">
        <v>587</v>
      </c>
      <c r="F586" s="202" t="s">
        <v>612</v>
      </c>
      <c r="G586" s="201">
        <v>94</v>
      </c>
      <c r="H586" s="200">
        <v>56</v>
      </c>
    </row>
    <row r="587" spans="1:8" x14ac:dyDescent="0.2">
      <c r="A587" s="204">
        <v>371</v>
      </c>
      <c r="B587" s="202" t="s">
        <v>1213</v>
      </c>
      <c r="C587" s="203" t="s">
        <v>1230</v>
      </c>
      <c r="D587" s="203" t="s">
        <v>1231</v>
      </c>
      <c r="E587" s="202" t="s">
        <v>613</v>
      </c>
      <c r="F587" s="202" t="s">
        <v>614</v>
      </c>
      <c r="G587" s="201">
        <v>172</v>
      </c>
      <c r="H587" s="200">
        <v>56</v>
      </c>
    </row>
    <row r="588" spans="1:8" x14ac:dyDescent="0.2">
      <c r="A588" s="204">
        <v>371</v>
      </c>
      <c r="B588" s="202" t="s">
        <v>1213</v>
      </c>
      <c r="C588" s="203" t="s">
        <v>1230</v>
      </c>
      <c r="D588" s="203" t="s">
        <v>1231</v>
      </c>
      <c r="E588" s="202" t="s">
        <v>615</v>
      </c>
      <c r="F588" s="202" t="s">
        <v>592</v>
      </c>
      <c r="G588" s="201">
        <v>94</v>
      </c>
      <c r="H588" s="200">
        <v>56</v>
      </c>
    </row>
    <row r="589" spans="1:8" x14ac:dyDescent="0.2">
      <c r="A589" s="204">
        <v>372</v>
      </c>
      <c r="B589" s="202" t="s">
        <v>1213</v>
      </c>
      <c r="C589" s="203" t="s">
        <v>1232</v>
      </c>
      <c r="D589" s="203" t="s">
        <v>1233</v>
      </c>
      <c r="E589" s="202" t="s">
        <v>587</v>
      </c>
      <c r="F589" s="202" t="s">
        <v>633</v>
      </c>
      <c r="G589" s="201">
        <v>92</v>
      </c>
      <c r="H589" s="200">
        <v>56</v>
      </c>
    </row>
    <row r="590" spans="1:8" x14ac:dyDescent="0.2">
      <c r="A590" s="204">
        <v>372</v>
      </c>
      <c r="B590" s="202" t="s">
        <v>1213</v>
      </c>
      <c r="C590" s="203" t="s">
        <v>1232</v>
      </c>
      <c r="D590" s="203" t="s">
        <v>1233</v>
      </c>
      <c r="E590" s="202" t="s">
        <v>634</v>
      </c>
      <c r="F590" s="202" t="s">
        <v>614</v>
      </c>
      <c r="G590" s="201">
        <v>147</v>
      </c>
      <c r="H590" s="200">
        <v>56</v>
      </c>
    </row>
    <row r="591" spans="1:8" x14ac:dyDescent="0.2">
      <c r="A591" s="204">
        <v>372</v>
      </c>
      <c r="B591" s="202" t="s">
        <v>1213</v>
      </c>
      <c r="C591" s="203" t="s">
        <v>1232</v>
      </c>
      <c r="D591" s="203" t="s">
        <v>1233</v>
      </c>
      <c r="E591" s="202" t="s">
        <v>615</v>
      </c>
      <c r="F591" s="202" t="s">
        <v>592</v>
      </c>
      <c r="G591" s="201">
        <v>92</v>
      </c>
      <c r="H591" s="200">
        <v>56</v>
      </c>
    </row>
    <row r="592" spans="1:8" x14ac:dyDescent="0.2">
      <c r="A592" s="204">
        <v>373</v>
      </c>
      <c r="B592" s="202" t="s">
        <v>1213</v>
      </c>
      <c r="C592" s="203" t="s">
        <v>1234</v>
      </c>
      <c r="D592" s="203" t="s">
        <v>1235</v>
      </c>
      <c r="E592" s="202" t="s">
        <v>583</v>
      </c>
      <c r="F592" s="202" t="s">
        <v>583</v>
      </c>
      <c r="G592" s="201">
        <v>108</v>
      </c>
      <c r="H592" s="200">
        <v>46</v>
      </c>
    </row>
    <row r="593" spans="1:8" ht="25.5" x14ac:dyDescent="0.2">
      <c r="A593" s="204">
        <v>374</v>
      </c>
      <c r="B593" s="202" t="s">
        <v>1213</v>
      </c>
      <c r="C593" s="203" t="s">
        <v>1236</v>
      </c>
      <c r="D593" s="203" t="s">
        <v>1237</v>
      </c>
      <c r="E593" s="202" t="s">
        <v>587</v>
      </c>
      <c r="F593" s="202" t="s">
        <v>610</v>
      </c>
      <c r="G593" s="201">
        <v>83</v>
      </c>
      <c r="H593" s="200">
        <v>51</v>
      </c>
    </row>
    <row r="594" spans="1:8" ht="25.5" x14ac:dyDescent="0.2">
      <c r="A594" s="204">
        <v>374</v>
      </c>
      <c r="B594" s="202" t="s">
        <v>1213</v>
      </c>
      <c r="C594" s="203" t="s">
        <v>1236</v>
      </c>
      <c r="D594" s="203" t="s">
        <v>1237</v>
      </c>
      <c r="E594" s="202" t="s">
        <v>611</v>
      </c>
      <c r="F594" s="202" t="s">
        <v>614</v>
      </c>
      <c r="G594" s="201">
        <v>96</v>
      </c>
      <c r="H594" s="200">
        <v>51</v>
      </c>
    </row>
    <row r="595" spans="1:8" ht="25.5" x14ac:dyDescent="0.2">
      <c r="A595" s="204">
        <v>374</v>
      </c>
      <c r="B595" s="202" t="s">
        <v>1213</v>
      </c>
      <c r="C595" s="203" t="s">
        <v>1236</v>
      </c>
      <c r="D595" s="203" t="s">
        <v>1237</v>
      </c>
      <c r="E595" s="202" t="s">
        <v>615</v>
      </c>
      <c r="F595" s="202" t="s">
        <v>592</v>
      </c>
      <c r="G595" s="201">
        <v>83</v>
      </c>
      <c r="H595" s="200">
        <v>51</v>
      </c>
    </row>
    <row r="596" spans="1:8" x14ac:dyDescent="0.2">
      <c r="A596" s="204">
        <v>377</v>
      </c>
      <c r="B596" s="202" t="s">
        <v>1238</v>
      </c>
      <c r="C596" s="203" t="s">
        <v>1239</v>
      </c>
      <c r="D596" s="203" t="s">
        <v>1240</v>
      </c>
      <c r="E596" s="202" t="s">
        <v>587</v>
      </c>
      <c r="F596" s="202" t="s">
        <v>661</v>
      </c>
      <c r="G596" s="201">
        <v>125</v>
      </c>
      <c r="H596" s="200">
        <v>66</v>
      </c>
    </row>
    <row r="597" spans="1:8" x14ac:dyDescent="0.2">
      <c r="A597" s="204">
        <v>377</v>
      </c>
      <c r="B597" s="202" t="s">
        <v>1238</v>
      </c>
      <c r="C597" s="203" t="s">
        <v>1239</v>
      </c>
      <c r="D597" s="203" t="s">
        <v>1240</v>
      </c>
      <c r="E597" s="202" t="s">
        <v>662</v>
      </c>
      <c r="F597" s="202" t="s">
        <v>730</v>
      </c>
      <c r="G597" s="201">
        <v>104</v>
      </c>
      <c r="H597" s="200">
        <v>66</v>
      </c>
    </row>
    <row r="598" spans="1:8" x14ac:dyDescent="0.2">
      <c r="A598" s="204">
        <v>377</v>
      </c>
      <c r="B598" s="202" t="s">
        <v>1238</v>
      </c>
      <c r="C598" s="203" t="s">
        <v>1239</v>
      </c>
      <c r="D598" s="203" t="s">
        <v>1240</v>
      </c>
      <c r="E598" s="202" t="s">
        <v>731</v>
      </c>
      <c r="F598" s="202" t="s">
        <v>592</v>
      </c>
      <c r="G598" s="201">
        <v>125</v>
      </c>
      <c r="H598" s="200">
        <v>66</v>
      </c>
    </row>
    <row r="599" spans="1:8" x14ac:dyDescent="0.2">
      <c r="A599" s="204">
        <v>378</v>
      </c>
      <c r="B599" s="202" t="s">
        <v>1238</v>
      </c>
      <c r="C599" s="203" t="s">
        <v>998</v>
      </c>
      <c r="D599" s="203" t="s">
        <v>1241</v>
      </c>
      <c r="E599" s="202" t="s">
        <v>587</v>
      </c>
      <c r="F599" s="202" t="s">
        <v>661</v>
      </c>
      <c r="G599" s="201">
        <v>107</v>
      </c>
      <c r="H599" s="200">
        <v>71</v>
      </c>
    </row>
    <row r="600" spans="1:8" x14ac:dyDescent="0.2">
      <c r="A600" s="204">
        <v>378</v>
      </c>
      <c r="B600" s="202" t="s">
        <v>1238</v>
      </c>
      <c r="C600" s="203" t="s">
        <v>998</v>
      </c>
      <c r="D600" s="203" t="s">
        <v>1241</v>
      </c>
      <c r="E600" s="202" t="s">
        <v>662</v>
      </c>
      <c r="F600" s="202" t="s">
        <v>633</v>
      </c>
      <c r="G600" s="201">
        <v>90</v>
      </c>
      <c r="H600" s="200">
        <v>71</v>
      </c>
    </row>
    <row r="601" spans="1:8" x14ac:dyDescent="0.2">
      <c r="A601" s="204">
        <v>378</v>
      </c>
      <c r="B601" s="202" t="s">
        <v>1238</v>
      </c>
      <c r="C601" s="203" t="s">
        <v>998</v>
      </c>
      <c r="D601" s="203" t="s">
        <v>1241</v>
      </c>
      <c r="E601" s="202" t="s">
        <v>634</v>
      </c>
      <c r="F601" s="202" t="s">
        <v>592</v>
      </c>
      <c r="G601" s="201">
        <v>107</v>
      </c>
      <c r="H601" s="200">
        <v>71</v>
      </c>
    </row>
    <row r="602" spans="1:8" x14ac:dyDescent="0.2">
      <c r="A602" s="204">
        <v>379</v>
      </c>
      <c r="B602" s="202" t="s">
        <v>1238</v>
      </c>
      <c r="C602" s="203" t="s">
        <v>1242</v>
      </c>
      <c r="D602" s="203" t="s">
        <v>1104</v>
      </c>
      <c r="E602" s="202" t="s">
        <v>583</v>
      </c>
      <c r="F602" s="202" t="s">
        <v>583</v>
      </c>
      <c r="G602" s="201">
        <v>110</v>
      </c>
      <c r="H602" s="200">
        <v>61</v>
      </c>
    </row>
    <row r="603" spans="1:8" x14ac:dyDescent="0.2">
      <c r="A603" s="204">
        <v>380</v>
      </c>
      <c r="B603" s="202" t="s">
        <v>1238</v>
      </c>
      <c r="C603" s="203" t="s">
        <v>1243</v>
      </c>
      <c r="D603" s="203" t="s">
        <v>1244</v>
      </c>
      <c r="E603" s="202" t="s">
        <v>583</v>
      </c>
      <c r="F603" s="202" t="s">
        <v>583</v>
      </c>
      <c r="G603" s="201">
        <v>125</v>
      </c>
      <c r="H603" s="200">
        <v>71</v>
      </c>
    </row>
    <row r="604" spans="1:8" x14ac:dyDescent="0.2">
      <c r="A604" s="204">
        <v>381</v>
      </c>
      <c r="B604" s="202" t="s">
        <v>1238</v>
      </c>
      <c r="C604" s="203" t="s">
        <v>1245</v>
      </c>
      <c r="D604" s="203" t="s">
        <v>1246</v>
      </c>
      <c r="E604" s="202" t="s">
        <v>583</v>
      </c>
      <c r="F604" s="202" t="s">
        <v>583</v>
      </c>
      <c r="G604" s="201">
        <v>97</v>
      </c>
      <c r="H604" s="200">
        <v>56</v>
      </c>
    </row>
    <row r="605" spans="1:8" x14ac:dyDescent="0.2">
      <c r="A605" s="204">
        <v>382</v>
      </c>
      <c r="B605" s="202" t="s">
        <v>1247</v>
      </c>
      <c r="C605" s="203" t="s">
        <v>1248</v>
      </c>
      <c r="D605" s="203" t="s">
        <v>1249</v>
      </c>
      <c r="E605" s="202" t="s">
        <v>583</v>
      </c>
      <c r="F605" s="202" t="s">
        <v>583</v>
      </c>
      <c r="G605" s="201">
        <v>85</v>
      </c>
      <c r="H605" s="200">
        <v>61</v>
      </c>
    </row>
    <row r="606" spans="1:8" x14ac:dyDescent="0.2">
      <c r="A606" s="204">
        <v>384</v>
      </c>
      <c r="B606" s="202" t="s">
        <v>1247</v>
      </c>
      <c r="C606" s="203" t="s">
        <v>1250</v>
      </c>
      <c r="D606" s="203" t="s">
        <v>1251</v>
      </c>
      <c r="E606" s="202" t="s">
        <v>583</v>
      </c>
      <c r="F606" s="202" t="s">
        <v>583</v>
      </c>
      <c r="G606" s="201">
        <v>107</v>
      </c>
      <c r="H606" s="200">
        <v>61</v>
      </c>
    </row>
    <row r="607" spans="1:8" x14ac:dyDescent="0.2">
      <c r="A607" s="204">
        <v>385</v>
      </c>
      <c r="B607" s="202" t="s">
        <v>1247</v>
      </c>
      <c r="C607" s="203" t="s">
        <v>1252</v>
      </c>
      <c r="D607" s="203" t="s">
        <v>1253</v>
      </c>
      <c r="E607" s="202" t="s">
        <v>587</v>
      </c>
      <c r="F607" s="202" t="s">
        <v>633</v>
      </c>
      <c r="G607" s="201">
        <v>83</v>
      </c>
      <c r="H607" s="200">
        <v>51</v>
      </c>
    </row>
    <row r="608" spans="1:8" x14ac:dyDescent="0.2">
      <c r="A608" s="204">
        <v>385</v>
      </c>
      <c r="B608" s="202" t="s">
        <v>1247</v>
      </c>
      <c r="C608" s="203" t="s">
        <v>1252</v>
      </c>
      <c r="D608" s="203" t="s">
        <v>1253</v>
      </c>
      <c r="E608" s="202" t="s">
        <v>634</v>
      </c>
      <c r="F608" s="202" t="s">
        <v>614</v>
      </c>
      <c r="G608" s="201">
        <v>104</v>
      </c>
      <c r="H608" s="200">
        <v>51</v>
      </c>
    </row>
    <row r="609" spans="1:8" x14ac:dyDescent="0.2">
      <c r="A609" s="204">
        <v>385</v>
      </c>
      <c r="B609" s="202" t="s">
        <v>1247</v>
      </c>
      <c r="C609" s="203" t="s">
        <v>1252</v>
      </c>
      <c r="D609" s="203" t="s">
        <v>1253</v>
      </c>
      <c r="E609" s="202" t="s">
        <v>615</v>
      </c>
      <c r="F609" s="202" t="s">
        <v>592</v>
      </c>
      <c r="G609" s="201">
        <v>83</v>
      </c>
      <c r="H609" s="200">
        <v>51</v>
      </c>
    </row>
    <row r="610" spans="1:8" x14ac:dyDescent="0.2">
      <c r="A610" s="204">
        <v>386</v>
      </c>
      <c r="B610" s="202" t="s">
        <v>1247</v>
      </c>
      <c r="C610" s="203" t="s">
        <v>1254</v>
      </c>
      <c r="D610" s="203" t="s">
        <v>1255</v>
      </c>
      <c r="E610" s="202" t="s">
        <v>583</v>
      </c>
      <c r="F610" s="202" t="s">
        <v>583</v>
      </c>
      <c r="G610" s="201">
        <v>98</v>
      </c>
      <c r="H610" s="200">
        <v>61</v>
      </c>
    </row>
    <row r="611" spans="1:8" x14ac:dyDescent="0.2">
      <c r="A611" s="204">
        <v>387</v>
      </c>
      <c r="B611" s="202" t="s">
        <v>1247</v>
      </c>
      <c r="C611" s="203" t="s">
        <v>1256</v>
      </c>
      <c r="D611" s="203" t="s">
        <v>1257</v>
      </c>
      <c r="E611" s="202" t="s">
        <v>587</v>
      </c>
      <c r="F611" s="202" t="s">
        <v>633</v>
      </c>
      <c r="G611" s="201">
        <v>95</v>
      </c>
      <c r="H611" s="200">
        <v>61</v>
      </c>
    </row>
    <row r="612" spans="1:8" x14ac:dyDescent="0.2">
      <c r="A612" s="204">
        <v>387</v>
      </c>
      <c r="B612" s="202" t="s">
        <v>1247</v>
      </c>
      <c r="C612" s="203" t="s">
        <v>1256</v>
      </c>
      <c r="D612" s="203" t="s">
        <v>1257</v>
      </c>
      <c r="E612" s="202" t="s">
        <v>634</v>
      </c>
      <c r="F612" s="202" t="s">
        <v>614</v>
      </c>
      <c r="G612" s="201">
        <v>128</v>
      </c>
      <c r="H612" s="200">
        <v>61</v>
      </c>
    </row>
    <row r="613" spans="1:8" x14ac:dyDescent="0.2">
      <c r="A613" s="204">
        <v>387</v>
      </c>
      <c r="B613" s="202" t="s">
        <v>1247</v>
      </c>
      <c r="C613" s="203" t="s">
        <v>1256</v>
      </c>
      <c r="D613" s="203" t="s">
        <v>1257</v>
      </c>
      <c r="E613" s="202" t="s">
        <v>615</v>
      </c>
      <c r="F613" s="202" t="s">
        <v>592</v>
      </c>
      <c r="G613" s="201">
        <v>95</v>
      </c>
      <c r="H613" s="200">
        <v>61</v>
      </c>
    </row>
    <row r="614" spans="1:8" x14ac:dyDescent="0.2">
      <c r="A614" s="204">
        <v>475</v>
      </c>
      <c r="B614" s="202" t="s">
        <v>1247</v>
      </c>
      <c r="C614" s="203" t="s">
        <v>1258</v>
      </c>
      <c r="D614" s="203" t="s">
        <v>1259</v>
      </c>
      <c r="E614" s="202" t="s">
        <v>583</v>
      </c>
      <c r="F614" s="202" t="s">
        <v>583</v>
      </c>
      <c r="G614" s="201">
        <v>92</v>
      </c>
      <c r="H614" s="200">
        <v>46</v>
      </c>
    </row>
    <row r="615" spans="1:8" x14ac:dyDescent="0.2">
      <c r="A615" s="204">
        <v>389</v>
      </c>
      <c r="B615" s="202" t="s">
        <v>1247</v>
      </c>
      <c r="C615" s="203" t="s">
        <v>1260</v>
      </c>
      <c r="D615" s="203" t="s">
        <v>1261</v>
      </c>
      <c r="E615" s="202" t="s">
        <v>587</v>
      </c>
      <c r="F615" s="202" t="s">
        <v>612</v>
      </c>
      <c r="G615" s="201">
        <v>156</v>
      </c>
      <c r="H615" s="200">
        <v>71</v>
      </c>
    </row>
    <row r="616" spans="1:8" x14ac:dyDescent="0.2">
      <c r="A616" s="204">
        <v>389</v>
      </c>
      <c r="B616" s="202" t="s">
        <v>1247</v>
      </c>
      <c r="C616" s="203" t="s">
        <v>1260</v>
      </c>
      <c r="D616" s="203" t="s">
        <v>1261</v>
      </c>
      <c r="E616" s="202" t="s">
        <v>613</v>
      </c>
      <c r="F616" s="202" t="s">
        <v>614</v>
      </c>
      <c r="G616" s="201">
        <v>190</v>
      </c>
      <c r="H616" s="200">
        <v>71</v>
      </c>
    </row>
    <row r="617" spans="1:8" x14ac:dyDescent="0.2">
      <c r="A617" s="204">
        <v>389</v>
      </c>
      <c r="B617" s="202" t="s">
        <v>1247</v>
      </c>
      <c r="C617" s="203" t="s">
        <v>1260</v>
      </c>
      <c r="D617" s="203" t="s">
        <v>1261</v>
      </c>
      <c r="E617" s="202" t="s">
        <v>615</v>
      </c>
      <c r="F617" s="202" t="s">
        <v>592</v>
      </c>
      <c r="G617" s="201">
        <v>156</v>
      </c>
      <c r="H617" s="200">
        <v>71</v>
      </c>
    </row>
    <row r="618" spans="1:8" x14ac:dyDescent="0.2">
      <c r="A618" s="204">
        <v>390</v>
      </c>
      <c r="B618" s="202" t="s">
        <v>1247</v>
      </c>
      <c r="C618" s="203" t="s">
        <v>1262</v>
      </c>
      <c r="D618" s="203" t="s">
        <v>1262</v>
      </c>
      <c r="E618" s="202" t="s">
        <v>583</v>
      </c>
      <c r="F618" s="202" t="s">
        <v>583</v>
      </c>
      <c r="G618" s="201">
        <v>88</v>
      </c>
      <c r="H618" s="200">
        <v>61</v>
      </c>
    </row>
    <row r="619" spans="1:8" x14ac:dyDescent="0.2">
      <c r="A619" s="204">
        <v>391</v>
      </c>
      <c r="B619" s="202" t="s">
        <v>1247</v>
      </c>
      <c r="C619" s="203" t="s">
        <v>1263</v>
      </c>
      <c r="D619" s="203" t="s">
        <v>1264</v>
      </c>
      <c r="E619" s="202" t="s">
        <v>583</v>
      </c>
      <c r="F619" s="202" t="s">
        <v>583</v>
      </c>
      <c r="G619" s="201">
        <v>109</v>
      </c>
      <c r="H619" s="200">
        <v>61</v>
      </c>
    </row>
    <row r="620" spans="1:8" x14ac:dyDescent="0.2">
      <c r="A620" s="204">
        <v>392</v>
      </c>
      <c r="B620" s="202" t="s">
        <v>1247</v>
      </c>
      <c r="C620" s="203" t="s">
        <v>1265</v>
      </c>
      <c r="D620" s="203" t="s">
        <v>1266</v>
      </c>
      <c r="E620" s="202" t="s">
        <v>583</v>
      </c>
      <c r="F620" s="202" t="s">
        <v>583</v>
      </c>
      <c r="G620" s="201">
        <v>137</v>
      </c>
      <c r="H620" s="200">
        <v>56</v>
      </c>
    </row>
    <row r="621" spans="1:8" x14ac:dyDescent="0.2">
      <c r="A621" s="204">
        <v>412</v>
      </c>
      <c r="B621" s="202" t="s">
        <v>1267</v>
      </c>
      <c r="C621" s="203" t="s">
        <v>1268</v>
      </c>
      <c r="D621" s="203" t="s">
        <v>1269</v>
      </c>
      <c r="E621" s="202" t="s">
        <v>583</v>
      </c>
      <c r="F621" s="202" t="s">
        <v>583</v>
      </c>
      <c r="G621" s="201">
        <v>88</v>
      </c>
      <c r="H621" s="200">
        <v>46</v>
      </c>
    </row>
    <row r="622" spans="1:8" x14ac:dyDescent="0.2">
      <c r="A622" s="204">
        <v>393</v>
      </c>
      <c r="B622" s="202" t="s">
        <v>1267</v>
      </c>
      <c r="C622" s="203" t="s">
        <v>1270</v>
      </c>
      <c r="D622" s="203" t="s">
        <v>1271</v>
      </c>
      <c r="E622" s="202" t="s">
        <v>583</v>
      </c>
      <c r="F622" s="202" t="s">
        <v>583</v>
      </c>
      <c r="G622" s="201">
        <v>95</v>
      </c>
      <c r="H622" s="200">
        <v>56</v>
      </c>
    </row>
    <row r="623" spans="1:8" x14ac:dyDescent="0.2">
      <c r="A623" s="204">
        <v>396</v>
      </c>
      <c r="B623" s="202" t="s">
        <v>1267</v>
      </c>
      <c r="C623" s="203" t="s">
        <v>1272</v>
      </c>
      <c r="D623" s="203" t="s">
        <v>1273</v>
      </c>
      <c r="E623" s="202" t="s">
        <v>587</v>
      </c>
      <c r="F623" s="202" t="s">
        <v>661</v>
      </c>
      <c r="G623" s="201">
        <v>116</v>
      </c>
      <c r="H623" s="200">
        <v>56</v>
      </c>
    </row>
    <row r="624" spans="1:8" x14ac:dyDescent="0.2">
      <c r="A624" s="204">
        <v>396</v>
      </c>
      <c r="B624" s="202" t="s">
        <v>1267</v>
      </c>
      <c r="C624" s="203" t="s">
        <v>1272</v>
      </c>
      <c r="D624" s="203" t="s">
        <v>1273</v>
      </c>
      <c r="E624" s="202" t="s">
        <v>662</v>
      </c>
      <c r="F624" s="202" t="s">
        <v>614</v>
      </c>
      <c r="G624" s="201">
        <v>97</v>
      </c>
      <c r="H624" s="200">
        <v>56</v>
      </c>
    </row>
    <row r="625" spans="1:8" x14ac:dyDescent="0.2">
      <c r="A625" s="204">
        <v>396</v>
      </c>
      <c r="B625" s="202" t="s">
        <v>1267</v>
      </c>
      <c r="C625" s="203" t="s">
        <v>1272</v>
      </c>
      <c r="D625" s="203" t="s">
        <v>1273</v>
      </c>
      <c r="E625" s="202" t="s">
        <v>615</v>
      </c>
      <c r="F625" s="202" t="s">
        <v>592</v>
      </c>
      <c r="G625" s="201">
        <v>116</v>
      </c>
      <c r="H625" s="200">
        <v>56</v>
      </c>
    </row>
    <row r="626" spans="1:8" x14ac:dyDescent="0.2">
      <c r="A626" s="204">
        <v>397</v>
      </c>
      <c r="B626" s="202" t="s">
        <v>1267</v>
      </c>
      <c r="C626" s="203" t="s">
        <v>1274</v>
      </c>
      <c r="D626" s="203" t="s">
        <v>1274</v>
      </c>
      <c r="E626" s="202" t="s">
        <v>583</v>
      </c>
      <c r="F626" s="202" t="s">
        <v>583</v>
      </c>
      <c r="G626" s="201">
        <v>107</v>
      </c>
      <c r="H626" s="200">
        <v>61</v>
      </c>
    </row>
    <row r="627" spans="1:8" x14ac:dyDescent="0.2">
      <c r="A627" s="204">
        <v>399</v>
      </c>
      <c r="B627" s="202" t="s">
        <v>1267</v>
      </c>
      <c r="C627" s="203" t="s">
        <v>1275</v>
      </c>
      <c r="D627" s="203" t="s">
        <v>1276</v>
      </c>
      <c r="E627" s="202" t="s">
        <v>587</v>
      </c>
      <c r="F627" s="202" t="s">
        <v>612</v>
      </c>
      <c r="G627" s="201">
        <v>83</v>
      </c>
      <c r="H627" s="200">
        <v>51</v>
      </c>
    </row>
    <row r="628" spans="1:8" x14ac:dyDescent="0.2">
      <c r="A628" s="204">
        <v>399</v>
      </c>
      <c r="B628" s="202" t="s">
        <v>1267</v>
      </c>
      <c r="C628" s="203" t="s">
        <v>1275</v>
      </c>
      <c r="D628" s="203" t="s">
        <v>1276</v>
      </c>
      <c r="E628" s="202" t="s">
        <v>613</v>
      </c>
      <c r="F628" s="202" t="s">
        <v>614</v>
      </c>
      <c r="G628" s="201">
        <v>93</v>
      </c>
      <c r="H628" s="200">
        <v>51</v>
      </c>
    </row>
    <row r="629" spans="1:8" x14ac:dyDescent="0.2">
      <c r="A629" s="204">
        <v>399</v>
      </c>
      <c r="B629" s="202" t="s">
        <v>1267</v>
      </c>
      <c r="C629" s="203" t="s">
        <v>1275</v>
      </c>
      <c r="D629" s="203" t="s">
        <v>1276</v>
      </c>
      <c r="E629" s="202" t="s">
        <v>615</v>
      </c>
      <c r="F629" s="202" t="s">
        <v>592</v>
      </c>
      <c r="G629" s="201">
        <v>83</v>
      </c>
      <c r="H629" s="200">
        <v>51</v>
      </c>
    </row>
    <row r="630" spans="1:8" x14ac:dyDescent="0.2">
      <c r="A630" s="204">
        <v>400</v>
      </c>
      <c r="B630" s="202" t="s">
        <v>1267</v>
      </c>
      <c r="C630" s="203" t="s">
        <v>1277</v>
      </c>
      <c r="D630" s="203" t="s">
        <v>1278</v>
      </c>
      <c r="E630" s="202" t="s">
        <v>587</v>
      </c>
      <c r="F630" s="202" t="s">
        <v>633</v>
      </c>
      <c r="G630" s="201">
        <v>83</v>
      </c>
      <c r="H630" s="200">
        <v>56</v>
      </c>
    </row>
    <row r="631" spans="1:8" x14ac:dyDescent="0.2">
      <c r="A631" s="204">
        <v>400</v>
      </c>
      <c r="B631" s="202" t="s">
        <v>1267</v>
      </c>
      <c r="C631" s="203" t="s">
        <v>1277</v>
      </c>
      <c r="D631" s="203" t="s">
        <v>1278</v>
      </c>
      <c r="E631" s="202" t="s">
        <v>634</v>
      </c>
      <c r="F631" s="202" t="s">
        <v>614</v>
      </c>
      <c r="G631" s="201">
        <v>90</v>
      </c>
      <c r="H631" s="200">
        <v>56</v>
      </c>
    </row>
    <row r="632" spans="1:8" x14ac:dyDescent="0.2">
      <c r="A632" s="204">
        <v>400</v>
      </c>
      <c r="B632" s="202" t="s">
        <v>1267</v>
      </c>
      <c r="C632" s="203" t="s">
        <v>1277</v>
      </c>
      <c r="D632" s="203" t="s">
        <v>1278</v>
      </c>
      <c r="E632" s="202" t="s">
        <v>615</v>
      </c>
      <c r="F632" s="202" t="s">
        <v>592</v>
      </c>
      <c r="G632" s="201">
        <v>83</v>
      </c>
      <c r="H632" s="200">
        <v>56</v>
      </c>
    </row>
    <row r="633" spans="1:8" x14ac:dyDescent="0.2">
      <c r="A633" s="204">
        <v>401</v>
      </c>
      <c r="B633" s="202" t="s">
        <v>1267</v>
      </c>
      <c r="C633" s="203" t="s">
        <v>1279</v>
      </c>
      <c r="D633" s="203" t="s">
        <v>887</v>
      </c>
      <c r="E633" s="202" t="s">
        <v>587</v>
      </c>
      <c r="F633" s="202" t="s">
        <v>612</v>
      </c>
      <c r="G633" s="201">
        <v>91</v>
      </c>
      <c r="H633" s="200">
        <v>61</v>
      </c>
    </row>
    <row r="634" spans="1:8" x14ac:dyDescent="0.2">
      <c r="A634" s="204">
        <v>401</v>
      </c>
      <c r="B634" s="202" t="s">
        <v>1267</v>
      </c>
      <c r="C634" s="203" t="s">
        <v>1279</v>
      </c>
      <c r="D634" s="203" t="s">
        <v>887</v>
      </c>
      <c r="E634" s="202" t="s">
        <v>613</v>
      </c>
      <c r="F634" s="202" t="s">
        <v>614</v>
      </c>
      <c r="G634" s="201">
        <v>110</v>
      </c>
      <c r="H634" s="200">
        <v>61</v>
      </c>
    </row>
    <row r="635" spans="1:8" x14ac:dyDescent="0.2">
      <c r="A635" s="204">
        <v>401</v>
      </c>
      <c r="B635" s="202" t="s">
        <v>1267</v>
      </c>
      <c r="C635" s="203" t="s">
        <v>1279</v>
      </c>
      <c r="D635" s="203" t="s">
        <v>887</v>
      </c>
      <c r="E635" s="202" t="s">
        <v>615</v>
      </c>
      <c r="F635" s="202" t="s">
        <v>592</v>
      </c>
      <c r="G635" s="201">
        <v>91</v>
      </c>
      <c r="H635" s="200">
        <v>61</v>
      </c>
    </row>
    <row r="636" spans="1:8" x14ac:dyDescent="0.2">
      <c r="A636" s="204">
        <v>403</v>
      </c>
      <c r="B636" s="202" t="s">
        <v>1280</v>
      </c>
      <c r="C636" s="203" t="s">
        <v>1148</v>
      </c>
      <c r="D636" s="203" t="s">
        <v>1281</v>
      </c>
      <c r="E636" s="202" t="s">
        <v>583</v>
      </c>
      <c r="F636" s="202" t="s">
        <v>583</v>
      </c>
      <c r="G636" s="201">
        <v>105</v>
      </c>
      <c r="H636" s="200">
        <v>51</v>
      </c>
    </row>
    <row r="637" spans="1:8" x14ac:dyDescent="0.2">
      <c r="A637" s="204">
        <v>405</v>
      </c>
      <c r="B637" s="202" t="s">
        <v>1280</v>
      </c>
      <c r="C637" s="203" t="s">
        <v>1282</v>
      </c>
      <c r="D637" s="203" t="s">
        <v>1283</v>
      </c>
      <c r="E637" s="202" t="s">
        <v>583</v>
      </c>
      <c r="F637" s="202" t="s">
        <v>583</v>
      </c>
      <c r="G637" s="201">
        <v>98</v>
      </c>
      <c r="H637" s="200">
        <v>46</v>
      </c>
    </row>
    <row r="638" spans="1:8" x14ac:dyDescent="0.2">
      <c r="A638" s="204">
        <v>406</v>
      </c>
      <c r="B638" s="202" t="s">
        <v>1280</v>
      </c>
      <c r="C638" s="203" t="s">
        <v>1284</v>
      </c>
      <c r="D638" s="203" t="s">
        <v>840</v>
      </c>
      <c r="E638" s="202" t="s">
        <v>583</v>
      </c>
      <c r="F638" s="202" t="s">
        <v>583</v>
      </c>
      <c r="G638" s="201">
        <v>86</v>
      </c>
      <c r="H638" s="200">
        <v>56</v>
      </c>
    </row>
    <row r="639" spans="1:8" x14ac:dyDescent="0.2">
      <c r="A639" s="204">
        <v>407</v>
      </c>
      <c r="B639" s="202" t="s">
        <v>1280</v>
      </c>
      <c r="C639" s="203" t="s">
        <v>1285</v>
      </c>
      <c r="D639" s="203" t="s">
        <v>1286</v>
      </c>
      <c r="E639" s="202" t="s">
        <v>583</v>
      </c>
      <c r="F639" s="202" t="s">
        <v>583</v>
      </c>
      <c r="G639" s="201">
        <v>106</v>
      </c>
      <c r="H639" s="200">
        <v>46</v>
      </c>
    </row>
    <row r="640" spans="1:8" x14ac:dyDescent="0.2">
      <c r="A640" s="204">
        <v>408</v>
      </c>
      <c r="B640" s="202" t="s">
        <v>1287</v>
      </c>
      <c r="C640" s="203" t="s">
        <v>1288</v>
      </c>
      <c r="D640" s="203" t="s">
        <v>1289</v>
      </c>
      <c r="E640" s="202" t="s">
        <v>587</v>
      </c>
      <c r="F640" s="202" t="s">
        <v>640</v>
      </c>
      <c r="G640" s="201">
        <v>93</v>
      </c>
      <c r="H640" s="200">
        <v>51</v>
      </c>
    </row>
    <row r="641" spans="1:8" x14ac:dyDescent="0.2">
      <c r="A641" s="204">
        <v>408</v>
      </c>
      <c r="B641" s="202" t="s">
        <v>1287</v>
      </c>
      <c r="C641" s="203" t="s">
        <v>1288</v>
      </c>
      <c r="D641" s="203" t="s">
        <v>1289</v>
      </c>
      <c r="E641" s="202" t="s">
        <v>641</v>
      </c>
      <c r="F641" s="202" t="s">
        <v>610</v>
      </c>
      <c r="G641" s="201">
        <v>86</v>
      </c>
      <c r="H641" s="200">
        <v>51</v>
      </c>
    </row>
    <row r="642" spans="1:8" x14ac:dyDescent="0.2">
      <c r="A642" s="204">
        <v>408</v>
      </c>
      <c r="B642" s="202" t="s">
        <v>1287</v>
      </c>
      <c r="C642" s="203" t="s">
        <v>1288</v>
      </c>
      <c r="D642" s="203" t="s">
        <v>1289</v>
      </c>
      <c r="E642" s="202" t="s">
        <v>611</v>
      </c>
      <c r="F642" s="202" t="s">
        <v>612</v>
      </c>
      <c r="G642" s="201">
        <v>96</v>
      </c>
      <c r="H642" s="200">
        <v>51</v>
      </c>
    </row>
    <row r="643" spans="1:8" x14ac:dyDescent="0.2">
      <c r="A643" s="204">
        <v>408</v>
      </c>
      <c r="B643" s="202" t="s">
        <v>1287</v>
      </c>
      <c r="C643" s="203" t="s">
        <v>1288</v>
      </c>
      <c r="D643" s="203" t="s">
        <v>1289</v>
      </c>
      <c r="E643" s="202" t="s">
        <v>613</v>
      </c>
      <c r="F643" s="202" t="s">
        <v>592</v>
      </c>
      <c r="G643" s="201">
        <v>130</v>
      </c>
      <c r="H643" s="200">
        <v>51</v>
      </c>
    </row>
    <row r="644" spans="1:8" x14ac:dyDescent="0.2">
      <c r="A644" s="204">
        <v>453</v>
      </c>
      <c r="B644" s="202" t="s">
        <v>1287</v>
      </c>
      <c r="C644" s="203" t="s">
        <v>1290</v>
      </c>
      <c r="D644" s="203" t="s">
        <v>1291</v>
      </c>
      <c r="E644" s="202" t="s">
        <v>583</v>
      </c>
      <c r="F644" s="202" t="s">
        <v>583</v>
      </c>
      <c r="G644" s="201">
        <v>91</v>
      </c>
      <c r="H644" s="200">
        <v>51</v>
      </c>
    </row>
    <row r="645" spans="1:8" x14ac:dyDescent="0.2">
      <c r="A645" s="204">
        <v>449</v>
      </c>
      <c r="B645" s="202" t="s">
        <v>1287</v>
      </c>
      <c r="C645" s="203" t="s">
        <v>1292</v>
      </c>
      <c r="D645" s="203" t="s">
        <v>1293</v>
      </c>
      <c r="E645" s="202" t="s">
        <v>583</v>
      </c>
      <c r="F645" s="202" t="s">
        <v>583</v>
      </c>
      <c r="G645" s="201">
        <v>85</v>
      </c>
      <c r="H645" s="200">
        <v>51</v>
      </c>
    </row>
    <row r="646" spans="1:8" x14ac:dyDescent="0.2">
      <c r="A646" s="204">
        <v>409</v>
      </c>
      <c r="B646" s="202" t="s">
        <v>1287</v>
      </c>
      <c r="C646" s="203" t="s">
        <v>1294</v>
      </c>
      <c r="D646" s="203" t="s">
        <v>1295</v>
      </c>
      <c r="E646" s="202" t="s">
        <v>587</v>
      </c>
      <c r="F646" s="202" t="s">
        <v>633</v>
      </c>
      <c r="G646" s="201">
        <v>117</v>
      </c>
      <c r="H646" s="200">
        <v>56</v>
      </c>
    </row>
    <row r="647" spans="1:8" x14ac:dyDescent="0.2">
      <c r="A647" s="204">
        <v>409</v>
      </c>
      <c r="B647" s="202" t="s">
        <v>1287</v>
      </c>
      <c r="C647" s="203" t="s">
        <v>1294</v>
      </c>
      <c r="D647" s="203" t="s">
        <v>1295</v>
      </c>
      <c r="E647" s="202" t="s">
        <v>634</v>
      </c>
      <c r="F647" s="202" t="s">
        <v>614</v>
      </c>
      <c r="G647" s="201">
        <v>179</v>
      </c>
      <c r="H647" s="200">
        <v>56</v>
      </c>
    </row>
    <row r="648" spans="1:8" x14ac:dyDescent="0.2">
      <c r="A648" s="204">
        <v>409</v>
      </c>
      <c r="B648" s="202" t="s">
        <v>1287</v>
      </c>
      <c r="C648" s="203" t="s">
        <v>1294</v>
      </c>
      <c r="D648" s="203" t="s">
        <v>1295</v>
      </c>
      <c r="E648" s="202" t="s">
        <v>615</v>
      </c>
      <c r="F648" s="202" t="s">
        <v>592</v>
      </c>
      <c r="G648" s="201">
        <v>117</v>
      </c>
      <c r="H648" s="200">
        <v>56</v>
      </c>
    </row>
  </sheetData>
  <pageMargins left="0.7" right="0.7" top="0.75" bottom="0.75" header="0.3" footer="0.3"/>
  <pageSetup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I18"/>
  <sheetViews>
    <sheetView workbookViewId="0">
      <selection activeCell="B8" sqref="B8"/>
    </sheetView>
  </sheetViews>
  <sheetFormatPr defaultColWidth="9.140625" defaultRowHeight="12.75" x14ac:dyDescent="0.2"/>
  <cols>
    <col min="1" max="1" width="3.28515625" style="103" customWidth="1"/>
    <col min="2" max="2" width="13.42578125" style="103" customWidth="1"/>
    <col min="3" max="3" width="9.140625" style="103"/>
    <col min="4" max="4" width="14" style="103" customWidth="1"/>
    <col min="5" max="16384" width="9.140625" style="103"/>
  </cols>
  <sheetData>
    <row r="2" spans="1:9" x14ac:dyDescent="0.2">
      <c r="B2" s="104" t="s">
        <v>1296</v>
      </c>
    </row>
    <row r="3" spans="1:9" x14ac:dyDescent="0.2">
      <c r="C3" s="163" t="s">
        <v>1297</v>
      </c>
      <c r="D3" s="163" t="s">
        <v>1298</v>
      </c>
    </row>
    <row r="4" spans="1:9" ht="15.75" x14ac:dyDescent="0.25">
      <c r="A4" s="216"/>
      <c r="B4" s="217" t="s">
        <v>1299</v>
      </c>
      <c r="C4" s="217">
        <v>40.1</v>
      </c>
      <c r="D4" s="218">
        <f>C4+(C4*0.6)</f>
        <v>64.16</v>
      </c>
      <c r="E4" s="160" t="s">
        <v>1300</v>
      </c>
      <c r="F4" s="216"/>
    </row>
    <row r="5" spans="1:9" ht="15.75" x14ac:dyDescent="0.25">
      <c r="A5" s="216"/>
      <c r="B5" s="217" t="s">
        <v>322</v>
      </c>
      <c r="C5" s="217">
        <v>16.100000000000001</v>
      </c>
      <c r="D5" s="218">
        <f>C5+(C5*0.6)</f>
        <v>25.76</v>
      </c>
      <c r="E5" s="160" t="s">
        <v>1301</v>
      </c>
      <c r="F5" s="216"/>
      <c r="G5" s="160"/>
      <c r="H5"/>
    </row>
    <row r="6" spans="1:9" ht="15.75" x14ac:dyDescent="0.25">
      <c r="A6" s="216"/>
      <c r="B6" s="217" t="s">
        <v>401</v>
      </c>
      <c r="C6" s="217">
        <v>29.76</v>
      </c>
      <c r="D6" s="218">
        <f>C6+(C6*0.6)</f>
        <v>47.616</v>
      </c>
      <c r="E6" s="160" t="s">
        <v>1302</v>
      </c>
      <c r="F6" s="216"/>
      <c r="G6" s="160"/>
      <c r="H6"/>
      <c r="I6"/>
    </row>
    <row r="7" spans="1:9" ht="15.75" x14ac:dyDescent="0.25">
      <c r="A7" s="216"/>
      <c r="B7" s="162" t="s">
        <v>1303</v>
      </c>
      <c r="C7" s="216"/>
      <c r="D7" s="216"/>
      <c r="E7" s="216"/>
      <c r="F7" s="216"/>
      <c r="G7"/>
      <c r="H7" s="160"/>
    </row>
    <row r="8" spans="1:9" ht="15.75" x14ac:dyDescent="0.25">
      <c r="A8" s="216"/>
      <c r="B8" s="13" t="s">
        <v>1304</v>
      </c>
      <c r="C8" s="216"/>
      <c r="D8" s="216"/>
      <c r="E8" s="216"/>
      <c r="F8" s="216"/>
      <c r="G8"/>
      <c r="H8" s="160"/>
    </row>
    <row r="9" spans="1:9" ht="15.75" x14ac:dyDescent="0.25">
      <c r="G9"/>
      <c r="H9" s="160"/>
    </row>
    <row r="10" spans="1:9" ht="15.75" x14ac:dyDescent="0.25">
      <c r="B10" s="104" t="s">
        <v>1305</v>
      </c>
      <c r="G10" s="161"/>
    </row>
    <row r="11" spans="1:9" ht="15" x14ac:dyDescent="0.25">
      <c r="B11" s="105" t="s">
        <v>1306</v>
      </c>
      <c r="C11" s="219">
        <v>118</v>
      </c>
      <c r="H11"/>
      <c r="I11"/>
    </row>
    <row r="12" spans="1:9" x14ac:dyDescent="0.2">
      <c r="B12" s="105" t="s">
        <v>1307</v>
      </c>
      <c r="C12" s="219">
        <v>58</v>
      </c>
    </row>
    <row r="13" spans="1:9" x14ac:dyDescent="0.2">
      <c r="B13" s="105" t="s">
        <v>1308</v>
      </c>
      <c r="C13" s="219">
        <v>600</v>
      </c>
    </row>
    <row r="14" spans="1:9" x14ac:dyDescent="0.2">
      <c r="B14" s="105" t="s">
        <v>1309</v>
      </c>
      <c r="C14" s="217">
        <v>3</v>
      </c>
    </row>
    <row r="18" spans="3:3" x14ac:dyDescent="0.2">
      <c r="C18" s="257">
        <f>3*SUM(C11:C12)+600</f>
        <v>1128</v>
      </c>
    </row>
  </sheetData>
  <hyperlinks>
    <hyperlink ref="B8" r:id="rId1" xr:uid="{00000000-0004-0000-1000-000000000000}"/>
  </hyperlinks>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1"/>
  <sheetViews>
    <sheetView workbookViewId="0">
      <selection activeCell="B2" sqref="B2"/>
    </sheetView>
  </sheetViews>
  <sheetFormatPr defaultRowHeight="15" x14ac:dyDescent="0.25"/>
  <cols>
    <col min="1" max="1" width="29.5703125" customWidth="1"/>
    <col min="2" max="2" width="18.28515625" customWidth="1"/>
    <col min="3" max="3" width="25" style="3" customWidth="1"/>
    <col min="4" max="4" width="22.85546875" customWidth="1"/>
    <col min="5" max="5" width="32.5703125" customWidth="1"/>
    <col min="6" max="6" width="16.42578125" customWidth="1"/>
  </cols>
  <sheetData>
    <row r="1" spans="1:9" x14ac:dyDescent="0.25">
      <c r="B1" s="14" t="s">
        <v>1310</v>
      </c>
      <c r="C1" s="15" t="s">
        <v>1311</v>
      </c>
      <c r="D1" s="14" t="s">
        <v>1312</v>
      </c>
      <c r="E1" s="14" t="s">
        <v>1313</v>
      </c>
      <c r="F1" s="70" t="s">
        <v>1314</v>
      </c>
      <c r="G1" s="14" t="s">
        <v>1315</v>
      </c>
      <c r="H1" s="14" t="s">
        <v>1316</v>
      </c>
    </row>
    <row r="2" spans="1:9" ht="30" x14ac:dyDescent="0.25">
      <c r="A2" s="187" t="s">
        <v>20</v>
      </c>
      <c r="B2" s="17">
        <v>10067</v>
      </c>
      <c r="C2" s="18" t="s">
        <v>1317</v>
      </c>
      <c r="D2" s="16">
        <f>B2*((0.07*(1+0.07)^15)/((1+0.07)^15-1))</f>
        <v>1105.3024868650327</v>
      </c>
      <c r="E2" s="20" t="s">
        <v>1318</v>
      </c>
      <c r="F2" s="71">
        <f>(0.07*(1+0.07)^15)/((1+0.07)^15-1)</f>
        <v>0.10979462470100652</v>
      </c>
      <c r="G2">
        <f>F2*B2</f>
        <v>1105.3024868650327</v>
      </c>
    </row>
    <row r="3" spans="1:9" x14ac:dyDescent="0.25">
      <c r="A3" s="187" t="s">
        <v>1319</v>
      </c>
      <c r="B3" s="197">
        <f>8*E26</f>
        <v>691.65600000000006</v>
      </c>
      <c r="C3" s="18" t="s">
        <v>1320</v>
      </c>
      <c r="D3" s="16">
        <f>B3</f>
        <v>691.65600000000006</v>
      </c>
      <c r="E3" s="16" t="s">
        <v>1321</v>
      </c>
    </row>
    <row r="4" spans="1:9" ht="30" x14ac:dyDescent="0.25">
      <c r="A4" s="220" t="s">
        <v>1322</v>
      </c>
      <c r="B4" s="17">
        <f>12*E26+B2</f>
        <v>11104.484</v>
      </c>
      <c r="C4" s="18" t="s">
        <v>1323</v>
      </c>
      <c r="D4" s="298">
        <f>B4*((0.07*(1+0.07)^5)/((1+0.07)^5-1))</f>
        <v>2708.280314173127</v>
      </c>
      <c r="E4" s="20" t="s">
        <v>1324</v>
      </c>
      <c r="F4" s="71">
        <f>(0.07*(1+0.07)^5)/((1+0.07)^5-1)</f>
        <v>0.24389069444137401</v>
      </c>
      <c r="G4">
        <f>B2*F4</f>
        <v>2455.2476209413121</v>
      </c>
      <c r="H4">
        <f>F4*12</f>
        <v>2.9266883332964881</v>
      </c>
    </row>
    <row r="5" spans="1:9" ht="45" x14ac:dyDescent="0.25">
      <c r="A5" s="18" t="s">
        <v>1325</v>
      </c>
      <c r="B5" s="2">
        <v>1</v>
      </c>
      <c r="C5" s="3" t="s">
        <v>1326</v>
      </c>
    </row>
    <row r="6" spans="1:9" ht="30" x14ac:dyDescent="0.25">
      <c r="A6" s="18" t="s">
        <v>1327</v>
      </c>
      <c r="B6" s="2">
        <f>B5*0.254</f>
        <v>0.254</v>
      </c>
      <c r="C6" s="3" t="s">
        <v>1328</v>
      </c>
      <c r="D6">
        <f>25/(30*3.28)</f>
        <v>0.25406504065040653</v>
      </c>
    </row>
    <row r="7" spans="1:9" ht="30" x14ac:dyDescent="0.25">
      <c r="A7" s="18" t="s">
        <v>1329</v>
      </c>
      <c r="B7" s="221">
        <f>E27</f>
        <v>49.853999999999999</v>
      </c>
      <c r="C7" s="13" t="s">
        <v>1330</v>
      </c>
    </row>
    <row r="8" spans="1:9" x14ac:dyDescent="0.25">
      <c r="A8" s="18" t="s">
        <v>1331</v>
      </c>
      <c r="B8" s="299">
        <v>175</v>
      </c>
      <c r="C8" s="83" t="s">
        <v>1332</v>
      </c>
    </row>
    <row r="9" spans="1:9" x14ac:dyDescent="0.25">
      <c r="A9" s="18" t="s">
        <v>1333</v>
      </c>
      <c r="B9" s="299">
        <v>600</v>
      </c>
      <c r="C9" s="83" t="s">
        <v>1332</v>
      </c>
    </row>
    <row r="10" spans="1:9" x14ac:dyDescent="0.25">
      <c r="A10" s="18" t="s">
        <v>1334</v>
      </c>
      <c r="B10" s="299">
        <v>1650</v>
      </c>
      <c r="C10" s="83" t="s">
        <v>1332</v>
      </c>
    </row>
    <row r="11" spans="1:9" ht="30" x14ac:dyDescent="0.25">
      <c r="A11" s="19" t="s">
        <v>1335</v>
      </c>
      <c r="B11">
        <v>50</v>
      </c>
      <c r="C11" s="13" t="s">
        <v>1336</v>
      </c>
    </row>
    <row r="12" spans="1:9" ht="60" x14ac:dyDescent="0.25">
      <c r="A12" s="19" t="s">
        <v>1337</v>
      </c>
      <c r="B12" s="2">
        <v>1</v>
      </c>
    </row>
    <row r="13" spans="1:9" ht="45" x14ac:dyDescent="0.25">
      <c r="A13" s="222" t="s">
        <v>1338</v>
      </c>
      <c r="B13">
        <f>(2*85)*1.2</f>
        <v>204</v>
      </c>
      <c r="C13" s="3" t="s">
        <v>1339</v>
      </c>
      <c r="D13" t="s">
        <v>1340</v>
      </c>
      <c r="F13">
        <f>B13/4</f>
        <v>51</v>
      </c>
      <c r="G13" t="s">
        <v>1341</v>
      </c>
    </row>
    <row r="14" spans="1:9" ht="45" x14ac:dyDescent="0.25">
      <c r="A14" s="223" t="s">
        <v>1342</v>
      </c>
      <c r="B14">
        <f>175*1.2</f>
        <v>210</v>
      </c>
      <c r="C14" s="3" t="s">
        <v>1343</v>
      </c>
      <c r="D14" t="s">
        <v>1340</v>
      </c>
      <c r="F14">
        <f>B14/4</f>
        <v>52.5</v>
      </c>
      <c r="G14" t="s">
        <v>1341</v>
      </c>
      <c r="I14">
        <f>B9+F13+F14</f>
        <v>703.5</v>
      </c>
    </row>
    <row r="15" spans="1:9" ht="45" x14ac:dyDescent="0.25">
      <c r="A15" s="223" t="s">
        <v>1344</v>
      </c>
      <c r="B15">
        <f>(2*85)*1.2</f>
        <v>204</v>
      </c>
      <c r="C15" s="3" t="s">
        <v>1345</v>
      </c>
      <c r="D15" t="s">
        <v>1340</v>
      </c>
      <c r="F15">
        <f>B15/12</f>
        <v>17</v>
      </c>
      <c r="G15" t="s">
        <v>1346</v>
      </c>
    </row>
    <row r="16" spans="1:9" x14ac:dyDescent="0.25">
      <c r="A16" s="223"/>
      <c r="D16" s="14" t="s">
        <v>1312</v>
      </c>
      <c r="E16" s="14" t="s">
        <v>1313</v>
      </c>
    </row>
    <row r="17" spans="1:5" x14ac:dyDescent="0.25">
      <c r="A17" s="287" t="s">
        <v>1347</v>
      </c>
      <c r="B17" s="16">
        <v>3000</v>
      </c>
      <c r="C17" s="18"/>
      <c r="D17" s="16">
        <f>B17*((0.07*(1+0.07)^15)/((1+0.07)^15-1))</f>
        <v>329.38387410301959</v>
      </c>
      <c r="E17" s="286" t="s">
        <v>1318</v>
      </c>
    </row>
    <row r="18" spans="1:5" x14ac:dyDescent="0.25">
      <c r="A18" s="288" t="s">
        <v>1348</v>
      </c>
      <c r="B18" s="289">
        <v>500</v>
      </c>
      <c r="C18" s="18"/>
      <c r="D18" s="16">
        <f t="shared" ref="D18:D19" si="0">B18*((0.07*(1+0.07)^15)/((1+0.07)^15-1))</f>
        <v>54.897312350503263</v>
      </c>
    </row>
    <row r="19" spans="1:5" x14ac:dyDescent="0.25">
      <c r="A19" s="288" t="s">
        <v>1349</v>
      </c>
      <c r="B19" s="289">
        <v>4500</v>
      </c>
      <c r="C19" s="18"/>
      <c r="D19" s="16">
        <f t="shared" si="0"/>
        <v>494.07581115452933</v>
      </c>
    </row>
    <row r="20" spans="1:5" x14ac:dyDescent="0.25">
      <c r="A20" s="288" t="s">
        <v>1350</v>
      </c>
      <c r="B20" s="289"/>
      <c r="C20" s="18"/>
      <c r="D20" s="16">
        <v>1000</v>
      </c>
    </row>
    <row r="21" spans="1:5" x14ac:dyDescent="0.25">
      <c r="A21" s="223"/>
    </row>
    <row r="22" spans="1:5" x14ac:dyDescent="0.25">
      <c r="A22" s="223"/>
      <c r="B22" s="224" t="s">
        <v>1351</v>
      </c>
      <c r="C22" s="224" t="s">
        <v>1352</v>
      </c>
    </row>
    <row r="23" spans="1:5" ht="45" x14ac:dyDescent="0.25">
      <c r="A23" s="225" t="s">
        <v>1353</v>
      </c>
      <c r="B23" s="16">
        <f>(3*B8)+B13+B14</f>
        <v>939</v>
      </c>
      <c r="C23" s="16">
        <f>(3*B9)+B13+B14</f>
        <v>2214</v>
      </c>
    </row>
    <row r="25" spans="1:5" x14ac:dyDescent="0.25">
      <c r="A25" s="191" t="s">
        <v>313</v>
      </c>
      <c r="B25" s="191" t="s">
        <v>552</v>
      </c>
      <c r="C25" s="192" t="s">
        <v>1354</v>
      </c>
      <c r="D25" s="193" t="s">
        <v>1355</v>
      </c>
      <c r="E25" s="193" t="s">
        <v>1356</v>
      </c>
    </row>
    <row r="26" spans="1:5" x14ac:dyDescent="0.25">
      <c r="A26" s="194" t="s">
        <v>317</v>
      </c>
      <c r="B26" s="195" t="s">
        <v>556</v>
      </c>
      <c r="C26" s="196">
        <v>41.17</v>
      </c>
      <c r="D26" s="195" t="s">
        <v>557</v>
      </c>
      <c r="E26" s="197">
        <f>C26+1.1*C26</f>
        <v>86.457000000000008</v>
      </c>
    </row>
    <row r="27" spans="1:5" ht="30" x14ac:dyDescent="0.25">
      <c r="A27" s="194" t="s">
        <v>320</v>
      </c>
      <c r="B27" s="195" t="s">
        <v>561</v>
      </c>
      <c r="C27" s="196">
        <v>23.74</v>
      </c>
      <c r="D27" s="195" t="s">
        <v>562</v>
      </c>
      <c r="E27" s="197">
        <f>C27+1.1*C27</f>
        <v>49.853999999999999</v>
      </c>
    </row>
    <row r="29" spans="1:5" x14ac:dyDescent="0.25">
      <c r="A29" s="13" t="s">
        <v>563</v>
      </c>
      <c r="C29"/>
    </row>
    <row r="31" spans="1:5" x14ac:dyDescent="0.25">
      <c r="A31" s="299" t="s">
        <v>1357</v>
      </c>
    </row>
  </sheetData>
  <hyperlinks>
    <hyperlink ref="C11" r:id="rId1" xr:uid="{00000000-0004-0000-0300-000000000000}"/>
    <hyperlink ref="C7" r:id="rId2" xr:uid="{00000000-0004-0000-0300-000001000000}"/>
    <hyperlink ref="A29" r:id="rId3" location="17-0000 (May 2013)" xr:uid="{00000000-0004-0000-0300-000002000000}"/>
  </hyperlinks>
  <pageMargins left="0.7" right="0.7" top="0.75" bottom="0.75" header="0.3" footer="0.3"/>
  <pageSetup orientation="portrait" r:id="rId4"/>
  <legacyDrawing r:id="rId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T84"/>
  <sheetViews>
    <sheetView zoomScale="115" zoomScaleNormal="115" zoomScaleSheetLayoutView="100" workbookViewId="0">
      <selection activeCell="E10" sqref="E10"/>
    </sheetView>
  </sheetViews>
  <sheetFormatPr defaultColWidth="9.140625" defaultRowHeight="11.25" x14ac:dyDescent="0.2"/>
  <cols>
    <col min="1" max="1" width="2" style="29" customWidth="1"/>
    <col min="2" max="2" width="36.7109375" style="29" customWidth="1"/>
    <col min="3" max="3" width="8.85546875" style="30" bestFit="1" customWidth="1"/>
    <col min="4" max="5" width="7.85546875" style="30" customWidth="1"/>
    <col min="6" max="6" width="19.28515625" style="30" customWidth="1"/>
    <col min="7" max="7" width="9.28515625" style="30" customWidth="1"/>
    <col min="8" max="8" width="8.28515625" style="30" customWidth="1"/>
    <col min="9" max="9" width="9.42578125" style="32" bestFit="1" customWidth="1"/>
    <col min="10" max="10" width="7.42578125" style="30" customWidth="1"/>
    <col min="11" max="12" width="6.85546875" style="30" bestFit="1" customWidth="1"/>
    <col min="13" max="13" width="8" style="30" customWidth="1"/>
    <col min="14" max="14" width="9.7109375" style="30" customWidth="1"/>
    <col min="15" max="15" width="10.140625" style="31" bestFit="1" customWidth="1"/>
    <col min="16" max="16" width="10" style="31" bestFit="1" customWidth="1"/>
    <col min="17" max="17" width="10" style="31" customWidth="1"/>
    <col min="18" max="18" width="4.42578125" style="30" bestFit="1" customWidth="1"/>
    <col min="19" max="19" width="0.140625" style="29" customWidth="1"/>
    <col min="20" max="20" width="3.7109375" style="29" customWidth="1"/>
    <col min="21" max="16384" width="9.140625" style="29"/>
  </cols>
  <sheetData>
    <row r="1" spans="2:20" x14ac:dyDescent="0.2">
      <c r="B1" s="607" t="s">
        <v>148</v>
      </c>
      <c r="C1" s="607"/>
      <c r="D1" s="607"/>
      <c r="E1" s="607"/>
      <c r="F1" s="607"/>
      <c r="G1" s="607"/>
      <c r="H1" s="607"/>
      <c r="I1" s="607"/>
      <c r="J1" s="607"/>
      <c r="K1" s="607"/>
      <c r="L1" s="607"/>
      <c r="M1" s="607"/>
      <c r="N1" s="607"/>
      <c r="O1" s="607"/>
      <c r="P1" s="607"/>
      <c r="Q1" s="607"/>
      <c r="R1" s="607"/>
    </row>
    <row r="2" spans="2:20" x14ac:dyDescent="0.2">
      <c r="B2" s="538" t="s">
        <v>152</v>
      </c>
      <c r="C2" s="538"/>
      <c r="D2" s="538"/>
      <c r="E2" s="538"/>
      <c r="F2" s="538"/>
      <c r="G2" s="538"/>
      <c r="H2" s="538"/>
      <c r="I2" s="538"/>
      <c r="J2" s="538"/>
      <c r="K2" s="538"/>
      <c r="L2" s="538"/>
      <c r="M2" s="538"/>
      <c r="N2" s="538"/>
      <c r="O2" s="538"/>
      <c r="P2" s="538"/>
      <c r="Q2" s="538"/>
      <c r="R2" s="538"/>
    </row>
    <row r="3" spans="2:20" s="66" customFormat="1" ht="66.75" customHeight="1" x14ac:dyDescent="0.15">
      <c r="B3" s="68" t="s">
        <v>156</v>
      </c>
      <c r="C3" s="68" t="s">
        <v>157</v>
      </c>
      <c r="D3" s="68" t="s">
        <v>158</v>
      </c>
      <c r="E3" s="68" t="s">
        <v>159</v>
      </c>
      <c r="F3" s="68" t="s">
        <v>160</v>
      </c>
      <c r="G3" s="68" t="s">
        <v>161</v>
      </c>
      <c r="H3" s="68" t="s">
        <v>162</v>
      </c>
      <c r="I3" s="76" t="s">
        <v>163</v>
      </c>
      <c r="J3" s="77" t="s">
        <v>164</v>
      </c>
      <c r="K3" s="77" t="s">
        <v>165</v>
      </c>
      <c r="L3" s="77" t="s">
        <v>166</v>
      </c>
      <c r="M3" s="77" t="s">
        <v>167</v>
      </c>
      <c r="N3" s="68" t="s">
        <v>168</v>
      </c>
      <c r="O3" s="77" t="s">
        <v>169</v>
      </c>
      <c r="P3" s="77" t="s">
        <v>170</v>
      </c>
      <c r="Q3" s="77" t="s">
        <v>1358</v>
      </c>
      <c r="R3" s="67" t="s">
        <v>172</v>
      </c>
      <c r="S3" s="66" t="s">
        <v>173</v>
      </c>
    </row>
    <row r="4" spans="2:20" s="45" customFormat="1" ht="68.25" customHeight="1" x14ac:dyDescent="0.15">
      <c r="B4" s="65" t="s">
        <v>174</v>
      </c>
      <c r="C4" s="539" t="s">
        <v>175</v>
      </c>
      <c r="D4" s="540"/>
      <c r="E4" s="344"/>
      <c r="F4" s="63"/>
      <c r="G4" s="63"/>
      <c r="H4" s="63"/>
      <c r="I4" s="64"/>
      <c r="J4" s="64"/>
      <c r="K4" s="64"/>
      <c r="L4" s="64"/>
      <c r="M4" s="64"/>
      <c r="N4" s="62"/>
      <c r="O4" s="62"/>
      <c r="P4" s="62"/>
      <c r="Q4" s="84"/>
      <c r="R4" s="61"/>
    </row>
    <row r="5" spans="2:20" s="45" customFormat="1" ht="9" x14ac:dyDescent="0.15">
      <c r="B5" s="56" t="s">
        <v>176</v>
      </c>
      <c r="C5" s="535" t="s">
        <v>175</v>
      </c>
      <c r="D5" s="536"/>
      <c r="E5" s="343"/>
      <c r="F5" s="53"/>
      <c r="G5" s="53"/>
      <c r="H5" s="53"/>
      <c r="I5" s="54"/>
      <c r="J5" s="54"/>
      <c r="K5" s="54"/>
      <c r="L5" s="54"/>
      <c r="M5" s="54"/>
      <c r="N5" s="46"/>
      <c r="O5" s="46"/>
      <c r="P5" s="46"/>
      <c r="Q5" s="85"/>
      <c r="R5" s="52"/>
    </row>
    <row r="6" spans="2:20" s="45" customFormat="1" ht="9" x14ac:dyDescent="0.15">
      <c r="B6" s="56" t="s">
        <v>177</v>
      </c>
      <c r="C6" s="53"/>
      <c r="D6" s="46"/>
      <c r="E6" s="46"/>
      <c r="F6" s="53"/>
      <c r="G6" s="53"/>
      <c r="H6" s="53"/>
      <c r="I6" s="54"/>
      <c r="J6" s="54"/>
      <c r="K6" s="54"/>
      <c r="L6" s="54"/>
      <c r="M6" s="54"/>
      <c r="N6" s="46"/>
      <c r="O6" s="46"/>
      <c r="P6" s="46"/>
      <c r="Q6" s="85"/>
      <c r="R6" s="52"/>
    </row>
    <row r="7" spans="2:20" s="45" customFormat="1" ht="9" x14ac:dyDescent="0.15">
      <c r="B7" s="82" t="s">
        <v>178</v>
      </c>
      <c r="C7" s="53">
        <v>40</v>
      </c>
      <c r="D7" s="46">
        <v>0</v>
      </c>
      <c r="E7" s="46"/>
      <c r="F7" s="53">
        <v>1</v>
      </c>
      <c r="G7" s="53">
        <v>0</v>
      </c>
      <c r="H7" s="53">
        <f>C7*F7</f>
        <v>40</v>
      </c>
      <c r="I7" s="55">
        <f>'Annual # of Respondents'!D3</f>
        <v>59</v>
      </c>
      <c r="J7" s="54">
        <v>0</v>
      </c>
      <c r="K7" s="54">
        <f>H7*I7</f>
        <v>2360</v>
      </c>
      <c r="L7" s="54">
        <f>K7*0.1</f>
        <v>236</v>
      </c>
      <c r="M7" s="55">
        <f>K7*0.05</f>
        <v>118</v>
      </c>
      <c r="N7" s="46">
        <f>(J7*'Labor Data'!$K$10)+(K7*'Labor Data'!$K$9)+(L7*'Labor Data'!$K$11)+(M7*'Labor Data'!$K$8)</f>
        <v>224097.93000000002</v>
      </c>
      <c r="O7" s="46">
        <f>D7*F7*I7</f>
        <v>0</v>
      </c>
      <c r="P7" s="54">
        <v>0</v>
      </c>
      <c r="Q7" s="86"/>
      <c r="R7" s="52" t="s">
        <v>179</v>
      </c>
    </row>
    <row r="8" spans="2:20" s="45" customFormat="1" ht="9" x14ac:dyDescent="0.15">
      <c r="B8" s="56" t="s">
        <v>180</v>
      </c>
      <c r="C8" s="53"/>
      <c r="D8" s="46"/>
      <c r="E8" s="46"/>
      <c r="F8" s="53"/>
      <c r="G8" s="53"/>
      <c r="H8" s="53"/>
      <c r="I8" s="54"/>
      <c r="J8" s="54"/>
      <c r="K8" s="54"/>
      <c r="L8" s="54"/>
      <c r="M8" s="54"/>
      <c r="N8" s="46"/>
      <c r="O8" s="46"/>
      <c r="P8" s="46"/>
      <c r="Q8" s="85"/>
      <c r="R8" s="52"/>
      <c r="T8" s="60"/>
    </row>
    <row r="9" spans="2:20" s="45" customFormat="1" ht="9" x14ac:dyDescent="0.15">
      <c r="B9" s="82" t="s">
        <v>182</v>
      </c>
      <c r="C9" s="53">
        <v>12</v>
      </c>
      <c r="D9" s="46">
        <f>'Other Cost Basis'!D2+'Other Cost Basis'!D17+'Other Cost Basis'!D18+'Other Cost Basis'!D19</f>
        <v>1983.6594844730848</v>
      </c>
      <c r="E9" s="46">
        <f>'Other Cost Basis'!D20</f>
        <v>1000</v>
      </c>
      <c r="F9" s="53">
        <v>1</v>
      </c>
      <c r="G9" s="53">
        <v>0</v>
      </c>
      <c r="H9" s="53">
        <f>C9*F9</f>
        <v>12</v>
      </c>
      <c r="I9" s="55">
        <f>'Annual # of Respondents'!D13</f>
        <v>30</v>
      </c>
      <c r="J9" s="54">
        <v>0</v>
      </c>
      <c r="K9" s="54">
        <f>H9*I9</f>
        <v>360</v>
      </c>
      <c r="L9" s="54">
        <f>K9*0.1</f>
        <v>36</v>
      </c>
      <c r="M9" s="54">
        <f>K9*0.05</f>
        <v>18</v>
      </c>
      <c r="N9" s="46">
        <f>(J9*'Labor Data'!$K$10)+(K9*'Labor Data'!$K$9)+(L9*'Labor Data'!$K$11)+(M9*'Labor Data'!$K$8)</f>
        <v>34184.430000000008</v>
      </c>
      <c r="O9" s="290">
        <f>(D9+E9)*F9*I9</f>
        <v>89509.784534192542</v>
      </c>
      <c r="P9" s="54">
        <f>F9*I9</f>
        <v>30</v>
      </c>
      <c r="Q9" s="86">
        <f>'Other Cost Basis'!B2+'Other Cost Basis'!B17+'Other Cost Basis'!B18+'Other Cost Basis'!B19</f>
        <v>18067</v>
      </c>
      <c r="R9" s="52" t="s">
        <v>183</v>
      </c>
      <c r="T9" s="60"/>
    </row>
    <row r="10" spans="2:20" s="45" customFormat="1" ht="9" x14ac:dyDescent="0.15">
      <c r="B10" s="82" t="s">
        <v>184</v>
      </c>
      <c r="C10" s="72">
        <f>ROUND('Controllers NSPS acreage'!V3,0)</f>
        <v>44</v>
      </c>
      <c r="D10" s="46">
        <f>'Other Cost Basis'!B9+'Other Cost Basis'!F13+'Other Cost Basis'!F14</f>
        <v>703.5</v>
      </c>
      <c r="E10" s="46"/>
      <c r="F10" s="53">
        <v>4</v>
      </c>
      <c r="G10" s="72">
        <f>C10*F10</f>
        <v>176</v>
      </c>
      <c r="H10" s="53">
        <v>0</v>
      </c>
      <c r="I10" s="55">
        <f>'Annual # of Respondents'!D7</f>
        <v>30</v>
      </c>
      <c r="J10" s="54">
        <f>G10*I10</f>
        <v>5280</v>
      </c>
      <c r="K10" s="54">
        <v>0</v>
      </c>
      <c r="L10" s="54">
        <v>0</v>
      </c>
      <c r="M10" s="54">
        <v>0</v>
      </c>
      <c r="N10" s="46">
        <f>(J10*'Labor Data'!$K$10)+(K10*'Labor Data'!$K$9)+(L10*'Labor Data'!$K$11)+(M10*'Labor Data'!$K$8)</f>
        <v>263229.12</v>
      </c>
      <c r="O10" s="46">
        <f>D10*F10*I10</f>
        <v>84420</v>
      </c>
      <c r="P10" s="54">
        <v>0</v>
      </c>
      <c r="Q10" s="86"/>
      <c r="R10" s="52" t="s">
        <v>185</v>
      </c>
      <c r="T10" s="60"/>
    </row>
    <row r="11" spans="2:20" s="45" customFormat="1" ht="9" x14ac:dyDescent="0.15">
      <c r="B11" s="82" t="s">
        <v>186</v>
      </c>
      <c r="C11" s="295">
        <f>ROUND(2000/49.85,0)</f>
        <v>40</v>
      </c>
      <c r="D11" s="296">
        <f>'Other Cost Basis'!F15</f>
        <v>17</v>
      </c>
      <c r="E11" s="296"/>
      <c r="F11" s="53">
        <v>12</v>
      </c>
      <c r="G11" s="72">
        <f>C11*F11</f>
        <v>480</v>
      </c>
      <c r="H11" s="53">
        <v>0</v>
      </c>
      <c r="I11" s="55">
        <f>I10</f>
        <v>30</v>
      </c>
      <c r="J11" s="54">
        <f>G11*I11</f>
        <v>14400</v>
      </c>
      <c r="K11" s="54">
        <v>0</v>
      </c>
      <c r="L11" s="54">
        <v>0</v>
      </c>
      <c r="M11" s="54">
        <v>0</v>
      </c>
      <c r="N11" s="46">
        <f>(J11*'Labor Data'!$K$10)+(K11*'Labor Data'!$K$9)+(L11*'Labor Data'!$K$11)+(M11*'Labor Data'!$K$8)</f>
        <v>717897.6</v>
      </c>
      <c r="O11" s="46">
        <f>D11*F11*I11</f>
        <v>6120</v>
      </c>
      <c r="P11" s="54">
        <v>1</v>
      </c>
      <c r="Q11" s="86"/>
      <c r="R11" s="52" t="s">
        <v>185</v>
      </c>
      <c r="T11" s="60"/>
    </row>
    <row r="12" spans="2:20" s="45" customFormat="1" ht="9" x14ac:dyDescent="0.15">
      <c r="B12" s="56" t="s">
        <v>187</v>
      </c>
      <c r="C12" s="535" t="s">
        <v>188</v>
      </c>
      <c r="D12" s="536"/>
      <c r="E12" s="343"/>
      <c r="F12" s="53"/>
      <c r="G12" s="53"/>
      <c r="H12" s="53"/>
      <c r="I12" s="54"/>
      <c r="J12" s="54"/>
      <c r="K12" s="54"/>
      <c r="L12" s="54"/>
      <c r="M12" s="54"/>
      <c r="N12" s="46"/>
      <c r="O12" s="46"/>
      <c r="P12" s="46"/>
      <c r="Q12" s="85"/>
      <c r="R12" s="52"/>
      <c r="T12" s="60"/>
    </row>
    <row r="13" spans="2:20" s="45" customFormat="1" ht="9" x14ac:dyDescent="0.15">
      <c r="B13" s="56" t="s">
        <v>189</v>
      </c>
      <c r="C13" s="535" t="s">
        <v>188</v>
      </c>
      <c r="D13" s="536"/>
      <c r="E13" s="343"/>
      <c r="F13" s="53"/>
      <c r="G13" s="53"/>
      <c r="H13" s="53"/>
      <c r="I13" s="54"/>
      <c r="J13" s="54"/>
      <c r="K13" s="54"/>
      <c r="L13" s="54"/>
      <c r="M13" s="54"/>
      <c r="N13" s="46"/>
      <c r="O13" s="46"/>
      <c r="P13" s="46"/>
      <c r="Q13" s="85"/>
      <c r="R13" s="52"/>
    </row>
    <row r="14" spans="2:20" s="45" customFormat="1" ht="9" x14ac:dyDescent="0.15">
      <c r="B14" s="56" t="s">
        <v>190</v>
      </c>
      <c r="C14" s="53"/>
      <c r="D14" s="46"/>
      <c r="E14" s="46"/>
      <c r="F14" s="53"/>
      <c r="G14" s="53"/>
      <c r="H14" s="53"/>
      <c r="I14" s="54"/>
      <c r="J14" s="54"/>
      <c r="K14" s="54"/>
      <c r="L14" s="54"/>
      <c r="M14" s="54"/>
      <c r="N14" s="46"/>
      <c r="O14" s="46"/>
      <c r="P14" s="46"/>
      <c r="Q14" s="85"/>
      <c r="R14" s="52"/>
    </row>
    <row r="15" spans="2:20" s="45" customFormat="1" ht="9" x14ac:dyDescent="0.15">
      <c r="B15" s="81" t="s">
        <v>191</v>
      </c>
      <c r="C15" s="53">
        <v>2</v>
      </c>
      <c r="D15" s="46">
        <v>0</v>
      </c>
      <c r="E15" s="46"/>
      <c r="F15" s="53">
        <v>1</v>
      </c>
      <c r="G15" s="53">
        <v>0</v>
      </c>
      <c r="H15" s="53">
        <f t="shared" ref="H15:H22" si="0">C15*F15</f>
        <v>2</v>
      </c>
      <c r="I15" s="55">
        <f>'Annual # of Respondents'!D4</f>
        <v>8</v>
      </c>
      <c r="J15" s="54">
        <v>0</v>
      </c>
      <c r="K15" s="54">
        <f t="shared" ref="K15:K22" si="1">H15*I15</f>
        <v>16</v>
      </c>
      <c r="L15" s="54">
        <f t="shared" ref="L15:L22" si="2">K15*0.1</f>
        <v>1.6</v>
      </c>
      <c r="M15" s="54">
        <f t="shared" ref="M15:M22" si="3">K15*0.05</f>
        <v>0.8</v>
      </c>
      <c r="N15" s="46">
        <f>(J15*'Labor Data'!$K$10)+(K15*'Labor Data'!$K$9)+(L15*'Labor Data'!$K$11)+(M15*'Labor Data'!$K$8)</f>
        <v>1519.308</v>
      </c>
      <c r="O15" s="46">
        <f t="shared" ref="O15:O22" si="4">D15*F15*I15</f>
        <v>0</v>
      </c>
      <c r="P15" s="54">
        <f t="shared" ref="P15:P22" si="5">F15*I15</f>
        <v>8</v>
      </c>
      <c r="Q15" s="86"/>
      <c r="R15" s="52" t="s">
        <v>192</v>
      </c>
    </row>
    <row r="16" spans="2:20" s="45" customFormat="1" ht="9" x14ac:dyDescent="0.15">
      <c r="B16" s="79" t="s">
        <v>193</v>
      </c>
      <c r="C16" s="342">
        <v>2</v>
      </c>
      <c r="D16" s="46">
        <v>0</v>
      </c>
      <c r="E16" s="46"/>
      <c r="F16" s="53">
        <v>1</v>
      </c>
      <c r="G16" s="53">
        <v>0</v>
      </c>
      <c r="H16" s="53">
        <f t="shared" si="0"/>
        <v>2</v>
      </c>
      <c r="I16" s="55">
        <f>0</f>
        <v>0</v>
      </c>
      <c r="J16" s="54">
        <v>0</v>
      </c>
      <c r="K16" s="54">
        <f t="shared" si="1"/>
        <v>0</v>
      </c>
      <c r="L16" s="54">
        <f t="shared" si="2"/>
        <v>0</v>
      </c>
      <c r="M16" s="54">
        <f t="shared" si="3"/>
        <v>0</v>
      </c>
      <c r="N16" s="46">
        <f>(J16*'Labor Data'!$K$10)+(K16*'Labor Data'!$K$9)+(L16*'Labor Data'!$K$11)+(M16*'Labor Data'!$K$8)</f>
        <v>0</v>
      </c>
      <c r="O16" s="46">
        <f t="shared" si="4"/>
        <v>0</v>
      </c>
      <c r="P16" s="54">
        <f t="shared" si="5"/>
        <v>0</v>
      </c>
      <c r="Q16" s="86"/>
      <c r="R16" s="52" t="s">
        <v>194</v>
      </c>
    </row>
    <row r="17" spans="2:19" s="45" customFormat="1" ht="9" x14ac:dyDescent="0.15">
      <c r="B17" s="79" t="s">
        <v>195</v>
      </c>
      <c r="C17" s="53">
        <v>8</v>
      </c>
      <c r="D17" s="46">
        <v>0</v>
      </c>
      <c r="E17" s="46"/>
      <c r="F17" s="53">
        <v>1</v>
      </c>
      <c r="G17" s="53">
        <v>0</v>
      </c>
      <c r="H17" s="53">
        <f t="shared" si="0"/>
        <v>8</v>
      </c>
      <c r="I17" s="55">
        <f>'Annual # of Respondents'!D9</f>
        <v>10.5</v>
      </c>
      <c r="J17" s="54">
        <v>0</v>
      </c>
      <c r="K17" s="54">
        <f t="shared" si="1"/>
        <v>84</v>
      </c>
      <c r="L17" s="54">
        <f t="shared" si="2"/>
        <v>8.4</v>
      </c>
      <c r="M17" s="54">
        <f t="shared" si="3"/>
        <v>4.2</v>
      </c>
      <c r="N17" s="46">
        <f>(J17*'Labor Data'!$K$10)+(K17*'Labor Data'!$K$9)+(L17*'Labor Data'!$K$11)+(M17*'Labor Data'!$K$8)</f>
        <v>7976.3670000000011</v>
      </c>
      <c r="O17" s="46">
        <f t="shared" si="4"/>
        <v>0</v>
      </c>
      <c r="P17" s="54">
        <f t="shared" si="5"/>
        <v>10.5</v>
      </c>
      <c r="Q17" s="86"/>
      <c r="R17" s="52" t="s">
        <v>196</v>
      </c>
      <c r="S17" s="59"/>
    </row>
    <row r="18" spans="2:19" s="45" customFormat="1" ht="9" x14ac:dyDescent="0.15">
      <c r="B18" s="79" t="s">
        <v>197</v>
      </c>
      <c r="C18" s="72">
        <v>12</v>
      </c>
      <c r="D18" s="46">
        <f>'Other Cost Basis'!D4</f>
        <v>2708.280314173127</v>
      </c>
      <c r="E18" s="46"/>
      <c r="F18" s="53">
        <v>1</v>
      </c>
      <c r="G18" s="53">
        <v>0</v>
      </c>
      <c r="H18" s="72">
        <f t="shared" si="0"/>
        <v>12</v>
      </c>
      <c r="I18" s="55">
        <f>'Annual # of Respondents'!D10</f>
        <v>10.5</v>
      </c>
      <c r="J18" s="54">
        <v>0</v>
      </c>
      <c r="K18" s="54">
        <f t="shared" si="1"/>
        <v>126</v>
      </c>
      <c r="L18" s="54">
        <f t="shared" si="2"/>
        <v>12.600000000000001</v>
      </c>
      <c r="M18" s="54">
        <f t="shared" si="3"/>
        <v>6.3000000000000007</v>
      </c>
      <c r="N18" s="46">
        <f>(J18*'Labor Data'!$K$10)+(K18*'Labor Data'!$K$9)+(L18*'Labor Data'!$K$11)+(M18*'Labor Data'!$K$8)</f>
        <v>11964.550500000001</v>
      </c>
      <c r="O18" s="46">
        <f t="shared" si="4"/>
        <v>28436.943298817834</v>
      </c>
      <c r="P18" s="54">
        <f t="shared" si="5"/>
        <v>10.5</v>
      </c>
      <c r="Q18" s="86">
        <f>'Other Cost Basis'!B2</f>
        <v>10067</v>
      </c>
      <c r="R18" s="52" t="s">
        <v>198</v>
      </c>
      <c r="S18" s="59"/>
    </row>
    <row r="19" spans="2:19" s="45" customFormat="1" ht="9" customHeight="1" x14ac:dyDescent="0.15">
      <c r="B19" s="79" t="s">
        <v>199</v>
      </c>
      <c r="C19" s="53">
        <v>1</v>
      </c>
      <c r="D19" s="46">
        <v>0</v>
      </c>
      <c r="E19" s="46"/>
      <c r="F19" s="53">
        <v>1</v>
      </c>
      <c r="G19" s="53">
        <v>0</v>
      </c>
      <c r="H19" s="53">
        <f t="shared" si="0"/>
        <v>1</v>
      </c>
      <c r="I19" s="55">
        <v>0</v>
      </c>
      <c r="J19" s="54">
        <v>0</v>
      </c>
      <c r="K19" s="54">
        <f t="shared" si="1"/>
        <v>0</v>
      </c>
      <c r="L19" s="54">
        <f t="shared" si="2"/>
        <v>0</v>
      </c>
      <c r="M19" s="54">
        <f t="shared" si="3"/>
        <v>0</v>
      </c>
      <c r="N19" s="46">
        <f>(J19*'Labor Data'!$K$10)+(K19*'Labor Data'!$K$9)+(L19*'Labor Data'!$K$11)+(M19*'Labor Data'!$K$8)</f>
        <v>0</v>
      </c>
      <c r="O19" s="46">
        <f t="shared" si="4"/>
        <v>0</v>
      </c>
      <c r="P19" s="54">
        <f t="shared" si="5"/>
        <v>0</v>
      </c>
      <c r="Q19" s="86"/>
      <c r="R19" s="52" t="s">
        <v>200</v>
      </c>
      <c r="S19" s="59"/>
    </row>
    <row r="20" spans="2:19" s="45" customFormat="1" ht="9" x14ac:dyDescent="0.15">
      <c r="B20" s="79" t="s">
        <v>201</v>
      </c>
      <c r="C20" s="53">
        <f>3*C18</f>
        <v>36</v>
      </c>
      <c r="D20" s="46">
        <v>0</v>
      </c>
      <c r="E20" s="46"/>
      <c r="F20" s="53">
        <v>1</v>
      </c>
      <c r="G20" s="53">
        <v>0</v>
      </c>
      <c r="H20" s="53">
        <f t="shared" si="0"/>
        <v>36</v>
      </c>
      <c r="I20" s="55">
        <v>0</v>
      </c>
      <c r="J20" s="54">
        <v>0</v>
      </c>
      <c r="K20" s="54">
        <f t="shared" si="1"/>
        <v>0</v>
      </c>
      <c r="L20" s="54">
        <f t="shared" si="2"/>
        <v>0</v>
      </c>
      <c r="M20" s="54">
        <f t="shared" si="3"/>
        <v>0</v>
      </c>
      <c r="N20" s="46">
        <f>(J20*'Labor Data'!$K$10)+(K20*'Labor Data'!$K$9)+(L20*'Labor Data'!$K$11)+(M20*'Labor Data'!$K$8)</f>
        <v>0</v>
      </c>
      <c r="O20" s="46">
        <f t="shared" si="4"/>
        <v>0</v>
      </c>
      <c r="P20" s="54">
        <f t="shared" si="5"/>
        <v>0</v>
      </c>
      <c r="Q20" s="86"/>
      <c r="R20" s="52" t="s">
        <v>202</v>
      </c>
      <c r="S20" s="59"/>
    </row>
    <row r="21" spans="2:19" s="45" customFormat="1" ht="9" x14ac:dyDescent="0.15">
      <c r="B21" s="79" t="s">
        <v>203</v>
      </c>
      <c r="C21" s="53">
        <v>80</v>
      </c>
      <c r="D21" s="46">
        <v>0</v>
      </c>
      <c r="E21" s="46"/>
      <c r="F21" s="53">
        <v>1</v>
      </c>
      <c r="G21" s="53">
        <v>0</v>
      </c>
      <c r="H21" s="53">
        <f t="shared" si="0"/>
        <v>80</v>
      </c>
      <c r="I21" s="55">
        <f>I$10</f>
        <v>30</v>
      </c>
      <c r="J21" s="54">
        <v>0</v>
      </c>
      <c r="K21" s="54">
        <f t="shared" si="1"/>
        <v>2400</v>
      </c>
      <c r="L21" s="54">
        <f t="shared" si="2"/>
        <v>240</v>
      </c>
      <c r="M21" s="54">
        <f t="shared" si="3"/>
        <v>120</v>
      </c>
      <c r="N21" s="46">
        <f>(J21*'Labor Data'!$K$10)+(K21*'Labor Data'!$K$9)+(L21*'Labor Data'!$K$11)+(M21*'Labor Data'!$K$8)</f>
        <v>227896.2</v>
      </c>
      <c r="O21" s="46">
        <f t="shared" si="4"/>
        <v>0</v>
      </c>
      <c r="P21" s="54">
        <f t="shared" si="5"/>
        <v>30</v>
      </c>
      <c r="Q21" s="86"/>
      <c r="R21" s="52" t="s">
        <v>204</v>
      </c>
      <c r="S21" s="59"/>
    </row>
    <row r="22" spans="2:19" s="45" customFormat="1" ht="9" x14ac:dyDescent="0.15">
      <c r="B22" s="79" t="s">
        <v>205</v>
      </c>
      <c r="C22" s="342">
        <v>20</v>
      </c>
      <c r="D22" s="46">
        <v>0</v>
      </c>
      <c r="E22" s="46"/>
      <c r="F22" s="53">
        <v>1</v>
      </c>
      <c r="G22" s="53">
        <v>0</v>
      </c>
      <c r="H22" s="53">
        <f t="shared" si="0"/>
        <v>20</v>
      </c>
      <c r="I22" s="55">
        <f>I21*0.1</f>
        <v>3</v>
      </c>
      <c r="J22" s="54">
        <v>0</v>
      </c>
      <c r="K22" s="54">
        <f t="shared" si="1"/>
        <v>60</v>
      </c>
      <c r="L22" s="54">
        <f t="shared" si="2"/>
        <v>6</v>
      </c>
      <c r="M22" s="54">
        <f t="shared" si="3"/>
        <v>3</v>
      </c>
      <c r="N22" s="46">
        <f>(J22*'Labor Data'!$K$10)+(K22*'Labor Data'!$K$9)+(L22*'Labor Data'!$K$11)+(M22*'Labor Data'!$K$8)</f>
        <v>5697.4049999999997</v>
      </c>
      <c r="O22" s="46">
        <f t="shared" si="4"/>
        <v>0</v>
      </c>
      <c r="P22" s="54">
        <f t="shared" si="5"/>
        <v>3</v>
      </c>
      <c r="Q22" s="86"/>
      <c r="R22" s="52" t="s">
        <v>206</v>
      </c>
      <c r="S22" s="59"/>
    </row>
    <row r="23" spans="2:19" s="45" customFormat="1" ht="9" x14ac:dyDescent="0.15">
      <c r="B23" s="79" t="s">
        <v>207</v>
      </c>
      <c r="C23" s="535" t="s">
        <v>188</v>
      </c>
      <c r="D23" s="536"/>
      <c r="E23" s="343"/>
      <c r="F23" s="53"/>
      <c r="G23" s="53"/>
      <c r="H23" s="53"/>
      <c r="I23" s="55"/>
      <c r="J23" s="54"/>
      <c r="K23" s="54"/>
      <c r="L23" s="54"/>
      <c r="M23" s="54"/>
      <c r="N23" s="46"/>
      <c r="O23" s="46"/>
      <c r="P23" s="54"/>
      <c r="Q23" s="86"/>
      <c r="R23" s="52"/>
      <c r="S23" s="59"/>
    </row>
    <row r="24" spans="2:19" s="45" customFormat="1" ht="9" x14ac:dyDescent="0.15">
      <c r="B24" s="79" t="s">
        <v>208</v>
      </c>
      <c r="C24" s="535" t="s">
        <v>188</v>
      </c>
      <c r="D24" s="536"/>
      <c r="E24" s="343"/>
      <c r="F24" s="53"/>
      <c r="G24" s="53"/>
      <c r="H24" s="53"/>
      <c r="I24" s="55"/>
      <c r="J24" s="54"/>
      <c r="K24" s="54"/>
      <c r="L24" s="54"/>
      <c r="M24" s="54"/>
      <c r="N24" s="46"/>
      <c r="O24" s="46"/>
      <c r="P24" s="54"/>
      <c r="Q24" s="86"/>
      <c r="R24" s="52"/>
      <c r="S24" s="59"/>
    </row>
    <row r="25" spans="2:19" s="45" customFormat="1" ht="9" x14ac:dyDescent="0.15">
      <c r="B25" s="79" t="s">
        <v>209</v>
      </c>
      <c r="C25" s="53">
        <v>27</v>
      </c>
      <c r="D25" s="46">
        <v>0</v>
      </c>
      <c r="E25" s="46"/>
      <c r="F25" s="53">
        <v>1</v>
      </c>
      <c r="G25" s="53">
        <v>0</v>
      </c>
      <c r="H25" s="53">
        <f>C25*F25</f>
        <v>27</v>
      </c>
      <c r="I25" s="55">
        <f>I$10</f>
        <v>30</v>
      </c>
      <c r="J25" s="54">
        <v>0</v>
      </c>
      <c r="K25" s="54">
        <f>H25*I25</f>
        <v>810</v>
      </c>
      <c r="L25" s="54">
        <f>K25*0.1</f>
        <v>81</v>
      </c>
      <c r="M25" s="54">
        <f>K25*0.05</f>
        <v>40.5</v>
      </c>
      <c r="N25" s="46">
        <f>(J25*'Labor Data'!$K$10)+(K25*'Labor Data'!$K$9)+(L25*'Labor Data'!$K$11)+(M25*'Labor Data'!$K$8)</f>
        <v>76914.967500000013</v>
      </c>
      <c r="O25" s="46">
        <f>D25*F25*I25</f>
        <v>0</v>
      </c>
      <c r="P25" s="54">
        <f>F25*I25</f>
        <v>30</v>
      </c>
      <c r="Q25" s="86"/>
      <c r="R25" s="52" t="s">
        <v>210</v>
      </c>
      <c r="S25" s="59"/>
    </row>
    <row r="26" spans="2:19" s="45" customFormat="1" ht="9" x14ac:dyDescent="0.15">
      <c r="B26" s="79" t="s">
        <v>211</v>
      </c>
      <c r="C26" s="53">
        <v>15</v>
      </c>
      <c r="D26" s="46">
        <v>0</v>
      </c>
      <c r="E26" s="46"/>
      <c r="F26" s="53">
        <v>1</v>
      </c>
      <c r="G26" s="53">
        <v>0</v>
      </c>
      <c r="H26" s="53">
        <f t="shared" ref="H26:H28" si="6">C26*F26</f>
        <v>15</v>
      </c>
      <c r="I26" s="55">
        <v>1</v>
      </c>
      <c r="J26" s="54">
        <v>0</v>
      </c>
      <c r="K26" s="54">
        <f>H26*I26</f>
        <v>15</v>
      </c>
      <c r="L26" s="54">
        <f t="shared" ref="L26:L28" si="7">K26*0.1</f>
        <v>1.5</v>
      </c>
      <c r="M26" s="54">
        <f t="shared" ref="M26:M28" si="8">K26*0.05</f>
        <v>0.75</v>
      </c>
      <c r="N26" s="46">
        <f>(J26*'Labor Data'!$K$10)+(K26*'Labor Data'!$K$9)+(L26*'Labor Data'!$K$11)+(M26*'Labor Data'!$K$8)</f>
        <v>1424.3512499999999</v>
      </c>
      <c r="O26" s="46">
        <f t="shared" ref="O26:O28" si="9">D26*F26*I26</f>
        <v>0</v>
      </c>
      <c r="P26" s="54">
        <f t="shared" ref="P26:P28" si="10">F26*I26</f>
        <v>1</v>
      </c>
      <c r="Q26" s="86"/>
      <c r="R26" s="52" t="s">
        <v>212</v>
      </c>
      <c r="S26" s="317"/>
    </row>
    <row r="27" spans="2:19" s="45" customFormat="1" ht="9" x14ac:dyDescent="0.15">
      <c r="B27" s="79" t="s">
        <v>213</v>
      </c>
      <c r="C27" s="53">
        <v>15</v>
      </c>
      <c r="D27" s="46">
        <v>0</v>
      </c>
      <c r="E27" s="46"/>
      <c r="F27" s="53">
        <v>1</v>
      </c>
      <c r="G27" s="53">
        <v>0</v>
      </c>
      <c r="H27" s="53">
        <f t="shared" si="6"/>
        <v>15</v>
      </c>
      <c r="I27" s="55">
        <v>1</v>
      </c>
      <c r="J27" s="54">
        <v>0</v>
      </c>
      <c r="K27" s="54">
        <f t="shared" ref="K27:K28" si="11">H27*I27</f>
        <v>15</v>
      </c>
      <c r="L27" s="54">
        <f t="shared" si="7"/>
        <v>1.5</v>
      </c>
      <c r="M27" s="54">
        <f t="shared" si="8"/>
        <v>0.75</v>
      </c>
      <c r="N27" s="46">
        <f>(J27*'Labor Data'!$K$10)+(K27*'Labor Data'!$K$9)+(L27*'Labor Data'!$K$11)+(M27*'Labor Data'!$K$8)</f>
        <v>1424.3512499999999</v>
      </c>
      <c r="O27" s="46">
        <f t="shared" si="9"/>
        <v>0</v>
      </c>
      <c r="P27" s="54">
        <f t="shared" si="10"/>
        <v>1</v>
      </c>
      <c r="Q27" s="86"/>
      <c r="R27" s="52" t="s">
        <v>212</v>
      </c>
      <c r="S27" s="317"/>
    </row>
    <row r="28" spans="2:19" s="45" customFormat="1" ht="9" x14ac:dyDescent="0.15">
      <c r="B28" s="79" t="s">
        <v>214</v>
      </c>
      <c r="C28" s="53">
        <v>15</v>
      </c>
      <c r="D28" s="46">
        <v>0</v>
      </c>
      <c r="E28" s="46"/>
      <c r="F28" s="53">
        <v>1</v>
      </c>
      <c r="G28" s="53">
        <v>0</v>
      </c>
      <c r="H28" s="53">
        <f t="shared" si="6"/>
        <v>15</v>
      </c>
      <c r="I28" s="55">
        <v>1</v>
      </c>
      <c r="J28" s="54">
        <v>0</v>
      </c>
      <c r="K28" s="54">
        <f t="shared" si="11"/>
        <v>15</v>
      </c>
      <c r="L28" s="54">
        <f t="shared" si="7"/>
        <v>1.5</v>
      </c>
      <c r="M28" s="54">
        <f t="shared" si="8"/>
        <v>0.75</v>
      </c>
      <c r="N28" s="46">
        <f>(J28*'Labor Data'!$K$10)+(K28*'Labor Data'!$K$9)+(L28*'Labor Data'!$K$11)+(M28*'Labor Data'!$K$8)</f>
        <v>1424.3512499999999</v>
      </c>
      <c r="O28" s="46">
        <f t="shared" si="9"/>
        <v>0</v>
      </c>
      <c r="P28" s="54">
        <f t="shared" si="10"/>
        <v>1</v>
      </c>
      <c r="Q28" s="86"/>
      <c r="R28" s="52" t="s">
        <v>212</v>
      </c>
      <c r="S28" s="317"/>
    </row>
    <row r="29" spans="2:19" s="45" customFormat="1" ht="9" x14ac:dyDescent="0.15">
      <c r="B29" s="79" t="s">
        <v>215</v>
      </c>
      <c r="C29" s="53">
        <v>15</v>
      </c>
      <c r="D29" s="46">
        <v>0</v>
      </c>
      <c r="E29" s="46"/>
      <c r="F29" s="53">
        <v>1</v>
      </c>
      <c r="G29" s="53">
        <v>0</v>
      </c>
      <c r="H29" s="53">
        <f t="shared" ref="H29" si="12">C29*F29</f>
        <v>15</v>
      </c>
      <c r="I29" s="55">
        <f>'Annual # of Respondents'!D5</f>
        <v>17</v>
      </c>
      <c r="J29" s="54">
        <v>1</v>
      </c>
      <c r="K29" s="54">
        <f t="shared" ref="K29" si="13">H29*I29</f>
        <v>255</v>
      </c>
      <c r="L29" s="54">
        <f t="shared" ref="L29" si="14">K29*0.1</f>
        <v>25.5</v>
      </c>
      <c r="M29" s="54">
        <f t="shared" ref="M29" si="15">K29*0.05</f>
        <v>12.75</v>
      </c>
      <c r="N29" s="46">
        <f>(J29*'Labor Data'!$K$10)+(K29*'Labor Data'!$K$9)+(L29*'Labor Data'!$K$11)+(M29*'Labor Data'!$K$8)</f>
        <v>24263.825250000002</v>
      </c>
      <c r="O29" s="46">
        <f t="shared" ref="O29" si="16">D29*F29*I29</f>
        <v>0</v>
      </c>
      <c r="P29" s="54">
        <f>F29*I29</f>
        <v>17</v>
      </c>
      <c r="Q29" s="86"/>
      <c r="R29" s="317" t="s">
        <v>216</v>
      </c>
      <c r="S29" s="317"/>
    </row>
    <row r="30" spans="2:19" s="45" customFormat="1" ht="9" x14ac:dyDescent="0.15">
      <c r="B30" s="58" t="s">
        <v>217</v>
      </c>
      <c r="C30" s="53"/>
      <c r="D30" s="46"/>
      <c r="E30" s="46"/>
      <c r="F30" s="53"/>
      <c r="G30" s="53"/>
      <c r="H30" s="53"/>
      <c r="I30" s="55"/>
      <c r="J30" s="54">
        <f t="shared" ref="J30:O30" si="17">SUM(J7:J29)</f>
        <v>19681</v>
      </c>
      <c r="K30" s="54">
        <f t="shared" si="17"/>
        <v>6516</v>
      </c>
      <c r="L30" s="54">
        <f t="shared" si="17"/>
        <v>651.6</v>
      </c>
      <c r="M30" s="54">
        <f t="shared" si="17"/>
        <v>325.8</v>
      </c>
      <c r="N30" s="46">
        <f t="shared" si="17"/>
        <v>1599914.7570000002</v>
      </c>
      <c r="O30" s="46">
        <f t="shared" si="17"/>
        <v>208486.72783301037</v>
      </c>
      <c r="P30" s="54">
        <f>SUM(P15:P29)+P9</f>
        <v>142</v>
      </c>
      <c r="Q30" s="46">
        <f>SUM(Q7:Q29)</f>
        <v>28134</v>
      </c>
      <c r="R30" s="52"/>
      <c r="S30" s="57" t="e">
        <f>SUM(O7,O9:O10,#REF!,#REF!,#REF!,#REF!,#REF!,#REF!,#REF!)</f>
        <v>#REF!</v>
      </c>
    </row>
    <row r="31" spans="2:19" s="45" customFormat="1" ht="9" x14ac:dyDescent="0.15">
      <c r="B31" s="56" t="s">
        <v>218</v>
      </c>
      <c r="C31" s="53"/>
      <c r="D31" s="46"/>
      <c r="E31" s="46"/>
      <c r="F31" s="53"/>
      <c r="G31" s="53"/>
      <c r="H31" s="53"/>
      <c r="I31" s="54"/>
      <c r="J31" s="54"/>
      <c r="K31" s="54"/>
      <c r="L31" s="54"/>
      <c r="M31" s="54"/>
      <c r="N31" s="46"/>
      <c r="O31" s="46"/>
      <c r="P31" s="46"/>
      <c r="Q31" s="85"/>
      <c r="R31" s="52"/>
    </row>
    <row r="32" spans="2:19" s="45" customFormat="1" ht="9" x14ac:dyDescent="0.15">
      <c r="B32" s="56" t="s">
        <v>219</v>
      </c>
      <c r="C32" s="535" t="s">
        <v>220</v>
      </c>
      <c r="D32" s="536"/>
      <c r="E32" s="343"/>
      <c r="F32" s="53"/>
      <c r="G32" s="53"/>
      <c r="H32" s="53"/>
      <c r="I32" s="54"/>
      <c r="J32" s="54"/>
      <c r="K32" s="54"/>
      <c r="L32" s="54"/>
      <c r="M32" s="54"/>
      <c r="N32" s="46"/>
      <c r="O32" s="46"/>
      <c r="P32" s="46"/>
      <c r="Q32" s="85"/>
      <c r="R32" s="52"/>
    </row>
    <row r="33" spans="1:19" s="45" customFormat="1" ht="9" x14ac:dyDescent="0.15">
      <c r="B33" s="56" t="s">
        <v>221</v>
      </c>
      <c r="C33" s="535" t="s">
        <v>175</v>
      </c>
      <c r="D33" s="536"/>
      <c r="E33" s="343"/>
      <c r="F33" s="53"/>
      <c r="G33" s="53"/>
      <c r="H33" s="53"/>
      <c r="I33" s="54"/>
      <c r="J33" s="54"/>
      <c r="K33" s="54"/>
      <c r="L33" s="54"/>
      <c r="M33" s="54"/>
      <c r="N33" s="46"/>
      <c r="O33" s="46"/>
      <c r="P33" s="46"/>
      <c r="Q33" s="85"/>
      <c r="R33" s="52"/>
    </row>
    <row r="34" spans="1:19" s="45" customFormat="1" ht="9" x14ac:dyDescent="0.15">
      <c r="B34" s="56" t="s">
        <v>222</v>
      </c>
      <c r="C34" s="535" t="s">
        <v>175</v>
      </c>
      <c r="D34" s="536"/>
      <c r="E34" s="343"/>
      <c r="F34" s="53"/>
      <c r="G34" s="53"/>
      <c r="H34" s="53"/>
      <c r="I34" s="54"/>
      <c r="J34" s="54"/>
      <c r="K34" s="54"/>
      <c r="L34" s="54"/>
      <c r="M34" s="54"/>
      <c r="N34" s="46"/>
      <c r="O34" s="46"/>
      <c r="P34" s="46"/>
      <c r="Q34" s="85"/>
      <c r="R34" s="52"/>
    </row>
    <row r="35" spans="1:19" s="45" customFormat="1" ht="9" x14ac:dyDescent="0.15">
      <c r="B35" s="56" t="s">
        <v>223</v>
      </c>
      <c r="C35" s="535" t="s">
        <v>175</v>
      </c>
      <c r="D35" s="536"/>
      <c r="E35" s="343"/>
      <c r="F35" s="53"/>
      <c r="G35" s="53"/>
      <c r="H35" s="53"/>
      <c r="I35" s="54"/>
      <c r="J35" s="54"/>
      <c r="K35" s="54"/>
      <c r="L35" s="54"/>
      <c r="M35" s="54"/>
      <c r="N35" s="46"/>
      <c r="O35" s="46"/>
      <c r="P35" s="46"/>
      <c r="Q35" s="85"/>
      <c r="R35" s="52"/>
    </row>
    <row r="36" spans="1:19" s="45" customFormat="1" ht="9" x14ac:dyDescent="0.15">
      <c r="B36" s="56" t="s">
        <v>224</v>
      </c>
      <c r="C36" s="53"/>
      <c r="D36" s="46"/>
      <c r="E36" s="46"/>
      <c r="F36" s="53"/>
      <c r="G36" s="53"/>
      <c r="H36" s="53"/>
      <c r="I36" s="54"/>
      <c r="J36" s="54"/>
      <c r="K36" s="54"/>
      <c r="L36" s="54"/>
      <c r="M36" s="54"/>
      <c r="N36" s="46"/>
      <c r="O36" s="46"/>
      <c r="P36" s="46"/>
      <c r="Q36" s="85"/>
      <c r="R36" s="52"/>
    </row>
    <row r="37" spans="1:19" s="45" customFormat="1" ht="9.75" customHeight="1" x14ac:dyDescent="0.15">
      <c r="B37" s="81" t="s">
        <v>225</v>
      </c>
      <c r="C37" s="342">
        <v>5</v>
      </c>
      <c r="D37" s="46">
        <v>0</v>
      </c>
      <c r="E37" s="46"/>
      <c r="F37" s="53">
        <v>12</v>
      </c>
      <c r="G37" s="53">
        <v>0</v>
      </c>
      <c r="H37" s="53">
        <f>C37*F37</f>
        <v>60</v>
      </c>
      <c r="I37" s="55">
        <f>I$10</f>
        <v>30</v>
      </c>
      <c r="J37" s="54">
        <v>0</v>
      </c>
      <c r="K37" s="54">
        <f>H37*I37</f>
        <v>1800</v>
      </c>
      <c r="L37" s="54">
        <f>K37*0.1</f>
        <v>180</v>
      </c>
      <c r="M37" s="54">
        <f>K37*0.05</f>
        <v>90</v>
      </c>
      <c r="N37" s="46">
        <f>(J37*'Labor Data'!$K$10)+(K37*'Labor Data'!$K$9)+(L37*'Labor Data'!$K$11)+(M37*'Labor Data'!$K$8)</f>
        <v>170922.15000000002</v>
      </c>
      <c r="O37" s="46">
        <f>D37*F37*I37</f>
        <v>0</v>
      </c>
      <c r="P37" s="54">
        <v>0</v>
      </c>
      <c r="Q37" s="86"/>
      <c r="R37" s="52" t="s">
        <v>226</v>
      </c>
    </row>
    <row r="38" spans="1:19" s="45" customFormat="1" ht="9.75" customHeight="1" x14ac:dyDescent="0.15">
      <c r="B38" s="79" t="s">
        <v>227</v>
      </c>
      <c r="C38" s="53">
        <v>11</v>
      </c>
      <c r="D38" s="46">
        <v>0</v>
      </c>
      <c r="E38" s="46"/>
      <c r="F38" s="53">
        <v>12</v>
      </c>
      <c r="G38" s="53">
        <v>0</v>
      </c>
      <c r="H38" s="53">
        <f>C38*F38</f>
        <v>132</v>
      </c>
      <c r="I38" s="55">
        <f>I$10</f>
        <v>30</v>
      </c>
      <c r="J38" s="54">
        <v>0</v>
      </c>
      <c r="K38" s="54">
        <f>H38*I38</f>
        <v>3960</v>
      </c>
      <c r="L38" s="54">
        <f>K38*0.1</f>
        <v>396</v>
      </c>
      <c r="M38" s="54">
        <f>K38*0.05</f>
        <v>198</v>
      </c>
      <c r="N38" s="46">
        <f>(J38*'Labor Data'!$K$10)+(K38*'Labor Data'!$K$9)+(L38*'Labor Data'!$K$11)+(M38*'Labor Data'!$K$8)</f>
        <v>376028.73000000004</v>
      </c>
      <c r="O38" s="46">
        <f>D38*F38*I38</f>
        <v>0</v>
      </c>
      <c r="P38" s="54">
        <v>0</v>
      </c>
      <c r="Q38" s="86"/>
      <c r="R38" s="52" t="s">
        <v>226</v>
      </c>
    </row>
    <row r="39" spans="1:19" s="45" customFormat="1" ht="9" x14ac:dyDescent="0.15">
      <c r="B39" s="79" t="s">
        <v>228</v>
      </c>
      <c r="C39" s="342">
        <v>4</v>
      </c>
      <c r="D39" s="46">
        <v>0</v>
      </c>
      <c r="E39" s="46"/>
      <c r="F39" s="53">
        <v>1</v>
      </c>
      <c r="G39" s="53">
        <v>0</v>
      </c>
      <c r="H39" s="53">
        <f>C39*F39</f>
        <v>4</v>
      </c>
      <c r="I39" s="55">
        <f>'Annual # of Respondents'!D6-I38</f>
        <v>29</v>
      </c>
      <c r="J39" s="54">
        <v>0</v>
      </c>
      <c r="K39" s="54">
        <f>H39*I39</f>
        <v>116</v>
      </c>
      <c r="L39" s="54">
        <f>K39*0.1</f>
        <v>11.600000000000001</v>
      </c>
      <c r="M39" s="54">
        <f>K39*0.05</f>
        <v>5.8000000000000007</v>
      </c>
      <c r="N39" s="46">
        <f>(J39*'Labor Data'!$K$10)+(K39*'Labor Data'!$K$9)+(L39*'Labor Data'!$K$11)+(M39*'Labor Data'!$K$8)</f>
        <v>11014.983</v>
      </c>
      <c r="O39" s="46">
        <f>D39*F39*I39</f>
        <v>0</v>
      </c>
      <c r="P39" s="54">
        <v>0</v>
      </c>
      <c r="Q39" s="86"/>
      <c r="R39" s="52" t="s">
        <v>229</v>
      </c>
    </row>
    <row r="40" spans="1:19" s="45" customFormat="1" ht="9" x14ac:dyDescent="0.15">
      <c r="B40" s="56" t="s">
        <v>230</v>
      </c>
      <c r="C40" s="535" t="s">
        <v>175</v>
      </c>
      <c r="D40" s="536"/>
      <c r="E40" s="343"/>
      <c r="F40" s="53"/>
      <c r="G40" s="53"/>
      <c r="H40" s="53"/>
      <c r="I40" s="55"/>
      <c r="J40" s="54"/>
      <c r="K40" s="54"/>
      <c r="L40" s="54"/>
      <c r="M40" s="54"/>
      <c r="N40" s="46"/>
      <c r="O40" s="46"/>
      <c r="P40" s="54"/>
      <c r="Q40" s="86"/>
      <c r="R40" s="52"/>
    </row>
    <row r="41" spans="1:19" s="45" customFormat="1" ht="9" x14ac:dyDescent="0.15">
      <c r="B41" s="80" t="s">
        <v>231</v>
      </c>
      <c r="C41" s="535" t="s">
        <v>175</v>
      </c>
      <c r="D41" s="536"/>
      <c r="E41" s="343"/>
      <c r="F41" s="53"/>
      <c r="G41" s="53"/>
      <c r="H41" s="53"/>
      <c r="I41" s="55"/>
      <c r="J41" s="54"/>
      <c r="K41" s="54"/>
      <c r="L41" s="54"/>
      <c r="M41" s="54"/>
      <c r="N41" s="46"/>
      <c r="O41" s="46"/>
      <c r="P41" s="46"/>
      <c r="Q41" s="85"/>
      <c r="R41" s="52"/>
    </row>
    <row r="42" spans="1:19" s="45" customFormat="1" ht="9" x14ac:dyDescent="0.15">
      <c r="B42" s="51" t="s">
        <v>232</v>
      </c>
      <c r="C42" s="50"/>
      <c r="D42" s="49"/>
      <c r="E42" s="49"/>
      <c r="F42" s="50"/>
      <c r="G42" s="50"/>
      <c r="H42" s="50"/>
      <c r="I42" s="48"/>
      <c r="J42" s="48">
        <f>SUM(J32:J41)</f>
        <v>0</v>
      </c>
      <c r="K42" s="48">
        <f t="shared" ref="K42:Q42" si="18">SUM(K32:K41)</f>
        <v>5876</v>
      </c>
      <c r="L42" s="48">
        <f t="shared" si="18"/>
        <v>587.6</v>
      </c>
      <c r="M42" s="48">
        <f t="shared" si="18"/>
        <v>293.8</v>
      </c>
      <c r="N42" s="49">
        <f t="shared" si="18"/>
        <v>557965.86300000013</v>
      </c>
      <c r="O42" s="49">
        <f t="shared" si="18"/>
        <v>0</v>
      </c>
      <c r="P42" s="48">
        <f t="shared" si="18"/>
        <v>0</v>
      </c>
      <c r="Q42" s="49">
        <f t="shared" si="18"/>
        <v>0</v>
      </c>
      <c r="R42" s="47"/>
      <c r="S42" s="46">
        <f>SUM(S32:S41)</f>
        <v>0</v>
      </c>
    </row>
    <row r="43" spans="1:19" s="37" customFormat="1" x14ac:dyDescent="0.2">
      <c r="B43" s="44" t="s">
        <v>233</v>
      </c>
      <c r="C43" s="42"/>
      <c r="D43" s="43"/>
      <c r="E43" s="43"/>
      <c r="F43" s="42"/>
      <c r="G43" s="42"/>
      <c r="H43" s="42"/>
      <c r="I43" s="41"/>
      <c r="J43" s="39">
        <f t="shared" ref="J43:Q43" si="19">J30+J42</f>
        <v>19681</v>
      </c>
      <c r="K43" s="39">
        <f t="shared" si="19"/>
        <v>12392</v>
      </c>
      <c r="L43" s="39">
        <f t="shared" si="19"/>
        <v>1239.2</v>
      </c>
      <c r="M43" s="39">
        <f t="shared" si="19"/>
        <v>619.6</v>
      </c>
      <c r="N43" s="40">
        <f t="shared" si="19"/>
        <v>2157880.62</v>
      </c>
      <c r="O43" s="40">
        <f>O30+O42</f>
        <v>208486.72783301037</v>
      </c>
      <c r="P43" s="39">
        <f t="shared" si="19"/>
        <v>142</v>
      </c>
      <c r="Q43" s="40">
        <f t="shared" si="19"/>
        <v>28134</v>
      </c>
      <c r="R43" s="38"/>
    </row>
    <row r="44" spans="1:19" ht="39" customHeight="1" x14ac:dyDescent="0.2"/>
    <row r="45" spans="1:19" s="34" customFormat="1" ht="12.75" customHeight="1" x14ac:dyDescent="0.15">
      <c r="A45" s="74" t="s">
        <v>234</v>
      </c>
      <c r="B45" s="78"/>
      <c r="C45" s="78"/>
      <c r="D45" s="78"/>
      <c r="E45" s="78"/>
      <c r="F45" s="78"/>
      <c r="G45" s="78"/>
      <c r="H45" s="78"/>
      <c r="I45" s="78"/>
      <c r="J45" s="78"/>
      <c r="K45" s="78"/>
      <c r="L45" s="78"/>
      <c r="M45" s="78"/>
      <c r="N45" s="78"/>
      <c r="O45" s="78"/>
      <c r="P45" s="78"/>
      <c r="Q45" s="78"/>
      <c r="R45" s="35"/>
    </row>
    <row r="46" spans="1:19" s="34" customFormat="1" ht="9" customHeight="1" x14ac:dyDescent="0.15">
      <c r="A46" s="73" t="s">
        <v>235</v>
      </c>
      <c r="B46" s="34" t="s">
        <v>236</v>
      </c>
    </row>
    <row r="47" spans="1:19" s="34" customFormat="1" ht="19.5" customHeight="1" x14ac:dyDescent="0.15">
      <c r="A47" s="73" t="s">
        <v>237</v>
      </c>
      <c r="B47" s="532" t="s">
        <v>238</v>
      </c>
      <c r="C47" s="532"/>
      <c r="D47" s="532"/>
      <c r="E47" s="532"/>
      <c r="F47" s="532"/>
      <c r="G47" s="532"/>
      <c r="H47" s="532"/>
      <c r="I47" s="532"/>
      <c r="J47" s="532"/>
      <c r="K47" s="532"/>
      <c r="L47" s="532"/>
      <c r="M47" s="532"/>
      <c r="N47" s="532"/>
      <c r="O47" s="532"/>
      <c r="P47" s="532"/>
      <c r="Q47" s="532"/>
      <c r="R47" s="532"/>
    </row>
    <row r="48" spans="1:19" s="34" customFormat="1" ht="9" customHeight="1" x14ac:dyDescent="0.15">
      <c r="A48" s="73" t="s">
        <v>239</v>
      </c>
      <c r="B48" s="69" t="s">
        <v>240</v>
      </c>
    </row>
    <row r="49" spans="1:19" s="34" customFormat="1" ht="9" x14ac:dyDescent="0.15">
      <c r="A49" s="73" t="s">
        <v>179</v>
      </c>
      <c r="B49" s="69" t="s">
        <v>241</v>
      </c>
      <c r="C49" s="345"/>
      <c r="D49" s="345"/>
      <c r="E49" s="345"/>
      <c r="F49" s="345"/>
      <c r="G49" s="345"/>
      <c r="H49" s="345"/>
      <c r="I49" s="345"/>
      <c r="J49" s="345"/>
      <c r="K49" s="345"/>
      <c r="L49" s="345"/>
      <c r="M49" s="345"/>
      <c r="N49" s="345"/>
      <c r="O49" s="345"/>
      <c r="P49" s="345"/>
      <c r="Q49" s="345"/>
      <c r="R49" s="345"/>
    </row>
    <row r="50" spans="1:19" s="34" customFormat="1" ht="27" customHeight="1" x14ac:dyDescent="0.15">
      <c r="A50" s="73" t="s">
        <v>242</v>
      </c>
      <c r="B50" s="532" t="s">
        <v>243</v>
      </c>
      <c r="C50" s="532"/>
      <c r="D50" s="532"/>
      <c r="E50" s="532"/>
      <c r="F50" s="532"/>
      <c r="G50" s="532"/>
      <c r="H50" s="532"/>
      <c r="I50" s="532"/>
      <c r="J50" s="532"/>
      <c r="K50" s="532"/>
      <c r="L50" s="532"/>
      <c r="M50" s="532"/>
      <c r="N50" s="532"/>
      <c r="O50" s="532"/>
      <c r="P50" s="532"/>
      <c r="Q50" s="532"/>
      <c r="R50" s="532"/>
      <c r="S50" s="532"/>
    </row>
    <row r="51" spans="1:19" s="34" customFormat="1" ht="9" x14ac:dyDescent="0.15">
      <c r="A51" s="73" t="s">
        <v>204</v>
      </c>
      <c r="B51" s="34" t="s">
        <v>244</v>
      </c>
    </row>
    <row r="52" spans="1:19" s="34" customFormat="1" ht="35.25" customHeight="1" x14ac:dyDescent="0.15">
      <c r="A52" s="73" t="s">
        <v>245</v>
      </c>
      <c r="B52" s="532" t="s">
        <v>1359</v>
      </c>
      <c r="C52" s="532"/>
      <c r="D52" s="532"/>
      <c r="E52" s="532"/>
      <c r="F52" s="532"/>
      <c r="G52" s="532"/>
      <c r="H52" s="532"/>
      <c r="I52" s="532"/>
      <c r="J52" s="532"/>
      <c r="K52" s="532"/>
      <c r="L52" s="532"/>
      <c r="M52" s="532"/>
      <c r="N52" s="532"/>
      <c r="O52" s="532"/>
      <c r="P52" s="532"/>
      <c r="Q52" s="532"/>
      <c r="R52" s="532"/>
      <c r="S52" s="532"/>
    </row>
    <row r="53" spans="1:19" s="34" customFormat="1" ht="18" customHeight="1" x14ac:dyDescent="0.15">
      <c r="A53" s="73" t="s">
        <v>192</v>
      </c>
      <c r="B53" s="532" t="s">
        <v>247</v>
      </c>
      <c r="C53" s="532"/>
      <c r="D53" s="532"/>
      <c r="E53" s="532"/>
      <c r="F53" s="532"/>
      <c r="G53" s="532"/>
      <c r="H53" s="532"/>
      <c r="I53" s="532"/>
      <c r="J53" s="532"/>
      <c r="K53" s="532"/>
      <c r="L53" s="532"/>
      <c r="M53" s="532"/>
      <c r="N53" s="532"/>
      <c r="O53" s="532"/>
      <c r="P53" s="532"/>
      <c r="Q53" s="532"/>
      <c r="R53" s="532"/>
    </row>
    <row r="54" spans="1:19" s="34" customFormat="1" ht="9" customHeight="1" x14ac:dyDescent="0.15">
      <c r="A54" s="73" t="s">
        <v>194</v>
      </c>
      <c r="B54" s="34" t="s">
        <v>248</v>
      </c>
      <c r="C54" s="75"/>
      <c r="D54" s="75"/>
      <c r="E54" s="75"/>
      <c r="F54" s="75"/>
      <c r="G54" s="75"/>
      <c r="H54" s="75"/>
      <c r="I54" s="75"/>
      <c r="J54" s="75"/>
      <c r="K54" s="75"/>
      <c r="L54" s="75"/>
      <c r="M54" s="75"/>
      <c r="P54" s="33"/>
      <c r="Q54" s="33"/>
      <c r="R54" s="35"/>
    </row>
    <row r="55" spans="1:19" s="34" customFormat="1" ht="9" customHeight="1" x14ac:dyDescent="0.15">
      <c r="A55" s="73" t="s">
        <v>196</v>
      </c>
      <c r="B55" s="34" t="s">
        <v>249</v>
      </c>
      <c r="C55" s="35"/>
      <c r="D55" s="35"/>
      <c r="E55" s="35"/>
      <c r="F55" s="35"/>
      <c r="G55" s="35"/>
      <c r="H55" s="35"/>
      <c r="I55" s="36"/>
      <c r="J55" s="35"/>
      <c r="K55" s="35"/>
      <c r="L55" s="35"/>
      <c r="M55" s="35"/>
      <c r="P55" s="33"/>
      <c r="Q55" s="33"/>
      <c r="R55" s="35"/>
    </row>
    <row r="56" spans="1:19" s="34" customFormat="1" ht="9" x14ac:dyDescent="0.15">
      <c r="A56" s="73" t="s">
        <v>250</v>
      </c>
      <c r="B56" s="69" t="s">
        <v>1360</v>
      </c>
      <c r="C56" s="35"/>
      <c r="D56" s="35"/>
      <c r="E56" s="35"/>
      <c r="F56" s="35"/>
      <c r="G56" s="35"/>
      <c r="H56" s="35"/>
      <c r="I56" s="36"/>
      <c r="J56" s="35"/>
      <c r="K56" s="35"/>
      <c r="L56" s="35"/>
      <c r="M56" s="35"/>
      <c r="P56" s="33"/>
      <c r="Q56" s="33"/>
      <c r="R56" s="35"/>
    </row>
    <row r="57" spans="1:19" s="34" customFormat="1" ht="9" customHeight="1" x14ac:dyDescent="0.15">
      <c r="A57" s="73" t="s">
        <v>200</v>
      </c>
      <c r="B57" s="69" t="s">
        <v>352</v>
      </c>
      <c r="C57" s="35"/>
      <c r="D57" s="35"/>
      <c r="E57" s="35"/>
      <c r="F57" s="35"/>
      <c r="G57" s="35"/>
      <c r="H57" s="35"/>
      <c r="I57" s="36"/>
      <c r="J57" s="35"/>
      <c r="K57" s="35"/>
      <c r="L57" s="35"/>
      <c r="M57" s="35"/>
      <c r="P57" s="33"/>
      <c r="Q57" s="33"/>
      <c r="R57" s="35"/>
    </row>
    <row r="58" spans="1:19" s="34" customFormat="1" ht="9" x14ac:dyDescent="0.15">
      <c r="A58" s="73" t="s">
        <v>253</v>
      </c>
      <c r="B58" s="34" t="s">
        <v>254</v>
      </c>
      <c r="P58" s="33"/>
      <c r="Q58" s="33"/>
      <c r="R58" s="35"/>
    </row>
    <row r="59" spans="1:19" s="34" customFormat="1" ht="9" x14ac:dyDescent="0.15">
      <c r="A59" s="73" t="s">
        <v>206</v>
      </c>
      <c r="B59" s="34" t="s">
        <v>255</v>
      </c>
      <c r="P59" s="33"/>
      <c r="Q59" s="33"/>
      <c r="R59" s="35"/>
    </row>
    <row r="60" spans="1:19" s="34" customFormat="1" ht="20.25" customHeight="1" x14ac:dyDescent="0.15">
      <c r="A60" s="73" t="s">
        <v>210</v>
      </c>
      <c r="B60" s="532" t="s">
        <v>1361</v>
      </c>
      <c r="C60" s="532"/>
      <c r="D60" s="532"/>
      <c r="E60" s="532"/>
      <c r="F60" s="532"/>
      <c r="G60" s="532"/>
      <c r="H60" s="532"/>
      <c r="I60" s="532"/>
      <c r="J60" s="532"/>
      <c r="K60" s="532"/>
      <c r="L60" s="532"/>
      <c r="M60" s="532"/>
      <c r="N60" s="532"/>
      <c r="O60" s="532"/>
      <c r="P60" s="532"/>
      <c r="Q60" s="532"/>
      <c r="R60" s="532"/>
    </row>
    <row r="61" spans="1:19" s="34" customFormat="1" ht="20.25" customHeight="1" x14ac:dyDescent="0.15">
      <c r="A61" s="73" t="s">
        <v>226</v>
      </c>
      <c r="B61" s="532" t="s">
        <v>1362</v>
      </c>
      <c r="C61" s="532"/>
      <c r="D61" s="532"/>
      <c r="E61" s="532"/>
      <c r="F61" s="532"/>
      <c r="G61" s="532"/>
      <c r="H61" s="532"/>
      <c r="I61" s="532"/>
      <c r="J61" s="532"/>
      <c r="K61" s="532"/>
      <c r="L61" s="532"/>
      <c r="M61" s="532"/>
      <c r="N61" s="532"/>
      <c r="O61" s="532"/>
      <c r="P61" s="532"/>
      <c r="Q61" s="532"/>
      <c r="R61" s="532"/>
    </row>
    <row r="62" spans="1:19" s="34" customFormat="1" ht="9" x14ac:dyDescent="0.15">
      <c r="A62" s="34" t="s">
        <v>229</v>
      </c>
      <c r="B62" s="69" t="s">
        <v>258</v>
      </c>
      <c r="C62" s="345"/>
      <c r="D62" s="345"/>
      <c r="E62" s="345"/>
      <c r="F62" s="345"/>
      <c r="G62" s="345"/>
      <c r="H62" s="345"/>
      <c r="I62" s="345"/>
      <c r="J62" s="345"/>
      <c r="K62" s="345"/>
      <c r="L62" s="345"/>
      <c r="M62" s="345"/>
      <c r="N62" s="345"/>
      <c r="O62" s="345"/>
      <c r="P62" s="345"/>
      <c r="Q62" s="345"/>
      <c r="R62" s="345"/>
    </row>
    <row r="63" spans="1:19" s="34" customFormat="1" ht="27.75" customHeight="1" x14ac:dyDescent="0.15">
      <c r="A63" s="353" t="s">
        <v>212</v>
      </c>
      <c r="B63" s="532" t="s">
        <v>259</v>
      </c>
      <c r="C63" s="532"/>
      <c r="D63" s="532"/>
      <c r="E63" s="532"/>
      <c r="F63" s="532"/>
      <c r="G63" s="532"/>
      <c r="H63" s="532"/>
      <c r="I63" s="532"/>
      <c r="J63" s="532"/>
      <c r="K63" s="532"/>
      <c r="L63" s="532"/>
      <c r="M63" s="532"/>
      <c r="N63" s="532"/>
      <c r="O63" s="532"/>
      <c r="P63" s="532"/>
      <c r="Q63" s="532"/>
      <c r="R63" s="532"/>
    </row>
    <row r="64" spans="1:19" s="34" customFormat="1" ht="9" x14ac:dyDescent="0.15">
      <c r="A64" s="353" t="s">
        <v>216</v>
      </c>
      <c r="B64" s="608" t="s">
        <v>260</v>
      </c>
      <c r="C64" s="608"/>
      <c r="D64" s="608"/>
      <c r="E64" s="608"/>
      <c r="F64" s="608"/>
      <c r="G64" s="608"/>
      <c r="H64" s="608"/>
      <c r="I64" s="608"/>
      <c r="J64" s="608"/>
      <c r="K64" s="608"/>
      <c r="L64" s="608"/>
      <c r="M64" s="608"/>
      <c r="N64" s="608"/>
      <c r="O64" s="608"/>
      <c r="P64" s="608"/>
      <c r="Q64" s="608"/>
      <c r="R64" s="608"/>
    </row>
    <row r="65" spans="3:18" s="34" customFormat="1" ht="9" x14ac:dyDescent="0.15">
      <c r="C65" s="35"/>
      <c r="D65" s="35"/>
      <c r="E65" s="35"/>
      <c r="F65" s="35"/>
      <c r="G65" s="35"/>
      <c r="H65" s="35"/>
      <c r="I65" s="36"/>
      <c r="J65" s="35"/>
      <c r="K65" s="35"/>
      <c r="L65" s="35"/>
      <c r="M65" s="35"/>
      <c r="N65" s="35"/>
      <c r="O65" s="33"/>
      <c r="P65" s="33"/>
      <c r="Q65" s="33"/>
      <c r="R65" s="35"/>
    </row>
    <row r="66" spans="3:18" s="34" customFormat="1" ht="9" x14ac:dyDescent="0.15">
      <c r="C66" s="35"/>
      <c r="D66" s="35"/>
      <c r="E66" s="35"/>
      <c r="F66" s="35"/>
      <c r="G66" s="35"/>
      <c r="H66" s="35"/>
      <c r="I66" s="36"/>
      <c r="J66" s="35"/>
      <c r="K66" s="35"/>
      <c r="L66" s="35"/>
      <c r="M66" s="35"/>
      <c r="N66" s="35"/>
      <c r="O66" s="33"/>
      <c r="P66" s="33"/>
      <c r="Q66" s="33"/>
      <c r="R66" s="35"/>
    </row>
    <row r="67" spans="3:18" s="34" customFormat="1" ht="9" x14ac:dyDescent="0.15">
      <c r="C67" s="35"/>
      <c r="D67" s="35"/>
      <c r="E67" s="35"/>
      <c r="F67" s="35"/>
      <c r="G67" s="35"/>
      <c r="H67" s="35"/>
      <c r="I67" s="36"/>
      <c r="J67" s="35"/>
      <c r="K67" s="35"/>
      <c r="L67" s="35"/>
      <c r="M67" s="35"/>
      <c r="N67" s="35"/>
      <c r="O67" s="33"/>
      <c r="P67" s="33"/>
      <c r="Q67" s="33"/>
      <c r="R67" s="35"/>
    </row>
    <row r="68" spans="3:18" s="34" customFormat="1" ht="9" x14ac:dyDescent="0.15">
      <c r="C68" s="35"/>
      <c r="D68" s="35"/>
      <c r="E68" s="35"/>
      <c r="F68" s="35"/>
      <c r="G68" s="35"/>
      <c r="H68" s="35"/>
      <c r="I68" s="36"/>
      <c r="J68" s="35"/>
      <c r="K68" s="35"/>
      <c r="L68" s="35"/>
      <c r="M68" s="35"/>
      <c r="N68" s="35"/>
      <c r="O68" s="33"/>
      <c r="P68" s="33"/>
      <c r="Q68" s="33"/>
      <c r="R68" s="35"/>
    </row>
    <row r="69" spans="3:18" s="34" customFormat="1" ht="9" x14ac:dyDescent="0.15">
      <c r="C69" s="35"/>
      <c r="D69" s="35"/>
      <c r="E69" s="35"/>
      <c r="F69" s="35"/>
      <c r="G69" s="35"/>
      <c r="H69" s="35"/>
      <c r="I69" s="36"/>
      <c r="J69" s="35"/>
      <c r="K69" s="35"/>
      <c r="L69" s="35"/>
      <c r="M69" s="35"/>
      <c r="N69" s="35"/>
      <c r="O69" s="33"/>
      <c r="P69" s="33"/>
      <c r="Q69" s="33"/>
      <c r="R69" s="35"/>
    </row>
    <row r="70" spans="3:18" s="34" customFormat="1" ht="9" x14ac:dyDescent="0.15">
      <c r="C70" s="35"/>
      <c r="D70" s="35"/>
      <c r="E70" s="35"/>
      <c r="F70" s="35"/>
      <c r="G70" s="35"/>
      <c r="H70" s="35"/>
      <c r="I70" s="36"/>
      <c r="J70" s="35"/>
      <c r="K70" s="35"/>
      <c r="L70" s="35"/>
      <c r="M70" s="35"/>
      <c r="N70" s="35"/>
      <c r="O70" s="33"/>
      <c r="P70" s="33"/>
      <c r="Q70" s="33"/>
      <c r="R70" s="35"/>
    </row>
    <row r="71" spans="3:18" s="34" customFormat="1" ht="9" x14ac:dyDescent="0.15">
      <c r="C71" s="35"/>
      <c r="D71" s="35"/>
      <c r="E71" s="35"/>
      <c r="F71" s="35"/>
      <c r="G71" s="35"/>
      <c r="H71" s="35"/>
      <c r="I71" s="36"/>
      <c r="J71" s="35"/>
      <c r="K71" s="35"/>
      <c r="L71" s="35"/>
      <c r="M71" s="35"/>
      <c r="N71" s="35"/>
      <c r="O71" s="33"/>
      <c r="P71" s="33"/>
      <c r="Q71" s="33"/>
      <c r="R71" s="35"/>
    </row>
    <row r="72" spans="3:18" s="34" customFormat="1" ht="9" x14ac:dyDescent="0.15">
      <c r="C72" s="35"/>
      <c r="D72" s="35"/>
      <c r="E72" s="35"/>
      <c r="F72" s="35"/>
      <c r="G72" s="35"/>
      <c r="H72" s="35"/>
      <c r="I72" s="36"/>
      <c r="J72" s="35"/>
      <c r="K72" s="35"/>
      <c r="L72" s="35"/>
      <c r="M72" s="35"/>
      <c r="N72" s="35"/>
      <c r="O72" s="33"/>
      <c r="P72" s="33"/>
      <c r="Q72" s="33"/>
      <c r="R72" s="35"/>
    </row>
    <row r="73" spans="3:18" s="34" customFormat="1" ht="9" x14ac:dyDescent="0.15">
      <c r="C73" s="35"/>
      <c r="D73" s="35"/>
      <c r="E73" s="35"/>
      <c r="F73" s="35"/>
      <c r="G73" s="35"/>
      <c r="H73" s="35"/>
      <c r="I73" s="36"/>
      <c r="J73" s="35"/>
      <c r="K73" s="35"/>
      <c r="L73" s="35"/>
      <c r="M73" s="35"/>
      <c r="N73" s="35"/>
      <c r="O73" s="33"/>
      <c r="P73" s="33"/>
      <c r="Q73" s="33"/>
      <c r="R73" s="35"/>
    </row>
    <row r="74" spans="3:18" s="34" customFormat="1" ht="9" x14ac:dyDescent="0.15">
      <c r="C74" s="35"/>
      <c r="D74" s="35"/>
      <c r="E74" s="35"/>
      <c r="F74" s="35"/>
      <c r="G74" s="35"/>
      <c r="H74" s="35"/>
      <c r="I74" s="36"/>
      <c r="J74" s="35"/>
      <c r="K74" s="35"/>
      <c r="L74" s="35"/>
      <c r="M74" s="35"/>
      <c r="N74" s="35"/>
      <c r="O74" s="33"/>
      <c r="P74" s="33"/>
      <c r="Q74" s="33"/>
      <c r="R74" s="35"/>
    </row>
    <row r="75" spans="3:18" s="34" customFormat="1" ht="9" x14ac:dyDescent="0.15">
      <c r="C75" s="35"/>
      <c r="D75" s="35"/>
      <c r="E75" s="35"/>
      <c r="F75" s="35"/>
      <c r="G75" s="35"/>
      <c r="H75" s="35"/>
      <c r="I75" s="36"/>
      <c r="J75" s="35"/>
      <c r="K75" s="35"/>
      <c r="L75" s="35"/>
      <c r="M75" s="35"/>
      <c r="N75" s="35"/>
      <c r="O75" s="33"/>
      <c r="P75" s="33"/>
      <c r="Q75" s="33"/>
      <c r="R75" s="35"/>
    </row>
    <row r="76" spans="3:18" s="34" customFormat="1" ht="9" x14ac:dyDescent="0.15">
      <c r="C76" s="35"/>
      <c r="D76" s="35"/>
      <c r="E76" s="35"/>
      <c r="F76" s="35"/>
      <c r="G76" s="35"/>
      <c r="H76" s="35"/>
      <c r="I76" s="36"/>
      <c r="J76" s="35"/>
      <c r="K76" s="35"/>
      <c r="L76" s="35"/>
      <c r="M76" s="35"/>
      <c r="N76" s="35"/>
      <c r="O76" s="33"/>
      <c r="P76" s="33"/>
      <c r="Q76" s="33"/>
      <c r="R76" s="35"/>
    </row>
    <row r="77" spans="3:18" s="34" customFormat="1" ht="9" x14ac:dyDescent="0.15">
      <c r="C77" s="35"/>
      <c r="D77" s="35"/>
      <c r="E77" s="35"/>
      <c r="F77" s="35"/>
      <c r="G77" s="35"/>
      <c r="H77" s="35"/>
      <c r="I77" s="36"/>
      <c r="J77" s="35"/>
      <c r="K77" s="35"/>
      <c r="L77" s="35"/>
      <c r="M77" s="35"/>
      <c r="N77" s="35"/>
      <c r="O77" s="33"/>
      <c r="P77" s="33"/>
      <c r="Q77" s="33"/>
      <c r="R77" s="35"/>
    </row>
    <row r="78" spans="3:18" s="34" customFormat="1" ht="9" x14ac:dyDescent="0.15">
      <c r="C78" s="35"/>
      <c r="D78" s="35"/>
      <c r="E78" s="35"/>
      <c r="F78" s="35"/>
      <c r="G78" s="35"/>
      <c r="H78" s="35"/>
      <c r="I78" s="36"/>
      <c r="J78" s="35"/>
      <c r="K78" s="35"/>
      <c r="L78" s="35"/>
      <c r="M78" s="35"/>
      <c r="N78" s="35"/>
      <c r="O78" s="33"/>
      <c r="P78" s="33"/>
      <c r="Q78" s="33"/>
      <c r="R78" s="35"/>
    </row>
    <row r="79" spans="3:18" s="34" customFormat="1" ht="9" x14ac:dyDescent="0.15">
      <c r="C79" s="35"/>
      <c r="D79" s="35"/>
      <c r="E79" s="35"/>
      <c r="F79" s="35"/>
      <c r="G79" s="35"/>
      <c r="H79" s="35"/>
      <c r="I79" s="36"/>
      <c r="J79" s="35"/>
      <c r="K79" s="35"/>
      <c r="L79" s="35"/>
      <c r="M79" s="35"/>
      <c r="N79" s="35"/>
      <c r="O79" s="33"/>
      <c r="P79" s="33"/>
      <c r="Q79" s="33"/>
      <c r="R79" s="35"/>
    </row>
    <row r="80" spans="3:18" s="34" customFormat="1" ht="9" x14ac:dyDescent="0.15">
      <c r="C80" s="35"/>
      <c r="D80" s="35"/>
      <c r="E80" s="35"/>
      <c r="F80" s="35"/>
      <c r="G80" s="35"/>
      <c r="H80" s="35"/>
      <c r="I80" s="36"/>
      <c r="J80" s="35"/>
      <c r="K80" s="35"/>
      <c r="L80" s="35"/>
      <c r="M80" s="35"/>
      <c r="N80" s="35"/>
      <c r="O80" s="33"/>
      <c r="P80" s="33"/>
      <c r="Q80" s="33"/>
      <c r="R80" s="35"/>
    </row>
    <row r="81" spans="3:18" s="34" customFormat="1" x14ac:dyDescent="0.2">
      <c r="C81" s="35"/>
      <c r="D81" s="35"/>
      <c r="E81" s="35"/>
      <c r="F81" s="35"/>
      <c r="G81" s="35"/>
      <c r="H81" s="35"/>
      <c r="I81" s="36"/>
      <c r="J81" s="35"/>
      <c r="K81" s="35"/>
      <c r="L81" s="35"/>
      <c r="M81" s="35"/>
      <c r="N81" s="35"/>
      <c r="O81" s="33"/>
      <c r="P81" s="33"/>
      <c r="Q81" s="33"/>
      <c r="R81" s="30"/>
    </row>
    <row r="82" spans="3:18" s="34" customFormat="1" x14ac:dyDescent="0.2">
      <c r="C82" s="35"/>
      <c r="D82" s="35"/>
      <c r="E82" s="35"/>
      <c r="F82" s="35"/>
      <c r="G82" s="30"/>
      <c r="H82" s="35"/>
      <c r="I82" s="36"/>
      <c r="J82" s="30"/>
      <c r="K82" s="35"/>
      <c r="L82" s="35"/>
      <c r="M82" s="35"/>
      <c r="N82" s="35"/>
      <c r="O82" s="33"/>
      <c r="P82" s="33"/>
      <c r="Q82" s="33"/>
      <c r="R82" s="30"/>
    </row>
    <row r="83" spans="3:18" x14ac:dyDescent="0.2">
      <c r="P83" s="33"/>
      <c r="Q83" s="33"/>
    </row>
    <row r="84" spans="3:18" x14ac:dyDescent="0.2">
      <c r="P84" s="33"/>
      <c r="Q84" s="33"/>
    </row>
  </sheetData>
  <mergeCells count="22">
    <mergeCell ref="B64:R64"/>
    <mergeCell ref="B63:R63"/>
    <mergeCell ref="B47:R47"/>
    <mergeCell ref="B53:R53"/>
    <mergeCell ref="B52:S52"/>
    <mergeCell ref="B50:S50"/>
    <mergeCell ref="B61:R61"/>
    <mergeCell ref="B60:R60"/>
    <mergeCell ref="C33:D33"/>
    <mergeCell ref="C34:D34"/>
    <mergeCell ref="C35:D35"/>
    <mergeCell ref="C40:D40"/>
    <mergeCell ref="C41:D41"/>
    <mergeCell ref="C32:D32"/>
    <mergeCell ref="B1:R1"/>
    <mergeCell ref="B2:R2"/>
    <mergeCell ref="C4:D4"/>
    <mergeCell ref="C5:D5"/>
    <mergeCell ref="C12:D12"/>
    <mergeCell ref="C13:D13"/>
    <mergeCell ref="C23:D23"/>
    <mergeCell ref="C24:D24"/>
  </mergeCells>
  <pageMargins left="0.25" right="0.25" top="0.5" bottom="0.5" header="0.5" footer="0.5"/>
  <pageSetup scale="6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T83"/>
  <sheetViews>
    <sheetView zoomScale="115" zoomScaleNormal="115" zoomScaleSheetLayoutView="100" workbookViewId="0">
      <selection activeCell="F4" sqref="F4"/>
    </sheetView>
  </sheetViews>
  <sheetFormatPr defaultColWidth="9.140625" defaultRowHeight="11.25" x14ac:dyDescent="0.2"/>
  <cols>
    <col min="1" max="1" width="2" style="29" customWidth="1"/>
    <col min="2" max="2" width="36.7109375" style="29" customWidth="1"/>
    <col min="3" max="3" width="8.85546875" style="30" bestFit="1" customWidth="1"/>
    <col min="4" max="5" width="7.85546875" style="30" customWidth="1"/>
    <col min="6" max="6" width="18.42578125" style="30" customWidth="1"/>
    <col min="7" max="7" width="9.28515625" style="30" customWidth="1"/>
    <col min="8" max="8" width="8.28515625" style="30" customWidth="1"/>
    <col min="9" max="9" width="9.42578125" style="32" bestFit="1" customWidth="1"/>
    <col min="10" max="10" width="7.42578125" style="30" customWidth="1"/>
    <col min="11" max="12" width="6.85546875" style="30" bestFit="1" customWidth="1"/>
    <col min="13" max="13" width="8" style="30" customWidth="1"/>
    <col min="14" max="14" width="8.42578125" style="30" customWidth="1"/>
    <col min="15" max="15" width="10.140625" style="31" bestFit="1" customWidth="1"/>
    <col min="16" max="16" width="10" style="31" bestFit="1" customWidth="1"/>
    <col min="17" max="17" width="10" style="31" customWidth="1"/>
    <col min="18" max="18" width="4.42578125" style="30" bestFit="1" customWidth="1"/>
    <col min="19" max="19" width="0.140625" style="29" customWidth="1"/>
    <col min="20" max="20" width="3.7109375" style="29" customWidth="1"/>
    <col min="21" max="16384" width="9.140625" style="29"/>
  </cols>
  <sheetData>
    <row r="1" spans="2:20" x14ac:dyDescent="0.2">
      <c r="B1" s="537" t="s">
        <v>1363</v>
      </c>
      <c r="C1" s="537"/>
      <c r="D1" s="537"/>
      <c r="E1" s="537"/>
      <c r="F1" s="537"/>
      <c r="G1" s="537"/>
      <c r="H1" s="537"/>
      <c r="I1" s="537"/>
      <c r="J1" s="537"/>
      <c r="K1" s="537"/>
      <c r="L1" s="537"/>
      <c r="M1" s="537"/>
      <c r="N1" s="537"/>
      <c r="O1" s="537"/>
      <c r="P1" s="537"/>
      <c r="Q1" s="537"/>
      <c r="R1" s="537"/>
    </row>
    <row r="2" spans="2:20" x14ac:dyDescent="0.2">
      <c r="B2" s="538" t="s">
        <v>1364</v>
      </c>
      <c r="C2" s="538"/>
      <c r="D2" s="538"/>
      <c r="E2" s="538"/>
      <c r="F2" s="538"/>
      <c r="G2" s="538"/>
      <c r="H2" s="538"/>
      <c r="I2" s="538"/>
      <c r="J2" s="538"/>
      <c r="K2" s="538"/>
      <c r="L2" s="538"/>
      <c r="M2" s="538"/>
      <c r="N2" s="538"/>
      <c r="O2" s="538"/>
      <c r="P2" s="538"/>
      <c r="Q2" s="538"/>
      <c r="R2" s="538"/>
    </row>
    <row r="3" spans="2:20" s="66" customFormat="1" ht="66.75" customHeight="1" x14ac:dyDescent="0.15">
      <c r="B3" s="68" t="s">
        <v>156</v>
      </c>
      <c r="C3" s="68" t="s">
        <v>157</v>
      </c>
      <c r="D3" s="68" t="s">
        <v>158</v>
      </c>
      <c r="E3" s="68" t="s">
        <v>159</v>
      </c>
      <c r="F3" s="68" t="s">
        <v>160</v>
      </c>
      <c r="G3" s="68" t="s">
        <v>161</v>
      </c>
      <c r="H3" s="68" t="s">
        <v>162</v>
      </c>
      <c r="I3" s="76" t="s">
        <v>163</v>
      </c>
      <c r="J3" s="77" t="s">
        <v>164</v>
      </c>
      <c r="K3" s="77" t="s">
        <v>165</v>
      </c>
      <c r="L3" s="77" t="s">
        <v>166</v>
      </c>
      <c r="M3" s="77" t="s">
        <v>167</v>
      </c>
      <c r="N3" s="68" t="s">
        <v>168</v>
      </c>
      <c r="O3" s="77" t="s">
        <v>169</v>
      </c>
      <c r="P3" s="77" t="s">
        <v>170</v>
      </c>
      <c r="Q3" s="77" t="s">
        <v>171</v>
      </c>
      <c r="R3" s="67" t="s">
        <v>172</v>
      </c>
      <c r="S3" s="66" t="s">
        <v>173</v>
      </c>
    </row>
    <row r="4" spans="2:20" s="45" customFormat="1" ht="68.25" customHeight="1" x14ac:dyDescent="0.15">
      <c r="B4" s="65" t="s">
        <v>174</v>
      </c>
      <c r="C4" s="539" t="s">
        <v>175</v>
      </c>
      <c r="D4" s="540"/>
      <c r="E4" s="344"/>
      <c r="F4" s="63"/>
      <c r="G4" s="63"/>
      <c r="H4" s="63"/>
      <c r="I4" s="64"/>
      <c r="J4" s="64"/>
      <c r="K4" s="64"/>
      <c r="L4" s="64"/>
      <c r="M4" s="64"/>
      <c r="N4" s="62"/>
      <c r="O4" s="62"/>
      <c r="P4" s="62"/>
      <c r="Q4" s="84"/>
      <c r="R4" s="61"/>
    </row>
    <row r="5" spans="2:20" s="45" customFormat="1" ht="9" x14ac:dyDescent="0.15">
      <c r="B5" s="56" t="s">
        <v>176</v>
      </c>
      <c r="C5" s="535" t="s">
        <v>175</v>
      </c>
      <c r="D5" s="536"/>
      <c r="E5" s="343"/>
      <c r="F5" s="53"/>
      <c r="G5" s="53"/>
      <c r="H5" s="53"/>
      <c r="I5" s="54"/>
      <c r="J5" s="54"/>
      <c r="K5" s="54"/>
      <c r="L5" s="54"/>
      <c r="M5" s="54"/>
      <c r="N5" s="46"/>
      <c r="O5" s="46"/>
      <c r="P5" s="46"/>
      <c r="Q5" s="85"/>
      <c r="R5" s="52"/>
    </row>
    <row r="6" spans="2:20" s="45" customFormat="1" ht="9" x14ac:dyDescent="0.15">
      <c r="B6" s="56" t="s">
        <v>177</v>
      </c>
      <c r="C6" s="53"/>
      <c r="D6" s="46"/>
      <c r="E6" s="46"/>
      <c r="F6" s="53"/>
      <c r="G6" s="53"/>
      <c r="H6" s="53"/>
      <c r="I6" s="54"/>
      <c r="J6" s="54"/>
      <c r="K6" s="54"/>
      <c r="L6" s="54"/>
      <c r="M6" s="54"/>
      <c r="N6" s="46"/>
      <c r="O6" s="46"/>
      <c r="P6" s="46"/>
      <c r="Q6" s="85"/>
      <c r="R6" s="52"/>
    </row>
    <row r="7" spans="2:20" s="45" customFormat="1" ht="9" x14ac:dyDescent="0.15">
      <c r="B7" s="82" t="s">
        <v>178</v>
      </c>
      <c r="C7" s="53">
        <v>40</v>
      </c>
      <c r="D7" s="46">
        <v>0</v>
      </c>
      <c r="E7" s="46"/>
      <c r="F7" s="53">
        <v>1</v>
      </c>
      <c r="G7" s="53">
        <v>0</v>
      </c>
      <c r="H7" s="53">
        <f>C7*F7</f>
        <v>40</v>
      </c>
      <c r="I7" s="55">
        <f>'Annual # of Respondents'!G3</f>
        <v>3</v>
      </c>
      <c r="J7" s="54">
        <v>0</v>
      </c>
      <c r="K7" s="54">
        <f>H7*I7</f>
        <v>120</v>
      </c>
      <c r="L7" s="54">
        <f>K7*0.1</f>
        <v>12</v>
      </c>
      <c r="M7" s="55">
        <f>K7*0.05</f>
        <v>6</v>
      </c>
      <c r="N7" s="46">
        <f>(J7*'Labor Data'!$K$10)+(K7*'Labor Data'!$K$9)+(L7*'Labor Data'!$K$11)+(M7*'Labor Data'!$K$8)</f>
        <v>11394.81</v>
      </c>
      <c r="O7" s="46">
        <f>D7*F7*I7</f>
        <v>0</v>
      </c>
      <c r="P7" s="54">
        <v>0</v>
      </c>
      <c r="Q7" s="86"/>
      <c r="R7" s="52" t="s">
        <v>179</v>
      </c>
    </row>
    <row r="8" spans="2:20" s="45" customFormat="1" ht="9" x14ac:dyDescent="0.15">
      <c r="B8" s="56" t="s">
        <v>180</v>
      </c>
      <c r="C8" s="53"/>
      <c r="D8" s="46"/>
      <c r="E8" s="46"/>
      <c r="F8" s="53"/>
      <c r="G8" s="53"/>
      <c r="H8" s="53"/>
      <c r="I8" s="54"/>
      <c r="J8" s="54"/>
      <c r="K8" s="54"/>
      <c r="L8" s="54"/>
      <c r="M8" s="54"/>
      <c r="N8" s="46"/>
      <c r="O8" s="46"/>
      <c r="P8" s="46"/>
      <c r="Q8" s="85"/>
      <c r="R8" s="52"/>
      <c r="T8" s="60"/>
    </row>
    <row r="9" spans="2:20" s="45" customFormat="1" ht="9" x14ac:dyDescent="0.15">
      <c r="B9" s="82" t="s">
        <v>182</v>
      </c>
      <c r="C9" s="53">
        <v>12</v>
      </c>
      <c r="D9" s="46">
        <f>'Other Cost Basis'!D2+'Other Cost Basis'!D17+'Other Cost Basis'!D18+'Other Cost Basis'!D19</f>
        <v>1983.6594844730848</v>
      </c>
      <c r="E9" s="46">
        <f>'Other Cost Basis'!D20</f>
        <v>1000</v>
      </c>
      <c r="F9" s="53">
        <v>1</v>
      </c>
      <c r="G9" s="53">
        <v>0</v>
      </c>
      <c r="H9" s="53">
        <f>C9*F9</f>
        <v>12</v>
      </c>
      <c r="I9" s="55">
        <f>'Annual # of Respondents'!G13</f>
        <v>3</v>
      </c>
      <c r="J9" s="54">
        <v>0</v>
      </c>
      <c r="K9" s="54">
        <f>H9*I9</f>
        <v>36</v>
      </c>
      <c r="L9" s="54">
        <f>K9*0.1</f>
        <v>3.6</v>
      </c>
      <c r="M9" s="54">
        <f>K9*0.05</f>
        <v>1.8</v>
      </c>
      <c r="N9" s="46">
        <f>(J9*'Labor Data'!$K$10)+(K9*'Labor Data'!$K$9)+(L9*'Labor Data'!$K$11)+(M9*'Labor Data'!$K$8)</f>
        <v>3418.4430000000002</v>
      </c>
      <c r="O9" s="290">
        <f>'1.A-Public'!O9+(D9+E9)*F9*I9</f>
        <v>98460.762987611801</v>
      </c>
      <c r="P9" s="54">
        <f>F9*I9</f>
        <v>3</v>
      </c>
      <c r="Q9" s="86">
        <f>'Other Cost Basis'!B2+'Other Cost Basis'!B17+'Other Cost Basis'!B18+'Other Cost Basis'!B19</f>
        <v>18067</v>
      </c>
      <c r="R9" s="52" t="s">
        <v>183</v>
      </c>
      <c r="T9" s="60"/>
    </row>
    <row r="10" spans="2:20" s="45" customFormat="1" ht="9" x14ac:dyDescent="0.15">
      <c r="B10" s="82" t="s">
        <v>184</v>
      </c>
      <c r="C10" s="72">
        <f>ROUND('Controllers NSPS acreage'!V3,0)</f>
        <v>44</v>
      </c>
      <c r="D10" s="46">
        <f>'Other Cost Basis'!B9+'Other Cost Basis'!F13+'Other Cost Basis'!F14</f>
        <v>703.5</v>
      </c>
      <c r="E10" s="46"/>
      <c r="F10" s="53">
        <v>4</v>
      </c>
      <c r="G10" s="72">
        <f>C10*F10</f>
        <v>176</v>
      </c>
      <c r="H10" s="53">
        <v>0</v>
      </c>
      <c r="I10" s="55">
        <f>'Annual # of Respondents'!G7</f>
        <v>33</v>
      </c>
      <c r="J10" s="54">
        <f>G10*I10</f>
        <v>5808</v>
      </c>
      <c r="K10" s="54">
        <v>0</v>
      </c>
      <c r="L10" s="54">
        <v>0</v>
      </c>
      <c r="M10" s="54">
        <v>0</v>
      </c>
      <c r="N10" s="46">
        <f>(J10*'Labor Data'!$K$10)+(K10*'Labor Data'!$K$9)+(L10*'Labor Data'!$K$11)+(M10*'Labor Data'!$K$8)</f>
        <v>289552.03200000001</v>
      </c>
      <c r="O10" s="46">
        <f>D10*F10*I10</f>
        <v>92862</v>
      </c>
      <c r="P10" s="54">
        <v>0</v>
      </c>
      <c r="Q10" s="86"/>
      <c r="R10" s="52" t="s">
        <v>185</v>
      </c>
      <c r="T10" s="60"/>
    </row>
    <row r="11" spans="2:20" s="45" customFormat="1" ht="9" x14ac:dyDescent="0.15">
      <c r="B11" s="82" t="s">
        <v>186</v>
      </c>
      <c r="C11" s="295">
        <f>ROUND(2000/49.85,0)</f>
        <v>40</v>
      </c>
      <c r="D11" s="296">
        <f>'Other Cost Basis'!F15</f>
        <v>17</v>
      </c>
      <c r="E11" s="296"/>
      <c r="F11" s="53">
        <v>12</v>
      </c>
      <c r="G11" s="72">
        <f>C11*F11</f>
        <v>480</v>
      </c>
      <c r="H11" s="53">
        <v>0</v>
      </c>
      <c r="I11" s="55">
        <f>I10</f>
        <v>33</v>
      </c>
      <c r="J11" s="54">
        <f>G11*I11</f>
        <v>15840</v>
      </c>
      <c r="K11" s="54">
        <v>0</v>
      </c>
      <c r="L11" s="54">
        <v>0</v>
      </c>
      <c r="M11" s="54">
        <v>0</v>
      </c>
      <c r="N11" s="46">
        <f>(J11*'Labor Data'!$K$10)+(K11*'Labor Data'!$K$9)+(L11*'Labor Data'!$K$11)+(M11*'Labor Data'!$K$8)</f>
        <v>789687.36</v>
      </c>
      <c r="O11" s="46">
        <f>D11*F11*I11</f>
        <v>6732</v>
      </c>
      <c r="P11" s="54">
        <v>1</v>
      </c>
      <c r="Q11" s="86"/>
      <c r="R11" s="52" t="s">
        <v>185</v>
      </c>
      <c r="T11" s="60"/>
    </row>
    <row r="12" spans="2:20" s="45" customFormat="1" ht="9" x14ac:dyDescent="0.15">
      <c r="B12" s="56" t="s">
        <v>187</v>
      </c>
      <c r="C12" s="535" t="s">
        <v>188</v>
      </c>
      <c r="D12" s="536"/>
      <c r="E12" s="343"/>
      <c r="F12" s="53"/>
      <c r="G12" s="53"/>
      <c r="H12" s="53"/>
      <c r="I12" s="54"/>
      <c r="J12" s="54"/>
      <c r="K12" s="54"/>
      <c r="L12" s="54"/>
      <c r="M12" s="54"/>
      <c r="N12" s="46"/>
      <c r="O12" s="46"/>
      <c r="P12" s="46"/>
      <c r="Q12" s="85"/>
      <c r="R12" s="52"/>
      <c r="T12" s="60"/>
    </row>
    <row r="13" spans="2:20" s="45" customFormat="1" ht="9" x14ac:dyDescent="0.15">
      <c r="B13" s="56" t="s">
        <v>189</v>
      </c>
      <c r="C13" s="535" t="s">
        <v>188</v>
      </c>
      <c r="D13" s="536"/>
      <c r="E13" s="343"/>
      <c r="F13" s="53"/>
      <c r="G13" s="53"/>
      <c r="H13" s="53"/>
      <c r="I13" s="54"/>
      <c r="J13" s="54"/>
      <c r="K13" s="54"/>
      <c r="L13" s="54"/>
      <c r="M13" s="54"/>
      <c r="N13" s="46"/>
      <c r="O13" s="46"/>
      <c r="P13" s="46"/>
      <c r="Q13" s="85"/>
      <c r="R13" s="52"/>
    </row>
    <row r="14" spans="2:20" s="45" customFormat="1" ht="9" x14ac:dyDescent="0.15">
      <c r="B14" s="56" t="s">
        <v>190</v>
      </c>
      <c r="C14" s="53"/>
      <c r="D14" s="46"/>
      <c r="E14" s="46"/>
      <c r="F14" s="53"/>
      <c r="G14" s="53"/>
      <c r="H14" s="53"/>
      <c r="I14" s="54"/>
      <c r="J14" s="54"/>
      <c r="K14" s="54"/>
      <c r="L14" s="54"/>
      <c r="M14" s="54"/>
      <c r="N14" s="46"/>
      <c r="O14" s="46"/>
      <c r="P14" s="46"/>
      <c r="Q14" s="85"/>
      <c r="R14" s="52"/>
    </row>
    <row r="15" spans="2:20" s="45" customFormat="1" ht="9" x14ac:dyDescent="0.15">
      <c r="B15" s="81" t="s">
        <v>191</v>
      </c>
      <c r="C15" s="53">
        <v>2</v>
      </c>
      <c r="D15" s="46">
        <v>0</v>
      </c>
      <c r="E15" s="46"/>
      <c r="F15" s="53">
        <v>1</v>
      </c>
      <c r="G15" s="53">
        <v>0</v>
      </c>
      <c r="H15" s="53">
        <f t="shared" ref="H15:H22" si="0">C15*F15</f>
        <v>2</v>
      </c>
      <c r="I15" s="55">
        <f>'Annual # of Respondents'!G4</f>
        <v>0</v>
      </c>
      <c r="J15" s="54">
        <v>0</v>
      </c>
      <c r="K15" s="54">
        <f t="shared" ref="K15:K22" si="1">H15*I15</f>
        <v>0</v>
      </c>
      <c r="L15" s="54">
        <f t="shared" ref="L15:L22" si="2">K15*0.1</f>
        <v>0</v>
      </c>
      <c r="M15" s="54">
        <f t="shared" ref="M15:M22" si="3">K15*0.05</f>
        <v>0</v>
      </c>
      <c r="N15" s="46">
        <f>(J15*'Labor Data'!$K$10)+(K15*'Labor Data'!$K$9)+(L15*'Labor Data'!$K$11)+(M15*'Labor Data'!$K$8)</f>
        <v>0</v>
      </c>
      <c r="O15" s="46">
        <f t="shared" ref="O15:O22" si="4">D15*F15*I15</f>
        <v>0</v>
      </c>
      <c r="P15" s="54">
        <f t="shared" ref="P15:P22" si="5">F15*I15</f>
        <v>0</v>
      </c>
      <c r="Q15" s="86"/>
      <c r="R15" s="52" t="s">
        <v>192</v>
      </c>
    </row>
    <row r="16" spans="2:20" s="45" customFormat="1" ht="9" x14ac:dyDescent="0.15">
      <c r="B16" s="79" t="s">
        <v>193</v>
      </c>
      <c r="C16" s="342">
        <v>2</v>
      </c>
      <c r="D16" s="46">
        <v>0</v>
      </c>
      <c r="E16" s="46"/>
      <c r="F16" s="53">
        <v>1</v>
      </c>
      <c r="G16" s="53">
        <v>0</v>
      </c>
      <c r="H16" s="53">
        <f t="shared" si="0"/>
        <v>2</v>
      </c>
      <c r="I16" s="55">
        <f>0</f>
        <v>0</v>
      </c>
      <c r="J16" s="54">
        <v>0</v>
      </c>
      <c r="K16" s="54">
        <f t="shared" si="1"/>
        <v>0</v>
      </c>
      <c r="L16" s="54">
        <f t="shared" si="2"/>
        <v>0</v>
      </c>
      <c r="M16" s="54">
        <f t="shared" si="3"/>
        <v>0</v>
      </c>
      <c r="N16" s="46">
        <f>(J16*'Labor Data'!$K$10)+(K16*'Labor Data'!$K$9)+(L16*'Labor Data'!$K$11)+(M16*'Labor Data'!$K$8)</f>
        <v>0</v>
      </c>
      <c r="O16" s="46">
        <f t="shared" si="4"/>
        <v>0</v>
      </c>
      <c r="P16" s="54">
        <f t="shared" si="5"/>
        <v>0</v>
      </c>
      <c r="Q16" s="86"/>
      <c r="R16" s="52" t="s">
        <v>194</v>
      </c>
    </row>
    <row r="17" spans="2:19" s="45" customFormat="1" ht="9" x14ac:dyDescent="0.15">
      <c r="B17" s="79" t="s">
        <v>195</v>
      </c>
      <c r="C17" s="53">
        <v>8</v>
      </c>
      <c r="D17" s="46">
        <v>0</v>
      </c>
      <c r="E17" s="46"/>
      <c r="F17" s="53">
        <v>1</v>
      </c>
      <c r="G17" s="53">
        <v>0</v>
      </c>
      <c r="H17" s="53">
        <f t="shared" si="0"/>
        <v>8</v>
      </c>
      <c r="I17" s="55">
        <f>'Annual # of Respondents'!G9</f>
        <v>10.5</v>
      </c>
      <c r="J17" s="54">
        <v>0</v>
      </c>
      <c r="K17" s="54">
        <f t="shared" si="1"/>
        <v>84</v>
      </c>
      <c r="L17" s="54">
        <f t="shared" si="2"/>
        <v>8.4</v>
      </c>
      <c r="M17" s="54">
        <f t="shared" si="3"/>
        <v>4.2</v>
      </c>
      <c r="N17" s="46">
        <f>(J17*'Labor Data'!$K$10)+(K17*'Labor Data'!$K$9)+(L17*'Labor Data'!$K$11)+(M17*'Labor Data'!$K$8)</f>
        <v>7976.3670000000011</v>
      </c>
      <c r="O17" s="46">
        <f t="shared" si="4"/>
        <v>0</v>
      </c>
      <c r="P17" s="54">
        <f t="shared" si="5"/>
        <v>10.5</v>
      </c>
      <c r="Q17" s="86"/>
      <c r="R17" s="52" t="s">
        <v>196</v>
      </c>
      <c r="S17" s="59"/>
    </row>
    <row r="18" spans="2:19" s="45" customFormat="1" ht="9" x14ac:dyDescent="0.15">
      <c r="B18" s="79" t="s">
        <v>197</v>
      </c>
      <c r="C18" s="72">
        <v>12</v>
      </c>
      <c r="D18" s="46">
        <f>'Other Cost Basis'!D4</f>
        <v>2708.280314173127</v>
      </c>
      <c r="E18" s="46"/>
      <c r="F18" s="53">
        <v>1</v>
      </c>
      <c r="G18" s="53">
        <v>0</v>
      </c>
      <c r="H18" s="72">
        <f t="shared" si="0"/>
        <v>12</v>
      </c>
      <c r="I18" s="54">
        <f>IF('Annual # of Respondents'!G10&lt;0,0,'Annual # of Respondents'!G10)</f>
        <v>0</v>
      </c>
      <c r="J18" s="54">
        <v>0</v>
      </c>
      <c r="K18" s="54">
        <f t="shared" si="1"/>
        <v>0</v>
      </c>
      <c r="L18" s="54">
        <f t="shared" si="2"/>
        <v>0</v>
      </c>
      <c r="M18" s="54">
        <f t="shared" si="3"/>
        <v>0</v>
      </c>
      <c r="N18" s="46">
        <f>(J18*'Labor Data'!$K$10)+(K18*'Labor Data'!$K$9)+(L18*'Labor Data'!$K$11)+(M18*'Labor Data'!$K$8)</f>
        <v>0</v>
      </c>
      <c r="O18" s="46">
        <f>'1.A-Public'!O18+D18*F18*I18</f>
        <v>28436.943298817834</v>
      </c>
      <c r="P18" s="54">
        <f t="shared" si="5"/>
        <v>0</v>
      </c>
      <c r="Q18" s="86">
        <f>'Other Cost Basis'!B2</f>
        <v>10067</v>
      </c>
      <c r="R18" s="52" t="s">
        <v>198</v>
      </c>
      <c r="S18" s="59"/>
    </row>
    <row r="19" spans="2:19" s="45" customFormat="1" ht="9" customHeight="1" x14ac:dyDescent="0.15">
      <c r="B19" s="79" t="s">
        <v>199</v>
      </c>
      <c r="C19" s="53">
        <v>1</v>
      </c>
      <c r="D19" s="46">
        <v>0</v>
      </c>
      <c r="E19" s="46"/>
      <c r="F19" s="53">
        <v>1</v>
      </c>
      <c r="G19" s="53">
        <v>0</v>
      </c>
      <c r="H19" s="53">
        <f t="shared" si="0"/>
        <v>1</v>
      </c>
      <c r="I19" s="55">
        <v>0</v>
      </c>
      <c r="J19" s="54">
        <v>0</v>
      </c>
      <c r="K19" s="54">
        <f t="shared" si="1"/>
        <v>0</v>
      </c>
      <c r="L19" s="54">
        <f t="shared" si="2"/>
        <v>0</v>
      </c>
      <c r="M19" s="54">
        <f t="shared" si="3"/>
        <v>0</v>
      </c>
      <c r="N19" s="46">
        <f>(J19*'Labor Data'!$K$10)+(K19*'Labor Data'!$K$9)+(L19*'Labor Data'!$K$11)+(M19*'Labor Data'!$K$8)</f>
        <v>0</v>
      </c>
      <c r="O19" s="46">
        <f t="shared" si="4"/>
        <v>0</v>
      </c>
      <c r="P19" s="54">
        <f t="shared" si="5"/>
        <v>0</v>
      </c>
      <c r="Q19" s="86"/>
      <c r="R19" s="52" t="s">
        <v>200</v>
      </c>
      <c r="S19" s="59"/>
    </row>
    <row r="20" spans="2:19" s="45" customFormat="1" ht="9" x14ac:dyDescent="0.15">
      <c r="B20" s="79" t="s">
        <v>201</v>
      </c>
      <c r="C20" s="53">
        <f>3*C18</f>
        <v>36</v>
      </c>
      <c r="D20" s="46">
        <v>0</v>
      </c>
      <c r="E20" s="46"/>
      <c r="F20" s="53">
        <v>1</v>
      </c>
      <c r="G20" s="53">
        <v>0</v>
      </c>
      <c r="H20" s="53">
        <f t="shared" si="0"/>
        <v>36</v>
      </c>
      <c r="I20" s="55">
        <v>0</v>
      </c>
      <c r="J20" s="54">
        <v>0</v>
      </c>
      <c r="K20" s="54">
        <f t="shared" si="1"/>
        <v>0</v>
      </c>
      <c r="L20" s="54">
        <f t="shared" si="2"/>
        <v>0</v>
      </c>
      <c r="M20" s="54">
        <f t="shared" si="3"/>
        <v>0</v>
      </c>
      <c r="N20" s="46">
        <f>(J20*'Labor Data'!$K$10)+(K20*'Labor Data'!$K$9)+(L20*'Labor Data'!$K$11)+(M20*'Labor Data'!$K$8)</f>
        <v>0</v>
      </c>
      <c r="O20" s="46">
        <f t="shared" si="4"/>
        <v>0</v>
      </c>
      <c r="P20" s="54">
        <f t="shared" si="5"/>
        <v>0</v>
      </c>
      <c r="Q20" s="86"/>
      <c r="R20" s="52" t="s">
        <v>202</v>
      </c>
      <c r="S20" s="59"/>
    </row>
    <row r="21" spans="2:19" s="45" customFormat="1" ht="9" x14ac:dyDescent="0.15">
      <c r="B21" s="79" t="s">
        <v>203</v>
      </c>
      <c r="C21" s="53">
        <v>80</v>
      </c>
      <c r="D21" s="46">
        <v>0</v>
      </c>
      <c r="E21" s="46"/>
      <c r="F21" s="53">
        <v>1</v>
      </c>
      <c r="G21" s="53">
        <v>0</v>
      </c>
      <c r="H21" s="53">
        <f t="shared" si="0"/>
        <v>80</v>
      </c>
      <c r="I21" s="55">
        <f>I$9</f>
        <v>3</v>
      </c>
      <c r="J21" s="54">
        <v>0</v>
      </c>
      <c r="K21" s="54">
        <f t="shared" si="1"/>
        <v>240</v>
      </c>
      <c r="L21" s="54">
        <f t="shared" si="2"/>
        <v>24</v>
      </c>
      <c r="M21" s="54">
        <f t="shared" si="3"/>
        <v>12</v>
      </c>
      <c r="N21" s="46">
        <f>(J21*'Labor Data'!$K$10)+(K21*'Labor Data'!$K$9)+(L21*'Labor Data'!$K$11)+(M21*'Labor Data'!$K$8)</f>
        <v>22789.62</v>
      </c>
      <c r="O21" s="46">
        <f t="shared" si="4"/>
        <v>0</v>
      </c>
      <c r="P21" s="54">
        <f t="shared" si="5"/>
        <v>3</v>
      </c>
      <c r="Q21" s="86"/>
      <c r="R21" s="52" t="s">
        <v>204</v>
      </c>
      <c r="S21" s="59"/>
    </row>
    <row r="22" spans="2:19" s="45" customFormat="1" ht="9" x14ac:dyDescent="0.15">
      <c r="B22" s="79" t="s">
        <v>205</v>
      </c>
      <c r="C22" s="342">
        <v>20</v>
      </c>
      <c r="D22" s="46">
        <v>0</v>
      </c>
      <c r="E22" s="46"/>
      <c r="F22" s="53">
        <v>1</v>
      </c>
      <c r="G22" s="53">
        <v>0</v>
      </c>
      <c r="H22" s="53">
        <f t="shared" si="0"/>
        <v>20</v>
      </c>
      <c r="I22" s="55">
        <f>I21*0.1</f>
        <v>0.30000000000000004</v>
      </c>
      <c r="J22" s="54">
        <v>0</v>
      </c>
      <c r="K22" s="54">
        <f t="shared" si="1"/>
        <v>6.0000000000000009</v>
      </c>
      <c r="L22" s="54">
        <f t="shared" si="2"/>
        <v>0.60000000000000009</v>
      </c>
      <c r="M22" s="54">
        <f t="shared" si="3"/>
        <v>0.30000000000000004</v>
      </c>
      <c r="N22" s="46">
        <f>(J22*'Labor Data'!$K$10)+(K22*'Labor Data'!$K$9)+(L22*'Labor Data'!$K$11)+(M22*'Labor Data'!$K$8)</f>
        <v>569.74050000000011</v>
      </c>
      <c r="O22" s="46">
        <f t="shared" si="4"/>
        <v>0</v>
      </c>
      <c r="P22" s="54">
        <f t="shared" si="5"/>
        <v>0.30000000000000004</v>
      </c>
      <c r="Q22" s="86"/>
      <c r="R22" s="52" t="s">
        <v>206</v>
      </c>
      <c r="S22" s="59"/>
    </row>
    <row r="23" spans="2:19" s="45" customFormat="1" ht="9" x14ac:dyDescent="0.15">
      <c r="B23" s="79" t="s">
        <v>207</v>
      </c>
      <c r="C23" s="535" t="s">
        <v>188</v>
      </c>
      <c r="D23" s="536"/>
      <c r="E23" s="343"/>
      <c r="F23" s="53"/>
      <c r="G23" s="53"/>
      <c r="H23" s="53"/>
      <c r="I23" s="55"/>
      <c r="J23" s="54"/>
      <c r="K23" s="54"/>
      <c r="L23" s="54"/>
      <c r="M23" s="54"/>
      <c r="N23" s="46"/>
      <c r="O23" s="46"/>
      <c r="P23" s="54"/>
      <c r="Q23" s="86"/>
      <c r="R23" s="52"/>
      <c r="S23" s="59"/>
    </row>
    <row r="24" spans="2:19" s="45" customFormat="1" ht="9" x14ac:dyDescent="0.15">
      <c r="B24" s="79" t="s">
        <v>208</v>
      </c>
      <c r="C24" s="535" t="s">
        <v>188</v>
      </c>
      <c r="D24" s="536"/>
      <c r="E24" s="343"/>
      <c r="F24" s="53"/>
      <c r="G24" s="53"/>
      <c r="H24" s="53"/>
      <c r="I24" s="55"/>
      <c r="J24" s="54"/>
      <c r="K24" s="54"/>
      <c r="L24" s="54"/>
      <c r="M24" s="54"/>
      <c r="N24" s="46"/>
      <c r="O24" s="46"/>
      <c r="P24" s="54"/>
      <c r="Q24" s="86"/>
      <c r="R24" s="52"/>
      <c r="S24" s="59"/>
    </row>
    <row r="25" spans="2:19" s="45" customFormat="1" ht="9" x14ac:dyDescent="0.15">
      <c r="B25" s="79" t="s">
        <v>209</v>
      </c>
      <c r="C25" s="53">
        <v>27</v>
      </c>
      <c r="D25" s="46">
        <v>0</v>
      </c>
      <c r="E25" s="46"/>
      <c r="F25" s="53">
        <v>1</v>
      </c>
      <c r="G25" s="53">
        <v>0</v>
      </c>
      <c r="H25" s="53">
        <f>C25*F25</f>
        <v>27</v>
      </c>
      <c r="I25" s="55">
        <f>'Annual # of Respondents'!G7</f>
        <v>33</v>
      </c>
      <c r="J25" s="54">
        <v>0</v>
      </c>
      <c r="K25" s="54">
        <f>H25*I25</f>
        <v>891</v>
      </c>
      <c r="L25" s="54">
        <f>K25*0.1</f>
        <v>89.100000000000009</v>
      </c>
      <c r="M25" s="54">
        <f>K25*0.05</f>
        <v>44.550000000000004</v>
      </c>
      <c r="N25" s="46">
        <f>(J25*'Labor Data'!$K$10)+(K25*'Labor Data'!$K$9)+(L25*'Labor Data'!$K$11)+(M25*'Labor Data'!$K$8)</f>
        <v>84606.464250000005</v>
      </c>
      <c r="O25" s="46">
        <f>D25*F25*I25</f>
        <v>0</v>
      </c>
      <c r="P25" s="54">
        <f>F25*I25</f>
        <v>33</v>
      </c>
      <c r="Q25" s="86"/>
      <c r="R25" s="52" t="s">
        <v>210</v>
      </c>
      <c r="S25" s="59"/>
    </row>
    <row r="26" spans="2:19" s="45" customFormat="1" ht="9" x14ac:dyDescent="0.15">
      <c r="B26" s="79" t="s">
        <v>211</v>
      </c>
      <c r="C26" s="53">
        <v>15</v>
      </c>
      <c r="D26" s="46">
        <v>0</v>
      </c>
      <c r="E26" s="46"/>
      <c r="F26" s="53">
        <v>1</v>
      </c>
      <c r="G26" s="53">
        <v>0</v>
      </c>
      <c r="H26" s="53">
        <f t="shared" ref="H26:H29" si="6">C26*F26</f>
        <v>15</v>
      </c>
      <c r="I26" s="55">
        <v>1</v>
      </c>
      <c r="J26" s="54">
        <v>0</v>
      </c>
      <c r="K26" s="54">
        <f t="shared" ref="K26:K29" si="7">H26*I26</f>
        <v>15</v>
      </c>
      <c r="L26" s="54">
        <f t="shared" ref="L26:L28" si="8">K26*0.1</f>
        <v>1.5</v>
      </c>
      <c r="M26" s="54">
        <f t="shared" ref="M26:M28" si="9">K26*0.05</f>
        <v>0.75</v>
      </c>
      <c r="N26" s="46">
        <f>(J26*'Labor Data'!$K$10)+(K26*'Labor Data'!$K$9)+(L26*'Labor Data'!$K$11)+(M26*'Labor Data'!$K$8)</f>
        <v>1424.3512499999999</v>
      </c>
      <c r="O26" s="46">
        <f t="shared" ref="O26:O28" si="10">D26*F26*I26</f>
        <v>0</v>
      </c>
      <c r="P26" s="54">
        <f t="shared" ref="P26:P28" si="11">F26*I26</f>
        <v>1</v>
      </c>
      <c r="Q26" s="86"/>
      <c r="R26" s="52" t="s">
        <v>212</v>
      </c>
      <c r="S26" s="59"/>
    </row>
    <row r="27" spans="2:19" s="45" customFormat="1" ht="9" x14ac:dyDescent="0.15">
      <c r="B27" s="79" t="s">
        <v>213</v>
      </c>
      <c r="C27" s="53">
        <v>15</v>
      </c>
      <c r="D27" s="46">
        <v>0</v>
      </c>
      <c r="E27" s="46"/>
      <c r="F27" s="53">
        <v>1</v>
      </c>
      <c r="G27" s="53">
        <v>0</v>
      </c>
      <c r="H27" s="53">
        <f t="shared" si="6"/>
        <v>15</v>
      </c>
      <c r="I27" s="55">
        <v>1</v>
      </c>
      <c r="J27" s="54">
        <v>0</v>
      </c>
      <c r="K27" s="54">
        <f t="shared" si="7"/>
        <v>15</v>
      </c>
      <c r="L27" s="54">
        <f t="shared" si="8"/>
        <v>1.5</v>
      </c>
      <c r="M27" s="54">
        <f t="shared" si="9"/>
        <v>0.75</v>
      </c>
      <c r="N27" s="46">
        <f>(J27*'Labor Data'!$K$10)+(K27*'Labor Data'!$K$9)+(L27*'Labor Data'!$K$11)+(M27*'Labor Data'!$K$8)</f>
        <v>1424.3512499999999</v>
      </c>
      <c r="O27" s="46">
        <f t="shared" si="10"/>
        <v>0</v>
      </c>
      <c r="P27" s="54">
        <f t="shared" si="11"/>
        <v>1</v>
      </c>
      <c r="Q27" s="86"/>
      <c r="R27" s="52" t="s">
        <v>212</v>
      </c>
      <c r="S27" s="59"/>
    </row>
    <row r="28" spans="2:19" s="45" customFormat="1" ht="9" x14ac:dyDescent="0.15">
      <c r="B28" s="79" t="s">
        <v>214</v>
      </c>
      <c r="C28" s="53">
        <v>15</v>
      </c>
      <c r="D28" s="46">
        <v>0</v>
      </c>
      <c r="E28" s="46"/>
      <c r="F28" s="53">
        <v>1</v>
      </c>
      <c r="G28" s="53">
        <v>0</v>
      </c>
      <c r="H28" s="53">
        <f t="shared" si="6"/>
        <v>15</v>
      </c>
      <c r="I28" s="55">
        <v>1</v>
      </c>
      <c r="J28" s="54">
        <v>0</v>
      </c>
      <c r="K28" s="54">
        <f t="shared" si="7"/>
        <v>15</v>
      </c>
      <c r="L28" s="54">
        <f t="shared" si="8"/>
        <v>1.5</v>
      </c>
      <c r="M28" s="54">
        <f t="shared" si="9"/>
        <v>0.75</v>
      </c>
      <c r="N28" s="46">
        <f>(J28*'Labor Data'!$K$10)+(K28*'Labor Data'!$K$9)+(L28*'Labor Data'!$K$11)+(M28*'Labor Data'!$K$8)</f>
        <v>1424.3512499999999</v>
      </c>
      <c r="O28" s="46">
        <f t="shared" si="10"/>
        <v>0</v>
      </c>
      <c r="P28" s="54">
        <f t="shared" si="11"/>
        <v>1</v>
      </c>
      <c r="Q28" s="86"/>
      <c r="R28" s="52" t="s">
        <v>212</v>
      </c>
      <c r="S28" s="59"/>
    </row>
    <row r="29" spans="2:19" s="45" customFormat="1" ht="9" x14ac:dyDescent="0.15">
      <c r="B29" s="79" t="s">
        <v>215</v>
      </c>
      <c r="C29" s="53">
        <v>5</v>
      </c>
      <c r="D29" s="46">
        <v>0</v>
      </c>
      <c r="E29" s="46"/>
      <c r="F29" s="53">
        <v>1</v>
      </c>
      <c r="G29" s="53">
        <v>0</v>
      </c>
      <c r="H29" s="53">
        <f t="shared" si="6"/>
        <v>5</v>
      </c>
      <c r="I29" s="55">
        <f>'Annual # of Respondents'!G5</f>
        <v>17</v>
      </c>
      <c r="J29" s="54">
        <v>0</v>
      </c>
      <c r="K29" s="54">
        <f t="shared" si="7"/>
        <v>85</v>
      </c>
      <c r="L29" s="54">
        <f t="shared" ref="L29" si="12">K29*0.1</f>
        <v>8.5</v>
      </c>
      <c r="M29" s="54">
        <f t="shared" ref="M29" si="13">K29*0.05</f>
        <v>4.25</v>
      </c>
      <c r="N29" s="46">
        <f>(J29*'Labor Data'!$K$10)+(K29*'Labor Data'!$K$9)+(L29*'Labor Data'!$K$11)+(M29*'Labor Data'!$K$8)</f>
        <v>8071.3237500000005</v>
      </c>
      <c r="O29" s="46">
        <f t="shared" ref="O29" si="14">D29*F29*I29</f>
        <v>0</v>
      </c>
      <c r="P29" s="54">
        <f t="shared" ref="P29" si="15">F29*I29</f>
        <v>17</v>
      </c>
      <c r="Q29" s="86"/>
      <c r="R29" s="52" t="s">
        <v>216</v>
      </c>
      <c r="S29" s="59"/>
    </row>
    <row r="30" spans="2:19" s="45" customFormat="1" ht="9" x14ac:dyDescent="0.15">
      <c r="B30" s="58" t="s">
        <v>217</v>
      </c>
      <c r="C30" s="53"/>
      <c r="D30" s="46"/>
      <c r="E30" s="46"/>
      <c r="F30" s="53"/>
      <c r="G30" s="53"/>
      <c r="H30" s="53"/>
      <c r="I30" s="55"/>
      <c r="J30" s="54">
        <f t="shared" ref="J30:O30" si="16">SUM(J7:J29)</f>
        <v>21648</v>
      </c>
      <c r="K30" s="54">
        <f t="shared" si="16"/>
        <v>1507</v>
      </c>
      <c r="L30" s="54">
        <f t="shared" si="16"/>
        <v>150.70000000000002</v>
      </c>
      <c r="M30" s="54">
        <f t="shared" si="16"/>
        <v>75.350000000000009</v>
      </c>
      <c r="N30" s="46">
        <f t="shared" si="16"/>
        <v>1222339.2142500004</v>
      </c>
      <c r="O30" s="46">
        <f t="shared" si="16"/>
        <v>226491.70628642966</v>
      </c>
      <c r="P30" s="54">
        <f>SUM(P15:P29)+P9</f>
        <v>69.8</v>
      </c>
      <c r="Q30" s="46">
        <f>SUM(Q7:Q29)</f>
        <v>28134</v>
      </c>
      <c r="R30" s="52"/>
      <c r="S30" s="57" t="e">
        <f>SUM(O7,O9:O10,#REF!,#REF!,#REF!,#REF!,#REF!,#REF!,#REF!)</f>
        <v>#REF!</v>
      </c>
    </row>
    <row r="31" spans="2:19" s="45" customFormat="1" ht="9" x14ac:dyDescent="0.15">
      <c r="B31" s="56" t="s">
        <v>218</v>
      </c>
      <c r="C31" s="53"/>
      <c r="D31" s="46"/>
      <c r="E31" s="46"/>
      <c r="F31" s="53"/>
      <c r="G31" s="53"/>
      <c r="H31" s="53"/>
      <c r="I31" s="54"/>
      <c r="J31" s="54"/>
      <c r="K31" s="54"/>
      <c r="L31" s="54"/>
      <c r="M31" s="54"/>
      <c r="N31" s="46"/>
      <c r="O31" s="46"/>
      <c r="P31" s="46"/>
      <c r="Q31" s="85"/>
      <c r="R31" s="52"/>
    </row>
    <row r="32" spans="2:19" s="45" customFormat="1" ht="9" x14ac:dyDescent="0.15">
      <c r="B32" s="56" t="s">
        <v>219</v>
      </c>
      <c r="C32" s="535" t="s">
        <v>220</v>
      </c>
      <c r="D32" s="536"/>
      <c r="E32" s="343"/>
      <c r="F32" s="53"/>
      <c r="G32" s="53"/>
      <c r="H32" s="53"/>
      <c r="I32" s="54"/>
      <c r="J32" s="54"/>
      <c r="K32" s="54"/>
      <c r="L32" s="54"/>
      <c r="M32" s="54"/>
      <c r="N32" s="46"/>
      <c r="O32" s="46"/>
      <c r="P32" s="46"/>
      <c r="Q32" s="85"/>
      <c r="R32" s="52"/>
    </row>
    <row r="33" spans="1:19" s="45" customFormat="1" ht="9" x14ac:dyDescent="0.15">
      <c r="B33" s="56" t="s">
        <v>221</v>
      </c>
      <c r="C33" s="535" t="s">
        <v>175</v>
      </c>
      <c r="D33" s="536"/>
      <c r="E33" s="343"/>
      <c r="F33" s="53"/>
      <c r="G33" s="53"/>
      <c r="H33" s="53"/>
      <c r="I33" s="54"/>
      <c r="J33" s="54"/>
      <c r="K33" s="54"/>
      <c r="L33" s="54"/>
      <c r="M33" s="54"/>
      <c r="N33" s="46"/>
      <c r="O33" s="46"/>
      <c r="P33" s="46"/>
      <c r="Q33" s="85"/>
      <c r="R33" s="52"/>
    </row>
    <row r="34" spans="1:19" s="45" customFormat="1" ht="9" x14ac:dyDescent="0.15">
      <c r="B34" s="56" t="s">
        <v>222</v>
      </c>
      <c r="C34" s="535" t="s">
        <v>175</v>
      </c>
      <c r="D34" s="536"/>
      <c r="E34" s="343"/>
      <c r="F34" s="53"/>
      <c r="G34" s="53"/>
      <c r="H34" s="53"/>
      <c r="I34" s="54"/>
      <c r="J34" s="54"/>
      <c r="K34" s="54"/>
      <c r="L34" s="54"/>
      <c r="M34" s="54"/>
      <c r="N34" s="46"/>
      <c r="O34" s="46"/>
      <c r="P34" s="46"/>
      <c r="Q34" s="85"/>
      <c r="R34" s="52"/>
    </row>
    <row r="35" spans="1:19" s="45" customFormat="1" ht="9" x14ac:dyDescent="0.15">
      <c r="B35" s="56" t="s">
        <v>223</v>
      </c>
      <c r="C35" s="535" t="s">
        <v>175</v>
      </c>
      <c r="D35" s="536"/>
      <c r="E35" s="343"/>
      <c r="F35" s="53"/>
      <c r="G35" s="53"/>
      <c r="H35" s="53"/>
      <c r="I35" s="54"/>
      <c r="J35" s="54"/>
      <c r="K35" s="54"/>
      <c r="L35" s="54"/>
      <c r="M35" s="54"/>
      <c r="N35" s="46"/>
      <c r="O35" s="46"/>
      <c r="P35" s="46"/>
      <c r="Q35" s="85"/>
      <c r="R35" s="52"/>
    </row>
    <row r="36" spans="1:19" s="45" customFormat="1" ht="9" x14ac:dyDescent="0.15">
      <c r="B36" s="56" t="s">
        <v>224</v>
      </c>
      <c r="C36" s="53"/>
      <c r="D36" s="46"/>
      <c r="E36" s="46"/>
      <c r="F36" s="53"/>
      <c r="G36" s="53"/>
      <c r="H36" s="53"/>
      <c r="I36" s="54"/>
      <c r="J36" s="54"/>
      <c r="K36" s="54"/>
      <c r="L36" s="54"/>
      <c r="M36" s="54"/>
      <c r="N36" s="46"/>
      <c r="O36" s="46"/>
      <c r="P36" s="46"/>
      <c r="Q36" s="85"/>
      <c r="R36" s="52"/>
    </row>
    <row r="37" spans="1:19" s="45" customFormat="1" ht="9.75" customHeight="1" x14ac:dyDescent="0.15">
      <c r="B37" s="81" t="s">
        <v>225</v>
      </c>
      <c r="C37" s="342">
        <v>5</v>
      </c>
      <c r="D37" s="46">
        <v>0</v>
      </c>
      <c r="E37" s="46"/>
      <c r="F37" s="53">
        <v>12</v>
      </c>
      <c r="G37" s="53">
        <v>0</v>
      </c>
      <c r="H37" s="53">
        <f>C37*F37</f>
        <v>60</v>
      </c>
      <c r="I37" s="55">
        <f>I$10</f>
        <v>33</v>
      </c>
      <c r="J37" s="54">
        <v>0</v>
      </c>
      <c r="K37" s="54">
        <f>H37*I37</f>
        <v>1980</v>
      </c>
      <c r="L37" s="54">
        <f>K37*0.1</f>
        <v>198</v>
      </c>
      <c r="M37" s="54">
        <f>K37*0.05</f>
        <v>99</v>
      </c>
      <c r="N37" s="46">
        <f>(J37*'Labor Data'!$K$10)+(K37*'Labor Data'!$K$9)+(L37*'Labor Data'!$K$11)+(M37*'Labor Data'!$K$8)</f>
        <v>188014.36500000002</v>
      </c>
      <c r="O37" s="46">
        <f>D37*F37*I37</f>
        <v>0</v>
      </c>
      <c r="P37" s="54">
        <v>0</v>
      </c>
      <c r="Q37" s="86"/>
      <c r="R37" s="52" t="s">
        <v>226</v>
      </c>
    </row>
    <row r="38" spans="1:19" s="45" customFormat="1" ht="9.75" customHeight="1" x14ac:dyDescent="0.15">
      <c r="B38" s="79" t="s">
        <v>227</v>
      </c>
      <c r="C38" s="53">
        <v>11</v>
      </c>
      <c r="D38" s="46">
        <v>0</v>
      </c>
      <c r="E38" s="46"/>
      <c r="F38" s="53">
        <v>12</v>
      </c>
      <c r="G38" s="53">
        <v>0</v>
      </c>
      <c r="H38" s="53">
        <f>C38*F38</f>
        <v>132</v>
      </c>
      <c r="I38" s="55">
        <f>I$10</f>
        <v>33</v>
      </c>
      <c r="J38" s="54">
        <v>0</v>
      </c>
      <c r="K38" s="54">
        <f>H38*I38</f>
        <v>4356</v>
      </c>
      <c r="L38" s="54">
        <f>K38*0.1</f>
        <v>435.6</v>
      </c>
      <c r="M38" s="54">
        <f>K38*0.05</f>
        <v>217.8</v>
      </c>
      <c r="N38" s="46">
        <f>(J38*'Labor Data'!$K$10)+(K38*'Labor Data'!$K$9)+(L38*'Labor Data'!$K$11)+(M38*'Labor Data'!$K$8)</f>
        <v>413631.603</v>
      </c>
      <c r="O38" s="46">
        <f>D38*F38*I38</f>
        <v>0</v>
      </c>
      <c r="P38" s="54">
        <v>0</v>
      </c>
      <c r="Q38" s="86"/>
      <c r="R38" s="52" t="s">
        <v>226</v>
      </c>
    </row>
    <row r="39" spans="1:19" s="45" customFormat="1" ht="9" x14ac:dyDescent="0.15">
      <c r="B39" s="79" t="s">
        <v>228</v>
      </c>
      <c r="C39" s="342">
        <v>4</v>
      </c>
      <c r="D39" s="46">
        <v>0</v>
      </c>
      <c r="E39" s="46"/>
      <c r="F39" s="53">
        <v>1</v>
      </c>
      <c r="G39" s="53">
        <v>0</v>
      </c>
      <c r="H39" s="53">
        <f>C39*F39</f>
        <v>4</v>
      </c>
      <c r="I39" s="55">
        <f>'Annual # of Respondents'!G6-I38</f>
        <v>29</v>
      </c>
      <c r="J39" s="54">
        <v>0</v>
      </c>
      <c r="K39" s="54">
        <f>H39*I39</f>
        <v>116</v>
      </c>
      <c r="L39" s="54">
        <f>K39*0.1</f>
        <v>11.600000000000001</v>
      </c>
      <c r="M39" s="54">
        <f>K39*0.05</f>
        <v>5.8000000000000007</v>
      </c>
      <c r="N39" s="46">
        <f>(J39*'Labor Data'!$K$10)+(K39*'Labor Data'!$K$9)+(L39*'Labor Data'!$K$11)+(M39*'Labor Data'!$K$8)</f>
        <v>11014.983</v>
      </c>
      <c r="O39" s="46">
        <f>D39*F39*I39</f>
        <v>0</v>
      </c>
      <c r="P39" s="54">
        <v>0</v>
      </c>
      <c r="Q39" s="86"/>
      <c r="R39" s="52" t="s">
        <v>229</v>
      </c>
    </row>
    <row r="40" spans="1:19" s="45" customFormat="1" ht="9" x14ac:dyDescent="0.15">
      <c r="B40" s="56" t="s">
        <v>230</v>
      </c>
      <c r="C40" s="535" t="s">
        <v>175</v>
      </c>
      <c r="D40" s="536"/>
      <c r="E40" s="343"/>
      <c r="F40" s="53"/>
      <c r="G40" s="53"/>
      <c r="H40" s="53"/>
      <c r="I40" s="55"/>
      <c r="J40" s="54"/>
      <c r="K40" s="54"/>
      <c r="L40" s="54"/>
      <c r="M40" s="54"/>
      <c r="N40" s="46"/>
      <c r="O40" s="46"/>
      <c r="P40" s="54"/>
      <c r="Q40" s="86"/>
      <c r="R40" s="52"/>
    </row>
    <row r="41" spans="1:19" s="45" customFormat="1" ht="9" x14ac:dyDescent="0.15">
      <c r="B41" s="80" t="s">
        <v>231</v>
      </c>
      <c r="C41" s="535" t="s">
        <v>175</v>
      </c>
      <c r="D41" s="536"/>
      <c r="E41" s="343"/>
      <c r="F41" s="53"/>
      <c r="G41" s="53"/>
      <c r="H41" s="53"/>
      <c r="I41" s="55"/>
      <c r="J41" s="54"/>
      <c r="K41" s="54"/>
      <c r="L41" s="54"/>
      <c r="M41" s="54"/>
      <c r="N41" s="46"/>
      <c r="O41" s="46"/>
      <c r="P41" s="46"/>
      <c r="Q41" s="85"/>
      <c r="R41" s="52"/>
    </row>
    <row r="42" spans="1:19" s="45" customFormat="1" ht="9" x14ac:dyDescent="0.15">
      <c r="B42" s="51" t="s">
        <v>232</v>
      </c>
      <c r="C42" s="50"/>
      <c r="D42" s="49"/>
      <c r="E42" s="49"/>
      <c r="F42" s="50"/>
      <c r="G42" s="50"/>
      <c r="H42" s="50"/>
      <c r="I42" s="48"/>
      <c r="J42" s="48">
        <f>SUM(J32:J41)</f>
        <v>0</v>
      </c>
      <c r="K42" s="48">
        <f t="shared" ref="K42:Q42" si="17">SUM(K32:K41)</f>
        <v>6452</v>
      </c>
      <c r="L42" s="48">
        <f t="shared" si="17"/>
        <v>645.20000000000005</v>
      </c>
      <c r="M42" s="48">
        <f t="shared" si="17"/>
        <v>322.60000000000002</v>
      </c>
      <c r="N42" s="49">
        <f t="shared" si="17"/>
        <v>612660.951</v>
      </c>
      <c r="O42" s="49">
        <f t="shared" si="17"/>
        <v>0</v>
      </c>
      <c r="P42" s="48">
        <f t="shared" si="17"/>
        <v>0</v>
      </c>
      <c r="Q42" s="49">
        <f t="shared" si="17"/>
        <v>0</v>
      </c>
      <c r="R42" s="47"/>
      <c r="S42" s="46">
        <f>SUM(S32:S41)</f>
        <v>0</v>
      </c>
    </row>
    <row r="43" spans="1:19" s="37" customFormat="1" x14ac:dyDescent="0.2">
      <c r="B43" s="44" t="s">
        <v>233</v>
      </c>
      <c r="C43" s="42"/>
      <c r="D43" s="43"/>
      <c r="E43" s="43"/>
      <c r="F43" s="42"/>
      <c r="G43" s="42"/>
      <c r="H43" s="42"/>
      <c r="I43" s="41"/>
      <c r="J43" s="39">
        <f t="shared" ref="J43:Q43" si="18">J30+J42</f>
        <v>21648</v>
      </c>
      <c r="K43" s="39">
        <f t="shared" si="18"/>
        <v>7959</v>
      </c>
      <c r="L43" s="39">
        <f t="shared" si="18"/>
        <v>795.90000000000009</v>
      </c>
      <c r="M43" s="39">
        <f t="shared" si="18"/>
        <v>397.95000000000005</v>
      </c>
      <c r="N43" s="40">
        <f t="shared" si="18"/>
        <v>1835000.1652500005</v>
      </c>
      <c r="O43" s="40">
        <f>O30+O42</f>
        <v>226491.70628642966</v>
      </c>
      <c r="P43" s="39">
        <f>P30+P42</f>
        <v>69.8</v>
      </c>
      <c r="Q43" s="40">
        <f t="shared" si="18"/>
        <v>28134</v>
      </c>
      <c r="R43" s="38"/>
    </row>
    <row r="44" spans="1:19" ht="39" customHeight="1" x14ac:dyDescent="0.2"/>
    <row r="45" spans="1:19" s="34" customFormat="1" ht="12.75" customHeight="1" x14ac:dyDescent="0.15">
      <c r="A45" s="74" t="s">
        <v>234</v>
      </c>
      <c r="B45" s="78"/>
      <c r="C45" s="78"/>
      <c r="D45" s="78"/>
      <c r="E45" s="78"/>
      <c r="F45" s="78"/>
      <c r="G45" s="78"/>
      <c r="H45" s="78"/>
      <c r="I45" s="78"/>
      <c r="J45" s="78"/>
      <c r="K45" s="78"/>
      <c r="L45" s="78"/>
      <c r="M45" s="78"/>
      <c r="N45" s="78"/>
      <c r="O45" s="78"/>
      <c r="P45" s="78"/>
      <c r="Q45" s="78"/>
      <c r="R45" s="35"/>
    </row>
    <row r="46" spans="1:19" s="34" customFormat="1" ht="9" customHeight="1" x14ac:dyDescent="0.15">
      <c r="A46" s="73" t="s">
        <v>235</v>
      </c>
      <c r="B46" s="273" t="s">
        <v>236</v>
      </c>
    </row>
    <row r="47" spans="1:19" s="34" customFormat="1" ht="19.5" customHeight="1" x14ac:dyDescent="0.15">
      <c r="A47" s="73" t="s">
        <v>237</v>
      </c>
      <c r="B47" s="610" t="s">
        <v>238</v>
      </c>
      <c r="C47" s="610"/>
      <c r="D47" s="610"/>
      <c r="E47" s="610"/>
      <c r="F47" s="610"/>
      <c r="G47" s="610"/>
      <c r="H47" s="610"/>
      <c r="I47" s="610"/>
      <c r="J47" s="610"/>
      <c r="K47" s="610"/>
      <c r="L47" s="610"/>
      <c r="M47" s="610"/>
      <c r="N47" s="610"/>
      <c r="O47" s="610"/>
      <c r="P47" s="610"/>
      <c r="Q47" s="610"/>
      <c r="R47" s="610"/>
    </row>
    <row r="48" spans="1:19" s="34" customFormat="1" ht="9" customHeight="1" x14ac:dyDescent="0.15">
      <c r="A48" s="73" t="s">
        <v>239</v>
      </c>
      <c r="B48" s="69" t="s">
        <v>240</v>
      </c>
    </row>
    <row r="49" spans="1:19" s="34" customFormat="1" ht="9" x14ac:dyDescent="0.15">
      <c r="A49" s="73" t="s">
        <v>179</v>
      </c>
      <c r="B49" s="69" t="s">
        <v>1365</v>
      </c>
      <c r="C49" s="345"/>
      <c r="D49" s="345"/>
      <c r="E49" s="345"/>
      <c r="F49" s="345"/>
      <c r="G49" s="345"/>
      <c r="H49" s="345"/>
      <c r="I49" s="345"/>
      <c r="J49" s="345"/>
      <c r="K49" s="345"/>
      <c r="L49" s="345"/>
      <c r="M49" s="345"/>
      <c r="N49" s="345"/>
      <c r="O49" s="345"/>
      <c r="P49" s="345"/>
      <c r="Q49" s="345"/>
      <c r="R49" s="345"/>
    </row>
    <row r="50" spans="1:19" s="34" customFormat="1" ht="32.25" customHeight="1" x14ac:dyDescent="0.15">
      <c r="A50" s="73" t="s">
        <v>242</v>
      </c>
      <c r="B50" s="610" t="s">
        <v>243</v>
      </c>
      <c r="C50" s="610"/>
      <c r="D50" s="610"/>
      <c r="E50" s="610"/>
      <c r="F50" s="610"/>
      <c r="G50" s="610"/>
      <c r="H50" s="610"/>
      <c r="I50" s="610"/>
      <c r="J50" s="610"/>
      <c r="K50" s="610"/>
      <c r="L50" s="610"/>
      <c r="M50" s="610"/>
      <c r="N50" s="610"/>
      <c r="O50" s="610"/>
      <c r="P50" s="610"/>
      <c r="Q50" s="610"/>
      <c r="R50" s="610"/>
      <c r="S50" s="610"/>
    </row>
    <row r="51" spans="1:19" s="34" customFormat="1" ht="9" x14ac:dyDescent="0.15">
      <c r="A51" s="73" t="s">
        <v>204</v>
      </c>
      <c r="B51" s="34" t="s">
        <v>1366</v>
      </c>
    </row>
    <row r="52" spans="1:19" s="34" customFormat="1" ht="39" customHeight="1" x14ac:dyDescent="0.15">
      <c r="A52" s="73" t="s">
        <v>245</v>
      </c>
      <c r="B52" s="610" t="s">
        <v>1367</v>
      </c>
      <c r="C52" s="610"/>
      <c r="D52" s="610"/>
      <c r="E52" s="610"/>
      <c r="F52" s="610"/>
      <c r="G52" s="610"/>
      <c r="H52" s="610"/>
      <c r="I52" s="610"/>
      <c r="J52" s="610"/>
      <c r="K52" s="610"/>
      <c r="L52" s="610"/>
      <c r="M52" s="610"/>
      <c r="N52" s="610"/>
      <c r="O52" s="610"/>
      <c r="P52" s="610"/>
      <c r="Q52" s="610"/>
      <c r="R52" s="610"/>
      <c r="S52" s="610"/>
    </row>
    <row r="53" spans="1:19" s="34" customFormat="1" ht="9" x14ac:dyDescent="0.15">
      <c r="A53" s="73" t="s">
        <v>192</v>
      </c>
      <c r="B53" s="610" t="s">
        <v>1368</v>
      </c>
      <c r="C53" s="610"/>
      <c r="D53" s="610"/>
      <c r="E53" s="610"/>
      <c r="F53" s="610"/>
      <c r="G53" s="610"/>
      <c r="H53" s="610"/>
      <c r="I53" s="610"/>
      <c r="J53" s="610"/>
      <c r="K53" s="610"/>
      <c r="L53" s="610"/>
      <c r="M53" s="610"/>
      <c r="N53" s="610"/>
      <c r="O53" s="610"/>
      <c r="P53" s="610"/>
      <c r="Q53" s="610"/>
      <c r="R53" s="610"/>
    </row>
    <row r="54" spans="1:19" s="34" customFormat="1" ht="9" customHeight="1" x14ac:dyDescent="0.15">
      <c r="A54" s="73" t="s">
        <v>194</v>
      </c>
      <c r="B54" s="34" t="s">
        <v>248</v>
      </c>
      <c r="C54" s="75"/>
      <c r="D54" s="75"/>
      <c r="E54" s="75"/>
      <c r="F54" s="75"/>
      <c r="G54" s="75"/>
      <c r="H54" s="75"/>
      <c r="I54" s="75"/>
      <c r="J54" s="75"/>
      <c r="K54" s="75"/>
      <c r="L54" s="75"/>
      <c r="M54" s="75"/>
      <c r="P54" s="33"/>
      <c r="Q54" s="33"/>
      <c r="R54" s="35"/>
    </row>
    <row r="55" spans="1:19" s="34" customFormat="1" ht="10.5" customHeight="1" x14ac:dyDescent="0.15">
      <c r="A55" s="73" t="s">
        <v>196</v>
      </c>
      <c r="B55" s="34" t="s">
        <v>1369</v>
      </c>
      <c r="C55" s="35"/>
      <c r="D55" s="35"/>
      <c r="E55" s="35"/>
      <c r="F55" s="35"/>
      <c r="G55" s="35"/>
      <c r="H55" s="35"/>
      <c r="I55" s="36"/>
      <c r="J55" s="35"/>
      <c r="K55" s="35"/>
      <c r="L55" s="35"/>
      <c r="M55" s="35"/>
      <c r="P55" s="33"/>
      <c r="Q55" s="33"/>
      <c r="R55" s="35"/>
    </row>
    <row r="56" spans="1:19" s="34" customFormat="1" ht="9" customHeight="1" x14ac:dyDescent="0.15">
      <c r="A56" s="73" t="s">
        <v>250</v>
      </c>
      <c r="B56" s="274" t="s">
        <v>1360</v>
      </c>
      <c r="C56" s="35"/>
      <c r="D56" s="35"/>
      <c r="E56" s="35"/>
      <c r="F56" s="35"/>
      <c r="G56" s="35"/>
      <c r="H56" s="35"/>
      <c r="I56" s="36"/>
      <c r="J56" s="35"/>
      <c r="K56" s="35"/>
      <c r="L56" s="35"/>
      <c r="M56" s="35"/>
      <c r="P56" s="33"/>
      <c r="Q56" s="33"/>
      <c r="R56" s="35"/>
    </row>
    <row r="57" spans="1:19" s="34" customFormat="1" ht="9" x14ac:dyDescent="0.15">
      <c r="A57" s="73" t="s">
        <v>200</v>
      </c>
      <c r="B57" s="69" t="s">
        <v>352</v>
      </c>
      <c r="C57" s="35"/>
      <c r="D57" s="35"/>
      <c r="E57" s="35"/>
      <c r="F57" s="35"/>
      <c r="G57" s="35"/>
      <c r="H57" s="35"/>
      <c r="I57" s="36"/>
      <c r="J57" s="35"/>
      <c r="K57" s="35"/>
      <c r="L57" s="35"/>
      <c r="M57" s="35"/>
      <c r="P57" s="33"/>
      <c r="Q57" s="33"/>
      <c r="R57" s="35"/>
    </row>
    <row r="58" spans="1:19" s="34" customFormat="1" ht="9" x14ac:dyDescent="0.15">
      <c r="A58" s="73" t="s">
        <v>253</v>
      </c>
      <c r="B58" s="34" t="s">
        <v>254</v>
      </c>
      <c r="P58" s="33"/>
      <c r="Q58" s="33"/>
      <c r="R58" s="35"/>
    </row>
    <row r="59" spans="1:19" s="34" customFormat="1" ht="9" x14ac:dyDescent="0.15">
      <c r="A59" s="73" t="s">
        <v>206</v>
      </c>
      <c r="B59" s="34" t="s">
        <v>255</v>
      </c>
      <c r="P59" s="33"/>
      <c r="Q59" s="33"/>
      <c r="R59" s="35"/>
    </row>
    <row r="60" spans="1:19" s="34" customFormat="1" ht="21" customHeight="1" x14ac:dyDescent="0.15">
      <c r="A60" s="272" t="s">
        <v>210</v>
      </c>
      <c r="B60" s="610" t="s">
        <v>1370</v>
      </c>
      <c r="C60" s="610"/>
      <c r="D60" s="610"/>
      <c r="E60" s="610"/>
      <c r="F60" s="610"/>
      <c r="G60" s="610"/>
      <c r="H60" s="610"/>
      <c r="I60" s="610"/>
      <c r="J60" s="610"/>
      <c r="K60" s="610"/>
      <c r="L60" s="610"/>
      <c r="M60" s="610"/>
      <c r="N60" s="610"/>
      <c r="O60" s="610"/>
      <c r="P60" s="610"/>
      <c r="Q60" s="610"/>
      <c r="R60" s="610"/>
    </row>
    <row r="61" spans="1:19" s="34" customFormat="1" ht="24" customHeight="1" x14ac:dyDescent="0.15">
      <c r="A61" s="272" t="s">
        <v>226</v>
      </c>
      <c r="B61" s="610" t="s">
        <v>1371</v>
      </c>
      <c r="C61" s="610"/>
      <c r="D61" s="610"/>
      <c r="E61" s="610"/>
      <c r="F61" s="610"/>
      <c r="G61" s="610"/>
      <c r="H61" s="610"/>
      <c r="I61" s="610"/>
      <c r="J61" s="610"/>
      <c r="K61" s="610"/>
      <c r="L61" s="610"/>
      <c r="M61" s="610"/>
      <c r="N61" s="610"/>
      <c r="O61" s="610"/>
      <c r="P61" s="610"/>
      <c r="Q61" s="610"/>
      <c r="R61" s="610"/>
    </row>
    <row r="62" spans="1:19" s="34" customFormat="1" ht="9" x14ac:dyDescent="0.15">
      <c r="A62" s="272" t="s">
        <v>229</v>
      </c>
      <c r="B62" s="69" t="s">
        <v>1372</v>
      </c>
      <c r="C62" s="345"/>
      <c r="D62" s="345"/>
      <c r="E62" s="345"/>
      <c r="F62" s="345"/>
      <c r="G62" s="345"/>
      <c r="H62" s="345"/>
      <c r="I62" s="345"/>
      <c r="J62" s="345"/>
      <c r="K62" s="345"/>
      <c r="L62" s="345"/>
      <c r="M62" s="345"/>
      <c r="N62" s="345"/>
      <c r="O62" s="345"/>
      <c r="P62" s="345"/>
      <c r="Q62" s="345"/>
    </row>
    <row r="63" spans="1:19" s="34" customFormat="1" ht="27" customHeight="1" x14ac:dyDescent="0.15">
      <c r="A63" s="353" t="s">
        <v>212</v>
      </c>
      <c r="B63" s="532" t="s">
        <v>259</v>
      </c>
      <c r="C63" s="532"/>
      <c r="D63" s="532"/>
      <c r="E63" s="532"/>
      <c r="F63" s="532"/>
      <c r="G63" s="532"/>
      <c r="H63" s="532"/>
      <c r="I63" s="532"/>
      <c r="J63" s="532"/>
      <c r="K63" s="532"/>
      <c r="L63" s="532"/>
      <c r="M63" s="532"/>
      <c r="N63" s="532"/>
      <c r="O63" s="532"/>
      <c r="P63" s="532"/>
      <c r="Q63" s="532"/>
      <c r="R63" s="532"/>
    </row>
    <row r="64" spans="1:19" s="34" customFormat="1" ht="9" x14ac:dyDescent="0.15">
      <c r="A64" s="73" t="s">
        <v>216</v>
      </c>
      <c r="B64" s="609" t="s">
        <v>260</v>
      </c>
      <c r="C64" s="609"/>
      <c r="D64" s="609"/>
      <c r="E64" s="609"/>
      <c r="F64" s="609"/>
      <c r="G64" s="609"/>
      <c r="H64" s="609"/>
      <c r="I64" s="609"/>
      <c r="J64" s="609"/>
      <c r="K64" s="609"/>
      <c r="L64" s="609"/>
      <c r="M64" s="609"/>
      <c r="N64" s="609"/>
      <c r="O64" s="609"/>
      <c r="P64" s="609"/>
      <c r="Q64" s="609"/>
      <c r="R64" s="609"/>
    </row>
    <row r="65" spans="3:18" s="34" customFormat="1" ht="9" x14ac:dyDescent="0.15">
      <c r="C65" s="35"/>
      <c r="D65" s="35"/>
      <c r="E65" s="35"/>
      <c r="F65" s="35"/>
      <c r="G65" s="35"/>
      <c r="H65" s="35"/>
      <c r="I65" s="36"/>
      <c r="J65" s="35"/>
      <c r="K65" s="35"/>
      <c r="L65" s="35"/>
      <c r="M65" s="35"/>
      <c r="N65" s="35"/>
      <c r="O65" s="33"/>
      <c r="P65" s="33"/>
      <c r="Q65" s="33"/>
      <c r="R65" s="35"/>
    </row>
    <row r="66" spans="3:18" s="34" customFormat="1" ht="9" x14ac:dyDescent="0.15">
      <c r="C66" s="35"/>
      <c r="D66" s="35"/>
      <c r="E66" s="35"/>
      <c r="F66" s="35"/>
      <c r="G66" s="35"/>
      <c r="H66" s="35"/>
      <c r="I66" s="36"/>
      <c r="J66" s="35"/>
      <c r="K66" s="35"/>
      <c r="L66" s="35"/>
      <c r="M66" s="35"/>
      <c r="N66" s="35"/>
      <c r="O66" s="33"/>
      <c r="P66" s="33"/>
      <c r="Q66" s="33"/>
      <c r="R66" s="35"/>
    </row>
    <row r="67" spans="3:18" s="34" customFormat="1" ht="9" x14ac:dyDescent="0.15">
      <c r="C67" s="35"/>
      <c r="D67" s="35"/>
      <c r="E67" s="35"/>
      <c r="F67" s="35"/>
      <c r="G67" s="35"/>
      <c r="H67" s="35"/>
      <c r="I67" s="36"/>
      <c r="J67" s="35"/>
      <c r="K67" s="35"/>
      <c r="L67" s="35"/>
      <c r="M67" s="35"/>
      <c r="N67" s="35"/>
      <c r="O67" s="33"/>
      <c r="P67" s="33"/>
      <c r="Q67" s="33"/>
      <c r="R67" s="35"/>
    </row>
    <row r="68" spans="3:18" s="34" customFormat="1" ht="9" x14ac:dyDescent="0.15">
      <c r="C68" s="35"/>
      <c r="D68" s="35"/>
      <c r="E68" s="35"/>
      <c r="F68" s="35"/>
      <c r="G68" s="35"/>
      <c r="H68" s="35"/>
      <c r="I68" s="36"/>
      <c r="J68" s="35"/>
      <c r="K68" s="35"/>
      <c r="L68" s="35"/>
      <c r="M68" s="35"/>
      <c r="N68" s="35"/>
      <c r="O68" s="33"/>
      <c r="P68" s="33"/>
      <c r="Q68" s="33"/>
      <c r="R68" s="35"/>
    </row>
    <row r="69" spans="3:18" s="34" customFormat="1" ht="9" x14ac:dyDescent="0.15">
      <c r="C69" s="35"/>
      <c r="D69" s="35"/>
      <c r="E69" s="35"/>
      <c r="F69" s="35"/>
      <c r="G69" s="35"/>
      <c r="H69" s="35"/>
      <c r="I69" s="36"/>
      <c r="J69" s="35"/>
      <c r="K69" s="35"/>
      <c r="L69" s="35"/>
      <c r="M69" s="35"/>
      <c r="N69" s="35"/>
      <c r="O69" s="33"/>
      <c r="P69" s="33"/>
      <c r="Q69" s="33"/>
      <c r="R69" s="35"/>
    </row>
    <row r="70" spans="3:18" s="34" customFormat="1" ht="9" x14ac:dyDescent="0.15">
      <c r="C70" s="35"/>
      <c r="D70" s="35"/>
      <c r="E70" s="35"/>
      <c r="F70" s="35"/>
      <c r="G70" s="35"/>
      <c r="H70" s="35"/>
      <c r="I70" s="36"/>
      <c r="J70" s="35"/>
      <c r="K70" s="35"/>
      <c r="L70" s="35"/>
      <c r="M70" s="35"/>
      <c r="N70" s="35"/>
      <c r="O70" s="33"/>
      <c r="P70" s="33"/>
      <c r="Q70" s="33"/>
      <c r="R70" s="35"/>
    </row>
    <row r="71" spans="3:18" s="34" customFormat="1" ht="9" x14ac:dyDescent="0.15">
      <c r="C71" s="35"/>
      <c r="D71" s="35"/>
      <c r="E71" s="35"/>
      <c r="F71" s="35"/>
      <c r="G71" s="35"/>
      <c r="H71" s="35"/>
      <c r="I71" s="36"/>
      <c r="J71" s="35"/>
      <c r="K71" s="35"/>
      <c r="L71" s="35"/>
      <c r="M71" s="35"/>
      <c r="N71" s="35"/>
      <c r="O71" s="33"/>
      <c r="P71" s="33"/>
      <c r="Q71" s="33"/>
      <c r="R71" s="35"/>
    </row>
    <row r="72" spans="3:18" s="34" customFormat="1" ht="9" x14ac:dyDescent="0.15">
      <c r="C72" s="35"/>
      <c r="D72" s="35"/>
      <c r="E72" s="35"/>
      <c r="F72" s="35"/>
      <c r="G72" s="35"/>
      <c r="H72" s="35"/>
      <c r="I72" s="36"/>
      <c r="J72" s="35"/>
      <c r="K72" s="35"/>
      <c r="L72" s="35"/>
      <c r="M72" s="35"/>
      <c r="N72" s="35"/>
      <c r="O72" s="33"/>
      <c r="P72" s="33"/>
      <c r="Q72" s="33"/>
      <c r="R72" s="35"/>
    </row>
    <row r="73" spans="3:18" s="34" customFormat="1" ht="9" x14ac:dyDescent="0.15">
      <c r="C73" s="35"/>
      <c r="D73" s="35"/>
      <c r="E73" s="35"/>
      <c r="F73" s="35"/>
      <c r="G73" s="35"/>
      <c r="H73" s="35"/>
      <c r="I73" s="36"/>
      <c r="J73" s="35"/>
      <c r="K73" s="35"/>
      <c r="L73" s="35"/>
      <c r="M73" s="35"/>
      <c r="N73" s="35"/>
      <c r="O73" s="33"/>
      <c r="P73" s="33"/>
      <c r="Q73" s="33"/>
      <c r="R73" s="35"/>
    </row>
    <row r="74" spans="3:18" s="34" customFormat="1" ht="9" x14ac:dyDescent="0.15">
      <c r="C74" s="35"/>
      <c r="D74" s="35"/>
      <c r="E74" s="35"/>
      <c r="F74" s="35"/>
      <c r="G74" s="35"/>
      <c r="H74" s="35"/>
      <c r="I74" s="36"/>
      <c r="J74" s="35"/>
      <c r="K74" s="35"/>
      <c r="L74" s="35"/>
      <c r="M74" s="35"/>
      <c r="N74" s="35"/>
      <c r="O74" s="33"/>
      <c r="P74" s="33"/>
      <c r="Q74" s="33"/>
      <c r="R74" s="35"/>
    </row>
    <row r="75" spans="3:18" s="34" customFormat="1" ht="9" x14ac:dyDescent="0.15">
      <c r="C75" s="35"/>
      <c r="D75" s="35"/>
      <c r="E75" s="35"/>
      <c r="F75" s="35"/>
      <c r="G75" s="35"/>
      <c r="H75" s="35"/>
      <c r="I75" s="36"/>
      <c r="J75" s="35"/>
      <c r="K75" s="35"/>
      <c r="L75" s="35"/>
      <c r="M75" s="35"/>
      <c r="N75" s="35"/>
      <c r="O75" s="33"/>
      <c r="P75" s="33"/>
      <c r="Q75" s="33"/>
      <c r="R75" s="35"/>
    </row>
    <row r="76" spans="3:18" s="34" customFormat="1" ht="9" x14ac:dyDescent="0.15">
      <c r="C76" s="35"/>
      <c r="D76" s="35"/>
      <c r="E76" s="35"/>
      <c r="F76" s="35"/>
      <c r="G76" s="35"/>
      <c r="H76" s="35"/>
      <c r="I76" s="36"/>
      <c r="J76" s="35"/>
      <c r="K76" s="35"/>
      <c r="L76" s="35"/>
      <c r="M76" s="35"/>
      <c r="N76" s="35"/>
      <c r="O76" s="33"/>
      <c r="P76" s="33"/>
      <c r="Q76" s="33"/>
      <c r="R76" s="35"/>
    </row>
    <row r="77" spans="3:18" s="34" customFormat="1" ht="9" x14ac:dyDescent="0.15">
      <c r="C77" s="35"/>
      <c r="D77" s="35"/>
      <c r="E77" s="35"/>
      <c r="F77" s="35"/>
      <c r="G77" s="35"/>
      <c r="H77" s="35"/>
      <c r="I77" s="36"/>
      <c r="J77" s="35"/>
      <c r="K77" s="35"/>
      <c r="L77" s="35"/>
      <c r="M77" s="35"/>
      <c r="N77" s="35"/>
      <c r="O77" s="33"/>
      <c r="P77" s="33"/>
      <c r="Q77" s="33"/>
      <c r="R77" s="35"/>
    </row>
    <row r="78" spans="3:18" s="34" customFormat="1" ht="9" x14ac:dyDescent="0.15">
      <c r="C78" s="35"/>
      <c r="D78" s="35"/>
      <c r="E78" s="35"/>
      <c r="F78" s="35"/>
      <c r="G78" s="35"/>
      <c r="H78" s="35"/>
      <c r="I78" s="36"/>
      <c r="J78" s="35"/>
      <c r="K78" s="35"/>
      <c r="L78" s="35"/>
      <c r="M78" s="35"/>
      <c r="N78" s="35"/>
      <c r="O78" s="33"/>
      <c r="P78" s="33"/>
      <c r="Q78" s="33"/>
      <c r="R78" s="35"/>
    </row>
    <row r="79" spans="3:18" s="34" customFormat="1" ht="9" x14ac:dyDescent="0.15">
      <c r="C79" s="35"/>
      <c r="D79" s="35"/>
      <c r="E79" s="35"/>
      <c r="F79" s="35"/>
      <c r="G79" s="35"/>
      <c r="H79" s="35"/>
      <c r="I79" s="36"/>
      <c r="J79" s="35"/>
      <c r="K79" s="35"/>
      <c r="L79" s="35"/>
      <c r="M79" s="35"/>
      <c r="N79" s="35"/>
      <c r="O79" s="33"/>
      <c r="P79" s="33"/>
      <c r="Q79" s="33"/>
      <c r="R79" s="35"/>
    </row>
    <row r="80" spans="3:18" s="34" customFormat="1" x14ac:dyDescent="0.2">
      <c r="C80" s="35"/>
      <c r="D80" s="35"/>
      <c r="E80" s="35"/>
      <c r="F80" s="35"/>
      <c r="G80" s="35"/>
      <c r="H80" s="35"/>
      <c r="I80" s="36"/>
      <c r="J80" s="35"/>
      <c r="K80" s="35"/>
      <c r="L80" s="35"/>
      <c r="M80" s="35"/>
      <c r="N80" s="35"/>
      <c r="O80" s="33"/>
      <c r="P80" s="33"/>
      <c r="Q80" s="33"/>
      <c r="R80" s="30"/>
    </row>
    <row r="81" spans="3:18" s="34" customFormat="1" x14ac:dyDescent="0.2">
      <c r="C81" s="35"/>
      <c r="D81" s="35"/>
      <c r="E81" s="35"/>
      <c r="F81" s="35"/>
      <c r="G81" s="30"/>
      <c r="H81" s="35"/>
      <c r="I81" s="36"/>
      <c r="J81" s="30"/>
      <c r="K81" s="35"/>
      <c r="L81" s="35"/>
      <c r="M81" s="35"/>
      <c r="N81" s="35"/>
      <c r="O81" s="33"/>
      <c r="P81" s="33"/>
      <c r="Q81" s="33"/>
      <c r="R81" s="30"/>
    </row>
    <row r="82" spans="3:18" x14ac:dyDescent="0.2">
      <c r="P82" s="33"/>
      <c r="Q82" s="33"/>
    </row>
    <row r="83" spans="3:18" x14ac:dyDescent="0.2">
      <c r="P83" s="33"/>
      <c r="Q83" s="33"/>
    </row>
  </sheetData>
  <mergeCells count="22">
    <mergeCell ref="B1:R1"/>
    <mergeCell ref="B2:R2"/>
    <mergeCell ref="B53:R53"/>
    <mergeCell ref="B47:R47"/>
    <mergeCell ref="C5:D5"/>
    <mergeCell ref="C12:D12"/>
    <mergeCell ref="C13:D13"/>
    <mergeCell ref="C23:D23"/>
    <mergeCell ref="C24:D24"/>
    <mergeCell ref="C32:D32"/>
    <mergeCell ref="C33:D33"/>
    <mergeCell ref="C34:D34"/>
    <mergeCell ref="C35:D35"/>
    <mergeCell ref="C40:D40"/>
    <mergeCell ref="C41:D41"/>
    <mergeCell ref="B52:S52"/>
    <mergeCell ref="B64:R64"/>
    <mergeCell ref="B50:S50"/>
    <mergeCell ref="B61:R61"/>
    <mergeCell ref="B60:R60"/>
    <mergeCell ref="C4:D4"/>
    <mergeCell ref="B63:R63"/>
  </mergeCells>
  <pageMargins left="0.25" right="0.25" top="0.5" bottom="0.5" header="0.5" footer="0.5"/>
  <pageSetup scale="6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T83"/>
  <sheetViews>
    <sheetView zoomScale="115" zoomScaleNormal="115" zoomScaleSheetLayoutView="100" workbookViewId="0">
      <selection activeCell="F6" sqref="F6"/>
    </sheetView>
  </sheetViews>
  <sheetFormatPr defaultColWidth="9.140625" defaultRowHeight="11.25" x14ac:dyDescent="0.2"/>
  <cols>
    <col min="1" max="1" width="2" style="29" customWidth="1"/>
    <col min="2" max="2" width="36.7109375" style="29" customWidth="1"/>
    <col min="3" max="3" width="8.85546875" style="30" bestFit="1" customWidth="1"/>
    <col min="4" max="5" width="7.85546875" style="30" customWidth="1"/>
    <col min="6" max="6" width="19.42578125" style="30" customWidth="1"/>
    <col min="7" max="7" width="9.28515625" style="30" customWidth="1"/>
    <col min="8" max="8" width="8.28515625" style="30" customWidth="1"/>
    <col min="9" max="9" width="9.42578125" style="32" bestFit="1" customWidth="1"/>
    <col min="10" max="10" width="7.42578125" style="30" customWidth="1"/>
    <col min="11" max="12" width="6.85546875" style="30" bestFit="1" customWidth="1"/>
    <col min="13" max="13" width="8" style="30" customWidth="1"/>
    <col min="14" max="14" width="8.42578125" style="30" customWidth="1"/>
    <col min="15" max="15" width="10.140625" style="31" bestFit="1" customWidth="1"/>
    <col min="16" max="16" width="10" style="31" bestFit="1" customWidth="1"/>
    <col min="17" max="17" width="10" style="31" customWidth="1"/>
    <col min="18" max="18" width="4.42578125" style="30" bestFit="1" customWidth="1"/>
    <col min="19" max="19" width="0.140625" style="29" customWidth="1"/>
    <col min="20" max="16384" width="9.140625" style="29"/>
  </cols>
  <sheetData>
    <row r="1" spans="2:20" x14ac:dyDescent="0.2">
      <c r="B1" s="537" t="s">
        <v>1373</v>
      </c>
      <c r="C1" s="537"/>
      <c r="D1" s="537"/>
      <c r="E1" s="537"/>
      <c r="F1" s="537"/>
      <c r="G1" s="537"/>
      <c r="H1" s="537"/>
      <c r="I1" s="537"/>
      <c r="J1" s="537"/>
      <c r="K1" s="537"/>
      <c r="L1" s="537"/>
      <c r="M1" s="537"/>
      <c r="N1" s="537"/>
      <c r="O1" s="537"/>
      <c r="P1" s="537"/>
      <c r="Q1" s="537"/>
      <c r="R1" s="537"/>
    </row>
    <row r="2" spans="2:20" x14ac:dyDescent="0.2">
      <c r="B2" s="538" t="s">
        <v>1374</v>
      </c>
      <c r="C2" s="538"/>
      <c r="D2" s="538"/>
      <c r="E2" s="538"/>
      <c r="F2" s="538"/>
      <c r="G2" s="538"/>
      <c r="H2" s="538"/>
      <c r="I2" s="538"/>
      <c r="J2" s="538"/>
      <c r="K2" s="538"/>
      <c r="L2" s="538"/>
      <c r="M2" s="538"/>
      <c r="N2" s="538"/>
      <c r="O2" s="538"/>
      <c r="P2" s="538"/>
      <c r="Q2" s="538"/>
      <c r="R2" s="538"/>
    </row>
    <row r="3" spans="2:20" s="66" customFormat="1" ht="66.75" customHeight="1" x14ac:dyDescent="0.15">
      <c r="B3" s="68" t="s">
        <v>156</v>
      </c>
      <c r="C3" s="68" t="s">
        <v>157</v>
      </c>
      <c r="D3" s="68" t="s">
        <v>158</v>
      </c>
      <c r="E3" s="68" t="s">
        <v>159</v>
      </c>
      <c r="F3" s="68" t="s">
        <v>160</v>
      </c>
      <c r="G3" s="68" t="s">
        <v>161</v>
      </c>
      <c r="H3" s="68" t="s">
        <v>162</v>
      </c>
      <c r="I3" s="76" t="s">
        <v>163</v>
      </c>
      <c r="J3" s="77" t="s">
        <v>164</v>
      </c>
      <c r="K3" s="77" t="s">
        <v>165</v>
      </c>
      <c r="L3" s="77" t="s">
        <v>166</v>
      </c>
      <c r="M3" s="77" t="s">
        <v>167</v>
      </c>
      <c r="N3" s="68" t="s">
        <v>168</v>
      </c>
      <c r="O3" s="77" t="s">
        <v>169</v>
      </c>
      <c r="P3" s="77" t="s">
        <v>170</v>
      </c>
      <c r="Q3" s="77" t="s">
        <v>171</v>
      </c>
      <c r="R3" s="67" t="s">
        <v>172</v>
      </c>
      <c r="S3" s="66" t="s">
        <v>173</v>
      </c>
    </row>
    <row r="4" spans="2:20" s="45" customFormat="1" ht="68.25" customHeight="1" x14ac:dyDescent="0.15">
      <c r="B4" s="65" t="s">
        <v>174</v>
      </c>
      <c r="C4" s="539" t="s">
        <v>175</v>
      </c>
      <c r="D4" s="540"/>
      <c r="E4" s="344"/>
      <c r="F4" s="63"/>
      <c r="G4" s="63"/>
      <c r="H4" s="63"/>
      <c r="I4" s="64"/>
      <c r="J4" s="64"/>
      <c r="K4" s="64"/>
      <c r="L4" s="64"/>
      <c r="M4" s="64"/>
      <c r="N4" s="62"/>
      <c r="O4" s="62"/>
      <c r="P4" s="62"/>
      <c r="Q4" s="84"/>
      <c r="R4" s="61"/>
    </row>
    <row r="5" spans="2:20" s="45" customFormat="1" ht="9" x14ac:dyDescent="0.15">
      <c r="B5" s="56" t="s">
        <v>176</v>
      </c>
      <c r="C5" s="535" t="s">
        <v>175</v>
      </c>
      <c r="D5" s="536"/>
      <c r="E5" s="343"/>
      <c r="F5" s="53"/>
      <c r="G5" s="53"/>
      <c r="H5" s="53"/>
      <c r="I5" s="54"/>
      <c r="J5" s="54"/>
      <c r="K5" s="54"/>
      <c r="L5" s="54"/>
      <c r="M5" s="54"/>
      <c r="N5" s="46"/>
      <c r="O5" s="46"/>
      <c r="P5" s="46"/>
      <c r="Q5" s="85"/>
      <c r="R5" s="52"/>
    </row>
    <row r="6" spans="2:20" s="45" customFormat="1" ht="9" x14ac:dyDescent="0.15">
      <c r="B6" s="56" t="s">
        <v>177</v>
      </c>
      <c r="C6" s="53"/>
      <c r="D6" s="46"/>
      <c r="E6" s="46"/>
      <c r="F6" s="53"/>
      <c r="G6" s="53"/>
      <c r="H6" s="53"/>
      <c r="I6" s="54"/>
      <c r="J6" s="54"/>
      <c r="K6" s="54"/>
      <c r="L6" s="54"/>
      <c r="M6" s="54"/>
      <c r="N6" s="46"/>
      <c r="O6" s="46"/>
      <c r="P6" s="46"/>
      <c r="Q6" s="85"/>
      <c r="R6" s="52"/>
    </row>
    <row r="7" spans="2:20" s="45" customFormat="1" ht="9" x14ac:dyDescent="0.15">
      <c r="B7" s="82" t="s">
        <v>178</v>
      </c>
      <c r="C7" s="53">
        <v>40</v>
      </c>
      <c r="D7" s="46">
        <v>0</v>
      </c>
      <c r="E7" s="46"/>
      <c r="F7" s="53">
        <v>1</v>
      </c>
      <c r="G7" s="53">
        <v>0</v>
      </c>
      <c r="H7" s="53">
        <f>C7*F7</f>
        <v>40</v>
      </c>
      <c r="I7" s="55">
        <f>'Annual # of Respondents'!J3</f>
        <v>0</v>
      </c>
      <c r="J7" s="54">
        <v>0</v>
      </c>
      <c r="K7" s="54">
        <f>H7*I7</f>
        <v>0</v>
      </c>
      <c r="L7" s="54">
        <f>K7*0.1</f>
        <v>0</v>
      </c>
      <c r="M7" s="55">
        <f>K7*0.05</f>
        <v>0</v>
      </c>
      <c r="N7" s="46">
        <f>(J7*'Labor Data'!$K$10)+(K7*'Labor Data'!$K$9)+(L7*'Labor Data'!$K$11)+(M7*'Labor Data'!$K$8)</f>
        <v>0</v>
      </c>
      <c r="O7" s="46">
        <f>D7*F7*I7</f>
        <v>0</v>
      </c>
      <c r="P7" s="54">
        <v>0</v>
      </c>
      <c r="Q7" s="86"/>
      <c r="R7" s="52" t="s">
        <v>179</v>
      </c>
    </row>
    <row r="8" spans="2:20" s="45" customFormat="1" ht="9" x14ac:dyDescent="0.15">
      <c r="B8" s="56" t="s">
        <v>180</v>
      </c>
      <c r="C8" s="53"/>
      <c r="D8" s="46"/>
      <c r="E8" s="46"/>
      <c r="F8" s="53"/>
      <c r="G8" s="53"/>
      <c r="H8" s="53"/>
      <c r="I8" s="54"/>
      <c r="J8" s="54"/>
      <c r="K8" s="54"/>
      <c r="L8" s="54"/>
      <c r="M8" s="54"/>
      <c r="N8" s="46"/>
      <c r="O8" s="46"/>
      <c r="P8" s="46"/>
      <c r="Q8" s="85"/>
      <c r="R8" s="52"/>
    </row>
    <row r="9" spans="2:20" s="45" customFormat="1" ht="9" x14ac:dyDescent="0.15">
      <c r="B9" s="82" t="s">
        <v>182</v>
      </c>
      <c r="C9" s="53">
        <v>12</v>
      </c>
      <c r="D9" s="46">
        <f>'Other Cost Basis'!D2+'Other Cost Basis'!D17+'Other Cost Basis'!D18+'Other Cost Basis'!D19</f>
        <v>1983.6594844730848</v>
      </c>
      <c r="E9" s="46">
        <f>'Other Cost Basis'!D20</f>
        <v>1000</v>
      </c>
      <c r="F9" s="53">
        <v>1</v>
      </c>
      <c r="G9" s="53">
        <v>0</v>
      </c>
      <c r="H9" s="53">
        <f>C9*F9</f>
        <v>12</v>
      </c>
      <c r="I9" s="55">
        <f>'Annual # of Respondents'!J13</f>
        <v>7</v>
      </c>
      <c r="J9" s="54">
        <v>0</v>
      </c>
      <c r="K9" s="54">
        <f>H9*I9</f>
        <v>84</v>
      </c>
      <c r="L9" s="54">
        <f>K9*0.1</f>
        <v>8.4</v>
      </c>
      <c r="M9" s="54">
        <f>K9*0.05</f>
        <v>4.2</v>
      </c>
      <c r="N9" s="46">
        <f>(J9*'Labor Data'!$K$10)+(K9*'Labor Data'!$K$9)+(L9*'Labor Data'!$K$11)+(M9*'Labor Data'!$K$8)</f>
        <v>7976.3670000000011</v>
      </c>
      <c r="O9" s="290">
        <f>'2.A-Public'!O9+(D9+E9)*F9*I9</f>
        <v>119346.37937892339</v>
      </c>
      <c r="P9" s="54">
        <f>F9*I9</f>
        <v>7</v>
      </c>
      <c r="Q9" s="86">
        <f>'Other Cost Basis'!B2+'Other Cost Basis'!B17+'Other Cost Basis'!B18+'Other Cost Basis'!B19</f>
        <v>18067</v>
      </c>
      <c r="R9" s="52" t="s">
        <v>183</v>
      </c>
    </row>
    <row r="10" spans="2:20" s="45" customFormat="1" ht="9" x14ac:dyDescent="0.15">
      <c r="B10" s="82" t="s">
        <v>184</v>
      </c>
      <c r="C10" s="72">
        <f>ROUND('Controllers NSPS acreage'!V3,0)</f>
        <v>44</v>
      </c>
      <c r="D10" s="46">
        <f>'Other Cost Basis'!B9+'Other Cost Basis'!F13+'Other Cost Basis'!F14</f>
        <v>703.5</v>
      </c>
      <c r="E10" s="46"/>
      <c r="F10" s="53">
        <v>4</v>
      </c>
      <c r="G10" s="72">
        <f>C10*F10</f>
        <v>176</v>
      </c>
      <c r="H10" s="53">
        <v>0</v>
      </c>
      <c r="I10" s="55">
        <f>'Annual # of Respondents'!J7</f>
        <v>40</v>
      </c>
      <c r="J10" s="54">
        <f>G10*I10</f>
        <v>7040</v>
      </c>
      <c r="K10" s="54">
        <v>0</v>
      </c>
      <c r="L10" s="54">
        <v>0</v>
      </c>
      <c r="M10" s="54">
        <v>0</v>
      </c>
      <c r="N10" s="46">
        <f>(J10*'Labor Data'!$K$10)+(K10*'Labor Data'!$K$9)+(L10*'Labor Data'!$K$11)+(M10*'Labor Data'!$K$8)</f>
        <v>350972.15999999997</v>
      </c>
      <c r="O10" s="46">
        <f>D10*F10*I10</f>
        <v>112560</v>
      </c>
      <c r="P10" s="54">
        <v>0</v>
      </c>
      <c r="Q10" s="86"/>
      <c r="R10" s="52" t="s">
        <v>185</v>
      </c>
    </row>
    <row r="11" spans="2:20" s="45" customFormat="1" ht="9" x14ac:dyDescent="0.15">
      <c r="B11" s="82" t="s">
        <v>186</v>
      </c>
      <c r="C11" s="295">
        <f>ROUND(2000/49.85,0)</f>
        <v>40</v>
      </c>
      <c r="D11" s="296">
        <f>'Other Cost Basis'!F15</f>
        <v>17</v>
      </c>
      <c r="E11" s="296"/>
      <c r="F11" s="53">
        <v>12</v>
      </c>
      <c r="G11" s="72">
        <f>C11*F11</f>
        <v>480</v>
      </c>
      <c r="H11" s="53">
        <v>0</v>
      </c>
      <c r="I11" s="55">
        <f>I10</f>
        <v>40</v>
      </c>
      <c r="J11" s="54">
        <f>G11*I11</f>
        <v>19200</v>
      </c>
      <c r="K11" s="54">
        <v>0</v>
      </c>
      <c r="L11" s="54">
        <v>0</v>
      </c>
      <c r="M11" s="54">
        <v>0</v>
      </c>
      <c r="N11" s="46">
        <f>(J11*'Labor Data'!$K$10)+(K11*'Labor Data'!$K$9)+(L11*'Labor Data'!$K$11)+(M11*'Labor Data'!$K$8)</f>
        <v>957196.79999999993</v>
      </c>
      <c r="O11" s="46">
        <f>D11*F11*I11</f>
        <v>8160</v>
      </c>
      <c r="P11" s="54">
        <v>1</v>
      </c>
      <c r="Q11" s="86"/>
      <c r="R11" s="52" t="s">
        <v>185</v>
      </c>
      <c r="T11" s="60"/>
    </row>
    <row r="12" spans="2:20" s="45" customFormat="1" ht="9" x14ac:dyDescent="0.15">
      <c r="B12" s="56" t="s">
        <v>187</v>
      </c>
      <c r="C12" s="535" t="s">
        <v>188</v>
      </c>
      <c r="D12" s="536"/>
      <c r="E12" s="343"/>
      <c r="F12" s="53"/>
      <c r="G12" s="53"/>
      <c r="H12" s="53"/>
      <c r="I12" s="54"/>
      <c r="J12" s="54"/>
      <c r="K12" s="54"/>
      <c r="L12" s="54"/>
      <c r="M12" s="54"/>
      <c r="N12" s="46"/>
      <c r="O12" s="46"/>
      <c r="P12" s="46"/>
      <c r="Q12" s="85"/>
      <c r="R12" s="52"/>
    </row>
    <row r="13" spans="2:20" s="45" customFormat="1" ht="9" x14ac:dyDescent="0.15">
      <c r="B13" s="56" t="s">
        <v>189</v>
      </c>
      <c r="C13" s="535" t="s">
        <v>188</v>
      </c>
      <c r="D13" s="536"/>
      <c r="E13" s="343"/>
      <c r="F13" s="53"/>
      <c r="G13" s="53"/>
      <c r="H13" s="53"/>
      <c r="I13" s="54"/>
      <c r="J13" s="54"/>
      <c r="K13" s="54"/>
      <c r="L13" s="54"/>
      <c r="M13" s="54"/>
      <c r="N13" s="46"/>
      <c r="O13" s="46"/>
      <c r="P13" s="46"/>
      <c r="Q13" s="85"/>
      <c r="R13" s="52"/>
    </row>
    <row r="14" spans="2:20" s="45" customFormat="1" ht="9" x14ac:dyDescent="0.15">
      <c r="B14" s="56" t="s">
        <v>190</v>
      </c>
      <c r="C14" s="53"/>
      <c r="D14" s="46"/>
      <c r="E14" s="46"/>
      <c r="F14" s="53"/>
      <c r="G14" s="53"/>
      <c r="H14" s="53"/>
      <c r="I14" s="54"/>
      <c r="J14" s="54"/>
      <c r="K14" s="54"/>
      <c r="L14" s="54"/>
      <c r="M14" s="54"/>
      <c r="N14" s="46"/>
      <c r="O14" s="46"/>
      <c r="P14" s="46"/>
      <c r="Q14" s="85"/>
      <c r="R14" s="52"/>
    </row>
    <row r="15" spans="2:20" s="45" customFormat="1" ht="9" x14ac:dyDescent="0.15">
      <c r="B15" s="81" t="s">
        <v>191</v>
      </c>
      <c r="C15" s="53">
        <v>2</v>
      </c>
      <c r="D15" s="46">
        <v>0</v>
      </c>
      <c r="E15" s="46"/>
      <c r="F15" s="53">
        <v>1</v>
      </c>
      <c r="G15" s="53">
        <v>0</v>
      </c>
      <c r="H15" s="53">
        <f t="shared" ref="H15:H22" si="0">C15*F15</f>
        <v>2</v>
      </c>
      <c r="I15" s="55">
        <f>'Annual # of Respondents'!I4</f>
        <v>0</v>
      </c>
      <c r="J15" s="54">
        <v>0</v>
      </c>
      <c r="K15" s="54">
        <f t="shared" ref="K15:K22" si="1">H15*I15</f>
        <v>0</v>
      </c>
      <c r="L15" s="54">
        <f t="shared" ref="L15:L22" si="2">K15*0.1</f>
        <v>0</v>
      </c>
      <c r="M15" s="54">
        <f t="shared" ref="M15:M22" si="3">K15*0.05</f>
        <v>0</v>
      </c>
      <c r="N15" s="46">
        <f>(J15*'Labor Data'!$K$10)+(K15*'Labor Data'!$K$9)+(L15*'Labor Data'!$K$11)+(M15*'Labor Data'!$K$8)</f>
        <v>0</v>
      </c>
      <c r="O15" s="46">
        <f t="shared" ref="O15:O22" si="4">D15*F15*I15</f>
        <v>0</v>
      </c>
      <c r="P15" s="54">
        <f t="shared" ref="P15:P22" si="5">F15*I15</f>
        <v>0</v>
      </c>
      <c r="Q15" s="86"/>
      <c r="R15" s="52" t="s">
        <v>192</v>
      </c>
    </row>
    <row r="16" spans="2:20" s="45" customFormat="1" ht="9" x14ac:dyDescent="0.15">
      <c r="B16" s="79" t="s">
        <v>193</v>
      </c>
      <c r="C16" s="342">
        <v>2</v>
      </c>
      <c r="D16" s="46">
        <v>0</v>
      </c>
      <c r="E16" s="46"/>
      <c r="F16" s="53">
        <v>1</v>
      </c>
      <c r="G16" s="53">
        <v>0</v>
      </c>
      <c r="H16" s="53">
        <f t="shared" si="0"/>
        <v>2</v>
      </c>
      <c r="I16" s="55">
        <f>0</f>
        <v>0</v>
      </c>
      <c r="J16" s="54">
        <v>0</v>
      </c>
      <c r="K16" s="54">
        <f t="shared" si="1"/>
        <v>0</v>
      </c>
      <c r="L16" s="54">
        <f t="shared" si="2"/>
        <v>0</v>
      </c>
      <c r="M16" s="54">
        <f t="shared" si="3"/>
        <v>0</v>
      </c>
      <c r="N16" s="46">
        <f>(J16*'Labor Data'!$K$10)+(K16*'Labor Data'!$K$9)+(L16*'Labor Data'!$K$11)+(M16*'Labor Data'!$K$8)</f>
        <v>0</v>
      </c>
      <c r="O16" s="46">
        <f t="shared" si="4"/>
        <v>0</v>
      </c>
      <c r="P16" s="54">
        <f t="shared" si="5"/>
        <v>0</v>
      </c>
      <c r="Q16" s="86"/>
      <c r="R16" s="52" t="s">
        <v>194</v>
      </c>
    </row>
    <row r="17" spans="2:19" s="45" customFormat="1" ht="9" x14ac:dyDescent="0.15">
      <c r="B17" s="79" t="s">
        <v>195</v>
      </c>
      <c r="C17" s="53">
        <v>8</v>
      </c>
      <c r="D17" s="46">
        <v>0</v>
      </c>
      <c r="E17" s="46"/>
      <c r="F17" s="53">
        <v>1</v>
      </c>
      <c r="G17" s="53">
        <v>0</v>
      </c>
      <c r="H17" s="53">
        <f t="shared" si="0"/>
        <v>8</v>
      </c>
      <c r="I17" s="55">
        <f>'Annual # of Respondents'!J9</f>
        <v>7</v>
      </c>
      <c r="J17" s="54">
        <v>0</v>
      </c>
      <c r="K17" s="54">
        <f t="shared" si="1"/>
        <v>56</v>
      </c>
      <c r="L17" s="54">
        <f t="shared" si="2"/>
        <v>5.6000000000000005</v>
      </c>
      <c r="M17" s="54">
        <f t="shared" si="3"/>
        <v>2.8000000000000003</v>
      </c>
      <c r="N17" s="46">
        <f>(J17*'Labor Data'!$K$10)+(K17*'Labor Data'!$K$9)+(L17*'Labor Data'!$K$11)+(M17*'Labor Data'!$K$8)</f>
        <v>5317.5780000000004</v>
      </c>
      <c r="O17" s="46">
        <f t="shared" si="4"/>
        <v>0</v>
      </c>
      <c r="P17" s="54">
        <f t="shared" si="5"/>
        <v>7</v>
      </c>
      <c r="Q17" s="86"/>
      <c r="R17" s="52" t="s">
        <v>196</v>
      </c>
      <c r="S17" s="59"/>
    </row>
    <row r="18" spans="2:19" s="45" customFormat="1" ht="9" x14ac:dyDescent="0.15">
      <c r="B18" s="79" t="s">
        <v>197</v>
      </c>
      <c r="C18" s="72">
        <v>12</v>
      </c>
      <c r="D18" s="46">
        <f>'Other Cost Basis'!D4</f>
        <v>2708.280314173127</v>
      </c>
      <c r="E18" s="46"/>
      <c r="F18" s="53">
        <v>1</v>
      </c>
      <c r="G18" s="53">
        <v>0</v>
      </c>
      <c r="H18" s="72">
        <f t="shared" si="0"/>
        <v>12</v>
      </c>
      <c r="I18" s="54">
        <f>IF('Annual # of Respondents'!J10&lt;0,0,'Annual # of Respondents'!J10)</f>
        <v>0</v>
      </c>
      <c r="J18" s="54">
        <v>0</v>
      </c>
      <c r="K18" s="54">
        <f t="shared" si="1"/>
        <v>0</v>
      </c>
      <c r="L18" s="54">
        <f t="shared" si="2"/>
        <v>0</v>
      </c>
      <c r="M18" s="54">
        <f t="shared" si="3"/>
        <v>0</v>
      </c>
      <c r="N18" s="46">
        <f>(J18*'Labor Data'!$K$10)+(K18*'Labor Data'!$K$9)+(L18*'Labor Data'!$K$11)+(M18*'Labor Data'!$K$8)</f>
        <v>0</v>
      </c>
      <c r="O18" s="46">
        <f>'2.A-Public'!O18+D18*F18*I18</f>
        <v>28436.943298817834</v>
      </c>
      <c r="P18" s="54">
        <f t="shared" si="5"/>
        <v>0</v>
      </c>
      <c r="Q18" s="86">
        <f>'Other Cost Basis'!B2</f>
        <v>10067</v>
      </c>
      <c r="R18" s="52" t="s">
        <v>198</v>
      </c>
      <c r="S18" s="59"/>
    </row>
    <row r="19" spans="2:19" s="45" customFormat="1" ht="9" customHeight="1" x14ac:dyDescent="0.15">
      <c r="B19" s="79" t="s">
        <v>199</v>
      </c>
      <c r="C19" s="53">
        <v>1</v>
      </c>
      <c r="D19" s="46">
        <v>0</v>
      </c>
      <c r="E19" s="46"/>
      <c r="F19" s="53">
        <v>1</v>
      </c>
      <c r="G19" s="53">
        <v>0</v>
      </c>
      <c r="H19" s="53">
        <f t="shared" si="0"/>
        <v>1</v>
      </c>
      <c r="I19" s="55">
        <v>0</v>
      </c>
      <c r="J19" s="54">
        <v>0</v>
      </c>
      <c r="K19" s="54">
        <f t="shared" si="1"/>
        <v>0</v>
      </c>
      <c r="L19" s="54">
        <f t="shared" si="2"/>
        <v>0</v>
      </c>
      <c r="M19" s="54">
        <f t="shared" si="3"/>
        <v>0</v>
      </c>
      <c r="N19" s="46">
        <f>(J19*'Labor Data'!$K$10)+(K19*'Labor Data'!$K$9)+(L19*'Labor Data'!$K$11)+(M19*'Labor Data'!$K$8)</f>
        <v>0</v>
      </c>
      <c r="O19" s="46">
        <f t="shared" si="4"/>
        <v>0</v>
      </c>
      <c r="P19" s="54">
        <f t="shared" si="5"/>
        <v>0</v>
      </c>
      <c r="Q19" s="86"/>
      <c r="R19" s="52" t="s">
        <v>200</v>
      </c>
      <c r="S19" s="59"/>
    </row>
    <row r="20" spans="2:19" s="45" customFormat="1" ht="9" x14ac:dyDescent="0.15">
      <c r="B20" s="79" t="s">
        <v>201</v>
      </c>
      <c r="C20" s="53">
        <f>3*C18</f>
        <v>36</v>
      </c>
      <c r="D20" s="46">
        <v>0</v>
      </c>
      <c r="E20" s="46"/>
      <c r="F20" s="53">
        <v>1</v>
      </c>
      <c r="G20" s="53">
        <v>0</v>
      </c>
      <c r="H20" s="53">
        <f t="shared" si="0"/>
        <v>36</v>
      </c>
      <c r="I20" s="55">
        <v>0</v>
      </c>
      <c r="J20" s="54">
        <v>0</v>
      </c>
      <c r="K20" s="54">
        <f t="shared" si="1"/>
        <v>0</v>
      </c>
      <c r="L20" s="54">
        <f t="shared" si="2"/>
        <v>0</v>
      </c>
      <c r="M20" s="54">
        <f t="shared" si="3"/>
        <v>0</v>
      </c>
      <c r="N20" s="46">
        <f>(J20*'Labor Data'!$K$10)+(K20*'Labor Data'!$K$9)+(L20*'Labor Data'!$K$11)+(M20*'Labor Data'!$K$8)</f>
        <v>0</v>
      </c>
      <c r="O20" s="46">
        <f t="shared" si="4"/>
        <v>0</v>
      </c>
      <c r="P20" s="54">
        <f t="shared" si="5"/>
        <v>0</v>
      </c>
      <c r="Q20" s="86"/>
      <c r="R20" s="52" t="s">
        <v>202</v>
      </c>
      <c r="S20" s="59"/>
    </row>
    <row r="21" spans="2:19" s="45" customFormat="1" ht="9" x14ac:dyDescent="0.15">
      <c r="B21" s="79" t="s">
        <v>203</v>
      </c>
      <c r="C21" s="53">
        <v>80</v>
      </c>
      <c r="D21" s="46">
        <v>0</v>
      </c>
      <c r="E21" s="46"/>
      <c r="F21" s="53">
        <v>1</v>
      </c>
      <c r="G21" s="53">
        <v>0</v>
      </c>
      <c r="H21" s="53">
        <f t="shared" si="0"/>
        <v>80</v>
      </c>
      <c r="I21" s="55">
        <f>I$9</f>
        <v>7</v>
      </c>
      <c r="J21" s="54">
        <v>0</v>
      </c>
      <c r="K21" s="54">
        <f t="shared" si="1"/>
        <v>560</v>
      </c>
      <c r="L21" s="54">
        <f t="shared" si="2"/>
        <v>56</v>
      </c>
      <c r="M21" s="54">
        <f t="shared" si="3"/>
        <v>28</v>
      </c>
      <c r="N21" s="46">
        <f>(J21*'Labor Data'!$K$10)+(K21*'Labor Data'!$K$9)+(L21*'Labor Data'!$K$11)+(M21*'Labor Data'!$K$8)</f>
        <v>53175.780000000006</v>
      </c>
      <c r="O21" s="46">
        <f t="shared" si="4"/>
        <v>0</v>
      </c>
      <c r="P21" s="54">
        <f t="shared" si="5"/>
        <v>7</v>
      </c>
      <c r="Q21" s="86"/>
      <c r="R21" s="52" t="s">
        <v>204</v>
      </c>
      <c r="S21" s="59"/>
    </row>
    <row r="22" spans="2:19" s="45" customFormat="1" ht="9" x14ac:dyDescent="0.15">
      <c r="B22" s="79" t="s">
        <v>205</v>
      </c>
      <c r="C22" s="342">
        <v>20</v>
      </c>
      <c r="D22" s="46">
        <v>0</v>
      </c>
      <c r="E22" s="46"/>
      <c r="F22" s="53">
        <v>1</v>
      </c>
      <c r="G22" s="53">
        <v>0</v>
      </c>
      <c r="H22" s="53">
        <f t="shared" si="0"/>
        <v>20</v>
      </c>
      <c r="I22" s="55">
        <f>I21*0.1</f>
        <v>0.70000000000000007</v>
      </c>
      <c r="J22" s="54">
        <v>0</v>
      </c>
      <c r="K22" s="54">
        <f t="shared" si="1"/>
        <v>14.000000000000002</v>
      </c>
      <c r="L22" s="54">
        <f t="shared" si="2"/>
        <v>1.4000000000000004</v>
      </c>
      <c r="M22" s="54">
        <f t="shared" si="3"/>
        <v>0.70000000000000018</v>
      </c>
      <c r="N22" s="46">
        <f>(J22*'Labor Data'!$K$10)+(K22*'Labor Data'!$K$9)+(L22*'Labor Data'!$K$11)+(M22*'Labor Data'!$K$8)</f>
        <v>1329.3945000000003</v>
      </c>
      <c r="O22" s="46">
        <f t="shared" si="4"/>
        <v>0</v>
      </c>
      <c r="P22" s="54">
        <f t="shared" si="5"/>
        <v>0.70000000000000007</v>
      </c>
      <c r="Q22" s="86"/>
      <c r="R22" s="52" t="s">
        <v>206</v>
      </c>
      <c r="S22" s="59"/>
    </row>
    <row r="23" spans="2:19" s="45" customFormat="1" ht="9" x14ac:dyDescent="0.15">
      <c r="B23" s="79" t="s">
        <v>207</v>
      </c>
      <c r="C23" s="535" t="s">
        <v>188</v>
      </c>
      <c r="D23" s="536"/>
      <c r="E23" s="343"/>
      <c r="F23" s="53"/>
      <c r="G23" s="53"/>
      <c r="H23" s="53"/>
      <c r="I23" s="55"/>
      <c r="J23" s="54"/>
      <c r="K23" s="54"/>
      <c r="L23" s="54"/>
      <c r="M23" s="54"/>
      <c r="N23" s="46"/>
      <c r="O23" s="46"/>
      <c r="P23" s="54"/>
      <c r="Q23" s="86"/>
      <c r="R23" s="52"/>
      <c r="S23" s="59"/>
    </row>
    <row r="24" spans="2:19" s="45" customFormat="1" ht="9" x14ac:dyDescent="0.15">
      <c r="B24" s="79" t="s">
        <v>208</v>
      </c>
      <c r="C24" s="535" t="s">
        <v>188</v>
      </c>
      <c r="D24" s="536"/>
      <c r="E24" s="343"/>
      <c r="F24" s="53"/>
      <c r="G24" s="53"/>
      <c r="H24" s="53"/>
      <c r="I24" s="55"/>
      <c r="J24" s="54"/>
      <c r="K24" s="54"/>
      <c r="L24" s="54"/>
      <c r="M24" s="54"/>
      <c r="N24" s="46"/>
      <c r="O24" s="46"/>
      <c r="P24" s="54"/>
      <c r="Q24" s="86"/>
      <c r="R24" s="52"/>
      <c r="S24" s="59"/>
    </row>
    <row r="25" spans="2:19" s="45" customFormat="1" ht="9" x14ac:dyDescent="0.15">
      <c r="B25" s="79" t="s">
        <v>209</v>
      </c>
      <c r="C25" s="53">
        <v>27</v>
      </c>
      <c r="D25" s="46">
        <v>0</v>
      </c>
      <c r="E25" s="46"/>
      <c r="F25" s="53">
        <v>1</v>
      </c>
      <c r="G25" s="53">
        <v>0</v>
      </c>
      <c r="H25" s="53">
        <f>C25*F25</f>
        <v>27</v>
      </c>
      <c r="I25" s="55">
        <f>'Annual # of Respondents'!J7</f>
        <v>40</v>
      </c>
      <c r="J25" s="54">
        <v>0</v>
      </c>
      <c r="K25" s="54">
        <f>H25*I25</f>
        <v>1080</v>
      </c>
      <c r="L25" s="54">
        <f>K25*0.1</f>
        <v>108</v>
      </c>
      <c r="M25" s="54">
        <f>K25*0.05</f>
        <v>54</v>
      </c>
      <c r="N25" s="46">
        <f>(J25*'Labor Data'!$K$10)+(K25*'Labor Data'!$K$9)+(L25*'Labor Data'!$K$11)+(M25*'Labor Data'!$K$8)</f>
        <v>102553.29000000002</v>
      </c>
      <c r="O25" s="46">
        <f>D25*F25*I25</f>
        <v>0</v>
      </c>
      <c r="P25" s="54">
        <f>F25*I25</f>
        <v>40</v>
      </c>
      <c r="Q25" s="86"/>
      <c r="R25" s="52" t="s">
        <v>210</v>
      </c>
      <c r="S25" s="59"/>
    </row>
    <row r="26" spans="2:19" s="45" customFormat="1" ht="9" x14ac:dyDescent="0.15">
      <c r="B26" s="79" t="s">
        <v>211</v>
      </c>
      <c r="C26" s="53">
        <v>15</v>
      </c>
      <c r="D26" s="46"/>
      <c r="E26" s="46"/>
      <c r="F26" s="53">
        <v>1</v>
      </c>
      <c r="G26" s="53">
        <v>0</v>
      </c>
      <c r="H26" s="53">
        <f t="shared" ref="H26:H29" si="6">C26*F26</f>
        <v>15</v>
      </c>
      <c r="I26" s="55">
        <v>1</v>
      </c>
      <c r="J26" s="54">
        <v>0</v>
      </c>
      <c r="K26" s="54">
        <f t="shared" ref="K26:K28" si="7">H26*I26</f>
        <v>15</v>
      </c>
      <c r="L26" s="54">
        <f t="shared" ref="L26:L28" si="8">K26*0.1</f>
        <v>1.5</v>
      </c>
      <c r="M26" s="54">
        <f t="shared" ref="M26:M28" si="9">K26*0.05</f>
        <v>0.75</v>
      </c>
      <c r="N26" s="46">
        <f>(J26*'Labor Data'!$K$10)+(K26*'Labor Data'!$K$9)+(L26*'Labor Data'!$K$11)+(M26*'Labor Data'!$K$8)</f>
        <v>1424.3512499999999</v>
      </c>
      <c r="O26" s="46">
        <f t="shared" ref="O26:O28" si="10">D26*F26*I26</f>
        <v>0</v>
      </c>
      <c r="P26" s="54">
        <f t="shared" ref="P26:P28" si="11">F26*I26</f>
        <v>1</v>
      </c>
      <c r="Q26" s="86"/>
      <c r="R26" s="52" t="s">
        <v>212</v>
      </c>
      <c r="S26" s="59"/>
    </row>
    <row r="27" spans="2:19" s="45" customFormat="1" ht="9" x14ac:dyDescent="0.15">
      <c r="B27" s="79" t="s">
        <v>213</v>
      </c>
      <c r="C27" s="53">
        <v>15</v>
      </c>
      <c r="D27" s="46"/>
      <c r="E27" s="46"/>
      <c r="F27" s="53">
        <v>1</v>
      </c>
      <c r="G27" s="53">
        <v>0</v>
      </c>
      <c r="H27" s="53">
        <f t="shared" si="6"/>
        <v>15</v>
      </c>
      <c r="I27" s="55">
        <v>1</v>
      </c>
      <c r="J27" s="54">
        <v>0</v>
      </c>
      <c r="K27" s="54">
        <f t="shared" si="7"/>
        <v>15</v>
      </c>
      <c r="L27" s="54">
        <f t="shared" si="8"/>
        <v>1.5</v>
      </c>
      <c r="M27" s="54">
        <f t="shared" si="9"/>
        <v>0.75</v>
      </c>
      <c r="N27" s="46">
        <f>(J27*'Labor Data'!$K$10)+(K27*'Labor Data'!$K$9)+(L27*'Labor Data'!$K$11)+(M27*'Labor Data'!$K$8)</f>
        <v>1424.3512499999999</v>
      </c>
      <c r="O27" s="46">
        <f t="shared" si="10"/>
        <v>0</v>
      </c>
      <c r="P27" s="54">
        <f t="shared" si="11"/>
        <v>1</v>
      </c>
      <c r="Q27" s="86"/>
      <c r="R27" s="52" t="s">
        <v>212</v>
      </c>
      <c r="S27" s="59"/>
    </row>
    <row r="28" spans="2:19" s="45" customFormat="1" ht="9" x14ac:dyDescent="0.15">
      <c r="B28" s="79" t="s">
        <v>214</v>
      </c>
      <c r="C28" s="53">
        <v>15</v>
      </c>
      <c r="D28" s="46"/>
      <c r="E28" s="46"/>
      <c r="F28" s="53">
        <v>1</v>
      </c>
      <c r="G28" s="53">
        <v>0</v>
      </c>
      <c r="H28" s="53">
        <f t="shared" si="6"/>
        <v>15</v>
      </c>
      <c r="I28" s="55">
        <v>1</v>
      </c>
      <c r="J28" s="54">
        <v>0</v>
      </c>
      <c r="K28" s="54">
        <f t="shared" si="7"/>
        <v>15</v>
      </c>
      <c r="L28" s="54">
        <f t="shared" si="8"/>
        <v>1.5</v>
      </c>
      <c r="M28" s="54">
        <f t="shared" si="9"/>
        <v>0.75</v>
      </c>
      <c r="N28" s="46">
        <f>(J28*'Labor Data'!$K$10)+(K28*'Labor Data'!$K$9)+(L28*'Labor Data'!$K$11)+(M28*'Labor Data'!$K$8)</f>
        <v>1424.3512499999999</v>
      </c>
      <c r="O28" s="46">
        <f t="shared" si="10"/>
        <v>0</v>
      </c>
      <c r="P28" s="54">
        <f t="shared" si="11"/>
        <v>1</v>
      </c>
      <c r="Q28" s="86"/>
      <c r="R28" s="52" t="s">
        <v>212</v>
      </c>
      <c r="S28" s="59"/>
    </row>
    <row r="29" spans="2:19" s="45" customFormat="1" ht="9" x14ac:dyDescent="0.15">
      <c r="B29" s="79" t="s">
        <v>215</v>
      </c>
      <c r="C29" s="53">
        <v>5</v>
      </c>
      <c r="D29" s="46"/>
      <c r="E29" s="46"/>
      <c r="F29" s="53">
        <v>1</v>
      </c>
      <c r="G29" s="53">
        <v>0</v>
      </c>
      <c r="H29" s="53">
        <f t="shared" si="6"/>
        <v>5</v>
      </c>
      <c r="I29" s="55">
        <f>'Annual # of Respondents'!J5</f>
        <v>17</v>
      </c>
      <c r="J29" s="54">
        <v>0</v>
      </c>
      <c r="K29" s="54">
        <f t="shared" ref="K29" si="12">H29*I29</f>
        <v>85</v>
      </c>
      <c r="L29" s="54">
        <f t="shared" ref="L29" si="13">K29*0.1</f>
        <v>8.5</v>
      </c>
      <c r="M29" s="54">
        <f t="shared" ref="M29" si="14">K29*0.05</f>
        <v>4.25</v>
      </c>
      <c r="N29" s="46">
        <f>(J29*'Labor Data'!$K$10)+(K29*'Labor Data'!$K$9)+(L29*'Labor Data'!$K$11)+(M29*'Labor Data'!$K$8)</f>
        <v>8071.3237500000005</v>
      </c>
      <c r="O29" s="46">
        <f t="shared" ref="O29" si="15">D29*F29*I29</f>
        <v>0</v>
      </c>
      <c r="P29" s="54">
        <f t="shared" ref="P29" si="16">F29*I29</f>
        <v>17</v>
      </c>
      <c r="Q29" s="86"/>
      <c r="R29" s="52" t="s">
        <v>216</v>
      </c>
      <c r="S29" s="59"/>
    </row>
    <row r="30" spans="2:19" s="45" customFormat="1" ht="9" x14ac:dyDescent="0.15">
      <c r="B30" s="58" t="s">
        <v>217</v>
      </c>
      <c r="C30" s="53"/>
      <c r="D30" s="46"/>
      <c r="E30" s="46"/>
      <c r="F30" s="53"/>
      <c r="G30" s="53"/>
      <c r="H30" s="53"/>
      <c r="I30" s="55"/>
      <c r="J30" s="54">
        <f t="shared" ref="J30:O30" si="17">SUM(J7:J29)</f>
        <v>26240</v>
      </c>
      <c r="K30" s="54">
        <f t="shared" si="17"/>
        <v>1924</v>
      </c>
      <c r="L30" s="54">
        <f t="shared" si="17"/>
        <v>192.4</v>
      </c>
      <c r="M30" s="54">
        <f t="shared" si="17"/>
        <v>96.2</v>
      </c>
      <c r="N30" s="46">
        <f t="shared" si="17"/>
        <v>1490865.7470000002</v>
      </c>
      <c r="O30" s="46">
        <f t="shared" si="17"/>
        <v>268503.32267774123</v>
      </c>
      <c r="P30" s="54">
        <f>SUM(P15:P29)+P9</f>
        <v>81.7</v>
      </c>
      <c r="Q30" s="46">
        <f>SUM(Q7:Q29)</f>
        <v>28134</v>
      </c>
      <c r="R30" s="52"/>
      <c r="S30" s="57" t="e">
        <f>SUM(O7,O9:O10,#REF!,#REF!,#REF!,#REF!,#REF!,#REF!,#REF!)</f>
        <v>#REF!</v>
      </c>
    </row>
    <row r="31" spans="2:19" s="45" customFormat="1" ht="9" x14ac:dyDescent="0.15">
      <c r="B31" s="56" t="s">
        <v>218</v>
      </c>
      <c r="C31" s="53"/>
      <c r="D31" s="46"/>
      <c r="E31" s="46"/>
      <c r="F31" s="53"/>
      <c r="G31" s="53"/>
      <c r="H31" s="53"/>
      <c r="I31" s="54"/>
      <c r="J31" s="54"/>
      <c r="K31" s="54"/>
      <c r="L31" s="54"/>
      <c r="M31" s="54"/>
      <c r="N31" s="46"/>
      <c r="O31" s="46"/>
      <c r="P31" s="46"/>
      <c r="Q31" s="85"/>
      <c r="R31" s="52"/>
    </row>
    <row r="32" spans="2:19" s="45" customFormat="1" ht="9" x14ac:dyDescent="0.15">
      <c r="B32" s="56" t="s">
        <v>219</v>
      </c>
      <c r="C32" s="535" t="s">
        <v>220</v>
      </c>
      <c r="D32" s="536"/>
      <c r="E32" s="343"/>
      <c r="F32" s="53"/>
      <c r="G32" s="53"/>
      <c r="H32" s="53"/>
      <c r="I32" s="54"/>
      <c r="J32" s="54"/>
      <c r="K32" s="54"/>
      <c r="L32" s="54"/>
      <c r="M32" s="54"/>
      <c r="N32" s="46"/>
      <c r="O32" s="46"/>
      <c r="P32" s="46"/>
      <c r="Q32" s="85"/>
      <c r="R32" s="52"/>
    </row>
    <row r="33" spans="1:19" s="45" customFormat="1" ht="9" x14ac:dyDescent="0.15">
      <c r="B33" s="56" t="s">
        <v>221</v>
      </c>
      <c r="C33" s="535" t="s">
        <v>175</v>
      </c>
      <c r="D33" s="536"/>
      <c r="E33" s="343"/>
      <c r="F33" s="53"/>
      <c r="G33" s="53"/>
      <c r="H33" s="53"/>
      <c r="I33" s="54"/>
      <c r="J33" s="54"/>
      <c r="K33" s="54"/>
      <c r="L33" s="54"/>
      <c r="M33" s="54"/>
      <c r="N33" s="46"/>
      <c r="O33" s="46"/>
      <c r="P33" s="46"/>
      <c r="Q33" s="85"/>
      <c r="R33" s="52"/>
    </row>
    <row r="34" spans="1:19" s="45" customFormat="1" ht="9" x14ac:dyDescent="0.15">
      <c r="B34" s="56" t="s">
        <v>222</v>
      </c>
      <c r="C34" s="535" t="s">
        <v>175</v>
      </c>
      <c r="D34" s="536"/>
      <c r="E34" s="343"/>
      <c r="F34" s="53"/>
      <c r="G34" s="53"/>
      <c r="H34" s="53"/>
      <c r="I34" s="54"/>
      <c r="J34" s="54"/>
      <c r="K34" s="54"/>
      <c r="L34" s="54"/>
      <c r="M34" s="54"/>
      <c r="N34" s="46"/>
      <c r="O34" s="46"/>
      <c r="P34" s="46"/>
      <c r="Q34" s="85"/>
      <c r="R34" s="52"/>
    </row>
    <row r="35" spans="1:19" s="45" customFormat="1" ht="9" x14ac:dyDescent="0.15">
      <c r="B35" s="56" t="s">
        <v>223</v>
      </c>
      <c r="C35" s="535" t="s">
        <v>175</v>
      </c>
      <c r="D35" s="536"/>
      <c r="E35" s="343"/>
      <c r="F35" s="53"/>
      <c r="G35" s="53"/>
      <c r="H35" s="53"/>
      <c r="I35" s="54"/>
      <c r="J35" s="54"/>
      <c r="K35" s="54"/>
      <c r="L35" s="54"/>
      <c r="M35" s="54"/>
      <c r="N35" s="46"/>
      <c r="O35" s="46"/>
      <c r="P35" s="46"/>
      <c r="Q35" s="85"/>
      <c r="R35" s="52"/>
    </row>
    <row r="36" spans="1:19" s="45" customFormat="1" ht="9" x14ac:dyDescent="0.15">
      <c r="B36" s="56" t="s">
        <v>224</v>
      </c>
      <c r="C36" s="53"/>
      <c r="D36" s="46"/>
      <c r="E36" s="46"/>
      <c r="F36" s="53"/>
      <c r="G36" s="53"/>
      <c r="H36" s="53"/>
      <c r="I36" s="54"/>
      <c r="J36" s="54"/>
      <c r="K36" s="54"/>
      <c r="L36" s="54"/>
      <c r="M36" s="54"/>
      <c r="N36" s="46"/>
      <c r="O36" s="46"/>
      <c r="P36" s="46"/>
      <c r="Q36" s="85"/>
      <c r="R36" s="52"/>
    </row>
    <row r="37" spans="1:19" s="45" customFormat="1" ht="9.75" customHeight="1" x14ac:dyDescent="0.15">
      <c r="B37" s="81" t="s">
        <v>225</v>
      </c>
      <c r="C37" s="342">
        <v>5</v>
      </c>
      <c r="D37" s="46">
        <v>0</v>
      </c>
      <c r="E37" s="46"/>
      <c r="F37" s="53">
        <v>12</v>
      </c>
      <c r="G37" s="53">
        <v>0</v>
      </c>
      <c r="H37" s="53">
        <f>C37*F37</f>
        <v>60</v>
      </c>
      <c r="I37" s="55">
        <f>I$10</f>
        <v>40</v>
      </c>
      <c r="J37" s="54">
        <v>0</v>
      </c>
      <c r="K37" s="54">
        <f>H37*I37</f>
        <v>2400</v>
      </c>
      <c r="L37" s="54">
        <f>K37*0.1</f>
        <v>240</v>
      </c>
      <c r="M37" s="54">
        <f>K37*0.05</f>
        <v>120</v>
      </c>
      <c r="N37" s="46">
        <f>(J37*'Labor Data'!$K$10)+(K37*'Labor Data'!$K$9)+(L37*'Labor Data'!$K$11)+(M37*'Labor Data'!$K$8)</f>
        <v>227896.2</v>
      </c>
      <c r="O37" s="46">
        <f>D37*F37*I37</f>
        <v>0</v>
      </c>
      <c r="P37" s="54">
        <v>0</v>
      </c>
      <c r="Q37" s="86"/>
      <c r="R37" s="52" t="s">
        <v>226</v>
      </c>
    </row>
    <row r="38" spans="1:19" s="45" customFormat="1" ht="9.75" customHeight="1" x14ac:dyDescent="0.15">
      <c r="B38" s="79" t="s">
        <v>227</v>
      </c>
      <c r="C38" s="53">
        <v>11</v>
      </c>
      <c r="D38" s="46">
        <v>0</v>
      </c>
      <c r="E38" s="46"/>
      <c r="F38" s="53">
        <v>12</v>
      </c>
      <c r="G38" s="53">
        <v>0</v>
      </c>
      <c r="H38" s="53">
        <f>C38*F38</f>
        <v>132</v>
      </c>
      <c r="I38" s="55">
        <f>I$10</f>
        <v>40</v>
      </c>
      <c r="J38" s="54">
        <v>0</v>
      </c>
      <c r="K38" s="54">
        <f>H38*I38</f>
        <v>5280</v>
      </c>
      <c r="L38" s="54">
        <f>K38*0.1</f>
        <v>528</v>
      </c>
      <c r="M38" s="54">
        <f>K38*0.05</f>
        <v>264</v>
      </c>
      <c r="N38" s="46">
        <f>(J38*'Labor Data'!$K$10)+(K38*'Labor Data'!$K$9)+(L38*'Labor Data'!$K$11)+(M38*'Labor Data'!$K$8)</f>
        <v>501371.64</v>
      </c>
      <c r="O38" s="46">
        <f>D38*F38*I38</f>
        <v>0</v>
      </c>
      <c r="P38" s="54">
        <v>0</v>
      </c>
      <c r="Q38" s="86"/>
      <c r="R38" s="52" t="s">
        <v>226</v>
      </c>
    </row>
    <row r="39" spans="1:19" s="45" customFormat="1" ht="9" x14ac:dyDescent="0.15">
      <c r="B39" s="79" t="s">
        <v>228</v>
      </c>
      <c r="C39" s="342">
        <v>4</v>
      </c>
      <c r="D39" s="46">
        <v>0</v>
      </c>
      <c r="E39" s="46"/>
      <c r="F39" s="53">
        <v>1</v>
      </c>
      <c r="G39" s="53">
        <v>0</v>
      </c>
      <c r="H39" s="53">
        <f>C39*F39</f>
        <v>4</v>
      </c>
      <c r="I39" s="55">
        <f>'Annual # of Respondents'!J6-I38</f>
        <v>22</v>
      </c>
      <c r="J39" s="54">
        <v>0</v>
      </c>
      <c r="K39" s="54">
        <f>H39*I39</f>
        <v>88</v>
      </c>
      <c r="L39" s="54">
        <f>K39*0.1</f>
        <v>8.8000000000000007</v>
      </c>
      <c r="M39" s="54">
        <f>K39*0.05</f>
        <v>4.4000000000000004</v>
      </c>
      <c r="N39" s="46">
        <f>(J39*'Labor Data'!$K$10)+(K39*'Labor Data'!$K$9)+(L39*'Labor Data'!$K$11)+(M39*'Labor Data'!$K$8)</f>
        <v>8356.1940000000013</v>
      </c>
      <c r="O39" s="46">
        <f>D39*F39*I39</f>
        <v>0</v>
      </c>
      <c r="P39" s="54">
        <v>0</v>
      </c>
      <c r="Q39" s="86"/>
      <c r="R39" s="52" t="s">
        <v>229</v>
      </c>
    </row>
    <row r="40" spans="1:19" s="45" customFormat="1" ht="9" x14ac:dyDescent="0.15">
      <c r="B40" s="56" t="s">
        <v>230</v>
      </c>
      <c r="C40" s="535" t="s">
        <v>175</v>
      </c>
      <c r="D40" s="536"/>
      <c r="E40" s="343"/>
      <c r="F40" s="53"/>
      <c r="G40" s="53"/>
      <c r="H40" s="53"/>
      <c r="I40" s="55"/>
      <c r="J40" s="54"/>
      <c r="K40" s="54"/>
      <c r="L40" s="54"/>
      <c r="M40" s="54"/>
      <c r="N40" s="46"/>
      <c r="O40" s="46"/>
      <c r="P40" s="54"/>
      <c r="Q40" s="86"/>
      <c r="R40" s="52"/>
    </row>
    <row r="41" spans="1:19" s="45" customFormat="1" ht="9" x14ac:dyDescent="0.15">
      <c r="B41" s="80" t="s">
        <v>231</v>
      </c>
      <c r="C41" s="535" t="s">
        <v>175</v>
      </c>
      <c r="D41" s="536"/>
      <c r="E41" s="343"/>
      <c r="F41" s="53"/>
      <c r="G41" s="53"/>
      <c r="H41" s="53"/>
      <c r="I41" s="55"/>
      <c r="J41" s="54"/>
      <c r="K41" s="54"/>
      <c r="L41" s="54"/>
      <c r="M41" s="54"/>
      <c r="N41" s="46"/>
      <c r="O41" s="46"/>
      <c r="P41" s="46"/>
      <c r="Q41" s="85"/>
      <c r="R41" s="52"/>
    </row>
    <row r="42" spans="1:19" s="45" customFormat="1" ht="9" x14ac:dyDescent="0.15">
      <c r="B42" s="51" t="s">
        <v>232</v>
      </c>
      <c r="C42" s="50"/>
      <c r="D42" s="49"/>
      <c r="E42" s="49"/>
      <c r="F42" s="50"/>
      <c r="G42" s="50"/>
      <c r="H42" s="50"/>
      <c r="I42" s="48"/>
      <c r="J42" s="48">
        <f>SUM(J32:J41)</f>
        <v>0</v>
      </c>
      <c r="K42" s="48">
        <f t="shared" ref="K42:Q42" si="18">SUM(K32:K41)</f>
        <v>7768</v>
      </c>
      <c r="L42" s="48">
        <f t="shared" si="18"/>
        <v>776.8</v>
      </c>
      <c r="M42" s="48">
        <f t="shared" si="18"/>
        <v>388.4</v>
      </c>
      <c r="N42" s="49">
        <f t="shared" si="18"/>
        <v>737624.0340000001</v>
      </c>
      <c r="O42" s="49">
        <f t="shared" si="18"/>
        <v>0</v>
      </c>
      <c r="P42" s="48">
        <f t="shared" si="18"/>
        <v>0</v>
      </c>
      <c r="Q42" s="49">
        <f t="shared" si="18"/>
        <v>0</v>
      </c>
      <c r="R42" s="47"/>
      <c r="S42" s="46">
        <f>SUM(S32:S41)</f>
        <v>0</v>
      </c>
    </row>
    <row r="43" spans="1:19" s="37" customFormat="1" x14ac:dyDescent="0.2">
      <c r="B43" s="44" t="s">
        <v>233</v>
      </c>
      <c r="C43" s="42"/>
      <c r="D43" s="43"/>
      <c r="E43" s="43"/>
      <c r="F43" s="42"/>
      <c r="G43" s="42"/>
      <c r="H43" s="42"/>
      <c r="I43" s="41"/>
      <c r="J43" s="39">
        <f t="shared" ref="J43:Q43" si="19">J30+J42</f>
        <v>26240</v>
      </c>
      <c r="K43" s="39">
        <f t="shared" si="19"/>
        <v>9692</v>
      </c>
      <c r="L43" s="39">
        <f t="shared" si="19"/>
        <v>969.19999999999993</v>
      </c>
      <c r="M43" s="39">
        <f t="shared" si="19"/>
        <v>484.59999999999997</v>
      </c>
      <c r="N43" s="40">
        <f t="shared" si="19"/>
        <v>2228489.7810000004</v>
      </c>
      <c r="O43" s="40">
        <f>O30+O42</f>
        <v>268503.32267774123</v>
      </c>
      <c r="P43" s="39">
        <f>P30+P42</f>
        <v>81.7</v>
      </c>
      <c r="Q43" s="40">
        <f t="shared" si="19"/>
        <v>28134</v>
      </c>
      <c r="R43" s="38"/>
    </row>
    <row r="44" spans="1:19" ht="20.25" customHeight="1" x14ac:dyDescent="0.2"/>
    <row r="45" spans="1:19" s="34" customFormat="1" ht="12.75" customHeight="1" x14ac:dyDescent="0.15">
      <c r="A45" s="74" t="s">
        <v>234</v>
      </c>
      <c r="B45" s="78"/>
      <c r="C45" s="78"/>
      <c r="D45" s="78"/>
      <c r="E45" s="78"/>
      <c r="F45" s="78"/>
      <c r="G45" s="78"/>
      <c r="H45" s="78"/>
      <c r="I45" s="78"/>
      <c r="J45" s="78"/>
      <c r="K45" s="78"/>
      <c r="L45" s="78"/>
      <c r="M45" s="78"/>
      <c r="N45" s="78"/>
      <c r="O45" s="78"/>
      <c r="P45" s="78"/>
      <c r="Q45" s="78"/>
      <c r="R45" s="35"/>
    </row>
    <row r="46" spans="1:19" s="34" customFormat="1" ht="9" customHeight="1" x14ac:dyDescent="0.15">
      <c r="A46" s="73" t="s">
        <v>235</v>
      </c>
      <c r="B46" s="273" t="s">
        <v>236</v>
      </c>
    </row>
    <row r="47" spans="1:19" s="34" customFormat="1" ht="19.5" customHeight="1" x14ac:dyDescent="0.15">
      <c r="A47" s="73" t="s">
        <v>237</v>
      </c>
      <c r="B47" s="610" t="s">
        <v>238</v>
      </c>
      <c r="C47" s="610"/>
      <c r="D47" s="610"/>
      <c r="E47" s="610"/>
      <c r="F47" s="610"/>
      <c r="G47" s="610"/>
      <c r="H47" s="610"/>
      <c r="I47" s="610"/>
      <c r="J47" s="610"/>
      <c r="K47" s="610"/>
      <c r="L47" s="610"/>
      <c r="M47" s="610"/>
      <c r="N47" s="610"/>
      <c r="O47" s="610"/>
      <c r="P47" s="610"/>
      <c r="Q47" s="610"/>
      <c r="R47" s="610"/>
    </row>
    <row r="48" spans="1:19" s="34" customFormat="1" ht="9" customHeight="1" x14ac:dyDescent="0.15">
      <c r="A48" s="73" t="s">
        <v>239</v>
      </c>
      <c r="B48" s="69" t="s">
        <v>240</v>
      </c>
    </row>
    <row r="49" spans="1:19" s="34" customFormat="1" ht="9" x14ac:dyDescent="0.15">
      <c r="A49" s="73" t="s">
        <v>179</v>
      </c>
      <c r="B49" s="69" t="s">
        <v>1375</v>
      </c>
      <c r="C49" s="345"/>
      <c r="D49" s="345"/>
      <c r="E49" s="345"/>
      <c r="F49" s="345"/>
      <c r="G49" s="345"/>
      <c r="H49" s="345"/>
      <c r="I49" s="345"/>
      <c r="J49" s="345"/>
      <c r="K49" s="345"/>
      <c r="L49" s="345"/>
      <c r="M49" s="345"/>
      <c r="N49" s="345"/>
      <c r="O49" s="345"/>
      <c r="P49" s="345"/>
      <c r="Q49" s="345"/>
      <c r="R49" s="345"/>
    </row>
    <row r="50" spans="1:19" s="34" customFormat="1" ht="26.25" customHeight="1" x14ac:dyDescent="0.15">
      <c r="A50" s="73" t="s">
        <v>242</v>
      </c>
      <c r="B50" s="610" t="s">
        <v>243</v>
      </c>
      <c r="C50" s="610"/>
      <c r="D50" s="610"/>
      <c r="E50" s="610"/>
      <c r="F50" s="610"/>
      <c r="G50" s="610"/>
      <c r="H50" s="610"/>
      <c r="I50" s="610"/>
      <c r="J50" s="610"/>
      <c r="K50" s="610"/>
      <c r="L50" s="610"/>
      <c r="M50" s="610"/>
      <c r="N50" s="610"/>
      <c r="O50" s="610"/>
      <c r="P50" s="610"/>
      <c r="Q50" s="610"/>
      <c r="R50" s="610"/>
      <c r="S50" s="610"/>
    </row>
    <row r="51" spans="1:19" s="34" customFormat="1" ht="9" x14ac:dyDescent="0.15">
      <c r="A51" s="73" t="s">
        <v>204</v>
      </c>
      <c r="B51" s="34" t="s">
        <v>1376</v>
      </c>
    </row>
    <row r="52" spans="1:19" s="34" customFormat="1" ht="39" customHeight="1" x14ac:dyDescent="0.15">
      <c r="A52" s="73" t="s">
        <v>245</v>
      </c>
      <c r="B52" s="610" t="s">
        <v>1377</v>
      </c>
      <c r="C52" s="610"/>
      <c r="D52" s="610"/>
      <c r="E52" s="610"/>
      <c r="F52" s="610"/>
      <c r="G52" s="610"/>
      <c r="H52" s="610"/>
      <c r="I52" s="610"/>
      <c r="J52" s="610"/>
      <c r="K52" s="610"/>
      <c r="L52" s="610"/>
      <c r="M52" s="610"/>
      <c r="N52" s="610"/>
      <c r="O52" s="610"/>
      <c r="P52" s="610"/>
      <c r="Q52" s="610"/>
      <c r="R52" s="610"/>
      <c r="S52" s="610"/>
    </row>
    <row r="53" spans="1:19" s="34" customFormat="1" ht="9" x14ac:dyDescent="0.15">
      <c r="A53" s="73" t="s">
        <v>192</v>
      </c>
      <c r="B53" s="610" t="s">
        <v>1368</v>
      </c>
      <c r="C53" s="610"/>
      <c r="D53" s="610"/>
      <c r="E53" s="610"/>
      <c r="F53" s="610"/>
      <c r="G53" s="610"/>
      <c r="H53" s="610"/>
      <c r="I53" s="610"/>
      <c r="J53" s="610"/>
      <c r="K53" s="610"/>
      <c r="L53" s="610"/>
      <c r="M53" s="610"/>
      <c r="N53" s="610"/>
      <c r="O53" s="610"/>
      <c r="P53" s="610"/>
      <c r="Q53" s="610"/>
      <c r="R53" s="610"/>
    </row>
    <row r="54" spans="1:19" s="34" customFormat="1" ht="9" customHeight="1" x14ac:dyDescent="0.15">
      <c r="A54" s="73" t="s">
        <v>194</v>
      </c>
      <c r="B54" s="34" t="s">
        <v>248</v>
      </c>
      <c r="C54" s="75"/>
      <c r="D54" s="75"/>
      <c r="E54" s="75"/>
      <c r="F54" s="75"/>
      <c r="G54" s="75"/>
      <c r="H54" s="75"/>
      <c r="I54" s="75"/>
      <c r="J54" s="75"/>
      <c r="K54" s="75"/>
      <c r="L54" s="75"/>
      <c r="M54" s="75"/>
      <c r="P54" s="33"/>
      <c r="Q54" s="33"/>
      <c r="R54" s="35"/>
    </row>
    <row r="55" spans="1:19" s="34" customFormat="1" ht="9" x14ac:dyDescent="0.15">
      <c r="A55" s="73" t="s">
        <v>196</v>
      </c>
      <c r="B55" s="34" t="s">
        <v>1378</v>
      </c>
      <c r="C55" s="35"/>
      <c r="D55" s="35"/>
      <c r="E55" s="35"/>
      <c r="F55" s="35"/>
      <c r="G55" s="35"/>
      <c r="H55" s="35"/>
      <c r="I55" s="36"/>
      <c r="J55" s="35"/>
      <c r="K55" s="35"/>
      <c r="L55" s="35"/>
      <c r="M55" s="35"/>
      <c r="P55" s="33"/>
      <c r="Q55" s="33"/>
      <c r="R55" s="35"/>
    </row>
    <row r="56" spans="1:19" s="34" customFormat="1" ht="9" customHeight="1" x14ac:dyDescent="0.15">
      <c r="A56" s="73" t="s">
        <v>250</v>
      </c>
      <c r="B56" s="274" t="s">
        <v>1360</v>
      </c>
      <c r="C56" s="35"/>
      <c r="D56" s="35"/>
      <c r="E56" s="35"/>
      <c r="F56" s="35"/>
      <c r="G56" s="35"/>
      <c r="H56" s="35"/>
      <c r="I56" s="36"/>
      <c r="J56" s="35"/>
      <c r="K56" s="35"/>
      <c r="L56" s="35"/>
      <c r="M56" s="35"/>
      <c r="P56" s="33"/>
      <c r="Q56" s="33"/>
      <c r="R56" s="35"/>
    </row>
    <row r="57" spans="1:19" s="34" customFormat="1" ht="9" x14ac:dyDescent="0.15">
      <c r="A57" s="73" t="s">
        <v>200</v>
      </c>
      <c r="B57" s="69" t="s">
        <v>352</v>
      </c>
      <c r="C57" s="35"/>
      <c r="D57" s="35"/>
      <c r="E57" s="35"/>
      <c r="F57" s="35"/>
      <c r="G57" s="35"/>
      <c r="H57" s="35"/>
      <c r="I57" s="36"/>
      <c r="J57" s="35"/>
      <c r="K57" s="35"/>
      <c r="L57" s="35"/>
      <c r="M57" s="35"/>
      <c r="P57" s="33"/>
      <c r="Q57" s="33"/>
      <c r="R57" s="35"/>
    </row>
    <row r="58" spans="1:19" s="34" customFormat="1" ht="9" x14ac:dyDescent="0.15">
      <c r="A58" s="73" t="s">
        <v>253</v>
      </c>
      <c r="B58" s="34" t="s">
        <v>254</v>
      </c>
      <c r="P58" s="33"/>
      <c r="Q58" s="33"/>
      <c r="R58" s="35"/>
    </row>
    <row r="59" spans="1:19" s="34" customFormat="1" ht="9" x14ac:dyDescent="0.15">
      <c r="A59" s="73" t="s">
        <v>206</v>
      </c>
      <c r="B59" s="34" t="s">
        <v>255</v>
      </c>
      <c r="P59" s="33"/>
      <c r="Q59" s="33"/>
      <c r="R59" s="35"/>
    </row>
    <row r="60" spans="1:19" s="34" customFormat="1" ht="18.75" customHeight="1" x14ac:dyDescent="0.15">
      <c r="A60" s="272" t="s">
        <v>210</v>
      </c>
      <c r="B60" s="610" t="s">
        <v>1379</v>
      </c>
      <c r="C60" s="610"/>
      <c r="D60" s="610"/>
      <c r="E60" s="610"/>
      <c r="F60" s="610"/>
      <c r="G60" s="610"/>
      <c r="H60" s="610"/>
      <c r="I60" s="610"/>
      <c r="J60" s="610"/>
      <c r="K60" s="610"/>
      <c r="L60" s="610"/>
      <c r="M60" s="610"/>
      <c r="N60" s="610"/>
      <c r="O60" s="610"/>
      <c r="P60" s="610"/>
      <c r="Q60" s="610"/>
      <c r="R60" s="610"/>
    </row>
    <row r="61" spans="1:19" s="34" customFormat="1" ht="18.75" customHeight="1" x14ac:dyDescent="0.15">
      <c r="A61" s="272" t="s">
        <v>226</v>
      </c>
      <c r="B61" s="610" t="s">
        <v>1380</v>
      </c>
      <c r="C61" s="610"/>
      <c r="D61" s="610"/>
      <c r="E61" s="610"/>
      <c r="F61" s="610"/>
      <c r="G61" s="610"/>
      <c r="H61" s="610"/>
      <c r="I61" s="610"/>
      <c r="J61" s="610"/>
      <c r="K61" s="610"/>
      <c r="L61" s="610"/>
      <c r="M61" s="610"/>
      <c r="N61" s="610"/>
      <c r="O61" s="610"/>
      <c r="P61" s="610"/>
      <c r="Q61" s="610"/>
      <c r="R61" s="610"/>
    </row>
    <row r="62" spans="1:19" s="34" customFormat="1" ht="9" x14ac:dyDescent="0.15">
      <c r="A62" s="272" t="s">
        <v>229</v>
      </c>
      <c r="B62" s="69" t="s">
        <v>258</v>
      </c>
      <c r="C62" s="345"/>
      <c r="D62" s="345"/>
      <c r="E62" s="345"/>
      <c r="F62" s="345"/>
      <c r="G62" s="345"/>
      <c r="H62" s="345"/>
      <c r="I62" s="345"/>
      <c r="J62" s="345"/>
      <c r="K62" s="345"/>
      <c r="L62" s="345"/>
      <c r="M62" s="345"/>
      <c r="N62" s="345"/>
      <c r="O62" s="345"/>
      <c r="P62" s="345"/>
      <c r="Q62" s="345"/>
    </row>
    <row r="63" spans="1:19" s="34" customFormat="1" ht="27" customHeight="1" x14ac:dyDescent="0.15">
      <c r="A63" s="353" t="s">
        <v>212</v>
      </c>
      <c r="B63" s="532" t="s">
        <v>259</v>
      </c>
      <c r="C63" s="532"/>
      <c r="D63" s="532"/>
      <c r="E63" s="532"/>
      <c r="F63" s="532"/>
      <c r="G63" s="532"/>
      <c r="H63" s="532"/>
      <c r="I63" s="532"/>
      <c r="J63" s="532"/>
      <c r="K63" s="532"/>
      <c r="L63" s="532"/>
      <c r="M63" s="532"/>
      <c r="N63" s="532"/>
      <c r="O63" s="532"/>
      <c r="P63" s="532"/>
      <c r="Q63" s="532"/>
      <c r="R63" s="532"/>
    </row>
    <row r="64" spans="1:19" s="34" customFormat="1" ht="9" x14ac:dyDescent="0.15">
      <c r="A64" s="73" t="s">
        <v>216</v>
      </c>
      <c r="B64" s="609" t="s">
        <v>260</v>
      </c>
      <c r="C64" s="609"/>
      <c r="D64" s="609"/>
      <c r="E64" s="609"/>
      <c r="F64" s="609"/>
      <c r="G64" s="609"/>
      <c r="H64" s="609"/>
      <c r="I64" s="609"/>
      <c r="J64" s="609"/>
      <c r="K64" s="609"/>
      <c r="L64" s="609"/>
      <c r="M64" s="609"/>
      <c r="N64" s="609"/>
      <c r="O64" s="609"/>
      <c r="P64" s="609"/>
      <c r="Q64" s="609"/>
      <c r="R64" s="609"/>
    </row>
    <row r="65" spans="3:18" s="34" customFormat="1" ht="9" x14ac:dyDescent="0.15">
      <c r="C65" s="35"/>
      <c r="D65" s="35"/>
      <c r="E65" s="35"/>
      <c r="F65" s="35"/>
      <c r="G65" s="35"/>
      <c r="H65" s="35"/>
      <c r="I65" s="36"/>
      <c r="J65" s="35"/>
      <c r="K65" s="35"/>
      <c r="L65" s="35"/>
      <c r="M65" s="35"/>
      <c r="N65" s="35"/>
      <c r="O65" s="33"/>
      <c r="P65" s="33"/>
      <c r="Q65" s="33"/>
      <c r="R65" s="35"/>
    </row>
    <row r="66" spans="3:18" s="34" customFormat="1" ht="9" x14ac:dyDescent="0.15">
      <c r="C66" s="35"/>
      <c r="D66" s="35"/>
      <c r="E66" s="35"/>
      <c r="F66" s="35"/>
      <c r="G66" s="35"/>
      <c r="H66" s="35"/>
      <c r="I66" s="36"/>
      <c r="J66" s="35"/>
      <c r="K66" s="35"/>
      <c r="L66" s="35"/>
      <c r="M66" s="35"/>
      <c r="N66" s="35"/>
      <c r="O66" s="33"/>
      <c r="P66" s="33"/>
      <c r="Q66" s="33"/>
      <c r="R66" s="35"/>
    </row>
    <row r="67" spans="3:18" s="34" customFormat="1" ht="9" x14ac:dyDescent="0.15">
      <c r="C67" s="35"/>
      <c r="D67" s="35"/>
      <c r="E67" s="35"/>
      <c r="F67" s="35"/>
      <c r="G67" s="35"/>
      <c r="H67" s="35"/>
      <c r="I67" s="36"/>
      <c r="J67" s="35"/>
      <c r="K67" s="35"/>
      <c r="L67" s="35"/>
      <c r="M67" s="35"/>
      <c r="N67" s="35"/>
      <c r="O67" s="33"/>
      <c r="P67" s="33"/>
      <c r="Q67" s="33"/>
      <c r="R67" s="35"/>
    </row>
    <row r="68" spans="3:18" s="34" customFormat="1" ht="9" x14ac:dyDescent="0.15">
      <c r="C68" s="35"/>
      <c r="D68" s="35"/>
      <c r="E68" s="35"/>
      <c r="F68" s="35"/>
      <c r="G68" s="35"/>
      <c r="H68" s="35"/>
      <c r="I68" s="36"/>
      <c r="J68" s="35"/>
      <c r="K68" s="35"/>
      <c r="L68" s="35"/>
      <c r="M68" s="35"/>
      <c r="N68" s="35"/>
      <c r="O68" s="33"/>
      <c r="P68" s="33"/>
      <c r="Q68" s="33"/>
      <c r="R68" s="35"/>
    </row>
    <row r="69" spans="3:18" s="34" customFormat="1" ht="9" x14ac:dyDescent="0.15">
      <c r="C69" s="35"/>
      <c r="D69" s="35"/>
      <c r="E69" s="35"/>
      <c r="F69" s="35"/>
      <c r="G69" s="35"/>
      <c r="H69" s="35"/>
      <c r="I69" s="36"/>
      <c r="J69" s="35"/>
      <c r="K69" s="35"/>
      <c r="L69" s="35"/>
      <c r="M69" s="35"/>
      <c r="N69" s="35"/>
      <c r="O69" s="33"/>
      <c r="P69" s="33"/>
      <c r="Q69" s="33"/>
      <c r="R69" s="35"/>
    </row>
    <row r="70" spans="3:18" s="34" customFormat="1" ht="9" x14ac:dyDescent="0.15">
      <c r="C70" s="35"/>
      <c r="D70" s="35"/>
      <c r="E70" s="35"/>
      <c r="F70" s="35"/>
      <c r="G70" s="35"/>
      <c r="H70" s="35"/>
      <c r="I70" s="36"/>
      <c r="J70" s="35"/>
      <c r="K70" s="35"/>
      <c r="L70" s="35"/>
      <c r="M70" s="35"/>
      <c r="N70" s="35"/>
      <c r="O70" s="33"/>
      <c r="P70" s="33"/>
      <c r="Q70" s="33"/>
      <c r="R70" s="35"/>
    </row>
    <row r="71" spans="3:18" s="34" customFormat="1" ht="9" x14ac:dyDescent="0.15">
      <c r="C71" s="35"/>
      <c r="D71" s="35"/>
      <c r="E71" s="35"/>
      <c r="F71" s="35"/>
      <c r="G71" s="35"/>
      <c r="H71" s="35"/>
      <c r="I71" s="36"/>
      <c r="J71" s="35"/>
      <c r="K71" s="35"/>
      <c r="L71" s="35"/>
      <c r="M71" s="35"/>
      <c r="N71" s="35"/>
      <c r="O71" s="33"/>
      <c r="P71" s="33"/>
      <c r="Q71" s="33"/>
      <c r="R71" s="35"/>
    </row>
    <row r="72" spans="3:18" s="34" customFormat="1" ht="9" x14ac:dyDescent="0.15">
      <c r="C72" s="35"/>
      <c r="D72" s="35"/>
      <c r="E72" s="35"/>
      <c r="F72" s="35"/>
      <c r="G72" s="35"/>
      <c r="H72" s="35"/>
      <c r="I72" s="36"/>
      <c r="J72" s="35"/>
      <c r="K72" s="35"/>
      <c r="L72" s="35"/>
      <c r="M72" s="35"/>
      <c r="N72" s="35"/>
      <c r="O72" s="33"/>
      <c r="P72" s="33"/>
      <c r="Q72" s="33"/>
      <c r="R72" s="35"/>
    </row>
    <row r="73" spans="3:18" s="34" customFormat="1" ht="9" x14ac:dyDescent="0.15">
      <c r="C73" s="35"/>
      <c r="D73" s="35"/>
      <c r="E73" s="35"/>
      <c r="F73" s="35"/>
      <c r="G73" s="35"/>
      <c r="H73" s="35"/>
      <c r="I73" s="36"/>
      <c r="J73" s="35"/>
      <c r="K73" s="35"/>
      <c r="L73" s="35"/>
      <c r="M73" s="35"/>
      <c r="N73" s="35"/>
      <c r="O73" s="33"/>
      <c r="P73" s="33"/>
      <c r="Q73" s="33"/>
      <c r="R73" s="35"/>
    </row>
    <row r="74" spans="3:18" s="34" customFormat="1" ht="9" x14ac:dyDescent="0.15">
      <c r="C74" s="35"/>
      <c r="D74" s="35"/>
      <c r="E74" s="35"/>
      <c r="F74" s="35"/>
      <c r="G74" s="35"/>
      <c r="H74" s="35"/>
      <c r="I74" s="36"/>
      <c r="J74" s="35"/>
      <c r="K74" s="35"/>
      <c r="L74" s="35"/>
      <c r="M74" s="35"/>
      <c r="N74" s="35"/>
      <c r="O74" s="33"/>
      <c r="P74" s="33"/>
      <c r="Q74" s="33"/>
      <c r="R74" s="35"/>
    </row>
    <row r="75" spans="3:18" s="34" customFormat="1" ht="9" x14ac:dyDescent="0.15">
      <c r="C75" s="35"/>
      <c r="D75" s="35"/>
      <c r="E75" s="35"/>
      <c r="F75" s="35"/>
      <c r="G75" s="35"/>
      <c r="H75" s="35"/>
      <c r="I75" s="36"/>
      <c r="J75" s="35"/>
      <c r="K75" s="35"/>
      <c r="L75" s="35"/>
      <c r="M75" s="35"/>
      <c r="N75" s="35"/>
      <c r="O75" s="33"/>
      <c r="P75" s="33"/>
      <c r="Q75" s="33"/>
      <c r="R75" s="35"/>
    </row>
    <row r="76" spans="3:18" s="34" customFormat="1" ht="9" x14ac:dyDescent="0.15">
      <c r="C76" s="35"/>
      <c r="D76" s="35"/>
      <c r="E76" s="35"/>
      <c r="F76" s="35"/>
      <c r="G76" s="35"/>
      <c r="H76" s="35"/>
      <c r="I76" s="36"/>
      <c r="J76" s="35"/>
      <c r="K76" s="35"/>
      <c r="L76" s="35"/>
      <c r="M76" s="35"/>
      <c r="N76" s="35"/>
      <c r="O76" s="33"/>
      <c r="P76" s="33"/>
      <c r="Q76" s="33"/>
      <c r="R76" s="35"/>
    </row>
    <row r="77" spans="3:18" s="34" customFormat="1" ht="9" x14ac:dyDescent="0.15">
      <c r="C77" s="35"/>
      <c r="D77" s="35"/>
      <c r="E77" s="35"/>
      <c r="F77" s="35"/>
      <c r="G77" s="35"/>
      <c r="H77" s="35"/>
      <c r="I77" s="36"/>
      <c r="J77" s="35"/>
      <c r="K77" s="35"/>
      <c r="L77" s="35"/>
      <c r="M77" s="35"/>
      <c r="N77" s="35"/>
      <c r="O77" s="33"/>
      <c r="P77" s="33"/>
      <c r="Q77" s="33"/>
      <c r="R77" s="35"/>
    </row>
    <row r="78" spans="3:18" s="34" customFormat="1" ht="9" x14ac:dyDescent="0.15">
      <c r="C78" s="35"/>
      <c r="D78" s="35"/>
      <c r="E78" s="35"/>
      <c r="F78" s="35"/>
      <c r="G78" s="35"/>
      <c r="H78" s="35"/>
      <c r="I78" s="36"/>
      <c r="J78" s="35"/>
      <c r="K78" s="35"/>
      <c r="L78" s="35"/>
      <c r="M78" s="35"/>
      <c r="N78" s="35"/>
      <c r="O78" s="33"/>
      <c r="P78" s="33"/>
      <c r="Q78" s="33"/>
      <c r="R78" s="35"/>
    </row>
    <row r="79" spans="3:18" s="34" customFormat="1" ht="9" x14ac:dyDescent="0.15">
      <c r="C79" s="35"/>
      <c r="D79" s="35"/>
      <c r="E79" s="35"/>
      <c r="F79" s="35"/>
      <c r="G79" s="35"/>
      <c r="H79" s="35"/>
      <c r="I79" s="36"/>
      <c r="J79" s="35"/>
      <c r="K79" s="35"/>
      <c r="L79" s="35"/>
      <c r="M79" s="35"/>
      <c r="N79" s="35"/>
      <c r="O79" s="33"/>
      <c r="P79" s="33"/>
      <c r="Q79" s="33"/>
      <c r="R79" s="35"/>
    </row>
    <row r="80" spans="3:18" s="34" customFormat="1" x14ac:dyDescent="0.2">
      <c r="C80" s="35"/>
      <c r="D80" s="35"/>
      <c r="E80" s="35"/>
      <c r="F80" s="35"/>
      <c r="G80" s="35"/>
      <c r="H80" s="35"/>
      <c r="I80" s="36"/>
      <c r="J80" s="35"/>
      <c r="K80" s="35"/>
      <c r="L80" s="35"/>
      <c r="M80" s="35"/>
      <c r="N80" s="35"/>
      <c r="O80" s="33"/>
      <c r="P80" s="33"/>
      <c r="Q80" s="33"/>
      <c r="R80" s="30"/>
    </row>
    <row r="81" spans="3:18" s="34" customFormat="1" x14ac:dyDescent="0.2">
      <c r="C81" s="35"/>
      <c r="D81" s="35"/>
      <c r="E81" s="35"/>
      <c r="F81" s="35"/>
      <c r="G81" s="30"/>
      <c r="H81" s="35"/>
      <c r="I81" s="36"/>
      <c r="J81" s="30"/>
      <c r="K81" s="35"/>
      <c r="L81" s="35"/>
      <c r="M81" s="35"/>
      <c r="N81" s="35"/>
      <c r="O81" s="33"/>
      <c r="P81" s="33"/>
      <c r="Q81" s="33"/>
      <c r="R81" s="30"/>
    </row>
    <row r="82" spans="3:18" x14ac:dyDescent="0.2">
      <c r="P82" s="33"/>
      <c r="Q82" s="33"/>
    </row>
    <row r="83" spans="3:18" x14ac:dyDescent="0.2">
      <c r="P83" s="33"/>
      <c r="Q83" s="33"/>
    </row>
  </sheetData>
  <mergeCells count="22">
    <mergeCell ref="B1:R1"/>
    <mergeCell ref="B2:R2"/>
    <mergeCell ref="B53:R53"/>
    <mergeCell ref="B47:R47"/>
    <mergeCell ref="C5:D5"/>
    <mergeCell ref="C12:D12"/>
    <mergeCell ref="C13:D13"/>
    <mergeCell ref="C23:D23"/>
    <mergeCell ref="C24:D24"/>
    <mergeCell ref="C32:D32"/>
    <mergeCell ref="C33:D33"/>
    <mergeCell ref="C34:D34"/>
    <mergeCell ref="C35:D35"/>
    <mergeCell ref="C40:D40"/>
    <mergeCell ref="C41:D41"/>
    <mergeCell ref="B52:S52"/>
    <mergeCell ref="B64:R64"/>
    <mergeCell ref="B50:S50"/>
    <mergeCell ref="B61:R61"/>
    <mergeCell ref="B60:R60"/>
    <mergeCell ref="C4:D4"/>
    <mergeCell ref="B63:R63"/>
  </mergeCells>
  <pageMargins left="0.25" right="0.25" top="0.5" bottom="0.5" header="0.5" footer="0.5"/>
  <pageSetup scale="61"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84"/>
  <sheetViews>
    <sheetView workbookViewId="0">
      <selection activeCell="AF35" sqref="AF35"/>
    </sheetView>
  </sheetViews>
  <sheetFormatPr defaultColWidth="9.140625" defaultRowHeight="11.25" x14ac:dyDescent="0.2"/>
  <cols>
    <col min="1" max="1" width="2" style="29" customWidth="1"/>
    <col min="2" max="2" width="36.7109375" style="29" customWidth="1"/>
    <col min="3" max="3" width="8.85546875" style="30" hidden="1" customWidth="1"/>
    <col min="4" max="5" width="7.85546875" style="30" hidden="1" customWidth="1"/>
    <col min="6" max="6" width="44.7109375" style="30" hidden="1" customWidth="1"/>
    <col min="7" max="7" width="9.28515625" style="30" hidden="1" customWidth="1"/>
    <col min="8" max="8" width="8.28515625" style="30" hidden="1" customWidth="1"/>
    <col min="9" max="9" width="9.42578125" style="32" hidden="1" customWidth="1"/>
    <col min="10" max="10" width="7.42578125" style="30" hidden="1" customWidth="1"/>
    <col min="11" max="12" width="6.85546875" style="30" hidden="1" customWidth="1"/>
    <col min="13" max="13" width="8" style="30" hidden="1" customWidth="1"/>
    <col min="14" max="14" width="9.7109375" style="30" hidden="1" customWidth="1"/>
    <col min="15" max="15" width="10.140625" style="31" hidden="1" customWidth="1"/>
    <col min="16" max="17" width="10" style="31" hidden="1" customWidth="1"/>
    <col min="18" max="18" width="4.42578125" style="30" hidden="1" customWidth="1"/>
    <col min="19" max="19" width="0.140625" style="29" customWidth="1"/>
    <col min="20" max="20" width="3.7109375" style="29" customWidth="1"/>
    <col min="21" max="16384" width="9.140625" style="29"/>
  </cols>
  <sheetData>
    <row r="1" spans="2:32" ht="12" thickBot="1" x14ac:dyDescent="0.25">
      <c r="B1" s="537" t="s">
        <v>148</v>
      </c>
      <c r="C1" s="537"/>
      <c r="D1" s="537"/>
      <c r="E1" s="537"/>
      <c r="F1" s="537"/>
      <c r="G1" s="537"/>
      <c r="H1" s="537"/>
      <c r="I1" s="537"/>
      <c r="J1" s="537"/>
      <c r="K1" s="537"/>
      <c r="L1" s="537"/>
      <c r="M1" s="537"/>
      <c r="N1" s="537"/>
      <c r="O1" s="537"/>
      <c r="P1" s="537"/>
      <c r="Q1" s="537"/>
      <c r="R1" s="537"/>
      <c r="U1" s="528" t="s">
        <v>149</v>
      </c>
      <c r="V1" s="529"/>
      <c r="W1" s="530"/>
      <c r="X1" s="528" t="s">
        <v>150</v>
      </c>
      <c r="Y1" s="529"/>
      <c r="Z1" s="530"/>
      <c r="AA1" s="528" t="s">
        <v>151</v>
      </c>
      <c r="AB1" s="529"/>
      <c r="AC1" s="530"/>
    </row>
    <row r="2" spans="2:32" ht="12" thickBot="1" x14ac:dyDescent="0.25">
      <c r="B2" s="538" t="s">
        <v>152</v>
      </c>
      <c r="C2" s="538"/>
      <c r="D2" s="538"/>
      <c r="E2" s="538"/>
      <c r="F2" s="538"/>
      <c r="G2" s="538"/>
      <c r="H2" s="538"/>
      <c r="I2" s="538"/>
      <c r="J2" s="538"/>
      <c r="K2" s="538"/>
      <c r="L2" s="538"/>
      <c r="M2" s="538"/>
      <c r="N2" s="538"/>
      <c r="O2" s="538"/>
      <c r="P2" s="538"/>
      <c r="Q2" s="538"/>
      <c r="R2" s="538"/>
      <c r="U2" s="348" t="s">
        <v>153</v>
      </c>
      <c r="V2" s="349" t="s">
        <v>154</v>
      </c>
      <c r="W2" s="350" t="s">
        <v>155</v>
      </c>
      <c r="X2" s="348" t="s">
        <v>153</v>
      </c>
      <c r="Y2" s="349" t="s">
        <v>154</v>
      </c>
      <c r="Z2" s="350" t="s">
        <v>155</v>
      </c>
      <c r="AA2" s="348" t="s">
        <v>153</v>
      </c>
      <c r="AB2" s="349" t="s">
        <v>154</v>
      </c>
      <c r="AC2" s="350" t="s">
        <v>155</v>
      </c>
    </row>
    <row r="3" spans="2:32" s="66" customFormat="1" ht="66.75" customHeight="1" x14ac:dyDescent="0.15">
      <c r="B3" s="68" t="s">
        <v>156</v>
      </c>
      <c r="C3" s="68" t="s">
        <v>157</v>
      </c>
      <c r="D3" s="68" t="s">
        <v>158</v>
      </c>
      <c r="E3" s="68" t="s">
        <v>159</v>
      </c>
      <c r="F3" s="68" t="s">
        <v>160</v>
      </c>
      <c r="G3" s="68" t="s">
        <v>161</v>
      </c>
      <c r="H3" s="68" t="s">
        <v>162</v>
      </c>
      <c r="I3" s="76" t="s">
        <v>163</v>
      </c>
      <c r="J3" s="77" t="s">
        <v>164</v>
      </c>
      <c r="K3" s="77" t="s">
        <v>165</v>
      </c>
      <c r="L3" s="77" t="s">
        <v>166</v>
      </c>
      <c r="M3" s="77" t="s">
        <v>167</v>
      </c>
      <c r="N3" s="68" t="s">
        <v>168</v>
      </c>
      <c r="O3" s="77" t="s">
        <v>169</v>
      </c>
      <c r="P3" s="77" t="s">
        <v>170</v>
      </c>
      <c r="Q3" s="77" t="s">
        <v>171</v>
      </c>
      <c r="R3" s="67" t="s">
        <v>172</v>
      </c>
      <c r="S3" s="66" t="s">
        <v>173</v>
      </c>
      <c r="U3" s="76" t="s">
        <v>163</v>
      </c>
      <c r="V3" s="76" t="s">
        <v>163</v>
      </c>
      <c r="W3" s="76" t="s">
        <v>163</v>
      </c>
      <c r="X3" s="76" t="s">
        <v>163</v>
      </c>
      <c r="Y3" s="76" t="s">
        <v>163</v>
      </c>
      <c r="Z3" s="76" t="s">
        <v>163</v>
      </c>
      <c r="AA3" s="76" t="s">
        <v>163</v>
      </c>
      <c r="AB3" s="76" t="s">
        <v>163</v>
      </c>
      <c r="AC3" s="76" t="s">
        <v>163</v>
      </c>
    </row>
    <row r="4" spans="2:32" s="45" customFormat="1" ht="9" x14ac:dyDescent="0.15">
      <c r="B4" s="65" t="s">
        <v>174</v>
      </c>
      <c r="C4" s="539" t="s">
        <v>175</v>
      </c>
      <c r="D4" s="540"/>
      <c r="E4" s="344"/>
      <c r="F4" s="63"/>
      <c r="G4" s="63"/>
      <c r="H4" s="63"/>
      <c r="I4" s="64"/>
      <c r="J4" s="64"/>
      <c r="K4" s="64"/>
      <c r="L4" s="64"/>
      <c r="M4" s="64"/>
      <c r="N4" s="62"/>
      <c r="O4" s="62"/>
      <c r="P4" s="62"/>
      <c r="Q4" s="84"/>
      <c r="R4" s="61"/>
    </row>
    <row r="5" spans="2:32" s="45" customFormat="1" ht="9" x14ac:dyDescent="0.15">
      <c r="B5" s="56" t="s">
        <v>176</v>
      </c>
      <c r="C5" s="535" t="s">
        <v>175</v>
      </c>
      <c r="D5" s="536"/>
      <c r="E5" s="343"/>
      <c r="F5" s="53"/>
      <c r="G5" s="53"/>
      <c r="H5" s="53"/>
      <c r="I5" s="54"/>
      <c r="J5" s="54"/>
      <c r="K5" s="54"/>
      <c r="L5" s="54"/>
      <c r="M5" s="54"/>
      <c r="N5" s="46"/>
      <c r="O5" s="46"/>
      <c r="P5" s="46"/>
      <c r="Q5" s="85"/>
      <c r="R5" s="52"/>
    </row>
    <row r="6" spans="2:32" s="45" customFormat="1" ht="9" x14ac:dyDescent="0.15">
      <c r="B6" s="56" t="s">
        <v>177</v>
      </c>
      <c r="C6" s="53"/>
      <c r="D6" s="46"/>
      <c r="E6" s="46"/>
      <c r="F6" s="53"/>
      <c r="G6" s="53"/>
      <c r="H6" s="53"/>
      <c r="I6" s="54"/>
      <c r="J6" s="54"/>
      <c r="K6" s="54"/>
      <c r="L6" s="54"/>
      <c r="M6" s="54"/>
      <c r="N6" s="46"/>
      <c r="O6" s="46"/>
      <c r="P6" s="46"/>
      <c r="Q6" s="85"/>
      <c r="R6" s="52"/>
    </row>
    <row r="7" spans="2:32" s="45" customFormat="1" ht="9" x14ac:dyDescent="0.15">
      <c r="B7" s="82" t="s">
        <v>178</v>
      </c>
      <c r="C7" s="53">
        <v>40</v>
      </c>
      <c r="D7" s="46">
        <v>0</v>
      </c>
      <c r="E7" s="46"/>
      <c r="F7" s="53">
        <v>1</v>
      </c>
      <c r="G7" s="53">
        <v>0</v>
      </c>
      <c r="H7" s="53">
        <f>C7*F7</f>
        <v>40</v>
      </c>
      <c r="I7" s="55">
        <f>'Annual # of Respondents'!D3</f>
        <v>59</v>
      </c>
      <c r="J7" s="54">
        <v>0</v>
      </c>
      <c r="K7" s="54">
        <f>H7*I7</f>
        <v>2360</v>
      </c>
      <c r="L7" s="54">
        <f>K7*0.1</f>
        <v>236</v>
      </c>
      <c r="M7" s="55">
        <f>K7*0.05</f>
        <v>118</v>
      </c>
      <c r="N7" s="46">
        <f>(J7*'Labor Data'!$K$10)+(K7*'Labor Data'!$K$9)+(L7*'Labor Data'!$K$11)+(M7*'Labor Data'!$K$8)</f>
        <v>224097.93000000002</v>
      </c>
      <c r="O7" s="46">
        <f>D7*F7*I7</f>
        <v>0</v>
      </c>
      <c r="P7" s="54">
        <v>0</v>
      </c>
      <c r="Q7" s="86"/>
      <c r="R7" s="52" t="s">
        <v>179</v>
      </c>
      <c r="X7" s="351"/>
    </row>
    <row r="8" spans="2:32" s="45" customFormat="1" ht="9" x14ac:dyDescent="0.15">
      <c r="B8" s="56" t="s">
        <v>180</v>
      </c>
      <c r="C8" s="53"/>
      <c r="D8" s="46"/>
      <c r="E8" s="46"/>
      <c r="F8" s="53"/>
      <c r="G8" s="53"/>
      <c r="H8" s="53"/>
      <c r="I8" s="54"/>
      <c r="J8" s="54"/>
      <c r="K8" s="54"/>
      <c r="L8" s="54"/>
      <c r="M8" s="54"/>
      <c r="N8" s="46"/>
      <c r="O8" s="46"/>
      <c r="P8" s="46"/>
      <c r="Q8" s="85"/>
      <c r="R8" s="52"/>
      <c r="T8" s="60"/>
      <c r="X8" s="351"/>
      <c r="AF8" s="45" t="s">
        <v>181</v>
      </c>
    </row>
    <row r="9" spans="2:32" s="45" customFormat="1" ht="9" x14ac:dyDescent="0.15">
      <c r="B9" s="82" t="s">
        <v>182</v>
      </c>
      <c r="C9" s="53">
        <v>12</v>
      </c>
      <c r="D9" s="46">
        <f>'Other Cost Basis'!D2+'Other Cost Basis'!D17+'Other Cost Basis'!D18+'Other Cost Basis'!D19</f>
        <v>1983.6594844730848</v>
      </c>
      <c r="E9" s="46">
        <f>'Other Cost Basis'!D20</f>
        <v>1000</v>
      </c>
      <c r="F9" s="53">
        <v>1</v>
      </c>
      <c r="G9" s="53">
        <v>0</v>
      </c>
      <c r="H9" s="53">
        <f>C9*F9</f>
        <v>12</v>
      </c>
      <c r="I9" s="55">
        <f>'Annual # of Respondents'!D13</f>
        <v>30</v>
      </c>
      <c r="J9" s="54">
        <v>0</v>
      </c>
      <c r="K9" s="54">
        <f>H9*I9</f>
        <v>360</v>
      </c>
      <c r="L9" s="54">
        <f>K9*0.1</f>
        <v>36</v>
      </c>
      <c r="M9" s="54">
        <f>K9*0.05</f>
        <v>18</v>
      </c>
      <c r="N9" s="46">
        <f>(J9*'Labor Data'!$K$10)+(K9*'Labor Data'!$K$9)+(L9*'Labor Data'!$K$11)+(M9*'Labor Data'!$K$8)</f>
        <v>34184.430000000008</v>
      </c>
      <c r="O9" s="290">
        <f>(D9+E9)*F9*I9</f>
        <v>89509.784534192542</v>
      </c>
      <c r="P9" s="54">
        <f>F9*I9</f>
        <v>30</v>
      </c>
      <c r="Q9" s="86">
        <f>'Other Cost Basis'!B2+'Other Cost Basis'!B17+'Other Cost Basis'!B18+'Other Cost Basis'!B19</f>
        <v>18067</v>
      </c>
      <c r="R9" s="52" t="s">
        <v>183</v>
      </c>
      <c r="T9" s="60"/>
      <c r="U9" s="351">
        <f>X9+AA9</f>
        <v>84</v>
      </c>
      <c r="V9" s="351">
        <f t="shared" ref="V9:W9" si="0">Y9+AB9</f>
        <v>7</v>
      </c>
      <c r="W9" s="351">
        <f t="shared" si="0"/>
        <v>13</v>
      </c>
      <c r="X9" s="351">
        <f>'1.A-Public'!P9</f>
        <v>30</v>
      </c>
      <c r="Y9" s="351">
        <f>'2.A-Public'!P9</f>
        <v>3</v>
      </c>
      <c r="Z9" s="351">
        <f>'3.A-Public'!P9</f>
        <v>7</v>
      </c>
      <c r="AA9" s="351">
        <f>'1.B-Priv'!P9</f>
        <v>54</v>
      </c>
      <c r="AB9" s="351">
        <f>'2.B-Priv'!P9</f>
        <v>4</v>
      </c>
      <c r="AC9" s="351">
        <f>'3.B-Priv'!P9</f>
        <v>6</v>
      </c>
      <c r="AF9" s="359">
        <f>SUM(U9:W9)</f>
        <v>104</v>
      </c>
    </row>
    <row r="10" spans="2:32" s="45" customFormat="1" ht="9" x14ac:dyDescent="0.15">
      <c r="B10" s="82" t="s">
        <v>184</v>
      </c>
      <c r="C10" s="329">
        <f>ROUND('Controllers NSPS acreage'!V3,0)</f>
        <v>44</v>
      </c>
      <c r="D10" s="46">
        <f>'Other Cost Basis'!B9+'Other Cost Basis'!F13+'Other Cost Basis'!F14</f>
        <v>703.5</v>
      </c>
      <c r="E10" s="46"/>
      <c r="F10" s="53">
        <v>4</v>
      </c>
      <c r="G10" s="72">
        <f>C10*F10</f>
        <v>176</v>
      </c>
      <c r="H10" s="53">
        <v>0</v>
      </c>
      <c r="I10" s="55">
        <f>'Annual # of Respondents'!D7</f>
        <v>30</v>
      </c>
      <c r="J10" s="54">
        <f>G10*I10</f>
        <v>5280</v>
      </c>
      <c r="K10" s="54">
        <v>0</v>
      </c>
      <c r="L10" s="54">
        <v>0</v>
      </c>
      <c r="M10" s="54">
        <v>0</v>
      </c>
      <c r="N10" s="46">
        <f>(J10*'Labor Data'!$K$10)+(K10*'Labor Data'!$K$9)+(L10*'Labor Data'!$K$11)+(M10*'Labor Data'!$K$8)</f>
        <v>263229.12</v>
      </c>
      <c r="O10" s="46">
        <f>D10*F10*I10</f>
        <v>84420</v>
      </c>
      <c r="P10" s="54">
        <v>0</v>
      </c>
      <c r="Q10" s="86"/>
      <c r="R10" s="52" t="s">
        <v>185</v>
      </c>
      <c r="T10" s="60"/>
      <c r="U10" s="351">
        <f t="shared" ref="U10:U39" si="1">X10+AA10</f>
        <v>0</v>
      </c>
      <c r="V10" s="351">
        <f t="shared" ref="V10:V39" si="2">Y10+AB10</f>
        <v>0</v>
      </c>
      <c r="W10" s="351">
        <f t="shared" ref="W10:W39" si="3">Z10+AC10</f>
        <v>0</v>
      </c>
      <c r="X10" s="351">
        <f>'1.A-Public'!P10</f>
        <v>0</v>
      </c>
      <c r="Y10" s="351">
        <f>'2.A-Public'!P10</f>
        <v>0</v>
      </c>
      <c r="Z10" s="351">
        <f>'3.A-Public'!P10</f>
        <v>0</v>
      </c>
      <c r="AA10" s="351">
        <f>'1.B-Priv'!P10</f>
        <v>0</v>
      </c>
      <c r="AB10" s="351">
        <f>'2.B-Priv'!P10</f>
        <v>0</v>
      </c>
      <c r="AC10" s="351">
        <f>'3.B-Priv'!P10</f>
        <v>0</v>
      </c>
      <c r="AF10" s="359"/>
    </row>
    <row r="11" spans="2:32" s="45" customFormat="1" ht="9" x14ac:dyDescent="0.15">
      <c r="B11" s="82" t="s">
        <v>186</v>
      </c>
      <c r="C11" s="295">
        <f>ROUND(2000/49.85,0)</f>
        <v>40</v>
      </c>
      <c r="D11" s="296">
        <f>'Other Cost Basis'!F15</f>
        <v>17</v>
      </c>
      <c r="E11" s="296"/>
      <c r="F11" s="53">
        <v>12</v>
      </c>
      <c r="G11" s="72">
        <f>C11*F11</f>
        <v>480</v>
      </c>
      <c r="H11" s="53">
        <v>0</v>
      </c>
      <c r="I11" s="55">
        <f>I10</f>
        <v>30</v>
      </c>
      <c r="J11" s="54">
        <f>G11*I11</f>
        <v>14400</v>
      </c>
      <c r="K11" s="54">
        <v>0</v>
      </c>
      <c r="L11" s="54">
        <v>0</v>
      </c>
      <c r="M11" s="54">
        <v>0</v>
      </c>
      <c r="N11" s="46">
        <f>(J11*'Labor Data'!$K$10)+(K11*'Labor Data'!$K$9)+(L11*'Labor Data'!$K$11)+(M11*'Labor Data'!$K$8)</f>
        <v>717897.6</v>
      </c>
      <c r="O11" s="46">
        <f>D11*F11*I11</f>
        <v>6120</v>
      </c>
      <c r="P11" s="54">
        <v>1</v>
      </c>
      <c r="Q11" s="86"/>
      <c r="R11" s="52" t="s">
        <v>185</v>
      </c>
      <c r="T11" s="60"/>
      <c r="U11" s="351">
        <f t="shared" si="1"/>
        <v>2</v>
      </c>
      <c r="V11" s="351">
        <f t="shared" si="2"/>
        <v>2</v>
      </c>
      <c r="W11" s="351">
        <f t="shared" si="3"/>
        <v>2</v>
      </c>
      <c r="X11" s="351">
        <f>'1.A-Public'!P11</f>
        <v>1</v>
      </c>
      <c r="Y11" s="351">
        <f>'2.A-Public'!P11</f>
        <v>1</v>
      </c>
      <c r="Z11" s="351">
        <f>'3.A-Public'!P11</f>
        <v>1</v>
      </c>
      <c r="AA11" s="351">
        <f>'1.B-Priv'!P11</f>
        <v>1</v>
      </c>
      <c r="AB11" s="351">
        <f>'2.B-Priv'!P11</f>
        <v>1</v>
      </c>
      <c r="AC11" s="351">
        <f>'3.B-Priv'!P11</f>
        <v>1</v>
      </c>
      <c r="AF11" s="359"/>
    </row>
    <row r="12" spans="2:32" s="45" customFormat="1" ht="9" x14ac:dyDescent="0.15">
      <c r="B12" s="56" t="s">
        <v>187</v>
      </c>
      <c r="C12" s="535" t="s">
        <v>188</v>
      </c>
      <c r="D12" s="536"/>
      <c r="E12" s="343"/>
      <c r="F12" s="53"/>
      <c r="G12" s="53"/>
      <c r="H12" s="53"/>
      <c r="I12" s="54"/>
      <c r="J12" s="54"/>
      <c r="K12" s="54"/>
      <c r="L12" s="54"/>
      <c r="M12" s="54"/>
      <c r="N12" s="46"/>
      <c r="O12" s="46"/>
      <c r="P12" s="46"/>
      <c r="Q12" s="85"/>
      <c r="R12" s="52"/>
      <c r="T12" s="60"/>
      <c r="U12" s="351"/>
      <c r="V12" s="351"/>
      <c r="W12" s="351"/>
      <c r="X12" s="351"/>
      <c r="Y12" s="351"/>
      <c r="Z12" s="351"/>
      <c r="AA12" s="351"/>
      <c r="AB12" s="351"/>
      <c r="AC12" s="351"/>
      <c r="AF12" s="359"/>
    </row>
    <row r="13" spans="2:32" s="45" customFormat="1" ht="9" x14ac:dyDescent="0.15">
      <c r="B13" s="56" t="s">
        <v>189</v>
      </c>
      <c r="C13" s="535" t="s">
        <v>188</v>
      </c>
      <c r="D13" s="536"/>
      <c r="E13" s="343"/>
      <c r="F13" s="53"/>
      <c r="G13" s="53"/>
      <c r="H13" s="53"/>
      <c r="I13" s="54"/>
      <c r="J13" s="54"/>
      <c r="K13" s="54"/>
      <c r="L13" s="54"/>
      <c r="M13" s="54"/>
      <c r="N13" s="46"/>
      <c r="O13" s="46"/>
      <c r="P13" s="46"/>
      <c r="Q13" s="85"/>
      <c r="R13" s="52"/>
      <c r="U13" s="351"/>
      <c r="V13" s="351"/>
      <c r="W13" s="351"/>
      <c r="X13" s="351"/>
      <c r="Y13" s="351"/>
      <c r="Z13" s="351"/>
      <c r="AA13" s="351"/>
      <c r="AB13" s="351"/>
      <c r="AC13" s="351"/>
      <c r="AF13" s="359"/>
    </row>
    <row r="14" spans="2:32" s="45" customFormat="1" ht="9" x14ac:dyDescent="0.15">
      <c r="B14" s="56" t="s">
        <v>190</v>
      </c>
      <c r="C14" s="53"/>
      <c r="D14" s="46"/>
      <c r="E14" s="46"/>
      <c r="F14" s="53"/>
      <c r="G14" s="53"/>
      <c r="H14" s="53"/>
      <c r="I14" s="54"/>
      <c r="J14" s="54"/>
      <c r="K14" s="54"/>
      <c r="L14" s="54"/>
      <c r="M14" s="54"/>
      <c r="N14" s="46"/>
      <c r="O14" s="46"/>
      <c r="P14" s="46"/>
      <c r="Q14" s="85"/>
      <c r="R14" s="52"/>
      <c r="U14" s="351"/>
      <c r="V14" s="351"/>
      <c r="W14" s="351"/>
      <c r="X14" s="351"/>
      <c r="Y14" s="351"/>
      <c r="Z14" s="351"/>
      <c r="AA14" s="351"/>
      <c r="AB14" s="351"/>
      <c r="AC14" s="351"/>
      <c r="AF14" s="359"/>
    </row>
    <row r="15" spans="2:32" s="45" customFormat="1" ht="9" x14ac:dyDescent="0.15">
      <c r="B15" s="81" t="s">
        <v>191</v>
      </c>
      <c r="C15" s="53">
        <v>2</v>
      </c>
      <c r="D15" s="46">
        <v>0</v>
      </c>
      <c r="E15" s="46"/>
      <c r="F15" s="53">
        <v>1</v>
      </c>
      <c r="G15" s="53">
        <v>0</v>
      </c>
      <c r="H15" s="53">
        <f t="shared" ref="H15:H22" si="4">C15*F15</f>
        <v>2</v>
      </c>
      <c r="I15" s="55">
        <f>'Annual # of Respondents'!D4</f>
        <v>8</v>
      </c>
      <c r="J15" s="54">
        <v>0</v>
      </c>
      <c r="K15" s="54">
        <f t="shared" ref="K15:K22" si="5">H15*I15</f>
        <v>16</v>
      </c>
      <c r="L15" s="54">
        <f t="shared" ref="L15:L22" si="6">K15*0.1</f>
        <v>1.6</v>
      </c>
      <c r="M15" s="54">
        <f t="shared" ref="M15:M22" si="7">K15*0.05</f>
        <v>0.8</v>
      </c>
      <c r="N15" s="46">
        <f>(J15*'Labor Data'!$K$10)+(K15*'Labor Data'!$K$9)+(L15*'Labor Data'!$K$11)+(M15*'Labor Data'!$K$8)</f>
        <v>1519.308</v>
      </c>
      <c r="O15" s="46">
        <f t="shared" ref="O15:O22" si="8">D15*F15*I15</f>
        <v>0</v>
      </c>
      <c r="P15" s="54">
        <f t="shared" ref="P15:P22" si="9">F15*I15</f>
        <v>8</v>
      </c>
      <c r="Q15" s="86"/>
      <c r="R15" s="52" t="s">
        <v>192</v>
      </c>
      <c r="U15" s="351">
        <f t="shared" si="1"/>
        <v>9</v>
      </c>
      <c r="V15" s="351">
        <f t="shared" si="2"/>
        <v>0</v>
      </c>
      <c r="W15" s="351">
        <f t="shared" si="3"/>
        <v>0</v>
      </c>
      <c r="X15" s="351">
        <f>'1.A-Public'!P15</f>
        <v>8</v>
      </c>
      <c r="Y15" s="351">
        <f>'2.A-Public'!P15</f>
        <v>0</v>
      </c>
      <c r="Z15" s="351">
        <f>'3.A-Public'!P15</f>
        <v>0</v>
      </c>
      <c r="AA15" s="351">
        <f>'1.B-Priv'!P15</f>
        <v>1</v>
      </c>
      <c r="AB15" s="351">
        <f>'2.B-Priv'!P15</f>
        <v>0</v>
      </c>
      <c r="AC15" s="351">
        <f>'3.B-Priv'!P15</f>
        <v>0</v>
      </c>
      <c r="AF15" s="359">
        <f>SUM(U15:W15)</f>
        <v>9</v>
      </c>
    </row>
    <row r="16" spans="2:32" s="45" customFormat="1" ht="9" x14ac:dyDescent="0.15">
      <c r="B16" s="79" t="s">
        <v>193</v>
      </c>
      <c r="C16" s="342">
        <v>2</v>
      </c>
      <c r="D16" s="46">
        <v>0</v>
      </c>
      <c r="E16" s="46"/>
      <c r="F16" s="53">
        <v>1</v>
      </c>
      <c r="G16" s="53">
        <v>0</v>
      </c>
      <c r="H16" s="53">
        <f t="shared" si="4"/>
        <v>2</v>
      </c>
      <c r="I16" s="55">
        <f>0</f>
        <v>0</v>
      </c>
      <c r="J16" s="54">
        <v>0</v>
      </c>
      <c r="K16" s="54">
        <f t="shared" si="5"/>
        <v>0</v>
      </c>
      <c r="L16" s="54">
        <f t="shared" si="6"/>
        <v>0</v>
      </c>
      <c r="M16" s="54">
        <f t="shared" si="7"/>
        <v>0</v>
      </c>
      <c r="N16" s="46">
        <f>(J16*'Labor Data'!$K$10)+(K16*'Labor Data'!$K$9)+(L16*'Labor Data'!$K$11)+(M16*'Labor Data'!$K$8)</f>
        <v>0</v>
      </c>
      <c r="O16" s="46">
        <f t="shared" si="8"/>
        <v>0</v>
      </c>
      <c r="P16" s="54">
        <f t="shared" si="9"/>
        <v>0</v>
      </c>
      <c r="Q16" s="86"/>
      <c r="R16" s="52" t="s">
        <v>194</v>
      </c>
      <c r="U16" s="351">
        <f t="shared" si="1"/>
        <v>0</v>
      </c>
      <c r="V16" s="351">
        <f t="shared" si="2"/>
        <v>0</v>
      </c>
      <c r="W16" s="351">
        <f t="shared" si="3"/>
        <v>0</v>
      </c>
      <c r="X16" s="351">
        <f>'1.A-Public'!P16</f>
        <v>0</v>
      </c>
      <c r="Y16" s="351">
        <f>'2.A-Public'!P16</f>
        <v>0</v>
      </c>
      <c r="Z16" s="351">
        <f>'3.A-Public'!P16</f>
        <v>0</v>
      </c>
      <c r="AA16" s="351">
        <f>'1.B-Priv'!P16</f>
        <v>0</v>
      </c>
      <c r="AB16" s="351">
        <f>'2.B-Priv'!P16</f>
        <v>0</v>
      </c>
      <c r="AC16" s="351">
        <f>'3.B-Priv'!P16</f>
        <v>0</v>
      </c>
      <c r="AF16" s="359">
        <f t="shared" ref="AF16:AF29" si="10">SUM(U16:W16)</f>
        <v>0</v>
      </c>
    </row>
    <row r="17" spans="2:32" s="45" customFormat="1" ht="9" x14ac:dyDescent="0.15">
      <c r="B17" s="79" t="s">
        <v>195</v>
      </c>
      <c r="C17" s="53">
        <v>8</v>
      </c>
      <c r="D17" s="46">
        <v>0</v>
      </c>
      <c r="E17" s="46"/>
      <c r="F17" s="53">
        <v>1</v>
      </c>
      <c r="G17" s="53">
        <v>0</v>
      </c>
      <c r="H17" s="53">
        <f t="shared" si="4"/>
        <v>8</v>
      </c>
      <c r="I17" s="55">
        <f>'Annual # of Respondents'!D9</f>
        <v>10.5</v>
      </c>
      <c r="J17" s="54">
        <v>0</v>
      </c>
      <c r="K17" s="54">
        <f t="shared" si="5"/>
        <v>84</v>
      </c>
      <c r="L17" s="54">
        <f t="shared" si="6"/>
        <v>8.4</v>
      </c>
      <c r="M17" s="54">
        <f t="shared" si="7"/>
        <v>4.2</v>
      </c>
      <c r="N17" s="46">
        <f>(J17*'Labor Data'!$K$10)+(K17*'Labor Data'!$K$9)+(L17*'Labor Data'!$K$11)+(M17*'Labor Data'!$K$8)</f>
        <v>7976.3670000000011</v>
      </c>
      <c r="O17" s="46">
        <f t="shared" si="8"/>
        <v>0</v>
      </c>
      <c r="P17" s="54">
        <f t="shared" si="9"/>
        <v>10.5</v>
      </c>
      <c r="Q17" s="86"/>
      <c r="R17" s="52" t="s">
        <v>196</v>
      </c>
      <c r="S17" s="59"/>
      <c r="U17" s="351">
        <f t="shared" si="1"/>
        <v>16.5</v>
      </c>
      <c r="V17" s="351">
        <f t="shared" si="2"/>
        <v>18</v>
      </c>
      <c r="W17" s="351">
        <f t="shared" si="3"/>
        <v>11.5</v>
      </c>
      <c r="X17" s="351">
        <f>'1.A-Public'!P17</f>
        <v>10.5</v>
      </c>
      <c r="Y17" s="351">
        <f>'2.A-Public'!P17</f>
        <v>10.5</v>
      </c>
      <c r="Z17" s="351">
        <f>'3.A-Public'!P17</f>
        <v>7</v>
      </c>
      <c r="AA17" s="351">
        <f>'1.B-Priv'!P17</f>
        <v>6</v>
      </c>
      <c r="AB17" s="351">
        <f>'2.B-Priv'!P17</f>
        <v>7.5</v>
      </c>
      <c r="AC17" s="351">
        <f>'3.B-Priv'!P17</f>
        <v>4.5</v>
      </c>
      <c r="AF17" s="359">
        <f t="shared" si="10"/>
        <v>46</v>
      </c>
    </row>
    <row r="18" spans="2:32" s="45" customFormat="1" ht="9" x14ac:dyDescent="0.15">
      <c r="B18" s="79" t="s">
        <v>197</v>
      </c>
      <c r="C18" s="72">
        <v>12</v>
      </c>
      <c r="D18" s="46">
        <f>'Other Cost Basis'!D4</f>
        <v>2708.280314173127</v>
      </c>
      <c r="E18" s="46"/>
      <c r="F18" s="53">
        <v>1</v>
      </c>
      <c r="G18" s="53">
        <v>0</v>
      </c>
      <c r="H18" s="72">
        <f t="shared" si="4"/>
        <v>12</v>
      </c>
      <c r="I18" s="55">
        <f>'Annual # of Respondents'!D10</f>
        <v>10.5</v>
      </c>
      <c r="J18" s="54">
        <v>0</v>
      </c>
      <c r="K18" s="54">
        <f t="shared" si="5"/>
        <v>126</v>
      </c>
      <c r="L18" s="54">
        <f t="shared" si="6"/>
        <v>12.600000000000001</v>
      </c>
      <c r="M18" s="54">
        <f t="shared" si="7"/>
        <v>6.3000000000000007</v>
      </c>
      <c r="N18" s="46">
        <f>(J18*'Labor Data'!$K$10)+(K18*'Labor Data'!$K$9)+(L18*'Labor Data'!$K$11)+(M18*'Labor Data'!$K$8)</f>
        <v>11964.550500000001</v>
      </c>
      <c r="O18" s="46">
        <f t="shared" si="8"/>
        <v>28436.943298817834</v>
      </c>
      <c r="P18" s="54">
        <f t="shared" si="9"/>
        <v>10.5</v>
      </c>
      <c r="Q18" s="86">
        <f>'Other Cost Basis'!B2</f>
        <v>10067</v>
      </c>
      <c r="R18" s="52" t="s">
        <v>198</v>
      </c>
      <c r="S18" s="59"/>
      <c r="U18" s="351">
        <f t="shared" si="1"/>
        <v>16.5</v>
      </c>
      <c r="V18" s="351">
        <f t="shared" si="2"/>
        <v>1.5</v>
      </c>
      <c r="W18" s="351">
        <f t="shared" si="3"/>
        <v>0</v>
      </c>
      <c r="X18" s="351">
        <f>'1.A-Public'!P18</f>
        <v>10.5</v>
      </c>
      <c r="Y18" s="351">
        <f>'2.A-Public'!P18</f>
        <v>0</v>
      </c>
      <c r="Z18" s="351">
        <f>'3.A-Public'!P18</f>
        <v>0</v>
      </c>
      <c r="AA18" s="351">
        <f>'1.B-Priv'!P18</f>
        <v>6</v>
      </c>
      <c r="AB18" s="351">
        <f>'2.B-Priv'!P18</f>
        <v>1.5</v>
      </c>
      <c r="AC18" s="351">
        <f>'3.B-Priv'!P18</f>
        <v>0</v>
      </c>
      <c r="AF18" s="359">
        <f t="shared" si="10"/>
        <v>18</v>
      </c>
    </row>
    <row r="19" spans="2:32" s="45" customFormat="1" ht="9" customHeight="1" x14ac:dyDescent="0.15">
      <c r="B19" s="79" t="s">
        <v>199</v>
      </c>
      <c r="C19" s="53">
        <v>1</v>
      </c>
      <c r="D19" s="46">
        <v>0</v>
      </c>
      <c r="E19" s="46"/>
      <c r="F19" s="53">
        <v>1</v>
      </c>
      <c r="G19" s="53">
        <v>0</v>
      </c>
      <c r="H19" s="53">
        <f t="shared" si="4"/>
        <v>1</v>
      </c>
      <c r="I19" s="55">
        <v>0</v>
      </c>
      <c r="J19" s="54">
        <v>0</v>
      </c>
      <c r="K19" s="54">
        <f t="shared" si="5"/>
        <v>0</v>
      </c>
      <c r="L19" s="54">
        <f t="shared" si="6"/>
        <v>0</v>
      </c>
      <c r="M19" s="54">
        <f t="shared" si="7"/>
        <v>0</v>
      </c>
      <c r="N19" s="46">
        <f>(J19*'Labor Data'!$K$10)+(K19*'Labor Data'!$K$9)+(L19*'Labor Data'!$K$11)+(M19*'Labor Data'!$K$8)</f>
        <v>0</v>
      </c>
      <c r="O19" s="46">
        <f t="shared" si="8"/>
        <v>0</v>
      </c>
      <c r="P19" s="54">
        <f t="shared" si="9"/>
        <v>0</v>
      </c>
      <c r="Q19" s="86"/>
      <c r="R19" s="52" t="s">
        <v>200</v>
      </c>
      <c r="S19" s="59"/>
      <c r="U19" s="351">
        <f t="shared" si="1"/>
        <v>0</v>
      </c>
      <c r="V19" s="351">
        <f t="shared" si="2"/>
        <v>0</v>
      </c>
      <c r="W19" s="351">
        <f t="shared" si="3"/>
        <v>0</v>
      </c>
      <c r="X19" s="351">
        <f>'1.A-Public'!P19</f>
        <v>0</v>
      </c>
      <c r="Y19" s="351">
        <f>'2.A-Public'!P19</f>
        <v>0</v>
      </c>
      <c r="Z19" s="351">
        <f>'3.A-Public'!P19</f>
        <v>0</v>
      </c>
      <c r="AA19" s="351">
        <f>'1.B-Priv'!P19</f>
        <v>0</v>
      </c>
      <c r="AB19" s="351">
        <f>'2.B-Priv'!P19</f>
        <v>0</v>
      </c>
      <c r="AC19" s="351">
        <f>'3.B-Priv'!P19</f>
        <v>0</v>
      </c>
      <c r="AF19" s="359">
        <f t="shared" si="10"/>
        <v>0</v>
      </c>
    </row>
    <row r="20" spans="2:32" s="45" customFormat="1" ht="9" x14ac:dyDescent="0.15">
      <c r="B20" s="79" t="s">
        <v>201</v>
      </c>
      <c r="C20" s="53">
        <f>3*C18</f>
        <v>36</v>
      </c>
      <c r="D20" s="46">
        <v>0</v>
      </c>
      <c r="E20" s="46"/>
      <c r="F20" s="53">
        <v>1</v>
      </c>
      <c r="G20" s="53">
        <v>0</v>
      </c>
      <c r="H20" s="53">
        <f t="shared" si="4"/>
        <v>36</v>
      </c>
      <c r="I20" s="55">
        <v>0</v>
      </c>
      <c r="J20" s="54">
        <v>0</v>
      </c>
      <c r="K20" s="54">
        <f t="shared" si="5"/>
        <v>0</v>
      </c>
      <c r="L20" s="54">
        <f t="shared" si="6"/>
        <v>0</v>
      </c>
      <c r="M20" s="54">
        <f t="shared" si="7"/>
        <v>0</v>
      </c>
      <c r="N20" s="46">
        <f>(J20*'Labor Data'!$K$10)+(K20*'Labor Data'!$K$9)+(L20*'Labor Data'!$K$11)+(M20*'Labor Data'!$K$8)</f>
        <v>0</v>
      </c>
      <c r="O20" s="46">
        <f t="shared" si="8"/>
        <v>0</v>
      </c>
      <c r="P20" s="54">
        <f t="shared" si="9"/>
        <v>0</v>
      </c>
      <c r="Q20" s="86"/>
      <c r="R20" s="52" t="s">
        <v>202</v>
      </c>
      <c r="S20" s="59"/>
      <c r="U20" s="351">
        <f t="shared" si="1"/>
        <v>0</v>
      </c>
      <c r="V20" s="351">
        <f t="shared" si="2"/>
        <v>0</v>
      </c>
      <c r="W20" s="351">
        <f t="shared" si="3"/>
        <v>0</v>
      </c>
      <c r="X20" s="351">
        <f>'1.A-Public'!P20</f>
        <v>0</v>
      </c>
      <c r="Y20" s="351">
        <f>'2.A-Public'!P20</f>
        <v>0</v>
      </c>
      <c r="Z20" s="351">
        <f>'3.A-Public'!P20</f>
        <v>0</v>
      </c>
      <c r="AA20" s="351">
        <f>'1.B-Priv'!P20</f>
        <v>0</v>
      </c>
      <c r="AB20" s="351">
        <f>'2.B-Priv'!P20</f>
        <v>0</v>
      </c>
      <c r="AC20" s="351">
        <f>'3.B-Priv'!P20</f>
        <v>0</v>
      </c>
      <c r="AF20" s="359">
        <f t="shared" si="10"/>
        <v>0</v>
      </c>
    </row>
    <row r="21" spans="2:32" s="45" customFormat="1" ht="9" x14ac:dyDescent="0.15">
      <c r="B21" s="79" t="s">
        <v>203</v>
      </c>
      <c r="C21" s="53">
        <v>80</v>
      </c>
      <c r="D21" s="46">
        <v>0</v>
      </c>
      <c r="E21" s="46"/>
      <c r="F21" s="53">
        <v>1</v>
      </c>
      <c r="G21" s="53">
        <v>0</v>
      </c>
      <c r="H21" s="53">
        <f t="shared" si="4"/>
        <v>80</v>
      </c>
      <c r="I21" s="55">
        <f>I$10</f>
        <v>30</v>
      </c>
      <c r="J21" s="54">
        <v>0</v>
      </c>
      <c r="K21" s="54">
        <f t="shared" si="5"/>
        <v>2400</v>
      </c>
      <c r="L21" s="54">
        <f t="shared" si="6"/>
        <v>240</v>
      </c>
      <c r="M21" s="54">
        <f t="shared" si="7"/>
        <v>120</v>
      </c>
      <c r="N21" s="46">
        <f>(J21*'Labor Data'!$K$10)+(K21*'Labor Data'!$K$9)+(L21*'Labor Data'!$K$11)+(M21*'Labor Data'!$K$8)</f>
        <v>227896.2</v>
      </c>
      <c r="O21" s="46">
        <f t="shared" si="8"/>
        <v>0</v>
      </c>
      <c r="P21" s="54">
        <f t="shared" si="9"/>
        <v>30</v>
      </c>
      <c r="Q21" s="86"/>
      <c r="R21" s="52" t="s">
        <v>204</v>
      </c>
      <c r="S21" s="59"/>
      <c r="U21" s="351">
        <f t="shared" si="1"/>
        <v>84</v>
      </c>
      <c r="V21" s="351">
        <f t="shared" si="2"/>
        <v>7</v>
      </c>
      <c r="W21" s="351">
        <f t="shared" si="3"/>
        <v>13</v>
      </c>
      <c r="X21" s="351">
        <f>'1.A-Public'!P21</f>
        <v>30</v>
      </c>
      <c r="Y21" s="351">
        <f>'2.A-Public'!P21</f>
        <v>3</v>
      </c>
      <c r="Z21" s="351">
        <f>'3.A-Public'!P21</f>
        <v>7</v>
      </c>
      <c r="AA21" s="351">
        <f>'1.B-Priv'!P21</f>
        <v>54</v>
      </c>
      <c r="AB21" s="351">
        <f>'2.B-Priv'!P21</f>
        <v>4</v>
      </c>
      <c r="AC21" s="351">
        <f>'3.B-Priv'!P21</f>
        <v>6</v>
      </c>
      <c r="AF21" s="359">
        <f t="shared" si="10"/>
        <v>104</v>
      </c>
    </row>
    <row r="22" spans="2:32" s="45" customFormat="1" ht="9" x14ac:dyDescent="0.15">
      <c r="B22" s="79" t="s">
        <v>205</v>
      </c>
      <c r="C22" s="342">
        <v>20</v>
      </c>
      <c r="D22" s="46">
        <v>0</v>
      </c>
      <c r="E22" s="46"/>
      <c r="F22" s="53">
        <v>1</v>
      </c>
      <c r="G22" s="53">
        <v>0</v>
      </c>
      <c r="H22" s="53">
        <f t="shared" si="4"/>
        <v>20</v>
      </c>
      <c r="I22" s="55">
        <f>I21*0.1</f>
        <v>3</v>
      </c>
      <c r="J22" s="54">
        <v>0</v>
      </c>
      <c r="K22" s="54">
        <f t="shared" si="5"/>
        <v>60</v>
      </c>
      <c r="L22" s="54">
        <f t="shared" si="6"/>
        <v>6</v>
      </c>
      <c r="M22" s="54">
        <f t="shared" si="7"/>
        <v>3</v>
      </c>
      <c r="N22" s="46">
        <f>(J22*'Labor Data'!$K$10)+(K22*'Labor Data'!$K$9)+(L22*'Labor Data'!$K$11)+(M22*'Labor Data'!$K$8)</f>
        <v>5697.4049999999997</v>
      </c>
      <c r="O22" s="46">
        <f t="shared" si="8"/>
        <v>0</v>
      </c>
      <c r="P22" s="54">
        <f t="shared" si="9"/>
        <v>3</v>
      </c>
      <c r="Q22" s="86"/>
      <c r="R22" s="52" t="s">
        <v>206</v>
      </c>
      <c r="S22" s="59"/>
      <c r="U22" s="351">
        <f t="shared" si="1"/>
        <v>8.4</v>
      </c>
      <c r="V22" s="351">
        <f t="shared" si="2"/>
        <v>0.70000000000000007</v>
      </c>
      <c r="W22" s="351">
        <f t="shared" si="3"/>
        <v>1.3000000000000003</v>
      </c>
      <c r="X22" s="351">
        <f>'1.A-Public'!P22</f>
        <v>3</v>
      </c>
      <c r="Y22" s="351">
        <f>'2.A-Public'!P22</f>
        <v>0.30000000000000004</v>
      </c>
      <c r="Z22" s="351">
        <f>'3.A-Public'!P22</f>
        <v>0.70000000000000007</v>
      </c>
      <c r="AA22" s="351">
        <f>'1.B-Priv'!P22</f>
        <v>5.4</v>
      </c>
      <c r="AB22" s="351">
        <f>'2.B-Priv'!P22</f>
        <v>0.4</v>
      </c>
      <c r="AC22" s="351">
        <f>'3.B-Priv'!P22</f>
        <v>0.60000000000000009</v>
      </c>
      <c r="AF22" s="359">
        <f t="shared" si="10"/>
        <v>10.4</v>
      </c>
    </row>
    <row r="23" spans="2:32" s="45" customFormat="1" ht="9" x14ac:dyDescent="0.15">
      <c r="B23" s="79" t="s">
        <v>207</v>
      </c>
      <c r="C23" s="535" t="s">
        <v>188</v>
      </c>
      <c r="D23" s="536"/>
      <c r="E23" s="343"/>
      <c r="F23" s="53"/>
      <c r="G23" s="53"/>
      <c r="H23" s="53"/>
      <c r="I23" s="55"/>
      <c r="J23" s="54"/>
      <c r="K23" s="54"/>
      <c r="L23" s="54"/>
      <c r="M23" s="54"/>
      <c r="N23" s="46"/>
      <c r="O23" s="46"/>
      <c r="P23" s="54"/>
      <c r="Q23" s="86"/>
      <c r="R23" s="52"/>
      <c r="S23" s="59"/>
      <c r="U23" s="351">
        <f t="shared" si="1"/>
        <v>0</v>
      </c>
      <c r="V23" s="351">
        <f t="shared" si="2"/>
        <v>0</v>
      </c>
      <c r="W23" s="351">
        <f t="shared" si="3"/>
        <v>0</v>
      </c>
      <c r="X23" s="351">
        <f>'1.A-Public'!P23</f>
        <v>0</v>
      </c>
      <c r="Y23" s="351">
        <f>'2.A-Public'!P23</f>
        <v>0</v>
      </c>
      <c r="Z23" s="351">
        <f>'3.A-Public'!P23</f>
        <v>0</v>
      </c>
      <c r="AA23" s="351">
        <f>'1.B-Priv'!P23</f>
        <v>0</v>
      </c>
      <c r="AB23" s="351">
        <f>'2.B-Priv'!P23</f>
        <v>0</v>
      </c>
      <c r="AC23" s="351">
        <f>'3.B-Priv'!P23</f>
        <v>0</v>
      </c>
      <c r="AF23" s="359">
        <f t="shared" si="10"/>
        <v>0</v>
      </c>
    </row>
    <row r="24" spans="2:32" s="45" customFormat="1" ht="9" x14ac:dyDescent="0.15">
      <c r="B24" s="79" t="s">
        <v>208</v>
      </c>
      <c r="C24" s="535" t="s">
        <v>188</v>
      </c>
      <c r="D24" s="536"/>
      <c r="E24" s="343"/>
      <c r="F24" s="53"/>
      <c r="G24" s="53"/>
      <c r="H24" s="53"/>
      <c r="I24" s="55"/>
      <c r="J24" s="54"/>
      <c r="K24" s="54"/>
      <c r="L24" s="54"/>
      <c r="M24" s="54"/>
      <c r="N24" s="46"/>
      <c r="O24" s="46"/>
      <c r="P24" s="54"/>
      <c r="Q24" s="86"/>
      <c r="R24" s="52"/>
      <c r="S24" s="59"/>
      <c r="U24" s="351">
        <f t="shared" si="1"/>
        <v>0</v>
      </c>
      <c r="V24" s="351">
        <f t="shared" si="2"/>
        <v>0</v>
      </c>
      <c r="W24" s="351">
        <f t="shared" si="3"/>
        <v>0</v>
      </c>
      <c r="X24" s="351">
        <f>'1.A-Public'!P24</f>
        <v>0</v>
      </c>
      <c r="Y24" s="351">
        <f>'2.A-Public'!P24</f>
        <v>0</v>
      </c>
      <c r="Z24" s="351">
        <f>'3.A-Public'!P24</f>
        <v>0</v>
      </c>
      <c r="AA24" s="351">
        <f>'1.B-Priv'!P24</f>
        <v>0</v>
      </c>
      <c r="AB24" s="351">
        <f>'2.B-Priv'!P24</f>
        <v>0</v>
      </c>
      <c r="AC24" s="351">
        <f>'3.B-Priv'!P24</f>
        <v>0</v>
      </c>
      <c r="AF24" s="359">
        <f t="shared" si="10"/>
        <v>0</v>
      </c>
    </row>
    <row r="25" spans="2:32" s="45" customFormat="1" ht="9" x14ac:dyDescent="0.15">
      <c r="B25" s="79" t="s">
        <v>209</v>
      </c>
      <c r="C25" s="53">
        <v>27</v>
      </c>
      <c r="D25" s="46">
        <v>0</v>
      </c>
      <c r="E25" s="46"/>
      <c r="F25" s="53">
        <v>1</v>
      </c>
      <c r="G25" s="53">
        <v>0</v>
      </c>
      <c r="H25" s="53">
        <f>C25*F25</f>
        <v>27</v>
      </c>
      <c r="I25" s="55">
        <f>I$10</f>
        <v>30</v>
      </c>
      <c r="J25" s="54">
        <v>0</v>
      </c>
      <c r="K25" s="54">
        <f>H25*I25</f>
        <v>810</v>
      </c>
      <c r="L25" s="54">
        <f>K25*0.1</f>
        <v>81</v>
      </c>
      <c r="M25" s="54">
        <f>K25*0.05</f>
        <v>40.5</v>
      </c>
      <c r="N25" s="46">
        <f>(J25*'Labor Data'!$K$10)+(K25*'Labor Data'!$K$9)+(L25*'Labor Data'!$K$11)+(M25*'Labor Data'!$K$8)</f>
        <v>76914.967500000013</v>
      </c>
      <c r="O25" s="46">
        <f>D25*F25*I25</f>
        <v>0</v>
      </c>
      <c r="P25" s="54">
        <f>F25*I25</f>
        <v>30</v>
      </c>
      <c r="Q25" s="86"/>
      <c r="R25" s="52" t="s">
        <v>210</v>
      </c>
      <c r="S25" s="59"/>
      <c r="U25" s="351">
        <f t="shared" si="1"/>
        <v>84</v>
      </c>
      <c r="V25" s="351">
        <f t="shared" si="2"/>
        <v>91</v>
      </c>
      <c r="W25" s="351">
        <f t="shared" si="3"/>
        <v>104</v>
      </c>
      <c r="X25" s="351">
        <f>'1.A-Public'!P25</f>
        <v>30</v>
      </c>
      <c r="Y25" s="351">
        <f>'2.A-Public'!P25</f>
        <v>33</v>
      </c>
      <c r="Z25" s="351">
        <f>'3.A-Public'!P25</f>
        <v>40</v>
      </c>
      <c r="AA25" s="351">
        <f>'1.B-Priv'!P25</f>
        <v>54</v>
      </c>
      <c r="AB25" s="351">
        <f>'2.B-Priv'!P25</f>
        <v>58</v>
      </c>
      <c r="AC25" s="351">
        <f>'3.B-Priv'!P25</f>
        <v>64</v>
      </c>
      <c r="AF25" s="359">
        <f t="shared" si="10"/>
        <v>279</v>
      </c>
    </row>
    <row r="26" spans="2:32" s="45" customFormat="1" ht="9" x14ac:dyDescent="0.15">
      <c r="B26" s="304" t="s">
        <v>211</v>
      </c>
      <c r="C26" s="305">
        <v>15</v>
      </c>
      <c r="D26" s="46">
        <v>0</v>
      </c>
      <c r="E26" s="46"/>
      <c r="F26" s="319">
        <v>1</v>
      </c>
      <c r="G26" s="305">
        <v>0</v>
      </c>
      <c r="H26" s="305">
        <f t="shared" ref="H26:H29" si="11">C26*F26</f>
        <v>15</v>
      </c>
      <c r="I26" s="320">
        <v>1</v>
      </c>
      <c r="J26" s="309">
        <v>0</v>
      </c>
      <c r="K26" s="309">
        <f>H26*I26</f>
        <v>15</v>
      </c>
      <c r="L26" s="309">
        <f t="shared" ref="L26:L29" si="12">K26*0.1</f>
        <v>1.5</v>
      </c>
      <c r="M26" s="309">
        <f t="shared" ref="M26:M29" si="13">K26*0.05</f>
        <v>0.75</v>
      </c>
      <c r="N26" s="310">
        <f>(J26*'Labor Data'!$K$10)+(K26*'Labor Data'!$K$9)+(L26*'Labor Data'!$K$11)+(M26*'Labor Data'!$K$8)</f>
        <v>1424.3512499999999</v>
      </c>
      <c r="O26" s="310">
        <f t="shared" ref="O26:O29" si="14">D26*F26*I26</f>
        <v>0</v>
      </c>
      <c r="P26" s="309">
        <f t="shared" ref="P26:P28" si="15">F26*I26</f>
        <v>1</v>
      </c>
      <c r="Q26" s="86"/>
      <c r="R26" s="321" t="s">
        <v>212</v>
      </c>
      <c r="S26" s="317"/>
      <c r="U26" s="351">
        <f t="shared" si="1"/>
        <v>2</v>
      </c>
      <c r="V26" s="351">
        <f t="shared" si="2"/>
        <v>2</v>
      </c>
      <c r="W26" s="351">
        <f t="shared" si="3"/>
        <v>2</v>
      </c>
      <c r="X26" s="351">
        <f>'1.A-Public'!P26</f>
        <v>1</v>
      </c>
      <c r="Y26" s="351">
        <f>'2.A-Public'!P26</f>
        <v>1</v>
      </c>
      <c r="Z26" s="351">
        <f>'3.A-Public'!P26</f>
        <v>1</v>
      </c>
      <c r="AA26" s="351">
        <f>'1.B-Priv'!P26</f>
        <v>1</v>
      </c>
      <c r="AB26" s="351">
        <f>'2.B-Priv'!P26</f>
        <v>1</v>
      </c>
      <c r="AC26" s="351">
        <f>'3.B-Priv'!P26</f>
        <v>1</v>
      </c>
      <c r="AF26" s="359">
        <f t="shared" si="10"/>
        <v>6</v>
      </c>
    </row>
    <row r="27" spans="2:32" s="45" customFormat="1" ht="9" x14ac:dyDescent="0.15">
      <c r="B27" s="304" t="s">
        <v>213</v>
      </c>
      <c r="C27" s="305">
        <v>15</v>
      </c>
      <c r="D27" s="46">
        <v>0</v>
      </c>
      <c r="E27" s="46"/>
      <c r="F27" s="319">
        <v>1</v>
      </c>
      <c r="G27" s="305">
        <v>0</v>
      </c>
      <c r="H27" s="305">
        <f t="shared" si="11"/>
        <v>15</v>
      </c>
      <c r="I27" s="320">
        <v>1</v>
      </c>
      <c r="J27" s="309">
        <v>0</v>
      </c>
      <c r="K27" s="309">
        <f t="shared" ref="K27:K29" si="16">H27*I27</f>
        <v>15</v>
      </c>
      <c r="L27" s="309">
        <f t="shared" si="12"/>
        <v>1.5</v>
      </c>
      <c r="M27" s="309">
        <f t="shared" si="13"/>
        <v>0.75</v>
      </c>
      <c r="N27" s="310">
        <f>(J27*'Labor Data'!$K$10)+(K27*'Labor Data'!$K$9)+(L27*'Labor Data'!$K$11)+(M27*'Labor Data'!$K$8)</f>
        <v>1424.3512499999999</v>
      </c>
      <c r="O27" s="310">
        <f t="shared" si="14"/>
        <v>0</v>
      </c>
      <c r="P27" s="309">
        <f t="shared" si="15"/>
        <v>1</v>
      </c>
      <c r="Q27" s="86"/>
      <c r="R27" s="321" t="s">
        <v>212</v>
      </c>
      <c r="S27" s="317"/>
      <c r="U27" s="351">
        <f t="shared" si="1"/>
        <v>2</v>
      </c>
      <c r="V27" s="351">
        <f t="shared" si="2"/>
        <v>2</v>
      </c>
      <c r="W27" s="351">
        <f t="shared" si="3"/>
        <v>2</v>
      </c>
      <c r="X27" s="351">
        <f>'1.A-Public'!P27</f>
        <v>1</v>
      </c>
      <c r="Y27" s="351">
        <f>'2.A-Public'!P27</f>
        <v>1</v>
      </c>
      <c r="Z27" s="351">
        <f>'3.A-Public'!P27</f>
        <v>1</v>
      </c>
      <c r="AA27" s="351">
        <f>'1.B-Priv'!P27</f>
        <v>1</v>
      </c>
      <c r="AB27" s="351">
        <f>'2.B-Priv'!P27</f>
        <v>1</v>
      </c>
      <c r="AC27" s="351">
        <f>'3.B-Priv'!P27</f>
        <v>1</v>
      </c>
      <c r="AF27" s="359">
        <f t="shared" si="10"/>
        <v>6</v>
      </c>
    </row>
    <row r="28" spans="2:32" s="45" customFormat="1" ht="9" x14ac:dyDescent="0.15">
      <c r="B28" s="304" t="s">
        <v>214</v>
      </c>
      <c r="C28" s="305">
        <v>15</v>
      </c>
      <c r="D28" s="46">
        <v>0</v>
      </c>
      <c r="E28" s="46"/>
      <c r="F28" s="319">
        <v>1</v>
      </c>
      <c r="G28" s="305">
        <v>0</v>
      </c>
      <c r="H28" s="305">
        <f t="shared" si="11"/>
        <v>15</v>
      </c>
      <c r="I28" s="320">
        <v>1</v>
      </c>
      <c r="J28" s="309">
        <v>0</v>
      </c>
      <c r="K28" s="309">
        <f t="shared" si="16"/>
        <v>15</v>
      </c>
      <c r="L28" s="309">
        <f t="shared" si="12"/>
        <v>1.5</v>
      </c>
      <c r="M28" s="309">
        <f t="shared" si="13"/>
        <v>0.75</v>
      </c>
      <c r="N28" s="310">
        <f>(J28*'Labor Data'!$K$10)+(K28*'Labor Data'!$K$9)+(L28*'Labor Data'!$K$11)+(M28*'Labor Data'!$K$8)</f>
        <v>1424.3512499999999</v>
      </c>
      <c r="O28" s="310">
        <f t="shared" si="14"/>
        <v>0</v>
      </c>
      <c r="P28" s="309">
        <f t="shared" si="15"/>
        <v>1</v>
      </c>
      <c r="Q28" s="86"/>
      <c r="R28" s="321" t="s">
        <v>212</v>
      </c>
      <c r="S28" s="317"/>
      <c r="U28" s="351">
        <f t="shared" si="1"/>
        <v>2</v>
      </c>
      <c r="V28" s="351">
        <f t="shared" si="2"/>
        <v>2</v>
      </c>
      <c r="W28" s="351">
        <f t="shared" si="3"/>
        <v>2</v>
      </c>
      <c r="X28" s="351">
        <f>'1.A-Public'!P28</f>
        <v>1</v>
      </c>
      <c r="Y28" s="351">
        <f>'2.A-Public'!P28</f>
        <v>1</v>
      </c>
      <c r="Z28" s="351">
        <f>'3.A-Public'!P28</f>
        <v>1</v>
      </c>
      <c r="AA28" s="351">
        <f>'1.B-Priv'!P28</f>
        <v>1</v>
      </c>
      <c r="AB28" s="351">
        <f>'2.B-Priv'!P28</f>
        <v>1</v>
      </c>
      <c r="AC28" s="351">
        <f>'3.B-Priv'!P28</f>
        <v>1</v>
      </c>
      <c r="AF28" s="359">
        <f t="shared" si="10"/>
        <v>6</v>
      </c>
    </row>
    <row r="29" spans="2:32" s="45" customFormat="1" ht="9" x14ac:dyDescent="0.15">
      <c r="B29" s="304" t="s">
        <v>215</v>
      </c>
      <c r="C29" s="305">
        <v>15</v>
      </c>
      <c r="D29" s="46">
        <v>0</v>
      </c>
      <c r="E29" s="46"/>
      <c r="F29" s="319">
        <v>1</v>
      </c>
      <c r="G29" s="305">
        <v>0</v>
      </c>
      <c r="H29" s="305">
        <f t="shared" si="11"/>
        <v>15</v>
      </c>
      <c r="I29" s="320">
        <f>'Annual # of Respondents'!D5</f>
        <v>17</v>
      </c>
      <c r="J29" s="309">
        <v>1</v>
      </c>
      <c r="K29" s="309">
        <f t="shared" si="16"/>
        <v>255</v>
      </c>
      <c r="L29" s="309">
        <f t="shared" si="12"/>
        <v>25.5</v>
      </c>
      <c r="M29" s="309">
        <f t="shared" si="13"/>
        <v>12.75</v>
      </c>
      <c r="N29" s="310">
        <f>(J29*'Labor Data'!$K$10)+(K29*'Labor Data'!$K$9)+(L29*'Labor Data'!$K$11)+(M29*'Labor Data'!$K$8)</f>
        <v>24263.825250000002</v>
      </c>
      <c r="O29" s="310">
        <f t="shared" si="14"/>
        <v>0</v>
      </c>
      <c r="P29" s="309">
        <f>F29*I29</f>
        <v>17</v>
      </c>
      <c r="Q29" s="86"/>
      <c r="R29" s="322" t="s">
        <v>216</v>
      </c>
      <c r="S29" s="317"/>
      <c r="U29" s="351">
        <f t="shared" si="1"/>
        <v>32</v>
      </c>
      <c r="V29" s="351">
        <f t="shared" si="2"/>
        <v>32</v>
      </c>
      <c r="W29" s="351">
        <f t="shared" si="3"/>
        <v>32</v>
      </c>
      <c r="X29" s="351">
        <f>'1.A-Public'!P29</f>
        <v>17</v>
      </c>
      <c r="Y29" s="351">
        <f>'2.A-Public'!P29</f>
        <v>17</v>
      </c>
      <c r="Z29" s="351">
        <f>'3.A-Public'!P29</f>
        <v>17</v>
      </c>
      <c r="AA29" s="351">
        <f>'1.B-Priv'!P29</f>
        <v>15</v>
      </c>
      <c r="AB29" s="351">
        <f>'2.B-Priv'!P29</f>
        <v>15</v>
      </c>
      <c r="AC29" s="351">
        <f>'3.B-Priv'!P29</f>
        <v>15</v>
      </c>
      <c r="AF29" s="359">
        <f t="shared" si="10"/>
        <v>96</v>
      </c>
    </row>
    <row r="30" spans="2:32" s="45" customFormat="1" ht="9" x14ac:dyDescent="0.15">
      <c r="B30" s="58" t="s">
        <v>217</v>
      </c>
      <c r="C30" s="53"/>
      <c r="D30" s="46"/>
      <c r="E30" s="46"/>
      <c r="F30" s="53"/>
      <c r="G30" s="53"/>
      <c r="H30" s="53"/>
      <c r="I30" s="55"/>
      <c r="J30" s="54">
        <f t="shared" ref="J30:O30" si="17">SUM(J7:J29)</f>
        <v>19681</v>
      </c>
      <c r="K30" s="54">
        <f t="shared" si="17"/>
        <v>6516</v>
      </c>
      <c r="L30" s="54">
        <f t="shared" si="17"/>
        <v>651.6</v>
      </c>
      <c r="M30" s="54">
        <f t="shared" si="17"/>
        <v>325.8</v>
      </c>
      <c r="N30" s="46">
        <f t="shared" si="17"/>
        <v>1599914.7570000002</v>
      </c>
      <c r="O30" s="46">
        <f t="shared" si="17"/>
        <v>208486.72783301037</v>
      </c>
      <c r="P30" s="54">
        <f>SUM(P15:P29)+P9</f>
        <v>142</v>
      </c>
      <c r="Q30" s="46">
        <f>SUM(Q7:Q29)</f>
        <v>28134</v>
      </c>
      <c r="R30" s="52"/>
      <c r="S30" s="57" t="e">
        <f>SUM(O7,O9:O10,#REF!,#REF!,#REF!,#REF!,#REF!,#REF!,#REF!)</f>
        <v>#REF!</v>
      </c>
      <c r="U30" s="351">
        <f>SUM(U15:U29,U9)</f>
        <v>340.4</v>
      </c>
      <c r="V30" s="351">
        <f t="shared" ref="V30:W30" si="18">SUM(V15:V29,V9)</f>
        <v>163.19999999999999</v>
      </c>
      <c r="W30" s="351">
        <f t="shared" si="18"/>
        <v>180.8</v>
      </c>
      <c r="X30" s="351">
        <f>SUM(X9:X29)</f>
        <v>143</v>
      </c>
      <c r="Y30" s="351">
        <f t="shared" ref="Y30:AC30" si="19">SUM(Y9:Y29)</f>
        <v>70.8</v>
      </c>
      <c r="Z30" s="351">
        <f t="shared" si="19"/>
        <v>82.7</v>
      </c>
      <c r="AA30" s="351">
        <f t="shared" si="19"/>
        <v>199.4</v>
      </c>
      <c r="AB30" s="351">
        <f t="shared" si="19"/>
        <v>94.4</v>
      </c>
      <c r="AC30" s="351">
        <f t="shared" si="19"/>
        <v>100.1</v>
      </c>
      <c r="AD30" s="351"/>
    </row>
    <row r="31" spans="2:32" s="45" customFormat="1" ht="9" x14ac:dyDescent="0.15">
      <c r="B31" s="56" t="s">
        <v>218</v>
      </c>
      <c r="C31" s="53"/>
      <c r="D31" s="46"/>
      <c r="E31" s="46"/>
      <c r="F31" s="53"/>
      <c r="G31" s="53"/>
      <c r="H31" s="53"/>
      <c r="I31" s="54"/>
      <c r="J31" s="54"/>
      <c r="K31" s="54"/>
      <c r="L31" s="54"/>
      <c r="M31" s="54"/>
      <c r="N31" s="46"/>
      <c r="O31" s="46"/>
      <c r="P31" s="46"/>
      <c r="Q31" s="85"/>
      <c r="R31" s="52"/>
      <c r="U31" s="351"/>
      <c r="V31" s="351"/>
      <c r="W31" s="351"/>
      <c r="X31" s="351"/>
      <c r="Y31" s="351"/>
      <c r="Z31" s="351"/>
      <c r="AA31" s="351"/>
      <c r="AB31" s="351"/>
      <c r="AC31" s="351"/>
    </row>
    <row r="32" spans="2:32" s="45" customFormat="1" ht="9" x14ac:dyDescent="0.15">
      <c r="B32" s="56" t="s">
        <v>219</v>
      </c>
      <c r="C32" s="535" t="s">
        <v>220</v>
      </c>
      <c r="D32" s="536"/>
      <c r="E32" s="343"/>
      <c r="F32" s="53"/>
      <c r="G32" s="53"/>
      <c r="H32" s="53"/>
      <c r="I32" s="54"/>
      <c r="J32" s="54"/>
      <c r="K32" s="54"/>
      <c r="L32" s="54"/>
      <c r="M32" s="54"/>
      <c r="N32" s="46"/>
      <c r="O32" s="46"/>
      <c r="P32" s="46"/>
      <c r="Q32" s="85"/>
      <c r="R32" s="52"/>
      <c r="U32" s="351"/>
      <c r="V32" s="351"/>
      <c r="W32" s="351"/>
      <c r="X32" s="351"/>
      <c r="Y32" s="351"/>
      <c r="Z32" s="351"/>
      <c r="AA32" s="351"/>
      <c r="AB32" s="351"/>
      <c r="AC32" s="351"/>
    </row>
    <row r="33" spans="1:29" s="45" customFormat="1" ht="9" x14ac:dyDescent="0.15">
      <c r="B33" s="56" t="s">
        <v>221</v>
      </c>
      <c r="C33" s="535" t="s">
        <v>175</v>
      </c>
      <c r="D33" s="536"/>
      <c r="E33" s="343"/>
      <c r="F33" s="53"/>
      <c r="G33" s="53"/>
      <c r="H33" s="53"/>
      <c r="I33" s="54"/>
      <c r="J33" s="54"/>
      <c r="K33" s="54"/>
      <c r="L33" s="54"/>
      <c r="M33" s="54"/>
      <c r="N33" s="46"/>
      <c r="O33" s="46"/>
      <c r="P33" s="46"/>
      <c r="Q33" s="85"/>
      <c r="R33" s="52"/>
      <c r="U33" s="351"/>
      <c r="V33" s="351"/>
      <c r="W33" s="351"/>
      <c r="X33" s="351"/>
      <c r="Y33" s="351"/>
      <c r="Z33" s="351"/>
      <c r="AA33" s="351"/>
      <c r="AB33" s="351"/>
      <c r="AC33" s="351"/>
    </row>
    <row r="34" spans="1:29" s="45" customFormat="1" ht="9" x14ac:dyDescent="0.15">
      <c r="B34" s="56" t="s">
        <v>222</v>
      </c>
      <c r="C34" s="535" t="s">
        <v>175</v>
      </c>
      <c r="D34" s="536"/>
      <c r="E34" s="343"/>
      <c r="F34" s="53"/>
      <c r="G34" s="53"/>
      <c r="H34" s="53"/>
      <c r="I34" s="54"/>
      <c r="J34" s="54"/>
      <c r="K34" s="54"/>
      <c r="L34" s="54"/>
      <c r="M34" s="54"/>
      <c r="N34" s="46"/>
      <c r="O34" s="46"/>
      <c r="P34" s="46"/>
      <c r="Q34" s="85"/>
      <c r="R34" s="52"/>
      <c r="U34" s="351"/>
      <c r="V34" s="351"/>
      <c r="W34" s="351"/>
      <c r="X34" s="351"/>
      <c r="Y34" s="351"/>
      <c r="Z34" s="351"/>
      <c r="AA34" s="351"/>
      <c r="AB34" s="351"/>
      <c r="AC34" s="351"/>
    </row>
    <row r="35" spans="1:29" s="45" customFormat="1" ht="9" x14ac:dyDescent="0.15">
      <c r="B35" s="56" t="s">
        <v>223</v>
      </c>
      <c r="C35" s="535" t="s">
        <v>175</v>
      </c>
      <c r="D35" s="536"/>
      <c r="E35" s="343"/>
      <c r="F35" s="53"/>
      <c r="G35" s="53"/>
      <c r="H35" s="53"/>
      <c r="I35" s="54"/>
      <c r="J35" s="54"/>
      <c r="K35" s="54"/>
      <c r="L35" s="54"/>
      <c r="M35" s="54"/>
      <c r="N35" s="46"/>
      <c r="O35" s="46"/>
      <c r="P35" s="46"/>
      <c r="Q35" s="85"/>
      <c r="R35" s="52"/>
      <c r="U35" s="351"/>
      <c r="V35" s="351"/>
      <c r="W35" s="351"/>
      <c r="X35" s="351"/>
      <c r="Y35" s="351"/>
      <c r="Z35" s="351"/>
      <c r="AA35" s="351"/>
      <c r="AB35" s="351"/>
      <c r="AC35" s="351"/>
    </row>
    <row r="36" spans="1:29" s="45" customFormat="1" ht="9" x14ac:dyDescent="0.15">
      <c r="B36" s="56" t="s">
        <v>224</v>
      </c>
      <c r="C36" s="53"/>
      <c r="D36" s="46"/>
      <c r="E36" s="46"/>
      <c r="F36" s="53"/>
      <c r="G36" s="53"/>
      <c r="H36" s="53"/>
      <c r="I36" s="54"/>
      <c r="J36" s="54"/>
      <c r="K36" s="54"/>
      <c r="L36" s="54"/>
      <c r="M36" s="54"/>
      <c r="N36" s="46"/>
      <c r="O36" s="46"/>
      <c r="P36" s="46"/>
      <c r="Q36" s="85"/>
      <c r="R36" s="52"/>
      <c r="U36" s="351"/>
      <c r="V36" s="351"/>
      <c r="W36" s="351"/>
      <c r="X36" s="351"/>
      <c r="Y36" s="351"/>
      <c r="Z36" s="351"/>
      <c r="AA36" s="351"/>
      <c r="AB36" s="351"/>
      <c r="AC36" s="351"/>
    </row>
    <row r="37" spans="1:29" s="45" customFormat="1" ht="9.75" customHeight="1" x14ac:dyDescent="0.15">
      <c r="B37" s="81" t="s">
        <v>225</v>
      </c>
      <c r="C37" s="342">
        <v>5</v>
      </c>
      <c r="D37" s="46">
        <v>0</v>
      </c>
      <c r="E37" s="46"/>
      <c r="F37" s="53">
        <v>12</v>
      </c>
      <c r="G37" s="53">
        <v>0</v>
      </c>
      <c r="H37" s="53">
        <f>C37*F37</f>
        <v>60</v>
      </c>
      <c r="I37" s="55">
        <f>I$10</f>
        <v>30</v>
      </c>
      <c r="J37" s="54">
        <v>0</v>
      </c>
      <c r="K37" s="54">
        <f>H37*I37</f>
        <v>1800</v>
      </c>
      <c r="L37" s="54">
        <f>K37*0.1</f>
        <v>180</v>
      </c>
      <c r="M37" s="54">
        <f>K37*0.05</f>
        <v>90</v>
      </c>
      <c r="N37" s="46">
        <f>(J37*'Labor Data'!$K$10)+(K37*'Labor Data'!$K$9)+(L37*'Labor Data'!$K$11)+(M37*'Labor Data'!$K$8)</f>
        <v>170922.15000000002</v>
      </c>
      <c r="O37" s="46">
        <f>D37*F37*I37</f>
        <v>0</v>
      </c>
      <c r="P37" s="54">
        <v>0</v>
      </c>
      <c r="Q37" s="86"/>
      <c r="R37" s="52" t="s">
        <v>226</v>
      </c>
      <c r="U37" s="351">
        <f t="shared" si="1"/>
        <v>0</v>
      </c>
      <c r="V37" s="351">
        <f t="shared" si="2"/>
        <v>0</v>
      </c>
      <c r="W37" s="351">
        <f t="shared" si="3"/>
        <v>0</v>
      </c>
      <c r="X37" s="351">
        <f>'1.A-Public'!P37</f>
        <v>0</v>
      </c>
      <c r="Y37" s="351">
        <f>'2.A-Public'!P37</f>
        <v>0</v>
      </c>
      <c r="Z37" s="351">
        <f>'3.A-Public'!P37</f>
        <v>0</v>
      </c>
      <c r="AA37" s="351">
        <f>'1.B-Priv'!P37</f>
        <v>0</v>
      </c>
      <c r="AB37" s="351">
        <f>'2.B-Priv'!P37</f>
        <v>0</v>
      </c>
      <c r="AC37" s="351">
        <f>'3.B-Priv'!P37</f>
        <v>0</v>
      </c>
    </row>
    <row r="38" spans="1:29" s="45" customFormat="1" ht="9.75" customHeight="1" x14ac:dyDescent="0.15">
      <c r="B38" s="79" t="s">
        <v>227</v>
      </c>
      <c r="C38" s="53">
        <v>11</v>
      </c>
      <c r="D38" s="46">
        <v>0</v>
      </c>
      <c r="E38" s="46"/>
      <c r="F38" s="53">
        <v>12</v>
      </c>
      <c r="G38" s="53">
        <v>0</v>
      </c>
      <c r="H38" s="53">
        <f>C38*F38</f>
        <v>132</v>
      </c>
      <c r="I38" s="55">
        <f>I$10</f>
        <v>30</v>
      </c>
      <c r="J38" s="54">
        <v>0</v>
      </c>
      <c r="K38" s="54">
        <f>H38*I38</f>
        <v>3960</v>
      </c>
      <c r="L38" s="54">
        <f>K38*0.1</f>
        <v>396</v>
      </c>
      <c r="M38" s="54">
        <f>K38*0.05</f>
        <v>198</v>
      </c>
      <c r="N38" s="46">
        <f>(J38*'Labor Data'!$K$10)+(K38*'Labor Data'!$K$9)+(L38*'Labor Data'!$K$11)+(M38*'Labor Data'!$K$8)</f>
        <v>376028.73000000004</v>
      </c>
      <c r="O38" s="46">
        <f>D38*F38*I38</f>
        <v>0</v>
      </c>
      <c r="P38" s="54">
        <v>0</v>
      </c>
      <c r="Q38" s="86"/>
      <c r="R38" s="52" t="s">
        <v>226</v>
      </c>
      <c r="U38" s="351">
        <f t="shared" si="1"/>
        <v>0</v>
      </c>
      <c r="V38" s="351">
        <f t="shared" si="2"/>
        <v>0</v>
      </c>
      <c r="W38" s="351">
        <f t="shared" si="3"/>
        <v>0</v>
      </c>
      <c r="X38" s="351">
        <f>'1.A-Public'!P38</f>
        <v>0</v>
      </c>
      <c r="Y38" s="351">
        <f>'2.A-Public'!P38</f>
        <v>0</v>
      </c>
      <c r="Z38" s="351">
        <f>'3.A-Public'!P38</f>
        <v>0</v>
      </c>
      <c r="AA38" s="351">
        <f>'1.B-Priv'!P38</f>
        <v>0</v>
      </c>
      <c r="AB38" s="351">
        <f>'2.B-Priv'!P38</f>
        <v>0</v>
      </c>
      <c r="AC38" s="351">
        <f>'3.B-Priv'!P38</f>
        <v>0</v>
      </c>
    </row>
    <row r="39" spans="1:29" s="45" customFormat="1" ht="9" x14ac:dyDescent="0.15">
      <c r="B39" s="79" t="s">
        <v>228</v>
      </c>
      <c r="C39" s="342">
        <v>4</v>
      </c>
      <c r="D39" s="46">
        <v>0</v>
      </c>
      <c r="E39" s="46"/>
      <c r="F39" s="53">
        <v>1</v>
      </c>
      <c r="G39" s="53">
        <v>0</v>
      </c>
      <c r="H39" s="53">
        <f>C39*F39</f>
        <v>4</v>
      </c>
      <c r="I39" s="55">
        <f>'Annual # of Respondents'!D6-I38</f>
        <v>29</v>
      </c>
      <c r="J39" s="54">
        <v>0</v>
      </c>
      <c r="K39" s="54">
        <f>H39*I39</f>
        <v>116</v>
      </c>
      <c r="L39" s="54">
        <f>K39*0.1</f>
        <v>11.600000000000001</v>
      </c>
      <c r="M39" s="54">
        <f>K39*0.05</f>
        <v>5.8000000000000007</v>
      </c>
      <c r="N39" s="46">
        <f>(J39*'Labor Data'!$K$10)+(K39*'Labor Data'!$K$9)+(L39*'Labor Data'!$K$11)+(M39*'Labor Data'!$K$8)</f>
        <v>11014.983</v>
      </c>
      <c r="O39" s="46">
        <f>D39*F39*I39</f>
        <v>0</v>
      </c>
      <c r="P39" s="54">
        <v>0</v>
      </c>
      <c r="Q39" s="86"/>
      <c r="R39" s="52" t="s">
        <v>229</v>
      </c>
      <c r="U39" s="351">
        <f t="shared" si="1"/>
        <v>0</v>
      </c>
      <c r="V39" s="351">
        <f t="shared" si="2"/>
        <v>0</v>
      </c>
      <c r="W39" s="351">
        <f t="shared" si="3"/>
        <v>0</v>
      </c>
      <c r="X39" s="351">
        <f>'1.A-Public'!P39</f>
        <v>0</v>
      </c>
      <c r="Y39" s="351">
        <f>'2.A-Public'!P39</f>
        <v>0</v>
      </c>
      <c r="Z39" s="351">
        <f>'3.A-Public'!P39</f>
        <v>0</v>
      </c>
      <c r="AA39" s="351">
        <f>'1.B-Priv'!P39</f>
        <v>0</v>
      </c>
      <c r="AB39" s="351">
        <f>'2.B-Priv'!P39</f>
        <v>0</v>
      </c>
      <c r="AC39" s="351">
        <f>'3.B-Priv'!P39</f>
        <v>0</v>
      </c>
    </row>
    <row r="40" spans="1:29" s="45" customFormat="1" ht="9" x14ac:dyDescent="0.15">
      <c r="B40" s="56" t="s">
        <v>230</v>
      </c>
      <c r="C40" s="535" t="s">
        <v>175</v>
      </c>
      <c r="D40" s="536"/>
      <c r="E40" s="343"/>
      <c r="F40" s="53"/>
      <c r="G40" s="53"/>
      <c r="H40" s="53"/>
      <c r="I40" s="55"/>
      <c r="J40" s="54"/>
      <c r="K40" s="54"/>
      <c r="L40" s="54"/>
      <c r="M40" s="54"/>
      <c r="N40" s="46"/>
      <c r="O40" s="46"/>
      <c r="P40" s="54"/>
      <c r="Q40" s="86"/>
      <c r="R40" s="52"/>
    </row>
    <row r="41" spans="1:29" s="45" customFormat="1" ht="9" x14ac:dyDescent="0.15">
      <c r="B41" s="80" t="s">
        <v>231</v>
      </c>
      <c r="C41" s="535" t="s">
        <v>175</v>
      </c>
      <c r="D41" s="536"/>
      <c r="E41" s="343"/>
      <c r="F41" s="53"/>
      <c r="G41" s="53"/>
      <c r="H41" s="53"/>
      <c r="I41" s="55"/>
      <c r="J41" s="54"/>
      <c r="K41" s="54"/>
      <c r="L41" s="54"/>
      <c r="M41" s="54"/>
      <c r="N41" s="46"/>
      <c r="O41" s="46"/>
      <c r="P41" s="46"/>
      <c r="Q41" s="85"/>
      <c r="R41" s="52"/>
    </row>
    <row r="42" spans="1:29" s="45" customFormat="1" ht="9" x14ac:dyDescent="0.15">
      <c r="B42" s="51" t="s">
        <v>232</v>
      </c>
      <c r="C42" s="50"/>
      <c r="D42" s="49"/>
      <c r="E42" s="49"/>
      <c r="F42" s="50"/>
      <c r="G42" s="50"/>
      <c r="H42" s="50"/>
      <c r="I42" s="48"/>
      <c r="J42" s="48">
        <f>SUM(J32:J41)</f>
        <v>0</v>
      </c>
      <c r="K42" s="48">
        <f t="shared" ref="K42:Q42" si="20">SUM(K32:K41)</f>
        <v>5876</v>
      </c>
      <c r="L42" s="48">
        <f t="shared" si="20"/>
        <v>587.6</v>
      </c>
      <c r="M42" s="48">
        <f t="shared" si="20"/>
        <v>293.8</v>
      </c>
      <c r="N42" s="49">
        <f t="shared" si="20"/>
        <v>557965.86300000013</v>
      </c>
      <c r="O42" s="49">
        <f t="shared" si="20"/>
        <v>0</v>
      </c>
      <c r="P42" s="48">
        <f t="shared" si="20"/>
        <v>0</v>
      </c>
      <c r="Q42" s="49">
        <f t="shared" si="20"/>
        <v>0</v>
      </c>
      <c r="R42" s="47"/>
      <c r="S42" s="46">
        <f>SUM(S32:S41)</f>
        <v>0</v>
      </c>
    </row>
    <row r="43" spans="1:29" s="37" customFormat="1" x14ac:dyDescent="0.2">
      <c r="B43" s="44" t="s">
        <v>233</v>
      </c>
      <c r="C43" s="42"/>
      <c r="D43" s="43"/>
      <c r="E43" s="43"/>
      <c r="F43" s="42"/>
      <c r="G43" s="42"/>
      <c r="H43" s="42"/>
      <c r="I43" s="41"/>
      <c r="J43" s="39">
        <f t="shared" ref="J43:Q43" si="21">J30+J42</f>
        <v>19681</v>
      </c>
      <c r="K43" s="39">
        <f t="shared" si="21"/>
        <v>12392</v>
      </c>
      <c r="L43" s="39">
        <f t="shared" si="21"/>
        <v>1239.2</v>
      </c>
      <c r="M43" s="39">
        <f t="shared" si="21"/>
        <v>619.6</v>
      </c>
      <c r="N43" s="40">
        <f t="shared" si="21"/>
        <v>2157880.62</v>
      </c>
      <c r="O43" s="40">
        <f>O30+O42</f>
        <v>208486.72783301037</v>
      </c>
      <c r="P43" s="39">
        <f t="shared" si="21"/>
        <v>142</v>
      </c>
      <c r="Q43" s="40">
        <f t="shared" si="21"/>
        <v>28134</v>
      </c>
      <c r="R43" s="38"/>
      <c r="U43" s="352">
        <f>SUM(U30:W30)</f>
        <v>684.4</v>
      </c>
      <c r="X43" s="352">
        <f>SUM(X30:Z30)</f>
        <v>296.5</v>
      </c>
      <c r="AA43" s="352">
        <f>SUM(AA30:AC30)</f>
        <v>393.9</v>
      </c>
    </row>
    <row r="44" spans="1:29" ht="39" customHeight="1" x14ac:dyDescent="0.2"/>
    <row r="45" spans="1:29" s="34" customFormat="1" ht="12.75" customHeight="1" x14ac:dyDescent="0.15">
      <c r="A45" s="74" t="s">
        <v>234</v>
      </c>
      <c r="B45" s="78"/>
      <c r="C45" s="78"/>
      <c r="D45" s="78"/>
      <c r="E45" s="78"/>
      <c r="F45" s="78"/>
      <c r="G45" s="78"/>
      <c r="H45" s="78"/>
      <c r="I45" s="78"/>
      <c r="J45" s="78"/>
      <c r="K45" s="78"/>
      <c r="L45" s="78"/>
      <c r="M45" s="78"/>
      <c r="N45" s="78"/>
      <c r="O45" s="78"/>
      <c r="P45" s="78"/>
      <c r="Q45" s="78"/>
      <c r="R45" s="35"/>
    </row>
    <row r="46" spans="1:29" s="34" customFormat="1" ht="9" customHeight="1" x14ac:dyDescent="0.15">
      <c r="A46" s="73" t="s">
        <v>235</v>
      </c>
      <c r="B46" s="273" t="s">
        <v>236</v>
      </c>
    </row>
    <row r="47" spans="1:29" s="34" customFormat="1" ht="19.5" customHeight="1" x14ac:dyDescent="0.15">
      <c r="A47" s="73" t="s">
        <v>237</v>
      </c>
      <c r="B47" s="532" t="s">
        <v>238</v>
      </c>
      <c r="C47" s="532"/>
      <c r="D47" s="532"/>
      <c r="E47" s="532"/>
      <c r="F47" s="532"/>
      <c r="G47" s="532"/>
      <c r="H47" s="532"/>
      <c r="I47" s="532"/>
      <c r="J47" s="532"/>
      <c r="K47" s="532"/>
      <c r="L47" s="532"/>
      <c r="M47" s="532"/>
      <c r="N47" s="532"/>
      <c r="O47" s="532"/>
      <c r="P47" s="532"/>
      <c r="Q47" s="532"/>
      <c r="R47" s="532"/>
    </row>
    <row r="48" spans="1:29" s="34" customFormat="1" ht="9" customHeight="1" x14ac:dyDescent="0.15">
      <c r="A48" s="73" t="s">
        <v>239</v>
      </c>
      <c r="B48" s="69" t="s">
        <v>240</v>
      </c>
    </row>
    <row r="49" spans="1:19" s="307" customFormat="1" ht="9" x14ac:dyDescent="0.15">
      <c r="A49" s="308" t="s">
        <v>179</v>
      </c>
      <c r="B49" s="306" t="s">
        <v>241</v>
      </c>
      <c r="C49" s="346"/>
      <c r="D49" s="346"/>
      <c r="E49" s="346"/>
      <c r="F49" s="346"/>
      <c r="G49" s="346"/>
      <c r="H49" s="346"/>
      <c r="I49" s="346"/>
      <c r="J49" s="346"/>
      <c r="K49" s="346"/>
      <c r="L49" s="346"/>
      <c r="M49" s="346"/>
      <c r="N49" s="346"/>
      <c r="O49" s="346"/>
      <c r="P49" s="346"/>
      <c r="Q49" s="346"/>
      <c r="R49" s="346"/>
    </row>
    <row r="50" spans="1:19" s="34" customFormat="1" ht="27" customHeight="1" x14ac:dyDescent="0.15">
      <c r="A50" s="73" t="s">
        <v>242</v>
      </c>
      <c r="B50" s="532" t="s">
        <v>243</v>
      </c>
      <c r="C50" s="532"/>
      <c r="D50" s="532"/>
      <c r="E50" s="532"/>
      <c r="F50" s="532"/>
      <c r="G50" s="532"/>
      <c r="H50" s="532"/>
      <c r="I50" s="532"/>
      <c r="J50" s="532"/>
      <c r="K50" s="532"/>
      <c r="L50" s="532"/>
      <c r="M50" s="532"/>
      <c r="N50" s="532"/>
      <c r="O50" s="532"/>
      <c r="P50" s="532"/>
      <c r="Q50" s="532"/>
      <c r="R50" s="532"/>
      <c r="S50" s="532"/>
    </row>
    <row r="51" spans="1:19" s="307" customFormat="1" ht="9" x14ac:dyDescent="0.15">
      <c r="A51" s="308" t="s">
        <v>204</v>
      </c>
      <c r="B51" s="307" t="s">
        <v>244</v>
      </c>
    </row>
    <row r="52" spans="1:19" s="307" customFormat="1" ht="35.25" customHeight="1" x14ac:dyDescent="0.15">
      <c r="A52" s="308" t="s">
        <v>245</v>
      </c>
      <c r="B52" s="531" t="s">
        <v>246</v>
      </c>
      <c r="C52" s="531"/>
      <c r="D52" s="531"/>
      <c r="E52" s="531"/>
      <c r="F52" s="531"/>
      <c r="G52" s="531"/>
      <c r="H52" s="531"/>
      <c r="I52" s="531"/>
      <c r="J52" s="531"/>
      <c r="K52" s="531"/>
      <c r="L52" s="531"/>
      <c r="M52" s="531"/>
      <c r="N52" s="531"/>
      <c r="O52" s="531"/>
      <c r="P52" s="531"/>
      <c r="Q52" s="531"/>
      <c r="R52" s="531"/>
      <c r="S52" s="531"/>
    </row>
    <row r="53" spans="1:19" s="307" customFormat="1" ht="18" customHeight="1" x14ac:dyDescent="0.15">
      <c r="A53" s="308" t="s">
        <v>192</v>
      </c>
      <c r="B53" s="531" t="s">
        <v>247</v>
      </c>
      <c r="C53" s="531"/>
      <c r="D53" s="531"/>
      <c r="E53" s="531"/>
      <c r="F53" s="531"/>
      <c r="G53" s="531"/>
      <c r="H53" s="531"/>
      <c r="I53" s="531"/>
      <c r="J53" s="531"/>
      <c r="K53" s="531"/>
      <c r="L53" s="531"/>
      <c r="M53" s="531"/>
      <c r="N53" s="531"/>
      <c r="O53" s="531"/>
      <c r="P53" s="531"/>
      <c r="Q53" s="531"/>
      <c r="R53" s="531"/>
    </row>
    <row r="54" spans="1:19" s="34" customFormat="1" ht="9" customHeight="1" x14ac:dyDescent="0.15">
      <c r="A54" s="73" t="s">
        <v>194</v>
      </c>
      <c r="B54" s="34" t="s">
        <v>248</v>
      </c>
      <c r="C54" s="75"/>
      <c r="D54" s="75"/>
      <c r="E54" s="75"/>
      <c r="F54" s="75"/>
      <c r="G54" s="75"/>
      <c r="H54" s="75"/>
      <c r="I54" s="75"/>
      <c r="J54" s="75"/>
      <c r="K54" s="75"/>
      <c r="L54" s="75"/>
      <c r="M54" s="75"/>
      <c r="P54" s="33"/>
      <c r="Q54" s="33"/>
      <c r="R54" s="35"/>
    </row>
    <row r="55" spans="1:19" s="307" customFormat="1" ht="9" customHeight="1" x14ac:dyDescent="0.15">
      <c r="A55" s="308" t="s">
        <v>196</v>
      </c>
      <c r="B55" s="307" t="s">
        <v>249</v>
      </c>
      <c r="C55" s="311"/>
      <c r="D55" s="311"/>
      <c r="E55" s="311"/>
      <c r="F55" s="311"/>
      <c r="G55" s="311"/>
      <c r="H55" s="311"/>
      <c r="I55" s="312"/>
      <c r="J55" s="311"/>
      <c r="K55" s="311"/>
      <c r="L55" s="311"/>
      <c r="M55" s="311"/>
      <c r="P55" s="313"/>
      <c r="Q55" s="313"/>
      <c r="R55" s="311"/>
    </row>
    <row r="56" spans="1:19" s="34" customFormat="1" ht="9" x14ac:dyDescent="0.15">
      <c r="A56" s="73" t="s">
        <v>250</v>
      </c>
      <c r="B56" s="318" t="s">
        <v>251</v>
      </c>
      <c r="C56" s="35"/>
      <c r="D56" s="35"/>
      <c r="E56" s="35"/>
      <c r="F56" s="35"/>
      <c r="G56" s="35"/>
      <c r="H56" s="35"/>
      <c r="I56" s="36"/>
      <c r="J56" s="35"/>
      <c r="K56" s="35"/>
      <c r="L56" s="35"/>
      <c r="M56" s="35"/>
      <c r="P56" s="33"/>
      <c r="Q56" s="33"/>
      <c r="R56" s="35"/>
    </row>
    <row r="57" spans="1:19" s="34" customFormat="1" ht="9" customHeight="1" x14ac:dyDescent="0.15">
      <c r="A57" s="73" t="s">
        <v>200</v>
      </c>
      <c r="B57" s="318" t="s">
        <v>252</v>
      </c>
      <c r="C57" s="35"/>
      <c r="D57" s="35"/>
      <c r="E57" s="35"/>
      <c r="F57" s="35"/>
      <c r="G57" s="35"/>
      <c r="H57" s="35"/>
      <c r="I57" s="36"/>
      <c r="J57" s="35"/>
      <c r="K57" s="35"/>
      <c r="L57" s="35"/>
      <c r="M57" s="35"/>
      <c r="P57" s="33"/>
      <c r="Q57" s="33"/>
      <c r="R57" s="35"/>
    </row>
    <row r="58" spans="1:19" s="34" customFormat="1" ht="9" x14ac:dyDescent="0.15">
      <c r="A58" s="73" t="s">
        <v>253</v>
      </c>
      <c r="B58" s="34" t="s">
        <v>254</v>
      </c>
      <c r="P58" s="33"/>
      <c r="Q58" s="33"/>
      <c r="R58" s="35"/>
    </row>
    <row r="59" spans="1:19" s="34" customFormat="1" ht="9" x14ac:dyDescent="0.15">
      <c r="A59" s="73" t="s">
        <v>206</v>
      </c>
      <c r="B59" s="34" t="s">
        <v>255</v>
      </c>
      <c r="P59" s="33"/>
      <c r="Q59" s="33"/>
      <c r="R59" s="35"/>
    </row>
    <row r="60" spans="1:19" s="307" customFormat="1" ht="20.25" customHeight="1" x14ac:dyDescent="0.15">
      <c r="A60" s="308" t="s">
        <v>210</v>
      </c>
      <c r="B60" s="531" t="s">
        <v>256</v>
      </c>
      <c r="C60" s="531"/>
      <c r="D60" s="531"/>
      <c r="E60" s="531"/>
      <c r="F60" s="531"/>
      <c r="G60" s="531"/>
      <c r="H60" s="531"/>
      <c r="I60" s="531"/>
      <c r="J60" s="531"/>
      <c r="K60" s="531"/>
      <c r="L60" s="531"/>
      <c r="M60" s="531"/>
      <c r="N60" s="531"/>
      <c r="O60" s="531"/>
      <c r="P60" s="531"/>
      <c r="Q60" s="531"/>
      <c r="R60" s="531"/>
    </row>
    <row r="61" spans="1:19" s="34" customFormat="1" ht="20.25" customHeight="1" x14ac:dyDescent="0.15">
      <c r="A61" s="73" t="s">
        <v>226</v>
      </c>
      <c r="B61" s="532" t="s">
        <v>257</v>
      </c>
      <c r="C61" s="532"/>
      <c r="D61" s="532"/>
      <c r="E61" s="532"/>
      <c r="F61" s="532"/>
      <c r="G61" s="532"/>
      <c r="H61" s="532"/>
      <c r="I61" s="532"/>
      <c r="J61" s="532"/>
      <c r="K61" s="532"/>
      <c r="L61" s="532"/>
      <c r="M61" s="532"/>
      <c r="N61" s="532"/>
      <c r="O61" s="532"/>
      <c r="P61" s="532"/>
      <c r="Q61" s="532"/>
      <c r="R61" s="532"/>
    </row>
    <row r="62" spans="1:19" s="307" customFormat="1" ht="9" x14ac:dyDescent="0.15">
      <c r="A62" s="307" t="s">
        <v>229</v>
      </c>
      <c r="B62" s="306" t="s">
        <v>258</v>
      </c>
      <c r="C62" s="346"/>
      <c r="D62" s="346"/>
      <c r="E62" s="346"/>
      <c r="F62" s="346"/>
      <c r="G62" s="346"/>
      <c r="H62" s="346"/>
      <c r="I62" s="346"/>
      <c r="J62" s="346"/>
      <c r="K62" s="346"/>
      <c r="L62" s="346"/>
      <c r="M62" s="346"/>
      <c r="N62" s="346"/>
      <c r="O62" s="346"/>
      <c r="P62" s="346"/>
      <c r="Q62" s="346"/>
      <c r="R62" s="346"/>
    </row>
    <row r="63" spans="1:19" s="34" customFormat="1" ht="27.75" customHeight="1" x14ac:dyDescent="0.15">
      <c r="A63" s="341" t="s">
        <v>212</v>
      </c>
      <c r="B63" s="533" t="s">
        <v>259</v>
      </c>
      <c r="C63" s="533"/>
      <c r="D63" s="533"/>
      <c r="E63" s="533"/>
      <c r="F63" s="533"/>
      <c r="G63" s="533"/>
      <c r="H63" s="533"/>
      <c r="I63" s="533"/>
      <c r="J63" s="533"/>
      <c r="K63" s="533"/>
      <c r="L63" s="533"/>
      <c r="M63" s="533"/>
      <c r="N63" s="533"/>
      <c r="O63" s="533"/>
      <c r="P63" s="533"/>
      <c r="Q63" s="533"/>
      <c r="R63" s="533"/>
    </row>
    <row r="64" spans="1:19" s="34" customFormat="1" ht="24" customHeight="1" x14ac:dyDescent="0.15">
      <c r="A64" s="330" t="s">
        <v>216</v>
      </c>
      <c r="B64" s="534" t="s">
        <v>260</v>
      </c>
      <c r="C64" s="534"/>
      <c r="D64" s="534"/>
      <c r="E64" s="534"/>
      <c r="F64" s="534"/>
      <c r="G64" s="534"/>
      <c r="H64" s="534"/>
      <c r="I64" s="534"/>
      <c r="J64" s="534"/>
      <c r="K64" s="534"/>
      <c r="L64" s="534"/>
      <c r="M64" s="534"/>
      <c r="N64" s="534"/>
      <c r="O64" s="534"/>
      <c r="P64" s="534"/>
      <c r="Q64" s="534"/>
      <c r="R64" s="534"/>
    </row>
    <row r="65" spans="3:18" s="34" customFormat="1" ht="9" x14ac:dyDescent="0.15">
      <c r="C65" s="35"/>
      <c r="D65" s="35"/>
      <c r="E65" s="35"/>
      <c r="F65" s="35"/>
      <c r="G65" s="35"/>
      <c r="H65" s="35"/>
      <c r="I65" s="36"/>
      <c r="J65" s="35"/>
      <c r="K65" s="35"/>
      <c r="L65" s="35"/>
      <c r="M65" s="35"/>
      <c r="N65" s="35"/>
      <c r="O65" s="33"/>
      <c r="P65" s="33"/>
      <c r="Q65" s="33"/>
      <c r="R65" s="35"/>
    </row>
    <row r="66" spans="3:18" s="34" customFormat="1" ht="9" x14ac:dyDescent="0.15">
      <c r="C66" s="35"/>
      <c r="D66" s="35"/>
      <c r="E66" s="35"/>
      <c r="F66" s="35"/>
      <c r="G66" s="35"/>
      <c r="H66" s="35"/>
      <c r="I66" s="36"/>
      <c r="J66" s="35"/>
      <c r="K66" s="35"/>
      <c r="L66" s="35"/>
      <c r="M66" s="35"/>
      <c r="N66" s="35"/>
      <c r="O66" s="33"/>
      <c r="P66" s="33"/>
      <c r="Q66" s="33"/>
      <c r="R66" s="35"/>
    </row>
    <row r="67" spans="3:18" s="34" customFormat="1" ht="9" x14ac:dyDescent="0.15">
      <c r="C67" s="35"/>
      <c r="D67" s="35"/>
      <c r="E67" s="35"/>
      <c r="F67" s="35"/>
      <c r="G67" s="35"/>
      <c r="H67" s="35"/>
      <c r="I67" s="36"/>
      <c r="J67" s="35"/>
      <c r="K67" s="35"/>
      <c r="L67" s="35"/>
      <c r="M67" s="35"/>
      <c r="N67" s="35"/>
      <c r="O67" s="33"/>
      <c r="P67" s="33"/>
      <c r="Q67" s="33"/>
      <c r="R67" s="35"/>
    </row>
    <row r="68" spans="3:18" s="34" customFormat="1" ht="9" x14ac:dyDescent="0.15">
      <c r="C68" s="35"/>
      <c r="D68" s="35"/>
      <c r="E68" s="35"/>
      <c r="F68" s="35"/>
      <c r="G68" s="35"/>
      <c r="H68" s="35"/>
      <c r="I68" s="36"/>
      <c r="J68" s="35"/>
      <c r="K68" s="35"/>
      <c r="L68" s="35"/>
      <c r="M68" s="35"/>
      <c r="N68" s="35"/>
      <c r="O68" s="33"/>
      <c r="P68" s="33"/>
      <c r="Q68" s="33"/>
      <c r="R68" s="35"/>
    </row>
    <row r="69" spans="3:18" s="34" customFormat="1" ht="9" x14ac:dyDescent="0.15">
      <c r="C69" s="35"/>
      <c r="D69" s="35"/>
      <c r="E69" s="35"/>
      <c r="F69" s="35"/>
      <c r="G69" s="35"/>
      <c r="H69" s="35"/>
      <c r="I69" s="36"/>
      <c r="J69" s="35"/>
      <c r="K69" s="35"/>
      <c r="L69" s="35"/>
      <c r="M69" s="35"/>
      <c r="N69" s="35"/>
      <c r="O69" s="33"/>
      <c r="P69" s="33"/>
      <c r="Q69" s="33"/>
      <c r="R69" s="35"/>
    </row>
    <row r="70" spans="3:18" s="34" customFormat="1" ht="9" x14ac:dyDescent="0.15">
      <c r="C70" s="35"/>
      <c r="D70" s="35"/>
      <c r="E70" s="35"/>
      <c r="F70" s="35"/>
      <c r="G70" s="35"/>
      <c r="H70" s="35"/>
      <c r="I70" s="36"/>
      <c r="J70" s="35"/>
      <c r="K70" s="35"/>
      <c r="L70" s="35"/>
      <c r="M70" s="35"/>
      <c r="N70" s="35"/>
      <c r="O70" s="33"/>
      <c r="P70" s="33"/>
      <c r="Q70" s="33"/>
      <c r="R70" s="35"/>
    </row>
    <row r="71" spans="3:18" s="34" customFormat="1" ht="9" x14ac:dyDescent="0.15">
      <c r="C71" s="35"/>
      <c r="D71" s="35"/>
      <c r="E71" s="35"/>
      <c r="F71" s="35"/>
      <c r="G71" s="35"/>
      <c r="H71" s="35"/>
      <c r="I71" s="36"/>
      <c r="J71" s="35"/>
      <c r="K71" s="35"/>
      <c r="L71" s="35"/>
      <c r="M71" s="35"/>
      <c r="N71" s="35"/>
      <c r="O71" s="33"/>
      <c r="P71" s="33"/>
      <c r="Q71" s="33"/>
      <c r="R71" s="35"/>
    </row>
    <row r="72" spans="3:18" s="34" customFormat="1" ht="9" x14ac:dyDescent="0.15">
      <c r="C72" s="35"/>
      <c r="D72" s="35"/>
      <c r="E72" s="35"/>
      <c r="F72" s="35"/>
      <c r="G72" s="35"/>
      <c r="H72" s="35"/>
      <c r="I72" s="36"/>
      <c r="J72" s="35"/>
      <c r="K72" s="35"/>
      <c r="L72" s="35"/>
      <c r="M72" s="35"/>
      <c r="N72" s="35"/>
      <c r="O72" s="33"/>
      <c r="P72" s="33"/>
      <c r="Q72" s="33"/>
      <c r="R72" s="35"/>
    </row>
    <row r="73" spans="3:18" s="34" customFormat="1" ht="9" x14ac:dyDescent="0.15">
      <c r="C73" s="35"/>
      <c r="D73" s="35"/>
      <c r="E73" s="35"/>
      <c r="F73" s="35"/>
      <c r="G73" s="35"/>
      <c r="H73" s="35"/>
      <c r="I73" s="36"/>
      <c r="J73" s="35"/>
      <c r="K73" s="35"/>
      <c r="L73" s="35"/>
      <c r="M73" s="35"/>
      <c r="N73" s="35"/>
      <c r="O73" s="33"/>
      <c r="P73" s="33"/>
      <c r="Q73" s="33"/>
      <c r="R73" s="35"/>
    </row>
    <row r="74" spans="3:18" s="34" customFormat="1" ht="9" x14ac:dyDescent="0.15">
      <c r="C74" s="35"/>
      <c r="D74" s="35"/>
      <c r="E74" s="35"/>
      <c r="F74" s="35"/>
      <c r="G74" s="35"/>
      <c r="H74" s="35"/>
      <c r="I74" s="36"/>
      <c r="J74" s="35"/>
      <c r="K74" s="35"/>
      <c r="L74" s="35"/>
      <c r="M74" s="35"/>
      <c r="N74" s="35"/>
      <c r="O74" s="33"/>
      <c r="P74" s="33"/>
      <c r="Q74" s="33"/>
      <c r="R74" s="35"/>
    </row>
    <row r="75" spans="3:18" s="34" customFormat="1" ht="9" x14ac:dyDescent="0.15">
      <c r="C75" s="35"/>
      <c r="D75" s="35"/>
      <c r="E75" s="35"/>
      <c r="F75" s="35"/>
      <c r="G75" s="35"/>
      <c r="H75" s="35"/>
      <c r="I75" s="36"/>
      <c r="J75" s="35"/>
      <c r="K75" s="35"/>
      <c r="L75" s="35"/>
      <c r="M75" s="35"/>
      <c r="N75" s="35"/>
      <c r="O75" s="33"/>
      <c r="P75" s="33"/>
      <c r="Q75" s="33"/>
      <c r="R75" s="35"/>
    </row>
    <row r="76" spans="3:18" s="34" customFormat="1" ht="9" x14ac:dyDescent="0.15">
      <c r="C76" s="35"/>
      <c r="D76" s="35"/>
      <c r="E76" s="35"/>
      <c r="F76" s="35"/>
      <c r="G76" s="35"/>
      <c r="H76" s="35"/>
      <c r="I76" s="36"/>
      <c r="J76" s="35"/>
      <c r="K76" s="35"/>
      <c r="L76" s="35"/>
      <c r="M76" s="35"/>
      <c r="N76" s="35"/>
      <c r="O76" s="33"/>
      <c r="P76" s="33"/>
      <c r="Q76" s="33"/>
      <c r="R76" s="35"/>
    </row>
    <row r="77" spans="3:18" s="34" customFormat="1" ht="9" x14ac:dyDescent="0.15">
      <c r="C77" s="35"/>
      <c r="D77" s="35"/>
      <c r="E77" s="35"/>
      <c r="F77" s="35"/>
      <c r="G77" s="35"/>
      <c r="H77" s="35"/>
      <c r="I77" s="36"/>
      <c r="J77" s="35"/>
      <c r="K77" s="35"/>
      <c r="L77" s="35"/>
      <c r="M77" s="35"/>
      <c r="N77" s="35"/>
      <c r="O77" s="33"/>
      <c r="P77" s="33"/>
      <c r="Q77" s="33"/>
      <c r="R77" s="35"/>
    </row>
    <row r="78" spans="3:18" s="34" customFormat="1" ht="9" x14ac:dyDescent="0.15">
      <c r="C78" s="35"/>
      <c r="D78" s="35"/>
      <c r="E78" s="35"/>
      <c r="F78" s="35"/>
      <c r="G78" s="35"/>
      <c r="H78" s="35"/>
      <c r="I78" s="36"/>
      <c r="J78" s="35"/>
      <c r="K78" s="35"/>
      <c r="L78" s="35"/>
      <c r="M78" s="35"/>
      <c r="N78" s="35"/>
      <c r="O78" s="33"/>
      <c r="P78" s="33"/>
      <c r="Q78" s="33"/>
      <c r="R78" s="35"/>
    </row>
    <row r="79" spans="3:18" s="34" customFormat="1" ht="9" x14ac:dyDescent="0.15">
      <c r="C79" s="35"/>
      <c r="D79" s="35"/>
      <c r="E79" s="35"/>
      <c r="F79" s="35"/>
      <c r="G79" s="35"/>
      <c r="H79" s="35"/>
      <c r="I79" s="36"/>
      <c r="J79" s="35"/>
      <c r="K79" s="35"/>
      <c r="L79" s="35"/>
      <c r="M79" s="35"/>
      <c r="N79" s="35"/>
      <c r="O79" s="33"/>
      <c r="P79" s="33"/>
      <c r="Q79" s="33"/>
      <c r="R79" s="35"/>
    </row>
    <row r="80" spans="3:18" s="34" customFormat="1" ht="9" x14ac:dyDescent="0.15">
      <c r="C80" s="35"/>
      <c r="D80" s="35"/>
      <c r="E80" s="35"/>
      <c r="F80" s="35"/>
      <c r="G80" s="35"/>
      <c r="H80" s="35"/>
      <c r="I80" s="36"/>
      <c r="J80" s="35"/>
      <c r="K80" s="35"/>
      <c r="L80" s="35"/>
      <c r="M80" s="35"/>
      <c r="N80" s="35"/>
      <c r="O80" s="33"/>
      <c r="P80" s="33"/>
      <c r="Q80" s="33"/>
      <c r="R80" s="35"/>
    </row>
    <row r="81" spans="3:18" s="34" customFormat="1" x14ac:dyDescent="0.2">
      <c r="C81" s="35"/>
      <c r="D81" s="35"/>
      <c r="E81" s="35"/>
      <c r="F81" s="35"/>
      <c r="G81" s="35"/>
      <c r="H81" s="35"/>
      <c r="I81" s="36"/>
      <c r="J81" s="35"/>
      <c r="K81" s="35"/>
      <c r="L81" s="35"/>
      <c r="M81" s="35"/>
      <c r="N81" s="35"/>
      <c r="O81" s="33"/>
      <c r="P81" s="33"/>
      <c r="Q81" s="33"/>
      <c r="R81" s="30"/>
    </row>
    <row r="82" spans="3:18" s="34" customFormat="1" x14ac:dyDescent="0.2">
      <c r="C82" s="35"/>
      <c r="D82" s="35"/>
      <c r="E82" s="35"/>
      <c r="F82" s="35"/>
      <c r="G82" s="30"/>
      <c r="H82" s="35"/>
      <c r="I82" s="36"/>
      <c r="J82" s="30"/>
      <c r="K82" s="35"/>
      <c r="L82" s="35"/>
      <c r="M82" s="35"/>
      <c r="N82" s="35"/>
      <c r="O82" s="33"/>
      <c r="P82" s="33"/>
      <c r="Q82" s="33"/>
      <c r="R82" s="30"/>
    </row>
    <row r="83" spans="3:18" x14ac:dyDescent="0.2">
      <c r="P83" s="33"/>
      <c r="Q83" s="33"/>
    </row>
    <row r="84" spans="3:18" x14ac:dyDescent="0.2">
      <c r="P84" s="33"/>
      <c r="Q84" s="33"/>
    </row>
  </sheetData>
  <mergeCells count="25">
    <mergeCell ref="C33:D33"/>
    <mergeCell ref="C34:D34"/>
    <mergeCell ref="C35:D35"/>
    <mergeCell ref="B1:R1"/>
    <mergeCell ref="B2:R2"/>
    <mergeCell ref="C4:D4"/>
    <mergeCell ref="C5:D5"/>
    <mergeCell ref="C12:D12"/>
    <mergeCell ref="C13:D13"/>
    <mergeCell ref="AA1:AC1"/>
    <mergeCell ref="B60:R60"/>
    <mergeCell ref="B61:R61"/>
    <mergeCell ref="B63:R63"/>
    <mergeCell ref="B64:R64"/>
    <mergeCell ref="U1:W1"/>
    <mergeCell ref="X1:Z1"/>
    <mergeCell ref="C40:D40"/>
    <mergeCell ref="C41:D41"/>
    <mergeCell ref="B47:R47"/>
    <mergeCell ref="B50:S50"/>
    <mergeCell ref="B52:S52"/>
    <mergeCell ref="B53:R53"/>
    <mergeCell ref="C23:D23"/>
    <mergeCell ref="C24:D24"/>
    <mergeCell ref="C32:D32"/>
  </mergeCells>
  <pageMargins left="0.7" right="0.7" top="0.75" bottom="0.75" header="0.3" footer="0.3"/>
  <legacy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85"/>
  <sheetViews>
    <sheetView zoomScale="115" zoomScaleNormal="115" zoomScaleSheetLayoutView="100" workbookViewId="0">
      <selection activeCell="N7" sqref="N7"/>
    </sheetView>
  </sheetViews>
  <sheetFormatPr defaultColWidth="9.140625" defaultRowHeight="11.25" x14ac:dyDescent="0.2"/>
  <cols>
    <col min="1" max="1" width="2" style="29" customWidth="1"/>
    <col min="2" max="2" width="36.7109375" style="29" customWidth="1"/>
    <col min="3" max="3" width="8.85546875" style="30" bestFit="1" customWidth="1"/>
    <col min="4" max="5" width="7.85546875" style="30" customWidth="1"/>
    <col min="6" max="6" width="19.7109375" style="30" customWidth="1"/>
    <col min="7" max="7" width="9.28515625" style="30" customWidth="1"/>
    <col min="8" max="8" width="8.28515625" style="30" customWidth="1"/>
    <col min="9" max="9" width="9.42578125" style="32" bestFit="1" customWidth="1"/>
    <col min="10" max="10" width="7.42578125" style="30" customWidth="1"/>
    <col min="11" max="12" width="6.85546875" style="30" bestFit="1" customWidth="1"/>
    <col min="13" max="13" width="8" style="30" customWidth="1"/>
    <col min="14" max="14" width="8.42578125" style="30" customWidth="1"/>
    <col min="15" max="15" width="10.140625" style="31" bestFit="1" customWidth="1"/>
    <col min="16" max="16" width="10" style="31" bestFit="1" customWidth="1"/>
    <col min="17" max="17" width="10" style="31" customWidth="1"/>
    <col min="18" max="18" width="4.42578125" style="30" bestFit="1" customWidth="1"/>
    <col min="19" max="19" width="0.140625" style="29" customWidth="1"/>
    <col min="20" max="20" width="3.7109375" style="29" customWidth="1"/>
    <col min="21" max="16384" width="9.140625" style="29"/>
  </cols>
  <sheetData>
    <row r="1" spans="2:20" x14ac:dyDescent="0.2">
      <c r="B1" s="537" t="s">
        <v>1381</v>
      </c>
      <c r="C1" s="537"/>
      <c r="D1" s="537"/>
      <c r="E1" s="537"/>
      <c r="F1" s="537"/>
      <c r="G1" s="537"/>
      <c r="H1" s="537"/>
      <c r="I1" s="537"/>
      <c r="J1" s="537"/>
      <c r="K1" s="537"/>
      <c r="L1" s="537"/>
      <c r="M1" s="537"/>
      <c r="N1" s="537"/>
      <c r="O1" s="537"/>
      <c r="P1" s="537"/>
      <c r="Q1" s="537"/>
      <c r="R1" s="537"/>
    </row>
    <row r="2" spans="2:20" x14ac:dyDescent="0.2">
      <c r="B2" s="538" t="s">
        <v>1382</v>
      </c>
      <c r="C2" s="538"/>
      <c r="D2" s="538"/>
      <c r="E2" s="538"/>
      <c r="F2" s="538"/>
      <c r="G2" s="538"/>
      <c r="H2" s="538"/>
      <c r="I2" s="538"/>
      <c r="J2" s="538"/>
      <c r="K2" s="538"/>
      <c r="L2" s="538"/>
      <c r="M2" s="538"/>
      <c r="N2" s="538"/>
      <c r="O2" s="538"/>
      <c r="P2" s="538"/>
      <c r="Q2" s="538"/>
      <c r="R2" s="538"/>
    </row>
    <row r="3" spans="2:20" s="66" customFormat="1" ht="66.75" customHeight="1" x14ac:dyDescent="0.15">
      <c r="B3" s="68" t="s">
        <v>156</v>
      </c>
      <c r="C3" s="68" t="s">
        <v>157</v>
      </c>
      <c r="D3" s="68" t="s">
        <v>158</v>
      </c>
      <c r="E3" s="68" t="s">
        <v>159</v>
      </c>
      <c r="F3" s="68" t="s">
        <v>160</v>
      </c>
      <c r="G3" s="68" t="s">
        <v>161</v>
      </c>
      <c r="H3" s="68" t="s">
        <v>162</v>
      </c>
      <c r="I3" s="76" t="s">
        <v>163</v>
      </c>
      <c r="J3" s="77" t="s">
        <v>164</v>
      </c>
      <c r="K3" s="77" t="s">
        <v>165</v>
      </c>
      <c r="L3" s="77" t="s">
        <v>166</v>
      </c>
      <c r="M3" s="77" t="s">
        <v>167</v>
      </c>
      <c r="N3" s="68" t="s">
        <v>168</v>
      </c>
      <c r="O3" s="77" t="s">
        <v>169</v>
      </c>
      <c r="P3" s="77" t="s">
        <v>170</v>
      </c>
      <c r="Q3" s="77" t="s">
        <v>1358</v>
      </c>
      <c r="R3" s="67" t="s">
        <v>172</v>
      </c>
      <c r="S3" s="66" t="s">
        <v>173</v>
      </c>
    </row>
    <row r="4" spans="2:20" s="45" customFormat="1" ht="68.25" customHeight="1" x14ac:dyDescent="0.15">
      <c r="B4" s="65" t="s">
        <v>174</v>
      </c>
      <c r="C4" s="539" t="s">
        <v>175</v>
      </c>
      <c r="D4" s="540"/>
      <c r="E4" s="344"/>
      <c r="F4" s="63"/>
      <c r="G4" s="63"/>
      <c r="H4" s="63"/>
      <c r="I4" s="64"/>
      <c r="J4" s="64"/>
      <c r="K4" s="64"/>
      <c r="L4" s="64"/>
      <c r="M4" s="64"/>
      <c r="N4" s="62"/>
      <c r="O4" s="62"/>
      <c r="P4" s="62"/>
      <c r="Q4" s="84"/>
      <c r="R4" s="61"/>
    </row>
    <row r="5" spans="2:20" s="45" customFormat="1" ht="9" x14ac:dyDescent="0.15">
      <c r="B5" s="56" t="s">
        <v>176</v>
      </c>
      <c r="C5" s="535" t="s">
        <v>175</v>
      </c>
      <c r="D5" s="536"/>
      <c r="E5" s="343"/>
      <c r="F5" s="53"/>
      <c r="G5" s="53"/>
      <c r="H5" s="53"/>
      <c r="I5" s="54"/>
      <c r="J5" s="54"/>
      <c r="K5" s="54"/>
      <c r="L5" s="54"/>
      <c r="M5" s="54"/>
      <c r="N5" s="46"/>
      <c r="O5" s="46"/>
      <c r="P5" s="46"/>
      <c r="Q5" s="85"/>
      <c r="R5" s="52"/>
    </row>
    <row r="6" spans="2:20" s="45" customFormat="1" ht="9" x14ac:dyDescent="0.15">
      <c r="B6" s="56" t="s">
        <v>177</v>
      </c>
      <c r="C6" s="53"/>
      <c r="D6" s="46"/>
      <c r="E6" s="46"/>
      <c r="F6" s="53"/>
      <c r="G6" s="53"/>
      <c r="H6" s="53"/>
      <c r="I6" s="54"/>
      <c r="J6" s="54"/>
      <c r="K6" s="54"/>
      <c r="L6" s="54"/>
      <c r="M6" s="54"/>
      <c r="N6" s="46"/>
      <c r="O6" s="46"/>
      <c r="P6" s="46"/>
      <c r="Q6" s="85"/>
      <c r="R6" s="52"/>
    </row>
    <row r="7" spans="2:20" s="45" customFormat="1" ht="9" x14ac:dyDescent="0.15">
      <c r="B7" s="82" t="s">
        <v>178</v>
      </c>
      <c r="C7" s="53">
        <v>40</v>
      </c>
      <c r="D7" s="46">
        <v>0</v>
      </c>
      <c r="E7" s="46"/>
      <c r="F7" s="53">
        <v>1</v>
      </c>
      <c r="G7" s="53">
        <v>0</v>
      </c>
      <c r="H7" s="53">
        <f>C7*F7</f>
        <v>40</v>
      </c>
      <c r="I7" s="55">
        <f>'Annual # of Respondents'!E3</f>
        <v>67</v>
      </c>
      <c r="J7" s="54">
        <v>0</v>
      </c>
      <c r="K7" s="54">
        <f>H7*I7</f>
        <v>2680</v>
      </c>
      <c r="L7" s="54">
        <f>K7*0.1</f>
        <v>268</v>
      </c>
      <c r="M7" s="55">
        <f>K7*0.05</f>
        <v>134</v>
      </c>
      <c r="N7" s="46">
        <f>(J7*'Labor Data'!$K$10)+(K7*'Labor Data'!$K$9)+(L7*'Labor Data'!$K$11)+(M7*'Labor Data'!$K$8)</f>
        <v>254484.09000000003</v>
      </c>
      <c r="O7" s="46">
        <f>D7*F7*I7</f>
        <v>0</v>
      </c>
      <c r="P7" s="54">
        <v>0</v>
      </c>
      <c r="Q7" s="86"/>
      <c r="R7" s="52" t="s">
        <v>179</v>
      </c>
    </row>
    <row r="8" spans="2:20" s="45" customFormat="1" ht="9" x14ac:dyDescent="0.15">
      <c r="B8" s="56" t="s">
        <v>180</v>
      </c>
      <c r="C8" s="53"/>
      <c r="D8" s="46"/>
      <c r="E8" s="46"/>
      <c r="F8" s="53"/>
      <c r="G8" s="53"/>
      <c r="H8" s="53"/>
      <c r="I8" s="54"/>
      <c r="J8" s="54"/>
      <c r="K8" s="54"/>
      <c r="L8" s="54"/>
      <c r="M8" s="54"/>
      <c r="N8" s="46"/>
      <c r="O8" s="46"/>
      <c r="P8" s="46"/>
      <c r="Q8" s="85"/>
      <c r="R8" s="52"/>
      <c r="T8" s="60"/>
    </row>
    <row r="9" spans="2:20" s="45" customFormat="1" ht="9" x14ac:dyDescent="0.15">
      <c r="B9" s="82" t="s">
        <v>182</v>
      </c>
      <c r="C9" s="53">
        <v>12</v>
      </c>
      <c r="D9" s="46">
        <f>'Other Cost Basis'!D2+'Other Cost Basis'!D17+'Other Cost Basis'!D18+'Other Cost Basis'!D19</f>
        <v>1983.6594844730848</v>
      </c>
      <c r="E9" s="46">
        <f>'Other Cost Basis'!D20</f>
        <v>1000</v>
      </c>
      <c r="F9" s="53">
        <v>1</v>
      </c>
      <c r="G9" s="53">
        <v>0</v>
      </c>
      <c r="H9" s="53">
        <f>C9*F9</f>
        <v>12</v>
      </c>
      <c r="I9" s="55">
        <f>'Annual # of Respondents'!E13</f>
        <v>54</v>
      </c>
      <c r="J9" s="54">
        <v>0</v>
      </c>
      <c r="K9" s="54">
        <f>H9*I9</f>
        <v>648</v>
      </c>
      <c r="L9" s="54">
        <f>K9*0.1</f>
        <v>64.8</v>
      </c>
      <c r="M9" s="54">
        <f>K9*0.05</f>
        <v>32.4</v>
      </c>
      <c r="N9" s="46">
        <f>(J9*'Labor Data'!$K$10)+(K9*'Labor Data'!$K$9)+(L9*'Labor Data'!$K$11)+(M9*'Labor Data'!$K$8)</f>
        <v>61531.974000000009</v>
      </c>
      <c r="O9" s="290">
        <f>(D9+E9)*F9*I9</f>
        <v>161117.61216154657</v>
      </c>
      <c r="P9" s="54">
        <f>F9*I9</f>
        <v>54</v>
      </c>
      <c r="Q9" s="86">
        <f>'Other Cost Basis'!B2+'Other Cost Basis'!B17+'Other Cost Basis'!B18+'Other Cost Basis'!B19</f>
        <v>18067</v>
      </c>
      <c r="R9" s="52" t="s">
        <v>183</v>
      </c>
      <c r="T9" s="60"/>
    </row>
    <row r="10" spans="2:20" s="45" customFormat="1" ht="9" x14ac:dyDescent="0.15">
      <c r="B10" s="82" t="s">
        <v>184</v>
      </c>
      <c r="C10" s="72">
        <f>ROUND('Controllers NSPS acreage'!V3,0)</f>
        <v>44</v>
      </c>
      <c r="D10" s="46">
        <f>'Other Cost Basis'!B9+'Other Cost Basis'!F13+'Other Cost Basis'!F14</f>
        <v>703.5</v>
      </c>
      <c r="E10" s="46"/>
      <c r="F10" s="53">
        <v>4</v>
      </c>
      <c r="G10" s="72">
        <f>C10*F10</f>
        <v>176</v>
      </c>
      <c r="H10" s="53">
        <v>0</v>
      </c>
      <c r="I10" s="55">
        <f>'Annual # of Respondents'!E7</f>
        <v>54</v>
      </c>
      <c r="J10" s="54">
        <f>G10*I10</f>
        <v>9504</v>
      </c>
      <c r="K10" s="54">
        <v>0</v>
      </c>
      <c r="L10" s="54">
        <v>0</v>
      </c>
      <c r="M10" s="54">
        <v>0</v>
      </c>
      <c r="N10" s="46">
        <f>(J10*'Labor Data'!$K$10)+(K10*'Labor Data'!$K$9)+(L10*'Labor Data'!$K$11)+(M10*'Labor Data'!$K$8)</f>
        <v>473812.41599999997</v>
      </c>
      <c r="O10" s="46">
        <f>D10*F10*I10</f>
        <v>151956</v>
      </c>
      <c r="P10" s="54">
        <v>0</v>
      </c>
      <c r="Q10" s="86"/>
      <c r="R10" s="52" t="s">
        <v>185</v>
      </c>
      <c r="T10" s="60"/>
    </row>
    <row r="11" spans="2:20" s="45" customFormat="1" ht="9" x14ac:dyDescent="0.15">
      <c r="B11" s="82" t="s">
        <v>186</v>
      </c>
      <c r="C11" s="295">
        <f>ROUND(2000/49.85,0)</f>
        <v>40</v>
      </c>
      <c r="D11" s="296">
        <f>'Other Cost Basis'!F15</f>
        <v>17</v>
      </c>
      <c r="E11" s="296"/>
      <c r="F11" s="53">
        <v>12</v>
      </c>
      <c r="G11" s="72">
        <f>C11*F11</f>
        <v>480</v>
      </c>
      <c r="H11" s="53">
        <v>0</v>
      </c>
      <c r="I11" s="55">
        <f>I10</f>
        <v>54</v>
      </c>
      <c r="J11" s="54">
        <f>G11*I11</f>
        <v>25920</v>
      </c>
      <c r="K11" s="54">
        <v>0</v>
      </c>
      <c r="L11" s="54">
        <v>0</v>
      </c>
      <c r="M11" s="54">
        <v>0</v>
      </c>
      <c r="N11" s="46">
        <f>(J11*'Labor Data'!$K$10)+(K11*'Labor Data'!$K$9)+(L11*'Labor Data'!$K$11)+(M11*'Labor Data'!$K$8)</f>
        <v>1292215.68</v>
      </c>
      <c r="O11" s="46">
        <f>D11*F11*I11</f>
        <v>11016</v>
      </c>
      <c r="P11" s="54">
        <v>1</v>
      </c>
      <c r="Q11" s="86"/>
      <c r="R11" s="52" t="s">
        <v>185</v>
      </c>
      <c r="T11" s="60"/>
    </row>
    <row r="12" spans="2:20" s="45" customFormat="1" ht="9" x14ac:dyDescent="0.15">
      <c r="B12" s="56" t="s">
        <v>187</v>
      </c>
      <c r="C12" s="535" t="s">
        <v>188</v>
      </c>
      <c r="D12" s="536"/>
      <c r="E12" s="343"/>
      <c r="F12" s="53"/>
      <c r="G12" s="53"/>
      <c r="H12" s="53"/>
      <c r="I12" s="54"/>
      <c r="J12" s="54"/>
      <c r="K12" s="54"/>
      <c r="L12" s="54"/>
      <c r="M12" s="54"/>
      <c r="N12" s="46"/>
      <c r="O12" s="46"/>
      <c r="P12" s="46"/>
      <c r="Q12" s="85"/>
      <c r="R12" s="52"/>
      <c r="T12" s="60"/>
    </row>
    <row r="13" spans="2:20" s="45" customFormat="1" ht="9" x14ac:dyDescent="0.15">
      <c r="B13" s="56" t="s">
        <v>189</v>
      </c>
      <c r="C13" s="535" t="s">
        <v>188</v>
      </c>
      <c r="D13" s="536"/>
      <c r="E13" s="343"/>
      <c r="F13" s="53"/>
      <c r="G13" s="53"/>
      <c r="H13" s="53"/>
      <c r="I13" s="54"/>
      <c r="J13" s="54"/>
      <c r="K13" s="54"/>
      <c r="L13" s="54"/>
      <c r="M13" s="54"/>
      <c r="N13" s="46"/>
      <c r="O13" s="46"/>
      <c r="P13" s="46"/>
      <c r="Q13" s="85"/>
      <c r="R13" s="52"/>
    </row>
    <row r="14" spans="2:20" s="45" customFormat="1" ht="9" x14ac:dyDescent="0.15">
      <c r="B14" s="56" t="s">
        <v>190</v>
      </c>
      <c r="C14" s="53"/>
      <c r="D14" s="46"/>
      <c r="E14" s="46"/>
      <c r="F14" s="53"/>
      <c r="G14" s="53"/>
      <c r="H14" s="53"/>
      <c r="I14" s="54"/>
      <c r="J14" s="54"/>
      <c r="K14" s="54"/>
      <c r="L14" s="54"/>
      <c r="M14" s="54"/>
      <c r="N14" s="46"/>
      <c r="O14" s="46"/>
      <c r="P14" s="46"/>
      <c r="Q14" s="85"/>
      <c r="R14" s="52"/>
    </row>
    <row r="15" spans="2:20" s="45" customFormat="1" ht="9" x14ac:dyDescent="0.15">
      <c r="B15" s="81" t="s">
        <v>191</v>
      </c>
      <c r="C15" s="53">
        <v>2</v>
      </c>
      <c r="D15" s="46">
        <v>0</v>
      </c>
      <c r="E15" s="46"/>
      <c r="F15" s="53">
        <v>1</v>
      </c>
      <c r="G15" s="53">
        <v>0</v>
      </c>
      <c r="H15" s="53">
        <f t="shared" ref="H15:H22" si="0">C15*F15</f>
        <v>2</v>
      </c>
      <c r="I15" s="55">
        <f>'Annual # of Respondents'!E4</f>
        <v>1</v>
      </c>
      <c r="J15" s="54">
        <v>0</v>
      </c>
      <c r="K15" s="54">
        <f t="shared" ref="K15:K22" si="1">H15*I15</f>
        <v>2</v>
      </c>
      <c r="L15" s="54">
        <f t="shared" ref="L15:L22" si="2">K15*0.1</f>
        <v>0.2</v>
      </c>
      <c r="M15" s="54">
        <f t="shared" ref="M15:M22" si="3">K15*0.05</f>
        <v>0.1</v>
      </c>
      <c r="N15" s="46">
        <f>(J15*'Labor Data'!$K$10)+(K15*'Labor Data'!$K$9)+(L15*'Labor Data'!$K$11)+(M15*'Labor Data'!$K$8)</f>
        <v>189.9135</v>
      </c>
      <c r="O15" s="46">
        <f t="shared" ref="O15:O22" si="4">D15*F15*I15</f>
        <v>0</v>
      </c>
      <c r="P15" s="54">
        <f t="shared" ref="P15:P22" si="5">F15*I15</f>
        <v>1</v>
      </c>
      <c r="Q15" s="86"/>
      <c r="R15" s="52" t="s">
        <v>192</v>
      </c>
    </row>
    <row r="16" spans="2:20" s="45" customFormat="1" ht="9" x14ac:dyDescent="0.15">
      <c r="B16" s="79" t="s">
        <v>193</v>
      </c>
      <c r="C16" s="342">
        <v>2</v>
      </c>
      <c r="D16" s="46">
        <v>0</v>
      </c>
      <c r="E16" s="46"/>
      <c r="F16" s="53">
        <v>1</v>
      </c>
      <c r="G16" s="53">
        <v>0</v>
      </c>
      <c r="H16" s="53">
        <f t="shared" si="0"/>
        <v>2</v>
      </c>
      <c r="I16" s="55">
        <f>0</f>
        <v>0</v>
      </c>
      <c r="J16" s="54">
        <v>0</v>
      </c>
      <c r="K16" s="54">
        <f t="shared" si="1"/>
        <v>0</v>
      </c>
      <c r="L16" s="54">
        <f t="shared" si="2"/>
        <v>0</v>
      </c>
      <c r="M16" s="54">
        <f t="shared" si="3"/>
        <v>0</v>
      </c>
      <c r="N16" s="46">
        <f>(J16*'Labor Data'!$K$10)+(K16*'Labor Data'!$K$9)+(L16*'Labor Data'!$K$11)+(M16*'Labor Data'!$K$8)</f>
        <v>0</v>
      </c>
      <c r="O16" s="46">
        <f t="shared" si="4"/>
        <v>0</v>
      </c>
      <c r="P16" s="54">
        <f t="shared" si="5"/>
        <v>0</v>
      </c>
      <c r="Q16" s="86"/>
      <c r="R16" s="52" t="s">
        <v>194</v>
      </c>
    </row>
    <row r="17" spans="2:19" s="45" customFormat="1" ht="9" x14ac:dyDescent="0.15">
      <c r="B17" s="79" t="s">
        <v>195</v>
      </c>
      <c r="C17" s="53">
        <v>8</v>
      </c>
      <c r="D17" s="46">
        <v>0</v>
      </c>
      <c r="E17" s="46"/>
      <c r="F17" s="53">
        <v>1</v>
      </c>
      <c r="G17" s="53">
        <v>0</v>
      </c>
      <c r="H17" s="53">
        <f t="shared" si="0"/>
        <v>8</v>
      </c>
      <c r="I17" s="55">
        <f>'Annual # of Respondents'!E9</f>
        <v>6</v>
      </c>
      <c r="J17" s="54">
        <v>0</v>
      </c>
      <c r="K17" s="54">
        <f t="shared" si="1"/>
        <v>48</v>
      </c>
      <c r="L17" s="54">
        <f t="shared" si="2"/>
        <v>4.8000000000000007</v>
      </c>
      <c r="M17" s="54">
        <f t="shared" si="3"/>
        <v>2.4000000000000004</v>
      </c>
      <c r="N17" s="46">
        <f>(J17*'Labor Data'!$K$10)+(K17*'Labor Data'!$K$9)+(L17*'Labor Data'!$K$11)+(M17*'Labor Data'!$K$8)</f>
        <v>4557.9240000000009</v>
      </c>
      <c r="O17" s="46">
        <f t="shared" si="4"/>
        <v>0</v>
      </c>
      <c r="P17" s="54">
        <f t="shared" si="5"/>
        <v>6</v>
      </c>
      <c r="Q17" s="86"/>
      <c r="R17" s="52" t="s">
        <v>196</v>
      </c>
      <c r="S17" s="59"/>
    </row>
    <row r="18" spans="2:19" s="45" customFormat="1" ht="9" x14ac:dyDescent="0.15">
      <c r="B18" s="79" t="s">
        <v>197</v>
      </c>
      <c r="C18" s="72">
        <v>12</v>
      </c>
      <c r="D18" s="46">
        <f>'Other Cost Basis'!D4</f>
        <v>2708.280314173127</v>
      </c>
      <c r="E18" s="46"/>
      <c r="F18" s="53">
        <v>1</v>
      </c>
      <c r="G18" s="53">
        <v>0</v>
      </c>
      <c r="H18" s="72">
        <f t="shared" si="0"/>
        <v>12</v>
      </c>
      <c r="I18" s="55">
        <f>'Annual # of Respondents'!E10</f>
        <v>6</v>
      </c>
      <c r="J18" s="54">
        <v>0</v>
      </c>
      <c r="K18" s="54">
        <f t="shared" si="1"/>
        <v>72</v>
      </c>
      <c r="L18" s="54">
        <f t="shared" si="2"/>
        <v>7.2</v>
      </c>
      <c r="M18" s="54">
        <f t="shared" si="3"/>
        <v>3.6</v>
      </c>
      <c r="N18" s="46">
        <f>(J18*'Labor Data'!$K$10)+(K18*'Labor Data'!$K$9)+(L18*'Labor Data'!$K$11)+(M18*'Labor Data'!$K$8)</f>
        <v>6836.8860000000004</v>
      </c>
      <c r="O18" s="46">
        <f t="shared" si="4"/>
        <v>16249.681885038761</v>
      </c>
      <c r="P18" s="54">
        <f t="shared" si="5"/>
        <v>6</v>
      </c>
      <c r="Q18" s="86">
        <f>'Other Cost Basis'!B2</f>
        <v>10067</v>
      </c>
      <c r="R18" s="52" t="s">
        <v>198</v>
      </c>
      <c r="S18" s="59"/>
    </row>
    <row r="19" spans="2:19" s="45" customFormat="1" ht="9" customHeight="1" x14ac:dyDescent="0.15">
      <c r="B19" s="79" t="s">
        <v>199</v>
      </c>
      <c r="C19" s="53">
        <v>1</v>
      </c>
      <c r="D19" s="46">
        <v>0</v>
      </c>
      <c r="E19" s="46"/>
      <c r="F19" s="53">
        <v>1</v>
      </c>
      <c r="G19" s="53">
        <v>0</v>
      </c>
      <c r="H19" s="53">
        <f t="shared" si="0"/>
        <v>1</v>
      </c>
      <c r="I19" s="55">
        <v>0</v>
      </c>
      <c r="J19" s="54">
        <v>0</v>
      </c>
      <c r="K19" s="54">
        <f t="shared" si="1"/>
        <v>0</v>
      </c>
      <c r="L19" s="54">
        <f t="shared" si="2"/>
        <v>0</v>
      </c>
      <c r="M19" s="54">
        <f t="shared" si="3"/>
        <v>0</v>
      </c>
      <c r="N19" s="46">
        <f>(J19*'Labor Data'!$K$10)+(K19*'Labor Data'!$K$9)+(L19*'Labor Data'!$K$11)+(M19*'Labor Data'!$K$8)</f>
        <v>0</v>
      </c>
      <c r="O19" s="46">
        <f t="shared" si="4"/>
        <v>0</v>
      </c>
      <c r="P19" s="54">
        <f t="shared" si="5"/>
        <v>0</v>
      </c>
      <c r="Q19" s="86"/>
      <c r="R19" s="52" t="s">
        <v>200</v>
      </c>
      <c r="S19" s="59"/>
    </row>
    <row r="20" spans="2:19" s="45" customFormat="1" ht="9" x14ac:dyDescent="0.15">
      <c r="B20" s="79" t="s">
        <v>201</v>
      </c>
      <c r="C20" s="53">
        <f>3*C18</f>
        <v>36</v>
      </c>
      <c r="D20" s="46">
        <v>0</v>
      </c>
      <c r="E20" s="46"/>
      <c r="F20" s="53">
        <v>1</v>
      </c>
      <c r="G20" s="53">
        <v>0</v>
      </c>
      <c r="H20" s="53">
        <f t="shared" si="0"/>
        <v>36</v>
      </c>
      <c r="I20" s="55">
        <v>0</v>
      </c>
      <c r="J20" s="54">
        <v>0</v>
      </c>
      <c r="K20" s="54">
        <f t="shared" si="1"/>
        <v>0</v>
      </c>
      <c r="L20" s="54">
        <f t="shared" si="2"/>
        <v>0</v>
      </c>
      <c r="M20" s="54">
        <f t="shared" si="3"/>
        <v>0</v>
      </c>
      <c r="N20" s="46">
        <f>(J20*'Labor Data'!$K$10)+(K20*'Labor Data'!$K$9)+(L20*'Labor Data'!$K$11)+(M20*'Labor Data'!$K$8)</f>
        <v>0</v>
      </c>
      <c r="O20" s="46">
        <f t="shared" si="4"/>
        <v>0</v>
      </c>
      <c r="P20" s="54">
        <f t="shared" si="5"/>
        <v>0</v>
      </c>
      <c r="Q20" s="86"/>
      <c r="R20" s="52" t="s">
        <v>202</v>
      </c>
      <c r="S20" s="59"/>
    </row>
    <row r="21" spans="2:19" s="45" customFormat="1" ht="9" x14ac:dyDescent="0.15">
      <c r="B21" s="79" t="s">
        <v>203</v>
      </c>
      <c r="C21" s="53">
        <v>80</v>
      </c>
      <c r="D21" s="46">
        <v>0</v>
      </c>
      <c r="E21" s="46"/>
      <c r="F21" s="53">
        <v>1</v>
      </c>
      <c r="G21" s="53">
        <v>0</v>
      </c>
      <c r="H21" s="53">
        <f t="shared" si="0"/>
        <v>80</v>
      </c>
      <c r="I21" s="55">
        <f>I$10</f>
        <v>54</v>
      </c>
      <c r="J21" s="54">
        <v>0</v>
      </c>
      <c r="K21" s="54">
        <f t="shared" si="1"/>
        <v>4320</v>
      </c>
      <c r="L21" s="54">
        <f t="shared" si="2"/>
        <v>432</v>
      </c>
      <c r="M21" s="54">
        <f t="shared" si="3"/>
        <v>216</v>
      </c>
      <c r="N21" s="46">
        <f>(J21*'Labor Data'!$K$10)+(K21*'Labor Data'!$K$9)+(L21*'Labor Data'!$K$11)+(M21*'Labor Data'!$K$8)</f>
        <v>410213.16000000009</v>
      </c>
      <c r="O21" s="46">
        <f t="shared" si="4"/>
        <v>0</v>
      </c>
      <c r="P21" s="54">
        <f t="shared" si="5"/>
        <v>54</v>
      </c>
      <c r="Q21" s="86"/>
      <c r="R21" s="52" t="s">
        <v>204</v>
      </c>
      <c r="S21" s="59"/>
    </row>
    <row r="22" spans="2:19" s="45" customFormat="1" ht="9" x14ac:dyDescent="0.15">
      <c r="B22" s="79" t="s">
        <v>205</v>
      </c>
      <c r="C22" s="342">
        <v>20</v>
      </c>
      <c r="D22" s="46">
        <v>0</v>
      </c>
      <c r="E22" s="46"/>
      <c r="F22" s="53">
        <v>1</v>
      </c>
      <c r="G22" s="53">
        <v>0</v>
      </c>
      <c r="H22" s="53">
        <f t="shared" si="0"/>
        <v>20</v>
      </c>
      <c r="I22" s="55">
        <f>I21*0.1</f>
        <v>5.4</v>
      </c>
      <c r="J22" s="54">
        <v>0</v>
      </c>
      <c r="K22" s="54">
        <f t="shared" si="1"/>
        <v>108</v>
      </c>
      <c r="L22" s="54">
        <f t="shared" si="2"/>
        <v>10.8</v>
      </c>
      <c r="M22" s="54">
        <f t="shared" si="3"/>
        <v>5.4</v>
      </c>
      <c r="N22" s="46">
        <f>(J22*'Labor Data'!$K$10)+(K22*'Labor Data'!$K$9)+(L22*'Labor Data'!$K$11)+(M22*'Labor Data'!$K$8)</f>
        <v>10255.329000000002</v>
      </c>
      <c r="O22" s="46">
        <f t="shared" si="4"/>
        <v>0</v>
      </c>
      <c r="P22" s="54">
        <f t="shared" si="5"/>
        <v>5.4</v>
      </c>
      <c r="Q22" s="86"/>
      <c r="R22" s="52" t="s">
        <v>206</v>
      </c>
      <c r="S22" s="59"/>
    </row>
    <row r="23" spans="2:19" s="45" customFormat="1" ht="9" x14ac:dyDescent="0.15">
      <c r="B23" s="79" t="s">
        <v>207</v>
      </c>
      <c r="C23" s="535" t="s">
        <v>188</v>
      </c>
      <c r="D23" s="536"/>
      <c r="E23" s="343"/>
      <c r="F23" s="53"/>
      <c r="G23" s="53"/>
      <c r="H23" s="53"/>
      <c r="I23" s="55"/>
      <c r="J23" s="54"/>
      <c r="K23" s="54"/>
      <c r="L23" s="54"/>
      <c r="M23" s="54"/>
      <c r="N23" s="46"/>
      <c r="O23" s="46"/>
      <c r="P23" s="54"/>
      <c r="Q23" s="86"/>
      <c r="R23" s="52"/>
      <c r="S23" s="59"/>
    </row>
    <row r="24" spans="2:19" s="45" customFormat="1" ht="9" x14ac:dyDescent="0.15">
      <c r="B24" s="79" t="s">
        <v>208</v>
      </c>
      <c r="C24" s="535" t="s">
        <v>188</v>
      </c>
      <c r="D24" s="536"/>
      <c r="E24" s="343"/>
      <c r="F24" s="53"/>
      <c r="G24" s="53"/>
      <c r="H24" s="53"/>
      <c r="I24" s="55"/>
      <c r="J24" s="54"/>
      <c r="K24" s="54"/>
      <c r="L24" s="54"/>
      <c r="M24" s="54"/>
      <c r="N24" s="46"/>
      <c r="O24" s="46"/>
      <c r="P24" s="54"/>
      <c r="Q24" s="86"/>
      <c r="R24" s="52"/>
      <c r="S24" s="59"/>
    </row>
    <row r="25" spans="2:19" s="45" customFormat="1" ht="9" x14ac:dyDescent="0.15">
      <c r="B25" s="79" t="s">
        <v>209</v>
      </c>
      <c r="C25" s="53">
        <v>27</v>
      </c>
      <c r="D25" s="46">
        <v>0</v>
      </c>
      <c r="E25" s="46"/>
      <c r="F25" s="53">
        <v>1</v>
      </c>
      <c r="G25" s="53">
        <v>0</v>
      </c>
      <c r="H25" s="53">
        <f>C25*F25</f>
        <v>27</v>
      </c>
      <c r="I25" s="55">
        <f>I$10</f>
        <v>54</v>
      </c>
      <c r="J25" s="54">
        <v>0</v>
      </c>
      <c r="K25" s="54">
        <f>H25*I25</f>
        <v>1458</v>
      </c>
      <c r="L25" s="54">
        <f>K25*0.1</f>
        <v>145.80000000000001</v>
      </c>
      <c r="M25" s="54">
        <f>K25*0.05</f>
        <v>72.900000000000006</v>
      </c>
      <c r="N25" s="46">
        <f>(J25*'Labor Data'!$K$10)+(K25*'Labor Data'!$K$9)+(L25*'Labor Data'!$K$11)+(M25*'Labor Data'!$K$8)</f>
        <v>138446.94150000002</v>
      </c>
      <c r="O25" s="46">
        <f>D25*F25*I25</f>
        <v>0</v>
      </c>
      <c r="P25" s="54">
        <f>F25*I25</f>
        <v>54</v>
      </c>
      <c r="Q25" s="86"/>
      <c r="R25" s="52" t="s">
        <v>210</v>
      </c>
      <c r="S25" s="59"/>
    </row>
    <row r="26" spans="2:19" s="45" customFormat="1" ht="9" x14ac:dyDescent="0.15">
      <c r="B26" s="79" t="s">
        <v>211</v>
      </c>
      <c r="C26" s="53">
        <v>15</v>
      </c>
      <c r="D26" s="46">
        <v>0</v>
      </c>
      <c r="E26" s="46"/>
      <c r="F26" s="53">
        <v>1</v>
      </c>
      <c r="G26" s="53">
        <v>0</v>
      </c>
      <c r="H26" s="53">
        <f t="shared" ref="H26:H29" si="6">C26*F26</f>
        <v>15</v>
      </c>
      <c r="I26" s="55">
        <v>1</v>
      </c>
      <c r="J26" s="54">
        <v>0</v>
      </c>
      <c r="K26" s="54">
        <f t="shared" ref="K26:K28" si="7">H26*I26</f>
        <v>15</v>
      </c>
      <c r="L26" s="54">
        <f t="shared" ref="L26:L28" si="8">K26*0.1</f>
        <v>1.5</v>
      </c>
      <c r="M26" s="54">
        <f t="shared" ref="M26:M28" si="9">K26*0.05</f>
        <v>0.75</v>
      </c>
      <c r="N26" s="46">
        <f>(J26*'Labor Data'!$K$10)+(K26*'Labor Data'!$K$9)+(L26*'Labor Data'!$K$11)+(M26*'Labor Data'!$K$8)</f>
        <v>1424.3512499999999</v>
      </c>
      <c r="O26" s="46">
        <f t="shared" ref="O26:O28" si="10">D26*F26*I26</f>
        <v>0</v>
      </c>
      <c r="P26" s="54">
        <f t="shared" ref="P26:P28" si="11">F26*I26</f>
        <v>1</v>
      </c>
      <c r="Q26" s="86"/>
      <c r="R26" s="52" t="s">
        <v>212</v>
      </c>
      <c r="S26" s="59"/>
    </row>
    <row r="27" spans="2:19" s="45" customFormat="1" ht="9" x14ac:dyDescent="0.15">
      <c r="B27" s="79" t="s">
        <v>213</v>
      </c>
      <c r="C27" s="53">
        <v>15</v>
      </c>
      <c r="D27" s="46">
        <v>0</v>
      </c>
      <c r="E27" s="46"/>
      <c r="F27" s="53">
        <v>1</v>
      </c>
      <c r="G27" s="53">
        <v>0</v>
      </c>
      <c r="H27" s="53">
        <f t="shared" si="6"/>
        <v>15</v>
      </c>
      <c r="I27" s="55">
        <v>1</v>
      </c>
      <c r="J27" s="54">
        <v>0</v>
      </c>
      <c r="K27" s="54">
        <f t="shared" si="7"/>
        <v>15</v>
      </c>
      <c r="L27" s="54">
        <f t="shared" si="8"/>
        <v>1.5</v>
      </c>
      <c r="M27" s="54">
        <f t="shared" si="9"/>
        <v>0.75</v>
      </c>
      <c r="N27" s="46">
        <f>(J27*'Labor Data'!$K$10)+(K27*'Labor Data'!$K$9)+(L27*'Labor Data'!$K$11)+(M27*'Labor Data'!$K$8)</f>
        <v>1424.3512499999999</v>
      </c>
      <c r="O27" s="46">
        <f t="shared" si="10"/>
        <v>0</v>
      </c>
      <c r="P27" s="54">
        <f t="shared" si="11"/>
        <v>1</v>
      </c>
      <c r="Q27" s="86"/>
      <c r="R27" s="52" t="s">
        <v>212</v>
      </c>
      <c r="S27" s="59"/>
    </row>
    <row r="28" spans="2:19" s="45" customFormat="1" ht="9" x14ac:dyDescent="0.15">
      <c r="B28" s="79" t="s">
        <v>214</v>
      </c>
      <c r="C28" s="53">
        <v>15</v>
      </c>
      <c r="D28" s="46">
        <v>0</v>
      </c>
      <c r="E28" s="46"/>
      <c r="F28" s="53">
        <v>1</v>
      </c>
      <c r="G28" s="53">
        <v>0</v>
      </c>
      <c r="H28" s="53">
        <f t="shared" si="6"/>
        <v>15</v>
      </c>
      <c r="I28" s="55">
        <v>1</v>
      </c>
      <c r="J28" s="54">
        <v>0</v>
      </c>
      <c r="K28" s="54">
        <f t="shared" si="7"/>
        <v>15</v>
      </c>
      <c r="L28" s="54">
        <f t="shared" si="8"/>
        <v>1.5</v>
      </c>
      <c r="M28" s="54">
        <f t="shared" si="9"/>
        <v>0.75</v>
      </c>
      <c r="N28" s="46">
        <f>(J28*'Labor Data'!$K$10)+(K28*'Labor Data'!$K$9)+(L28*'Labor Data'!$K$11)+(M28*'Labor Data'!$K$8)</f>
        <v>1424.3512499999999</v>
      </c>
      <c r="O28" s="46">
        <f t="shared" si="10"/>
        <v>0</v>
      </c>
      <c r="P28" s="54">
        <f t="shared" si="11"/>
        <v>1</v>
      </c>
      <c r="Q28" s="86"/>
      <c r="R28" s="52" t="s">
        <v>212</v>
      </c>
      <c r="S28" s="59"/>
    </row>
    <row r="29" spans="2:19" s="45" customFormat="1" ht="9" x14ac:dyDescent="0.15">
      <c r="B29" s="79" t="s">
        <v>215</v>
      </c>
      <c r="C29" s="53">
        <v>15</v>
      </c>
      <c r="D29" s="46">
        <v>0</v>
      </c>
      <c r="E29" s="46"/>
      <c r="F29" s="53">
        <v>1</v>
      </c>
      <c r="G29" s="53">
        <v>0</v>
      </c>
      <c r="H29" s="53">
        <f t="shared" si="6"/>
        <v>15</v>
      </c>
      <c r="I29" s="55">
        <f>'Annual # of Respondents'!E5</f>
        <v>15</v>
      </c>
      <c r="J29" s="54">
        <v>0</v>
      </c>
      <c r="K29" s="54">
        <f t="shared" ref="K29" si="12">H29*I29</f>
        <v>225</v>
      </c>
      <c r="L29" s="54">
        <f t="shared" ref="L29" si="13">K29*0.1</f>
        <v>22.5</v>
      </c>
      <c r="M29" s="54">
        <f t="shared" ref="M29" si="14">K29*0.05</f>
        <v>11.25</v>
      </c>
      <c r="N29" s="46">
        <f>(J29*'Labor Data'!$K$10)+(K29*'Labor Data'!$K$9)+(L29*'Labor Data'!$K$11)+(M29*'Labor Data'!$K$8)</f>
        <v>21365.268750000003</v>
      </c>
      <c r="O29" s="46">
        <f t="shared" ref="O29" si="15">D29*F29*I29</f>
        <v>0</v>
      </c>
      <c r="P29" s="54">
        <f t="shared" ref="P29" si="16">F29*I29</f>
        <v>15</v>
      </c>
      <c r="Q29" s="86"/>
      <c r="R29" s="52" t="s">
        <v>216</v>
      </c>
      <c r="S29" s="59"/>
    </row>
    <row r="30" spans="2:19" s="45" customFormat="1" ht="9" x14ac:dyDescent="0.15">
      <c r="B30" s="58" t="s">
        <v>217</v>
      </c>
      <c r="C30" s="53"/>
      <c r="D30" s="46"/>
      <c r="E30" s="46"/>
      <c r="F30" s="53"/>
      <c r="G30" s="53"/>
      <c r="H30" s="53"/>
      <c r="I30" s="55"/>
      <c r="J30" s="54">
        <f t="shared" ref="J30:O30" si="17">SUM(J7:J29)</f>
        <v>35424</v>
      </c>
      <c r="K30" s="54">
        <f t="shared" si="17"/>
        <v>9606</v>
      </c>
      <c r="L30" s="54">
        <f t="shared" si="17"/>
        <v>960.59999999999991</v>
      </c>
      <c r="M30" s="54">
        <f t="shared" si="17"/>
        <v>480.29999999999995</v>
      </c>
      <c r="N30" s="46">
        <f t="shared" si="17"/>
        <v>2678182.6364999996</v>
      </c>
      <c r="O30" s="46">
        <f t="shared" si="17"/>
        <v>340339.29404658533</v>
      </c>
      <c r="P30" s="54">
        <f>SUM(P15:P29)+P9</f>
        <v>198.4</v>
      </c>
      <c r="Q30" s="46">
        <f>SUM(Q7:Q29)</f>
        <v>28134</v>
      </c>
      <c r="R30" s="52"/>
      <c r="S30" s="57" t="e">
        <f>SUM(O7,O9:O10,#REF!,#REF!,#REF!,#REF!,#REF!,#REF!,#REF!)</f>
        <v>#REF!</v>
      </c>
    </row>
    <row r="31" spans="2:19" s="45" customFormat="1" ht="9" x14ac:dyDescent="0.15">
      <c r="B31" s="56" t="s">
        <v>218</v>
      </c>
      <c r="C31" s="53"/>
      <c r="D31" s="46"/>
      <c r="E31" s="46"/>
      <c r="F31" s="53"/>
      <c r="G31" s="53"/>
      <c r="H31" s="53"/>
      <c r="I31" s="54"/>
      <c r="J31" s="54"/>
      <c r="K31" s="54"/>
      <c r="L31" s="54"/>
      <c r="M31" s="54"/>
      <c r="N31" s="46"/>
      <c r="O31" s="46"/>
      <c r="P31" s="46"/>
      <c r="Q31" s="85"/>
      <c r="R31" s="52"/>
    </row>
    <row r="32" spans="2:19" s="45" customFormat="1" ht="9" x14ac:dyDescent="0.15">
      <c r="B32" s="56" t="s">
        <v>219</v>
      </c>
      <c r="C32" s="535" t="s">
        <v>220</v>
      </c>
      <c r="D32" s="536"/>
      <c r="E32" s="343"/>
      <c r="F32" s="53"/>
      <c r="G32" s="53"/>
      <c r="H32" s="53"/>
      <c r="I32" s="54"/>
      <c r="J32" s="54"/>
      <c r="K32" s="54"/>
      <c r="L32" s="54"/>
      <c r="M32" s="54"/>
      <c r="N32" s="46"/>
      <c r="O32" s="46"/>
      <c r="P32" s="46"/>
      <c r="Q32" s="85"/>
      <c r="R32" s="52"/>
    </row>
    <row r="33" spans="1:19" s="45" customFormat="1" ht="9" x14ac:dyDescent="0.15">
      <c r="B33" s="56" t="s">
        <v>221</v>
      </c>
      <c r="C33" s="535" t="s">
        <v>175</v>
      </c>
      <c r="D33" s="536"/>
      <c r="E33" s="343"/>
      <c r="F33" s="53"/>
      <c r="G33" s="53"/>
      <c r="H33" s="53"/>
      <c r="I33" s="54"/>
      <c r="J33" s="54"/>
      <c r="K33" s="54"/>
      <c r="L33" s="54"/>
      <c r="M33" s="54"/>
      <c r="N33" s="46"/>
      <c r="O33" s="46"/>
      <c r="P33" s="46"/>
      <c r="Q33" s="85"/>
      <c r="R33" s="52"/>
    </row>
    <row r="34" spans="1:19" s="45" customFormat="1" ht="9" x14ac:dyDescent="0.15">
      <c r="B34" s="56" t="s">
        <v>222</v>
      </c>
      <c r="C34" s="535" t="s">
        <v>175</v>
      </c>
      <c r="D34" s="536"/>
      <c r="E34" s="343"/>
      <c r="F34" s="53"/>
      <c r="G34" s="53"/>
      <c r="H34" s="53"/>
      <c r="I34" s="54"/>
      <c r="J34" s="54"/>
      <c r="K34" s="54"/>
      <c r="L34" s="54"/>
      <c r="M34" s="54"/>
      <c r="N34" s="46"/>
      <c r="O34" s="46"/>
      <c r="P34" s="46"/>
      <c r="Q34" s="85"/>
      <c r="R34" s="52"/>
    </row>
    <row r="35" spans="1:19" s="45" customFormat="1" ht="9" x14ac:dyDescent="0.15">
      <c r="B35" s="56" t="s">
        <v>223</v>
      </c>
      <c r="C35" s="535" t="s">
        <v>175</v>
      </c>
      <c r="D35" s="536"/>
      <c r="E35" s="343"/>
      <c r="F35" s="53"/>
      <c r="G35" s="53"/>
      <c r="H35" s="53"/>
      <c r="I35" s="54"/>
      <c r="J35" s="54"/>
      <c r="K35" s="54"/>
      <c r="L35" s="54"/>
      <c r="M35" s="54"/>
      <c r="N35" s="46"/>
      <c r="O35" s="46"/>
      <c r="P35" s="46"/>
      <c r="Q35" s="85"/>
      <c r="R35" s="52"/>
    </row>
    <row r="36" spans="1:19" s="45" customFormat="1" ht="9" x14ac:dyDescent="0.15">
      <c r="B36" s="56" t="s">
        <v>224</v>
      </c>
      <c r="C36" s="53"/>
      <c r="D36" s="46"/>
      <c r="E36" s="46"/>
      <c r="F36" s="53"/>
      <c r="G36" s="53"/>
      <c r="H36" s="53"/>
      <c r="I36" s="54"/>
      <c r="J36" s="54"/>
      <c r="K36" s="54"/>
      <c r="L36" s="54"/>
      <c r="M36" s="54"/>
      <c r="N36" s="46"/>
      <c r="O36" s="46"/>
      <c r="P36" s="46"/>
      <c r="Q36" s="85"/>
      <c r="R36" s="52"/>
    </row>
    <row r="37" spans="1:19" s="45" customFormat="1" ht="9.75" customHeight="1" x14ac:dyDescent="0.15">
      <c r="B37" s="81" t="s">
        <v>225</v>
      </c>
      <c r="C37" s="342">
        <v>5</v>
      </c>
      <c r="D37" s="46">
        <v>0</v>
      </c>
      <c r="E37" s="46"/>
      <c r="F37" s="53">
        <v>12</v>
      </c>
      <c r="G37" s="53">
        <v>0</v>
      </c>
      <c r="H37" s="53">
        <f>C37*F37</f>
        <v>60</v>
      </c>
      <c r="I37" s="55">
        <f>I$10</f>
        <v>54</v>
      </c>
      <c r="J37" s="54">
        <v>0</v>
      </c>
      <c r="K37" s="54">
        <f>H37*I37</f>
        <v>3240</v>
      </c>
      <c r="L37" s="54">
        <f>K37*0.1</f>
        <v>324</v>
      </c>
      <c r="M37" s="54">
        <f>K37*0.05</f>
        <v>162</v>
      </c>
      <c r="N37" s="46">
        <f>(J37*'Labor Data'!$K$10)+(K37*'Labor Data'!$K$9)+(L37*'Labor Data'!$K$11)+(M37*'Labor Data'!$K$8)</f>
        <v>307659.87000000005</v>
      </c>
      <c r="O37" s="46">
        <f>D37*F37*I37</f>
        <v>0</v>
      </c>
      <c r="P37" s="54">
        <v>0</v>
      </c>
      <c r="Q37" s="86"/>
      <c r="R37" s="52" t="s">
        <v>226</v>
      </c>
    </row>
    <row r="38" spans="1:19" s="45" customFormat="1" ht="9.75" customHeight="1" x14ac:dyDescent="0.15">
      <c r="B38" s="79" t="s">
        <v>227</v>
      </c>
      <c r="C38" s="53">
        <v>11</v>
      </c>
      <c r="D38" s="46">
        <v>0</v>
      </c>
      <c r="E38" s="46"/>
      <c r="F38" s="53">
        <v>12</v>
      </c>
      <c r="G38" s="53">
        <v>0</v>
      </c>
      <c r="H38" s="53">
        <f>C38*F38</f>
        <v>132</v>
      </c>
      <c r="I38" s="55">
        <f>I$10</f>
        <v>54</v>
      </c>
      <c r="J38" s="54">
        <v>0</v>
      </c>
      <c r="K38" s="54">
        <f>H38*I38</f>
        <v>7128</v>
      </c>
      <c r="L38" s="54">
        <f>K38*0.1</f>
        <v>712.80000000000007</v>
      </c>
      <c r="M38" s="54">
        <f>K38*0.05</f>
        <v>356.40000000000003</v>
      </c>
      <c r="N38" s="46">
        <f>(J38*'Labor Data'!$K$10)+(K38*'Labor Data'!$K$9)+(L38*'Labor Data'!$K$11)+(M38*'Labor Data'!$K$8)</f>
        <v>676851.71400000004</v>
      </c>
      <c r="O38" s="46">
        <f>D38*F38*I38</f>
        <v>0</v>
      </c>
      <c r="P38" s="54">
        <v>0</v>
      </c>
      <c r="Q38" s="86"/>
      <c r="R38" s="52" t="s">
        <v>226</v>
      </c>
    </row>
    <row r="39" spans="1:19" s="45" customFormat="1" ht="9" x14ac:dyDescent="0.15">
      <c r="B39" s="79" t="s">
        <v>228</v>
      </c>
      <c r="C39" s="342">
        <v>4</v>
      </c>
      <c r="D39" s="46">
        <v>0</v>
      </c>
      <c r="E39" s="46"/>
      <c r="F39" s="53">
        <v>1</v>
      </c>
      <c r="G39" s="53">
        <v>0</v>
      </c>
      <c r="H39" s="53">
        <f>C39*F39</f>
        <v>4</v>
      </c>
      <c r="I39" s="55">
        <f>'Annual # of Respondents'!E6-I38</f>
        <v>13</v>
      </c>
      <c r="J39" s="54">
        <v>0</v>
      </c>
      <c r="K39" s="54">
        <f>H39*I39</f>
        <v>52</v>
      </c>
      <c r="L39" s="54">
        <f>K39*0.1</f>
        <v>5.2</v>
      </c>
      <c r="M39" s="54">
        <f>K39*0.05</f>
        <v>2.6</v>
      </c>
      <c r="N39" s="46">
        <f>(J39*'Labor Data'!$K$10)+(K39*'Labor Data'!$K$9)+(L39*'Labor Data'!$K$11)+(M39*'Labor Data'!$K$8)</f>
        <v>4937.7510000000002</v>
      </c>
      <c r="O39" s="46">
        <f>D39*F39*I39</f>
        <v>0</v>
      </c>
      <c r="P39" s="54">
        <v>0</v>
      </c>
      <c r="Q39" s="86"/>
      <c r="R39" s="52" t="s">
        <v>229</v>
      </c>
    </row>
    <row r="40" spans="1:19" s="45" customFormat="1" ht="9" x14ac:dyDescent="0.15">
      <c r="B40" s="56" t="s">
        <v>230</v>
      </c>
      <c r="C40" s="535" t="s">
        <v>175</v>
      </c>
      <c r="D40" s="536"/>
      <c r="E40" s="343"/>
      <c r="F40" s="53"/>
      <c r="G40" s="53"/>
      <c r="H40" s="53"/>
      <c r="I40" s="55"/>
      <c r="J40" s="54"/>
      <c r="K40" s="54"/>
      <c r="L40" s="54"/>
      <c r="M40" s="54"/>
      <c r="N40" s="46"/>
      <c r="O40" s="46"/>
      <c r="P40" s="54"/>
      <c r="Q40" s="86"/>
      <c r="R40" s="52"/>
    </row>
    <row r="41" spans="1:19" s="45" customFormat="1" ht="9" x14ac:dyDescent="0.15">
      <c r="B41" s="80" t="s">
        <v>231</v>
      </c>
      <c r="C41" s="535" t="s">
        <v>175</v>
      </c>
      <c r="D41" s="536"/>
      <c r="E41" s="343"/>
      <c r="F41" s="53"/>
      <c r="G41" s="53"/>
      <c r="H41" s="53"/>
      <c r="I41" s="55"/>
      <c r="J41" s="54"/>
      <c r="K41" s="54"/>
      <c r="L41" s="54"/>
      <c r="M41" s="54"/>
      <c r="N41" s="46"/>
      <c r="O41" s="46"/>
      <c r="P41" s="46"/>
      <c r="Q41" s="85"/>
      <c r="R41" s="52"/>
    </row>
    <row r="42" spans="1:19" s="45" customFormat="1" ht="9" x14ac:dyDescent="0.15">
      <c r="B42" s="51" t="s">
        <v>232</v>
      </c>
      <c r="C42" s="50"/>
      <c r="D42" s="49"/>
      <c r="E42" s="49"/>
      <c r="F42" s="50"/>
      <c r="G42" s="50"/>
      <c r="H42" s="50"/>
      <c r="I42" s="48"/>
      <c r="J42" s="48">
        <f>SUM(J32:J41)</f>
        <v>0</v>
      </c>
      <c r="K42" s="48">
        <f t="shared" ref="K42:Q42" si="18">SUM(K32:K41)</f>
        <v>10420</v>
      </c>
      <c r="L42" s="48">
        <f t="shared" si="18"/>
        <v>1042.0000000000002</v>
      </c>
      <c r="M42" s="48">
        <f t="shared" si="18"/>
        <v>521.00000000000011</v>
      </c>
      <c r="N42" s="49">
        <f t="shared" si="18"/>
        <v>989449.33500000008</v>
      </c>
      <c r="O42" s="49">
        <f t="shared" si="18"/>
        <v>0</v>
      </c>
      <c r="P42" s="48">
        <f t="shared" si="18"/>
        <v>0</v>
      </c>
      <c r="Q42" s="49">
        <f t="shared" si="18"/>
        <v>0</v>
      </c>
      <c r="R42" s="47"/>
      <c r="S42" s="46">
        <f>SUM(S32:S41)</f>
        <v>0</v>
      </c>
    </row>
    <row r="43" spans="1:19" s="37" customFormat="1" x14ac:dyDescent="0.2">
      <c r="B43" s="44" t="s">
        <v>233</v>
      </c>
      <c r="C43" s="42"/>
      <c r="D43" s="43"/>
      <c r="E43" s="43"/>
      <c r="F43" s="42"/>
      <c r="G43" s="42"/>
      <c r="H43" s="42"/>
      <c r="I43" s="41"/>
      <c r="J43" s="39">
        <f t="shared" ref="J43:Q43" si="19">J30+J42</f>
        <v>35424</v>
      </c>
      <c r="K43" s="39">
        <f t="shared" si="19"/>
        <v>20026</v>
      </c>
      <c r="L43" s="39">
        <f t="shared" si="19"/>
        <v>2002.6000000000001</v>
      </c>
      <c r="M43" s="39">
        <f t="shared" si="19"/>
        <v>1001.3000000000001</v>
      </c>
      <c r="N43" s="40">
        <f t="shared" si="19"/>
        <v>3667631.9714999995</v>
      </c>
      <c r="O43" s="40">
        <f>O30+O42</f>
        <v>340339.29404658533</v>
      </c>
      <c r="P43" s="39">
        <f t="shared" si="19"/>
        <v>198.4</v>
      </c>
      <c r="Q43" s="40">
        <f t="shared" si="19"/>
        <v>28134</v>
      </c>
      <c r="R43" s="38"/>
    </row>
    <row r="44" spans="1:19" ht="39" customHeight="1" x14ac:dyDescent="0.2"/>
    <row r="45" spans="1:19" s="34" customFormat="1" ht="12.75" customHeight="1" x14ac:dyDescent="0.15">
      <c r="A45" s="74" t="s">
        <v>234</v>
      </c>
      <c r="B45" s="78"/>
      <c r="C45" s="78"/>
      <c r="D45" s="78"/>
      <c r="E45" s="78"/>
      <c r="F45" s="78"/>
      <c r="G45" s="78"/>
      <c r="H45" s="78"/>
      <c r="I45" s="78"/>
      <c r="J45" s="78"/>
      <c r="K45" s="78"/>
      <c r="L45" s="78"/>
      <c r="M45" s="78"/>
      <c r="N45" s="78"/>
      <c r="O45" s="78"/>
      <c r="P45" s="78"/>
      <c r="Q45" s="78"/>
      <c r="R45" s="35"/>
    </row>
    <row r="46" spans="1:19" s="273" customFormat="1" ht="9" customHeight="1" x14ac:dyDescent="0.15">
      <c r="A46" s="272" t="s">
        <v>235</v>
      </c>
      <c r="B46" s="273" t="s">
        <v>236</v>
      </c>
      <c r="C46" s="34"/>
      <c r="D46" s="34"/>
      <c r="E46" s="34"/>
      <c r="F46" s="34"/>
      <c r="G46" s="34"/>
      <c r="H46" s="34"/>
      <c r="I46" s="34"/>
      <c r="J46" s="34"/>
      <c r="K46" s="34"/>
      <c r="L46" s="34"/>
      <c r="M46" s="34"/>
      <c r="N46" s="34"/>
      <c r="O46" s="34"/>
      <c r="P46" s="34"/>
      <c r="Q46" s="34"/>
      <c r="R46" s="34"/>
      <c r="S46" s="34"/>
    </row>
    <row r="47" spans="1:19" s="273" customFormat="1" ht="19.5" customHeight="1" x14ac:dyDescent="0.15">
      <c r="A47" s="272" t="s">
        <v>237</v>
      </c>
      <c r="B47" s="532" t="s">
        <v>238</v>
      </c>
      <c r="C47" s="532"/>
      <c r="D47" s="532"/>
      <c r="E47" s="532"/>
      <c r="F47" s="532"/>
      <c r="G47" s="532"/>
      <c r="H47" s="532"/>
      <c r="I47" s="532"/>
      <c r="J47" s="532"/>
      <c r="K47" s="532"/>
      <c r="L47" s="532"/>
      <c r="M47" s="532"/>
      <c r="N47" s="532"/>
      <c r="O47" s="532"/>
      <c r="P47" s="532"/>
      <c r="Q47" s="532"/>
      <c r="R47" s="532"/>
      <c r="S47" s="34"/>
    </row>
    <row r="48" spans="1:19" s="273" customFormat="1" ht="9" customHeight="1" x14ac:dyDescent="0.15">
      <c r="A48" s="272" t="s">
        <v>239</v>
      </c>
      <c r="B48" s="69" t="s">
        <v>240</v>
      </c>
      <c r="C48" s="34"/>
      <c r="D48" s="34"/>
      <c r="E48" s="34"/>
      <c r="F48" s="34"/>
      <c r="G48" s="34"/>
      <c r="H48" s="34"/>
      <c r="I48" s="34"/>
      <c r="J48" s="34"/>
      <c r="K48" s="34"/>
      <c r="L48" s="34"/>
      <c r="M48" s="34"/>
      <c r="N48" s="34"/>
      <c r="O48" s="34"/>
      <c r="P48" s="34"/>
      <c r="Q48" s="34"/>
      <c r="R48" s="34"/>
      <c r="S48" s="34"/>
    </row>
    <row r="49" spans="1:19" s="273" customFormat="1" ht="9" x14ac:dyDescent="0.15">
      <c r="A49" s="272" t="s">
        <v>179</v>
      </c>
      <c r="B49" s="69" t="s">
        <v>241</v>
      </c>
      <c r="C49" s="345"/>
      <c r="D49" s="345"/>
      <c r="E49" s="345"/>
      <c r="F49" s="345"/>
      <c r="G49" s="345"/>
      <c r="H49" s="345"/>
      <c r="I49" s="345"/>
      <c r="J49" s="345"/>
      <c r="K49" s="345"/>
      <c r="L49" s="345"/>
      <c r="M49" s="345"/>
      <c r="N49" s="345"/>
      <c r="O49" s="345"/>
      <c r="P49" s="345"/>
      <c r="Q49" s="345"/>
      <c r="R49" s="345"/>
      <c r="S49" s="34"/>
    </row>
    <row r="50" spans="1:19" s="273" customFormat="1" ht="27" customHeight="1" x14ac:dyDescent="0.15">
      <c r="A50" s="272" t="s">
        <v>242</v>
      </c>
      <c r="B50" s="532" t="s">
        <v>243</v>
      </c>
      <c r="C50" s="532"/>
      <c r="D50" s="532"/>
      <c r="E50" s="532"/>
      <c r="F50" s="532"/>
      <c r="G50" s="532"/>
      <c r="H50" s="532"/>
      <c r="I50" s="532"/>
      <c r="J50" s="532"/>
      <c r="K50" s="532"/>
      <c r="L50" s="532"/>
      <c r="M50" s="532"/>
      <c r="N50" s="532"/>
      <c r="O50" s="532"/>
      <c r="P50" s="532"/>
      <c r="Q50" s="532"/>
      <c r="R50" s="532"/>
      <c r="S50" s="532"/>
    </row>
    <row r="51" spans="1:19" s="273" customFormat="1" ht="9" x14ac:dyDescent="0.15">
      <c r="A51" s="272" t="s">
        <v>204</v>
      </c>
      <c r="B51" s="34" t="s">
        <v>244</v>
      </c>
      <c r="C51" s="34"/>
      <c r="D51" s="34"/>
      <c r="E51" s="34"/>
      <c r="F51" s="34"/>
      <c r="G51" s="34"/>
      <c r="H51" s="34"/>
      <c r="I51" s="34"/>
      <c r="J51" s="34"/>
      <c r="K51" s="34"/>
      <c r="L51" s="34"/>
      <c r="M51" s="34"/>
      <c r="N51" s="34"/>
      <c r="O51" s="34"/>
      <c r="P51" s="34"/>
      <c r="Q51" s="34"/>
      <c r="R51" s="34"/>
      <c r="S51" s="34"/>
    </row>
    <row r="52" spans="1:19" s="273" customFormat="1" ht="48" customHeight="1" x14ac:dyDescent="0.15">
      <c r="A52" s="272" t="s">
        <v>245</v>
      </c>
      <c r="B52" s="532" t="s">
        <v>1383</v>
      </c>
      <c r="C52" s="532"/>
      <c r="D52" s="532"/>
      <c r="E52" s="532"/>
      <c r="F52" s="532"/>
      <c r="G52" s="532"/>
      <c r="H52" s="532"/>
      <c r="I52" s="532"/>
      <c r="J52" s="532"/>
      <c r="K52" s="532"/>
      <c r="L52" s="532"/>
      <c r="M52" s="532"/>
      <c r="N52" s="532"/>
      <c r="O52" s="532"/>
      <c r="P52" s="532"/>
      <c r="Q52" s="532"/>
      <c r="R52" s="532"/>
      <c r="S52" s="532"/>
    </row>
    <row r="53" spans="1:19" s="273" customFormat="1" ht="18" customHeight="1" x14ac:dyDescent="0.15">
      <c r="A53" s="272" t="s">
        <v>192</v>
      </c>
      <c r="B53" s="532" t="s">
        <v>247</v>
      </c>
      <c r="C53" s="532"/>
      <c r="D53" s="532"/>
      <c r="E53" s="532"/>
      <c r="F53" s="532"/>
      <c r="G53" s="532"/>
      <c r="H53" s="532"/>
      <c r="I53" s="532"/>
      <c r="J53" s="532"/>
      <c r="K53" s="532"/>
      <c r="L53" s="532"/>
      <c r="M53" s="532"/>
      <c r="N53" s="532"/>
      <c r="O53" s="532"/>
      <c r="P53" s="532"/>
      <c r="Q53" s="532"/>
      <c r="R53" s="532"/>
      <c r="S53" s="34"/>
    </row>
    <row r="54" spans="1:19" s="273" customFormat="1" ht="9" customHeight="1" x14ac:dyDescent="0.15">
      <c r="A54" s="272" t="s">
        <v>194</v>
      </c>
      <c r="B54" s="34" t="s">
        <v>248</v>
      </c>
      <c r="C54" s="75"/>
      <c r="D54" s="75"/>
      <c r="E54" s="75"/>
      <c r="F54" s="75"/>
      <c r="G54" s="75"/>
      <c r="H54" s="75"/>
      <c r="I54" s="75"/>
      <c r="J54" s="75"/>
      <c r="K54" s="75"/>
      <c r="L54" s="75"/>
      <c r="M54" s="75"/>
      <c r="N54" s="34"/>
      <c r="O54" s="34"/>
      <c r="P54" s="33"/>
      <c r="Q54" s="33"/>
      <c r="R54" s="35"/>
      <c r="S54" s="34"/>
    </row>
    <row r="55" spans="1:19" s="273" customFormat="1" ht="9" customHeight="1" x14ac:dyDescent="0.15">
      <c r="A55" s="272" t="s">
        <v>196</v>
      </c>
      <c r="B55" s="34" t="s">
        <v>249</v>
      </c>
      <c r="C55" s="35"/>
      <c r="D55" s="35"/>
      <c r="E55" s="35"/>
      <c r="F55" s="35"/>
      <c r="G55" s="35"/>
      <c r="H55" s="35"/>
      <c r="I55" s="36"/>
      <c r="J55" s="35"/>
      <c r="K55" s="35"/>
      <c r="L55" s="35"/>
      <c r="M55" s="35"/>
      <c r="N55" s="34"/>
      <c r="O55" s="34"/>
      <c r="P55" s="33"/>
      <c r="Q55" s="33"/>
      <c r="R55" s="35"/>
      <c r="S55" s="34"/>
    </row>
    <row r="56" spans="1:19" s="273" customFormat="1" ht="9" x14ac:dyDescent="0.15">
      <c r="A56" s="272" t="s">
        <v>250</v>
      </c>
      <c r="B56" s="69" t="s">
        <v>1360</v>
      </c>
      <c r="C56" s="35"/>
      <c r="D56" s="35"/>
      <c r="E56" s="35"/>
      <c r="F56" s="35"/>
      <c r="G56" s="35"/>
      <c r="H56" s="35"/>
      <c r="I56" s="36"/>
      <c r="J56" s="35"/>
      <c r="K56" s="35"/>
      <c r="L56" s="35"/>
      <c r="M56" s="35"/>
      <c r="N56" s="34"/>
      <c r="O56" s="34"/>
      <c r="P56" s="33"/>
      <c r="Q56" s="33"/>
      <c r="R56" s="35"/>
      <c r="S56" s="34"/>
    </row>
    <row r="57" spans="1:19" s="273" customFormat="1" ht="9" customHeight="1" x14ac:dyDescent="0.15">
      <c r="A57" s="272" t="s">
        <v>200</v>
      </c>
      <c r="B57" s="69" t="s">
        <v>352</v>
      </c>
      <c r="C57" s="35"/>
      <c r="D57" s="35"/>
      <c r="E57" s="35"/>
      <c r="F57" s="35"/>
      <c r="G57" s="35"/>
      <c r="H57" s="35"/>
      <c r="I57" s="36"/>
      <c r="J57" s="35"/>
      <c r="K57" s="35"/>
      <c r="L57" s="35"/>
      <c r="M57" s="35"/>
      <c r="N57" s="34"/>
      <c r="O57" s="34"/>
      <c r="P57" s="33"/>
      <c r="Q57" s="33"/>
      <c r="R57" s="35"/>
      <c r="S57" s="34"/>
    </row>
    <row r="58" spans="1:19" s="273" customFormat="1" ht="9" x14ac:dyDescent="0.15">
      <c r="A58" s="272" t="s">
        <v>253</v>
      </c>
      <c r="B58" s="34" t="s">
        <v>254</v>
      </c>
      <c r="C58" s="34"/>
      <c r="D58" s="34"/>
      <c r="E58" s="34"/>
      <c r="F58" s="34"/>
      <c r="G58" s="34"/>
      <c r="H58" s="34"/>
      <c r="I58" s="34"/>
      <c r="J58" s="34"/>
      <c r="K58" s="34"/>
      <c r="L58" s="34"/>
      <c r="M58" s="34"/>
      <c r="N58" s="34"/>
      <c r="O58" s="34"/>
      <c r="P58" s="33"/>
      <c r="Q58" s="33"/>
      <c r="R58" s="35"/>
      <c r="S58" s="34"/>
    </row>
    <row r="59" spans="1:19" s="273" customFormat="1" ht="9" x14ac:dyDescent="0.15">
      <c r="A59" s="272" t="s">
        <v>206</v>
      </c>
      <c r="B59" s="34" t="s">
        <v>255</v>
      </c>
      <c r="C59" s="34"/>
      <c r="D59" s="34"/>
      <c r="E59" s="34"/>
      <c r="F59" s="34"/>
      <c r="G59" s="34"/>
      <c r="H59" s="34"/>
      <c r="I59" s="34"/>
      <c r="J59" s="34"/>
      <c r="K59" s="34"/>
      <c r="L59" s="34"/>
      <c r="M59" s="34"/>
      <c r="N59" s="34"/>
      <c r="O59" s="34"/>
      <c r="P59" s="33"/>
      <c r="Q59" s="33"/>
      <c r="R59" s="35"/>
      <c r="S59" s="34"/>
    </row>
    <row r="60" spans="1:19" s="273" customFormat="1" ht="18.75" customHeight="1" x14ac:dyDescent="0.15">
      <c r="A60" s="73" t="s">
        <v>210</v>
      </c>
      <c r="B60" s="532" t="s">
        <v>1361</v>
      </c>
      <c r="C60" s="532"/>
      <c r="D60" s="532"/>
      <c r="E60" s="532"/>
      <c r="F60" s="532"/>
      <c r="G60" s="532"/>
      <c r="H60" s="532"/>
      <c r="I60" s="532"/>
      <c r="J60" s="532"/>
      <c r="K60" s="532"/>
      <c r="L60" s="532"/>
      <c r="M60" s="532"/>
      <c r="N60" s="532"/>
      <c r="O60" s="532"/>
      <c r="P60" s="532"/>
      <c r="Q60" s="532"/>
      <c r="R60" s="532"/>
      <c r="S60" s="34"/>
    </row>
    <row r="61" spans="1:19" s="273" customFormat="1" ht="18.75" customHeight="1" x14ac:dyDescent="0.15">
      <c r="A61" s="73" t="s">
        <v>226</v>
      </c>
      <c r="B61" s="532" t="s">
        <v>1362</v>
      </c>
      <c r="C61" s="532"/>
      <c r="D61" s="532"/>
      <c r="E61" s="532"/>
      <c r="F61" s="532"/>
      <c r="G61" s="532"/>
      <c r="H61" s="532"/>
      <c r="I61" s="532"/>
      <c r="J61" s="532"/>
      <c r="K61" s="532"/>
      <c r="L61" s="532"/>
      <c r="M61" s="532"/>
      <c r="N61" s="532"/>
      <c r="O61" s="532"/>
      <c r="P61" s="532"/>
      <c r="Q61" s="532"/>
      <c r="R61" s="532"/>
      <c r="S61" s="34"/>
    </row>
    <row r="62" spans="1:19" s="34" customFormat="1" ht="9" x14ac:dyDescent="0.15">
      <c r="A62" s="34" t="s">
        <v>229</v>
      </c>
      <c r="B62" s="69" t="s">
        <v>258</v>
      </c>
      <c r="C62" s="345"/>
      <c r="D62" s="345"/>
      <c r="E62" s="345"/>
      <c r="F62" s="345"/>
      <c r="G62" s="345"/>
      <c r="H62" s="345"/>
      <c r="I62" s="345"/>
      <c r="J62" s="345"/>
      <c r="K62" s="345"/>
      <c r="L62" s="345"/>
      <c r="M62" s="345"/>
      <c r="N62" s="345"/>
      <c r="O62" s="345"/>
      <c r="P62" s="345"/>
      <c r="Q62" s="345"/>
      <c r="R62" s="345"/>
    </row>
    <row r="63" spans="1:19" s="34" customFormat="1" ht="29.25" customHeight="1" x14ac:dyDescent="0.15">
      <c r="A63" s="353" t="s">
        <v>212</v>
      </c>
      <c r="B63" s="532" t="s">
        <v>259</v>
      </c>
      <c r="C63" s="532"/>
      <c r="D63" s="532"/>
      <c r="E63" s="532"/>
      <c r="F63" s="532"/>
      <c r="G63" s="532"/>
      <c r="H63" s="532"/>
      <c r="I63" s="532"/>
      <c r="J63" s="532"/>
      <c r="K63" s="532"/>
      <c r="L63" s="532"/>
      <c r="M63" s="532"/>
      <c r="N63" s="532"/>
      <c r="O63" s="532"/>
      <c r="P63" s="532"/>
      <c r="Q63" s="532"/>
      <c r="R63" s="532"/>
    </row>
    <row r="64" spans="1:19" s="34" customFormat="1" ht="9" x14ac:dyDescent="0.15">
      <c r="A64" s="34" t="s">
        <v>216</v>
      </c>
      <c r="B64" s="34" t="s">
        <v>260</v>
      </c>
      <c r="C64" s="75"/>
      <c r="D64" s="75"/>
      <c r="E64" s="75"/>
      <c r="F64" s="75"/>
      <c r="G64" s="75"/>
      <c r="H64" s="75"/>
      <c r="I64" s="75"/>
      <c r="J64" s="75"/>
      <c r="K64" s="75"/>
      <c r="L64" s="75"/>
      <c r="M64" s="75"/>
      <c r="N64" s="75"/>
      <c r="O64" s="75"/>
      <c r="P64" s="75"/>
      <c r="Q64" s="75"/>
      <c r="R64" s="75"/>
    </row>
    <row r="65" spans="2:18" s="34" customFormat="1" ht="9" x14ac:dyDescent="0.15">
      <c r="B65" s="532"/>
      <c r="C65" s="532"/>
      <c r="D65" s="532"/>
      <c r="E65" s="532"/>
      <c r="F65" s="532"/>
      <c r="G65" s="532"/>
      <c r="H65" s="532"/>
      <c r="I65" s="532"/>
      <c r="J65" s="532"/>
      <c r="K65" s="532"/>
      <c r="L65" s="532"/>
      <c r="M65" s="532"/>
      <c r="N65" s="532"/>
      <c r="O65" s="532"/>
      <c r="P65" s="532"/>
      <c r="Q65" s="532"/>
      <c r="R65" s="532"/>
    </row>
    <row r="66" spans="2:18" s="34" customFormat="1" ht="9" x14ac:dyDescent="0.15">
      <c r="C66" s="35"/>
      <c r="D66" s="35"/>
      <c r="E66" s="35"/>
      <c r="F66" s="35"/>
      <c r="G66" s="35"/>
      <c r="H66" s="35"/>
      <c r="I66" s="36"/>
      <c r="J66" s="35"/>
      <c r="K66" s="35"/>
      <c r="L66" s="35"/>
      <c r="M66" s="35"/>
      <c r="N66" s="35"/>
      <c r="O66" s="33"/>
      <c r="P66" s="33"/>
      <c r="Q66" s="33"/>
      <c r="R66" s="35"/>
    </row>
    <row r="67" spans="2:18" s="34" customFormat="1" ht="9" x14ac:dyDescent="0.15">
      <c r="C67" s="35"/>
      <c r="D67" s="35"/>
      <c r="E67" s="35"/>
      <c r="F67" s="35"/>
      <c r="G67" s="35"/>
      <c r="H67" s="35"/>
      <c r="I67" s="36"/>
      <c r="J67" s="35"/>
      <c r="K67" s="35"/>
      <c r="L67" s="35"/>
      <c r="M67" s="35"/>
      <c r="N67" s="35"/>
      <c r="O67" s="33"/>
      <c r="P67" s="33"/>
      <c r="Q67" s="33"/>
      <c r="R67" s="35"/>
    </row>
    <row r="68" spans="2:18" s="34" customFormat="1" ht="9" x14ac:dyDescent="0.15">
      <c r="C68" s="35"/>
      <c r="D68" s="35"/>
      <c r="E68" s="35"/>
      <c r="F68" s="35"/>
      <c r="G68" s="35"/>
      <c r="H68" s="35"/>
      <c r="I68" s="36"/>
      <c r="J68" s="35"/>
      <c r="K68" s="35"/>
      <c r="L68" s="35"/>
      <c r="M68" s="35"/>
      <c r="N68" s="35"/>
      <c r="O68" s="33"/>
      <c r="P68" s="33"/>
      <c r="Q68" s="33"/>
      <c r="R68" s="35"/>
    </row>
    <row r="69" spans="2:18" s="34" customFormat="1" ht="9" x14ac:dyDescent="0.15">
      <c r="C69" s="35"/>
      <c r="D69" s="35"/>
      <c r="E69" s="35"/>
      <c r="F69" s="35"/>
      <c r="G69" s="35"/>
      <c r="H69" s="35"/>
      <c r="I69" s="36"/>
      <c r="J69" s="35"/>
      <c r="K69" s="35"/>
      <c r="L69" s="35"/>
      <c r="M69" s="35"/>
      <c r="N69" s="35"/>
      <c r="O69" s="33"/>
      <c r="P69" s="33"/>
      <c r="Q69" s="33"/>
      <c r="R69" s="35"/>
    </row>
    <row r="70" spans="2:18" s="34" customFormat="1" ht="9" x14ac:dyDescent="0.15">
      <c r="C70" s="35"/>
      <c r="D70" s="35"/>
      <c r="E70" s="35"/>
      <c r="F70" s="35"/>
      <c r="G70" s="35"/>
      <c r="H70" s="35"/>
      <c r="I70" s="36"/>
      <c r="J70" s="35"/>
      <c r="K70" s="35"/>
      <c r="L70" s="35"/>
      <c r="M70" s="35"/>
      <c r="N70" s="35"/>
      <c r="O70" s="33"/>
      <c r="P70" s="33"/>
      <c r="Q70" s="33"/>
      <c r="R70" s="35"/>
    </row>
    <row r="71" spans="2:18" s="34" customFormat="1" ht="9" x14ac:dyDescent="0.15">
      <c r="C71" s="35"/>
      <c r="D71" s="35"/>
      <c r="E71" s="35"/>
      <c r="F71" s="35"/>
      <c r="G71" s="35"/>
      <c r="H71" s="35"/>
      <c r="I71" s="36"/>
      <c r="J71" s="35"/>
      <c r="K71" s="35"/>
      <c r="L71" s="35"/>
      <c r="M71" s="35"/>
      <c r="N71" s="35"/>
      <c r="O71" s="33"/>
      <c r="P71" s="33"/>
      <c r="Q71" s="33"/>
      <c r="R71" s="35"/>
    </row>
    <row r="72" spans="2:18" s="34" customFormat="1" ht="9" x14ac:dyDescent="0.15">
      <c r="C72" s="35"/>
      <c r="D72" s="35"/>
      <c r="E72" s="35"/>
      <c r="F72" s="35"/>
      <c r="G72" s="35"/>
      <c r="H72" s="35"/>
      <c r="I72" s="36"/>
      <c r="J72" s="35"/>
      <c r="K72" s="35"/>
      <c r="L72" s="35"/>
      <c r="M72" s="35"/>
      <c r="N72" s="35"/>
      <c r="O72" s="33"/>
      <c r="P72" s="33"/>
      <c r="Q72" s="33"/>
      <c r="R72" s="35"/>
    </row>
    <row r="73" spans="2:18" s="34" customFormat="1" ht="9" x14ac:dyDescent="0.15">
      <c r="C73" s="35"/>
      <c r="D73" s="35"/>
      <c r="E73" s="35"/>
      <c r="F73" s="35"/>
      <c r="G73" s="35"/>
      <c r="H73" s="35"/>
      <c r="I73" s="36"/>
      <c r="J73" s="35"/>
      <c r="K73" s="35"/>
      <c r="L73" s="35"/>
      <c r="M73" s="35"/>
      <c r="N73" s="35"/>
      <c r="O73" s="33"/>
      <c r="P73" s="33"/>
      <c r="Q73" s="33"/>
      <c r="R73" s="35"/>
    </row>
    <row r="74" spans="2:18" s="34" customFormat="1" ht="9" x14ac:dyDescent="0.15">
      <c r="C74" s="35"/>
      <c r="D74" s="35"/>
      <c r="E74" s="35"/>
      <c r="F74" s="35"/>
      <c r="G74" s="35"/>
      <c r="H74" s="35"/>
      <c r="I74" s="36"/>
      <c r="J74" s="35"/>
      <c r="K74" s="35"/>
      <c r="L74" s="35"/>
      <c r="M74" s="35"/>
      <c r="N74" s="35"/>
      <c r="O74" s="33"/>
      <c r="P74" s="33"/>
      <c r="Q74" s="33"/>
      <c r="R74" s="35"/>
    </row>
    <row r="75" spans="2:18" s="34" customFormat="1" ht="9" x14ac:dyDescent="0.15">
      <c r="C75" s="35"/>
      <c r="D75" s="35"/>
      <c r="E75" s="35"/>
      <c r="F75" s="35"/>
      <c r="G75" s="35"/>
      <c r="H75" s="35"/>
      <c r="I75" s="36"/>
      <c r="J75" s="35"/>
      <c r="K75" s="35"/>
      <c r="L75" s="35"/>
      <c r="M75" s="35"/>
      <c r="N75" s="35"/>
      <c r="O75" s="33"/>
      <c r="P75" s="33"/>
      <c r="Q75" s="33"/>
      <c r="R75" s="35"/>
    </row>
    <row r="76" spans="2:18" s="34" customFormat="1" ht="9" x14ac:dyDescent="0.15">
      <c r="C76" s="35"/>
      <c r="D76" s="35"/>
      <c r="E76" s="35"/>
      <c r="F76" s="35"/>
      <c r="G76" s="35"/>
      <c r="H76" s="35"/>
      <c r="I76" s="36"/>
      <c r="J76" s="35"/>
      <c r="K76" s="35"/>
      <c r="L76" s="35"/>
      <c r="M76" s="35"/>
      <c r="N76" s="35"/>
      <c r="O76" s="33"/>
      <c r="P76" s="33"/>
      <c r="Q76" s="33"/>
      <c r="R76" s="35"/>
    </row>
    <row r="77" spans="2:18" s="34" customFormat="1" ht="9" x14ac:dyDescent="0.15">
      <c r="C77" s="35"/>
      <c r="D77" s="35"/>
      <c r="E77" s="35"/>
      <c r="F77" s="35"/>
      <c r="G77" s="35"/>
      <c r="H77" s="35"/>
      <c r="I77" s="36"/>
      <c r="J77" s="35"/>
      <c r="K77" s="35"/>
      <c r="L77" s="35"/>
      <c r="M77" s="35"/>
      <c r="N77" s="35"/>
      <c r="O77" s="33"/>
      <c r="P77" s="33"/>
      <c r="Q77" s="33"/>
      <c r="R77" s="35"/>
    </row>
    <row r="78" spans="2:18" s="34" customFormat="1" ht="9" x14ac:dyDescent="0.15">
      <c r="C78" s="35"/>
      <c r="D78" s="35"/>
      <c r="E78" s="35"/>
      <c r="F78" s="35"/>
      <c r="G78" s="35"/>
      <c r="H78" s="35"/>
      <c r="I78" s="36"/>
      <c r="J78" s="35"/>
      <c r="K78" s="35"/>
      <c r="L78" s="35"/>
      <c r="M78" s="35"/>
      <c r="N78" s="35"/>
      <c r="O78" s="33"/>
      <c r="P78" s="33"/>
      <c r="Q78" s="33"/>
      <c r="R78" s="35"/>
    </row>
    <row r="79" spans="2:18" s="34" customFormat="1" ht="9" x14ac:dyDescent="0.15">
      <c r="C79" s="35"/>
      <c r="D79" s="35"/>
      <c r="E79" s="35"/>
      <c r="F79" s="35"/>
      <c r="G79" s="35"/>
      <c r="H79" s="35"/>
      <c r="I79" s="36"/>
      <c r="J79" s="35"/>
      <c r="K79" s="35"/>
      <c r="L79" s="35"/>
      <c r="M79" s="35"/>
      <c r="N79" s="35"/>
      <c r="O79" s="33"/>
      <c r="P79" s="33"/>
      <c r="Q79" s="33"/>
      <c r="R79" s="35"/>
    </row>
    <row r="80" spans="2:18" s="34" customFormat="1" ht="9" x14ac:dyDescent="0.15">
      <c r="C80" s="35"/>
      <c r="D80" s="35"/>
      <c r="E80" s="35"/>
      <c r="F80" s="35"/>
      <c r="G80" s="35"/>
      <c r="H80" s="35"/>
      <c r="I80" s="36"/>
      <c r="J80" s="35"/>
      <c r="K80" s="35"/>
      <c r="L80" s="35"/>
      <c r="M80" s="35"/>
      <c r="N80" s="35"/>
      <c r="O80" s="33"/>
      <c r="P80" s="33"/>
      <c r="Q80" s="33"/>
      <c r="R80" s="35"/>
    </row>
    <row r="81" spans="3:18" s="34" customFormat="1" ht="9" x14ac:dyDescent="0.15">
      <c r="C81" s="35"/>
      <c r="D81" s="35"/>
      <c r="E81" s="35"/>
      <c r="F81" s="35"/>
      <c r="G81" s="35"/>
      <c r="H81" s="35"/>
      <c r="I81" s="36"/>
      <c r="J81" s="35"/>
      <c r="K81" s="35"/>
      <c r="L81" s="35"/>
      <c r="M81" s="35"/>
      <c r="N81" s="35"/>
      <c r="O81" s="33"/>
      <c r="P81" s="33"/>
      <c r="Q81" s="33"/>
      <c r="R81" s="35"/>
    </row>
    <row r="82" spans="3:18" s="34" customFormat="1" x14ac:dyDescent="0.2">
      <c r="C82" s="35"/>
      <c r="D82" s="35"/>
      <c r="E82" s="35"/>
      <c r="F82" s="35"/>
      <c r="G82" s="35"/>
      <c r="H82" s="35"/>
      <c r="I82" s="36"/>
      <c r="J82" s="35"/>
      <c r="K82" s="35"/>
      <c r="L82" s="35"/>
      <c r="M82" s="35"/>
      <c r="N82" s="35"/>
      <c r="O82" s="33"/>
      <c r="P82" s="33"/>
      <c r="Q82" s="33"/>
      <c r="R82" s="30"/>
    </row>
    <row r="83" spans="3:18" s="34" customFormat="1" x14ac:dyDescent="0.2">
      <c r="C83" s="35"/>
      <c r="D83" s="35"/>
      <c r="E83" s="35"/>
      <c r="F83" s="35"/>
      <c r="G83" s="30"/>
      <c r="H83" s="35"/>
      <c r="I83" s="36"/>
      <c r="J83" s="30"/>
      <c r="K83" s="35"/>
      <c r="L83" s="35"/>
      <c r="M83" s="35"/>
      <c r="N83" s="35"/>
      <c r="O83" s="33"/>
      <c r="P83" s="33"/>
      <c r="Q83" s="33"/>
      <c r="R83" s="30"/>
    </row>
    <row r="84" spans="3:18" x14ac:dyDescent="0.2">
      <c r="P84" s="33"/>
      <c r="Q84" s="33"/>
    </row>
    <row r="85" spans="3:18" x14ac:dyDescent="0.2">
      <c r="P85" s="33"/>
      <c r="Q85" s="33"/>
    </row>
  </sheetData>
  <mergeCells count="22">
    <mergeCell ref="B65:R65"/>
    <mergeCell ref="C33:D33"/>
    <mergeCell ref="C34:D34"/>
    <mergeCell ref="C35:D35"/>
    <mergeCell ref="C40:D40"/>
    <mergeCell ref="C41:D41"/>
    <mergeCell ref="B47:R47"/>
    <mergeCell ref="B53:R53"/>
    <mergeCell ref="B52:S52"/>
    <mergeCell ref="B50:S50"/>
    <mergeCell ref="B61:R61"/>
    <mergeCell ref="B60:R60"/>
    <mergeCell ref="B63:R63"/>
    <mergeCell ref="C32:D32"/>
    <mergeCell ref="B1:R1"/>
    <mergeCell ref="B2:R2"/>
    <mergeCell ref="C4:D4"/>
    <mergeCell ref="C5:D5"/>
    <mergeCell ref="C12:D12"/>
    <mergeCell ref="C13:D13"/>
    <mergeCell ref="C23:D23"/>
    <mergeCell ref="C24:D24"/>
  </mergeCells>
  <pageMargins left="0.25" right="0.25" top="0.5" bottom="0.5" header="0.5" footer="0.5"/>
  <pageSetup scale="5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T82"/>
  <sheetViews>
    <sheetView zoomScale="115" zoomScaleNormal="115" zoomScaleSheetLayoutView="100" workbookViewId="0">
      <selection activeCell="I5" sqref="I5"/>
    </sheetView>
  </sheetViews>
  <sheetFormatPr defaultColWidth="9.140625" defaultRowHeight="11.25" x14ac:dyDescent="0.2"/>
  <cols>
    <col min="1" max="1" width="2" style="29" customWidth="1"/>
    <col min="2" max="2" width="36.7109375" style="29" customWidth="1"/>
    <col min="3" max="3" width="8.85546875" style="30" bestFit="1" customWidth="1"/>
    <col min="4" max="5" width="7.85546875" style="30" customWidth="1"/>
    <col min="6" max="6" width="18" style="30" customWidth="1"/>
    <col min="7" max="7" width="9.28515625" style="30" customWidth="1"/>
    <col min="8" max="8" width="8.28515625" style="30" customWidth="1"/>
    <col min="9" max="9" width="9.42578125" style="32" bestFit="1" customWidth="1"/>
    <col min="10" max="10" width="7.42578125" style="30" customWidth="1"/>
    <col min="11" max="12" width="6.85546875" style="30" bestFit="1" customWidth="1"/>
    <col min="13" max="13" width="8" style="30" customWidth="1"/>
    <col min="14" max="14" width="8.42578125" style="30" customWidth="1"/>
    <col min="15" max="15" width="10.140625" style="31" bestFit="1" customWidth="1"/>
    <col min="16" max="16" width="10" style="31" bestFit="1" customWidth="1"/>
    <col min="17" max="17" width="10" style="31" customWidth="1"/>
    <col min="18" max="18" width="4.42578125" style="30" bestFit="1" customWidth="1"/>
    <col min="19" max="19" width="0.140625" style="29" customWidth="1"/>
    <col min="20" max="20" width="3.7109375" style="29" customWidth="1"/>
    <col min="21" max="16384" width="9.140625" style="29"/>
  </cols>
  <sheetData>
    <row r="1" spans="2:20" x14ac:dyDescent="0.2">
      <c r="B1" s="537" t="s">
        <v>1384</v>
      </c>
      <c r="C1" s="537"/>
      <c r="D1" s="537"/>
      <c r="E1" s="537"/>
      <c r="F1" s="537"/>
      <c r="G1" s="537"/>
      <c r="H1" s="537"/>
      <c r="I1" s="537"/>
      <c r="J1" s="537"/>
      <c r="K1" s="537"/>
      <c r="L1" s="537"/>
      <c r="M1" s="537"/>
      <c r="N1" s="537"/>
      <c r="O1" s="537"/>
      <c r="P1" s="537"/>
      <c r="Q1" s="537"/>
      <c r="R1" s="537"/>
    </row>
    <row r="2" spans="2:20" x14ac:dyDescent="0.2">
      <c r="B2" s="538" t="s">
        <v>1385</v>
      </c>
      <c r="C2" s="538"/>
      <c r="D2" s="538"/>
      <c r="E2" s="538"/>
      <c r="F2" s="538"/>
      <c r="G2" s="538"/>
      <c r="H2" s="538"/>
      <c r="I2" s="538"/>
      <c r="J2" s="538"/>
      <c r="K2" s="538"/>
      <c r="L2" s="538"/>
      <c r="M2" s="538"/>
      <c r="N2" s="538"/>
      <c r="O2" s="538"/>
      <c r="P2" s="538"/>
      <c r="Q2" s="538"/>
      <c r="R2" s="538"/>
    </row>
    <row r="3" spans="2:20" s="66" customFormat="1" ht="66.75" customHeight="1" x14ac:dyDescent="0.15">
      <c r="B3" s="68" t="s">
        <v>156</v>
      </c>
      <c r="C3" s="68" t="s">
        <v>157</v>
      </c>
      <c r="D3" s="68" t="s">
        <v>158</v>
      </c>
      <c r="E3" s="68" t="s">
        <v>159</v>
      </c>
      <c r="F3" s="68" t="s">
        <v>160</v>
      </c>
      <c r="G3" s="68" t="s">
        <v>161</v>
      </c>
      <c r="H3" s="68" t="s">
        <v>162</v>
      </c>
      <c r="I3" s="76" t="s">
        <v>163</v>
      </c>
      <c r="J3" s="77" t="s">
        <v>164</v>
      </c>
      <c r="K3" s="77" t="s">
        <v>165</v>
      </c>
      <c r="L3" s="77" t="s">
        <v>166</v>
      </c>
      <c r="M3" s="77" t="s">
        <v>167</v>
      </c>
      <c r="N3" s="68" t="s">
        <v>168</v>
      </c>
      <c r="O3" s="77" t="s">
        <v>169</v>
      </c>
      <c r="P3" s="77" t="s">
        <v>170</v>
      </c>
      <c r="Q3" s="77" t="s">
        <v>171</v>
      </c>
      <c r="R3" s="67" t="s">
        <v>172</v>
      </c>
      <c r="S3" s="66" t="s">
        <v>173</v>
      </c>
    </row>
    <row r="4" spans="2:20" s="45" customFormat="1" ht="68.25" customHeight="1" x14ac:dyDescent="0.15">
      <c r="B4" s="65" t="s">
        <v>174</v>
      </c>
      <c r="C4" s="539" t="s">
        <v>175</v>
      </c>
      <c r="D4" s="540"/>
      <c r="E4" s="344"/>
      <c r="F4" s="63"/>
      <c r="G4" s="63"/>
      <c r="H4" s="63"/>
      <c r="I4" s="64"/>
      <c r="J4" s="64"/>
      <c r="K4" s="64"/>
      <c r="L4" s="64"/>
      <c r="M4" s="64"/>
      <c r="N4" s="62"/>
      <c r="O4" s="62"/>
      <c r="P4" s="62"/>
      <c r="Q4" s="84"/>
      <c r="R4" s="61"/>
    </row>
    <row r="5" spans="2:20" s="45" customFormat="1" ht="9" x14ac:dyDescent="0.15">
      <c r="B5" s="56" t="s">
        <v>176</v>
      </c>
      <c r="C5" s="535" t="s">
        <v>175</v>
      </c>
      <c r="D5" s="536"/>
      <c r="E5" s="343"/>
      <c r="F5" s="53"/>
      <c r="G5" s="53"/>
      <c r="H5" s="53"/>
      <c r="I5" s="54"/>
      <c r="J5" s="54"/>
      <c r="K5" s="54"/>
      <c r="L5" s="54"/>
      <c r="M5" s="54"/>
      <c r="N5" s="46"/>
      <c r="O5" s="46"/>
      <c r="P5" s="46"/>
      <c r="Q5" s="85"/>
      <c r="R5" s="52"/>
    </row>
    <row r="6" spans="2:20" s="45" customFormat="1" ht="9" x14ac:dyDescent="0.15">
      <c r="B6" s="56" t="s">
        <v>177</v>
      </c>
      <c r="C6" s="53"/>
      <c r="D6" s="46"/>
      <c r="E6" s="46"/>
      <c r="F6" s="53"/>
      <c r="G6" s="53"/>
      <c r="H6" s="53"/>
      <c r="I6" s="54"/>
      <c r="J6" s="54"/>
      <c r="K6" s="54"/>
      <c r="L6" s="54"/>
      <c r="M6" s="54"/>
      <c r="N6" s="46"/>
      <c r="O6" s="46"/>
      <c r="P6" s="46"/>
      <c r="Q6" s="85"/>
      <c r="R6" s="52"/>
    </row>
    <row r="7" spans="2:20" s="45" customFormat="1" ht="9" x14ac:dyDescent="0.15">
      <c r="B7" s="82" t="s">
        <v>178</v>
      </c>
      <c r="C7" s="53">
        <v>40</v>
      </c>
      <c r="D7" s="46">
        <v>0</v>
      </c>
      <c r="E7" s="46"/>
      <c r="F7" s="53">
        <v>1</v>
      </c>
      <c r="G7" s="53">
        <v>0</v>
      </c>
      <c r="H7" s="53">
        <f>C7*F7</f>
        <v>40</v>
      </c>
      <c r="I7" s="55">
        <f>'Annual # of Respondents'!H3</f>
        <v>7</v>
      </c>
      <c r="J7" s="54">
        <v>0</v>
      </c>
      <c r="K7" s="54">
        <f>H7*I7</f>
        <v>280</v>
      </c>
      <c r="L7" s="54">
        <f>K7*0.1</f>
        <v>28</v>
      </c>
      <c r="M7" s="55">
        <f>K7*0.05</f>
        <v>14</v>
      </c>
      <c r="N7" s="46">
        <f>(J7*'Labor Data'!$K$10)+(K7*'Labor Data'!$K$9)+(L7*'Labor Data'!$K$11)+(M7*'Labor Data'!$K$8)</f>
        <v>26587.890000000003</v>
      </c>
      <c r="O7" s="46">
        <f>D7*F7*I7</f>
        <v>0</v>
      </c>
      <c r="P7" s="54">
        <v>0</v>
      </c>
      <c r="Q7" s="86"/>
      <c r="R7" s="52" t="s">
        <v>179</v>
      </c>
    </row>
    <row r="8" spans="2:20" s="45" customFormat="1" ht="9" x14ac:dyDescent="0.15">
      <c r="B8" s="56" t="s">
        <v>180</v>
      </c>
      <c r="C8" s="53"/>
      <c r="D8" s="46"/>
      <c r="E8" s="46"/>
      <c r="F8" s="53"/>
      <c r="G8" s="53"/>
      <c r="H8" s="53"/>
      <c r="I8" s="54"/>
      <c r="J8" s="54"/>
      <c r="K8" s="54"/>
      <c r="L8" s="54"/>
      <c r="M8" s="54"/>
      <c r="N8" s="46"/>
      <c r="O8" s="46"/>
      <c r="P8" s="46"/>
      <c r="Q8" s="85"/>
      <c r="R8" s="52"/>
      <c r="T8" s="60"/>
    </row>
    <row r="9" spans="2:20" s="45" customFormat="1" ht="9" x14ac:dyDescent="0.15">
      <c r="B9" s="82" t="s">
        <v>182</v>
      </c>
      <c r="C9" s="53">
        <v>12</v>
      </c>
      <c r="D9" s="46">
        <f>'Other Cost Basis'!D2+'Other Cost Basis'!D17+'Other Cost Basis'!D18+'Other Cost Basis'!D19</f>
        <v>1983.6594844730848</v>
      </c>
      <c r="E9" s="46">
        <f>'Other Cost Basis'!D20</f>
        <v>1000</v>
      </c>
      <c r="F9" s="53">
        <v>1</v>
      </c>
      <c r="G9" s="53">
        <v>0</v>
      </c>
      <c r="H9" s="53">
        <f>C9*F9</f>
        <v>12</v>
      </c>
      <c r="I9" s="55">
        <f>'Annual # of Respondents'!H13</f>
        <v>4</v>
      </c>
      <c r="J9" s="54">
        <v>0</v>
      </c>
      <c r="K9" s="54">
        <f>H9*I9</f>
        <v>48</v>
      </c>
      <c r="L9" s="54">
        <f>K9*0.1</f>
        <v>4.8000000000000007</v>
      </c>
      <c r="M9" s="54">
        <f>K9*0.05</f>
        <v>2.4000000000000004</v>
      </c>
      <c r="N9" s="46">
        <f>(J9*'Labor Data'!$K$10)+(K9*'Labor Data'!$K$9)+(L9*'Labor Data'!$K$11)+(M9*'Labor Data'!$K$8)</f>
        <v>4557.9240000000009</v>
      </c>
      <c r="O9" s="290">
        <f>'1.B-Priv'!O9+(D9+E9)*F9*I9</f>
        <v>173052.25009943891</v>
      </c>
      <c r="P9" s="54">
        <f>F9*I9</f>
        <v>4</v>
      </c>
      <c r="Q9" s="86">
        <f>'Other Cost Basis'!B2+'Other Cost Basis'!B17+'Other Cost Basis'!B18+'Other Cost Basis'!B19</f>
        <v>18067</v>
      </c>
      <c r="R9" s="52" t="s">
        <v>183</v>
      </c>
      <c r="T9" s="60"/>
    </row>
    <row r="10" spans="2:20" s="45" customFormat="1" ht="9" x14ac:dyDescent="0.15">
      <c r="B10" s="82" t="s">
        <v>184</v>
      </c>
      <c r="C10" s="72">
        <f>ROUND('Controllers NSPS acreage'!V3,0)</f>
        <v>44</v>
      </c>
      <c r="D10" s="46">
        <f>'Other Cost Basis'!B9+'Other Cost Basis'!F13+'Other Cost Basis'!F14</f>
        <v>703.5</v>
      </c>
      <c r="E10" s="46"/>
      <c r="F10" s="53">
        <v>4</v>
      </c>
      <c r="G10" s="72">
        <f>C10*F10</f>
        <v>176</v>
      </c>
      <c r="H10" s="53">
        <v>0</v>
      </c>
      <c r="I10" s="55">
        <f>'Annual # of Respondents'!H7</f>
        <v>58</v>
      </c>
      <c r="J10" s="54">
        <f>G10*I10</f>
        <v>10208</v>
      </c>
      <c r="K10" s="54">
        <v>0</v>
      </c>
      <c r="L10" s="54">
        <v>0</v>
      </c>
      <c r="M10" s="54">
        <v>0</v>
      </c>
      <c r="N10" s="46">
        <f>(J10*'Labor Data'!$K$10)+(K10*'Labor Data'!$K$9)+(L10*'Labor Data'!$K$11)+(M10*'Labor Data'!$K$8)</f>
        <v>508909.63199999998</v>
      </c>
      <c r="O10" s="46">
        <f>D10*F10*I10</f>
        <v>163212</v>
      </c>
      <c r="P10" s="54">
        <v>0</v>
      </c>
      <c r="Q10" s="86"/>
      <c r="R10" s="52" t="s">
        <v>185</v>
      </c>
      <c r="T10" s="60"/>
    </row>
    <row r="11" spans="2:20" s="45" customFormat="1" ht="9" x14ac:dyDescent="0.15">
      <c r="B11" s="82" t="s">
        <v>186</v>
      </c>
      <c r="C11" s="295">
        <f>ROUND(2000/49.85,0)</f>
        <v>40</v>
      </c>
      <c r="D11" s="296">
        <f>'Other Cost Basis'!F15</f>
        <v>17</v>
      </c>
      <c r="E11" s="296"/>
      <c r="F11" s="53">
        <v>12</v>
      </c>
      <c r="G11" s="72">
        <f>C11*F11</f>
        <v>480</v>
      </c>
      <c r="H11" s="53">
        <v>0</v>
      </c>
      <c r="I11" s="55">
        <f>I10</f>
        <v>58</v>
      </c>
      <c r="J11" s="54">
        <f>G11*I11</f>
        <v>27840</v>
      </c>
      <c r="K11" s="54">
        <v>0</v>
      </c>
      <c r="L11" s="54">
        <v>0</v>
      </c>
      <c r="M11" s="54">
        <v>0</v>
      </c>
      <c r="N11" s="46">
        <f>(J11*'Labor Data'!$K$10)+(K11*'Labor Data'!$K$9)+(L11*'Labor Data'!$K$11)+(M11*'Labor Data'!$K$8)</f>
        <v>1387935.3599999999</v>
      </c>
      <c r="O11" s="46">
        <f>D11*F11*I11</f>
        <v>11832</v>
      </c>
      <c r="P11" s="54">
        <v>1</v>
      </c>
      <c r="Q11" s="86"/>
      <c r="R11" s="52" t="s">
        <v>185</v>
      </c>
      <c r="T11" s="60"/>
    </row>
    <row r="12" spans="2:20" s="45" customFormat="1" ht="9" x14ac:dyDescent="0.15">
      <c r="B12" s="56" t="s">
        <v>187</v>
      </c>
      <c r="C12" s="535" t="s">
        <v>188</v>
      </c>
      <c r="D12" s="536"/>
      <c r="E12" s="343"/>
      <c r="F12" s="53"/>
      <c r="G12" s="53"/>
      <c r="H12" s="53"/>
      <c r="I12" s="54"/>
      <c r="J12" s="54"/>
      <c r="K12" s="54"/>
      <c r="L12" s="54"/>
      <c r="M12" s="54"/>
      <c r="N12" s="46"/>
      <c r="O12" s="46"/>
      <c r="P12" s="46"/>
      <c r="Q12" s="85"/>
      <c r="R12" s="52"/>
      <c r="T12" s="60"/>
    </row>
    <row r="13" spans="2:20" s="45" customFormat="1" ht="9" x14ac:dyDescent="0.15">
      <c r="B13" s="56" t="s">
        <v>189</v>
      </c>
      <c r="C13" s="535" t="s">
        <v>188</v>
      </c>
      <c r="D13" s="536"/>
      <c r="E13" s="343"/>
      <c r="F13" s="53"/>
      <c r="G13" s="53"/>
      <c r="H13" s="53"/>
      <c r="I13" s="54"/>
      <c r="J13" s="54"/>
      <c r="K13" s="54"/>
      <c r="L13" s="54"/>
      <c r="M13" s="54"/>
      <c r="N13" s="46"/>
      <c r="O13" s="46"/>
      <c r="P13" s="46"/>
      <c r="Q13" s="85"/>
      <c r="R13" s="52"/>
    </row>
    <row r="14" spans="2:20" s="45" customFormat="1" ht="9" x14ac:dyDescent="0.15">
      <c r="B14" s="56" t="s">
        <v>190</v>
      </c>
      <c r="C14" s="53"/>
      <c r="D14" s="46"/>
      <c r="E14" s="46"/>
      <c r="F14" s="53"/>
      <c r="G14" s="53"/>
      <c r="H14" s="53"/>
      <c r="I14" s="54"/>
      <c r="J14" s="54"/>
      <c r="K14" s="54"/>
      <c r="L14" s="54"/>
      <c r="M14" s="54"/>
      <c r="N14" s="46"/>
      <c r="O14" s="46"/>
      <c r="P14" s="46"/>
      <c r="Q14" s="85"/>
      <c r="R14" s="52"/>
    </row>
    <row r="15" spans="2:20" s="45" customFormat="1" ht="9" x14ac:dyDescent="0.15">
      <c r="B15" s="81" t="s">
        <v>191</v>
      </c>
      <c r="C15" s="53">
        <v>2</v>
      </c>
      <c r="D15" s="46">
        <v>0</v>
      </c>
      <c r="E15" s="46"/>
      <c r="F15" s="53">
        <v>1</v>
      </c>
      <c r="G15" s="53">
        <v>0</v>
      </c>
      <c r="H15" s="53">
        <f t="shared" ref="H15:H22" si="0">C15*F15</f>
        <v>2</v>
      </c>
      <c r="I15" s="55">
        <f>'Annual # of Respondents'!H4</f>
        <v>0</v>
      </c>
      <c r="J15" s="54">
        <v>0</v>
      </c>
      <c r="K15" s="54">
        <f t="shared" ref="K15:K22" si="1">H15*I15</f>
        <v>0</v>
      </c>
      <c r="L15" s="54">
        <f t="shared" ref="L15:L22" si="2">K15*0.1</f>
        <v>0</v>
      </c>
      <c r="M15" s="54">
        <f t="shared" ref="M15:M22" si="3">K15*0.05</f>
        <v>0</v>
      </c>
      <c r="N15" s="46">
        <f>(J15*'Labor Data'!$K$10)+(K15*'Labor Data'!$K$9)+(L15*'Labor Data'!$K$11)+(M15*'Labor Data'!$K$8)</f>
        <v>0</v>
      </c>
      <c r="O15" s="46">
        <f t="shared" ref="O15:O22" si="4">D15*F15*I15</f>
        <v>0</v>
      </c>
      <c r="P15" s="54">
        <f t="shared" ref="P15:P22" si="5">F15*I15</f>
        <v>0</v>
      </c>
      <c r="Q15" s="86"/>
      <c r="R15" s="52" t="s">
        <v>192</v>
      </c>
    </row>
    <row r="16" spans="2:20" s="45" customFormat="1" ht="9" x14ac:dyDescent="0.15">
      <c r="B16" s="79" t="s">
        <v>193</v>
      </c>
      <c r="C16" s="342">
        <v>2</v>
      </c>
      <c r="D16" s="46">
        <v>0</v>
      </c>
      <c r="E16" s="46"/>
      <c r="F16" s="53">
        <v>1</v>
      </c>
      <c r="G16" s="53">
        <v>0</v>
      </c>
      <c r="H16" s="53">
        <f t="shared" si="0"/>
        <v>2</v>
      </c>
      <c r="I16" s="55">
        <f>0</f>
        <v>0</v>
      </c>
      <c r="J16" s="54">
        <v>0</v>
      </c>
      <c r="K16" s="54">
        <f t="shared" si="1"/>
        <v>0</v>
      </c>
      <c r="L16" s="54">
        <f t="shared" si="2"/>
        <v>0</v>
      </c>
      <c r="M16" s="54">
        <f t="shared" si="3"/>
        <v>0</v>
      </c>
      <c r="N16" s="46">
        <f>(J16*'Labor Data'!$K$10)+(K16*'Labor Data'!$K$9)+(L16*'Labor Data'!$K$11)+(M16*'Labor Data'!$K$8)</f>
        <v>0</v>
      </c>
      <c r="O16" s="46">
        <f t="shared" si="4"/>
        <v>0</v>
      </c>
      <c r="P16" s="54">
        <f t="shared" si="5"/>
        <v>0</v>
      </c>
      <c r="Q16" s="86"/>
      <c r="R16" s="52" t="s">
        <v>194</v>
      </c>
    </row>
    <row r="17" spans="2:19" s="45" customFormat="1" ht="9" x14ac:dyDescent="0.15">
      <c r="B17" s="79" t="s">
        <v>195</v>
      </c>
      <c r="C17" s="53">
        <v>8</v>
      </c>
      <c r="D17" s="46">
        <v>0</v>
      </c>
      <c r="E17" s="46"/>
      <c r="F17" s="53">
        <v>1</v>
      </c>
      <c r="G17" s="53">
        <v>0</v>
      </c>
      <c r="H17" s="53">
        <f t="shared" si="0"/>
        <v>8</v>
      </c>
      <c r="I17" s="55">
        <f>'Annual # of Respondents'!H9</f>
        <v>7.5</v>
      </c>
      <c r="J17" s="54">
        <v>0</v>
      </c>
      <c r="K17" s="54">
        <f t="shared" si="1"/>
        <v>60</v>
      </c>
      <c r="L17" s="54">
        <f t="shared" si="2"/>
        <v>6</v>
      </c>
      <c r="M17" s="54">
        <f t="shared" si="3"/>
        <v>3</v>
      </c>
      <c r="N17" s="46">
        <f>(J17*'Labor Data'!$K$10)+(K17*'Labor Data'!$K$9)+(L17*'Labor Data'!$K$11)+(M17*'Labor Data'!$K$8)</f>
        <v>5697.4049999999997</v>
      </c>
      <c r="O17" s="46">
        <f t="shared" si="4"/>
        <v>0</v>
      </c>
      <c r="P17" s="54">
        <f t="shared" si="5"/>
        <v>7.5</v>
      </c>
      <c r="Q17" s="86"/>
      <c r="R17" s="52" t="s">
        <v>196</v>
      </c>
      <c r="S17" s="59"/>
    </row>
    <row r="18" spans="2:19" s="45" customFormat="1" ht="9" x14ac:dyDescent="0.15">
      <c r="B18" s="79" t="s">
        <v>197</v>
      </c>
      <c r="C18" s="72">
        <v>12</v>
      </c>
      <c r="D18" s="46">
        <f>'Other Cost Basis'!D4</f>
        <v>2708.280314173127</v>
      </c>
      <c r="E18" s="46"/>
      <c r="F18" s="53">
        <v>1</v>
      </c>
      <c r="G18" s="53">
        <v>0</v>
      </c>
      <c r="H18" s="72">
        <f t="shared" si="0"/>
        <v>12</v>
      </c>
      <c r="I18" s="54">
        <f>IF('Annual # of Respondents'!H10&lt;0,0,'Annual # of Respondents'!H10)</f>
        <v>1.5</v>
      </c>
      <c r="J18" s="54">
        <v>0</v>
      </c>
      <c r="K18" s="54">
        <f t="shared" si="1"/>
        <v>18</v>
      </c>
      <c r="L18" s="54">
        <f t="shared" si="2"/>
        <v>1.8</v>
      </c>
      <c r="M18" s="54">
        <f t="shared" si="3"/>
        <v>0.9</v>
      </c>
      <c r="N18" s="46">
        <f>(J18*'Labor Data'!$K$10)+(K18*'Labor Data'!$K$9)+(L18*'Labor Data'!$K$11)+(M18*'Labor Data'!$K$8)</f>
        <v>1709.2215000000001</v>
      </c>
      <c r="O18" s="46">
        <f>'1.B-Priv'!O18+D18*F18*I18</f>
        <v>20312.102356298452</v>
      </c>
      <c r="P18" s="54">
        <f t="shared" si="5"/>
        <v>1.5</v>
      </c>
      <c r="Q18" s="86">
        <f>'Other Cost Basis'!B2</f>
        <v>10067</v>
      </c>
      <c r="R18" s="52" t="s">
        <v>198</v>
      </c>
      <c r="S18" s="59"/>
    </row>
    <row r="19" spans="2:19" s="45" customFormat="1" ht="9" customHeight="1" x14ac:dyDescent="0.15">
      <c r="B19" s="79" t="s">
        <v>199</v>
      </c>
      <c r="C19" s="53">
        <v>1</v>
      </c>
      <c r="D19" s="46">
        <v>0</v>
      </c>
      <c r="E19" s="46"/>
      <c r="F19" s="53">
        <v>1</v>
      </c>
      <c r="G19" s="53">
        <v>0</v>
      </c>
      <c r="H19" s="53">
        <f t="shared" si="0"/>
        <v>1</v>
      </c>
      <c r="I19" s="55">
        <v>0</v>
      </c>
      <c r="J19" s="54">
        <v>0</v>
      </c>
      <c r="K19" s="54">
        <f t="shared" si="1"/>
        <v>0</v>
      </c>
      <c r="L19" s="54">
        <f t="shared" si="2"/>
        <v>0</v>
      </c>
      <c r="M19" s="54">
        <f t="shared" si="3"/>
        <v>0</v>
      </c>
      <c r="N19" s="46">
        <f>(J19*'Labor Data'!$K$10)+(K19*'Labor Data'!$K$9)+(L19*'Labor Data'!$K$11)+(M19*'Labor Data'!$K$8)</f>
        <v>0</v>
      </c>
      <c r="O19" s="46">
        <f>D19*F19*I19</f>
        <v>0</v>
      </c>
      <c r="P19" s="54">
        <f t="shared" si="5"/>
        <v>0</v>
      </c>
      <c r="Q19" s="86"/>
      <c r="R19" s="52" t="s">
        <v>200</v>
      </c>
      <c r="S19" s="59"/>
    </row>
    <row r="20" spans="2:19" s="45" customFormat="1" ht="9" x14ac:dyDescent="0.15">
      <c r="B20" s="79" t="s">
        <v>201</v>
      </c>
      <c r="C20" s="53">
        <f>3*C18</f>
        <v>36</v>
      </c>
      <c r="D20" s="46">
        <v>0</v>
      </c>
      <c r="E20" s="46"/>
      <c r="F20" s="53">
        <v>1</v>
      </c>
      <c r="G20" s="53">
        <v>0</v>
      </c>
      <c r="H20" s="53">
        <f t="shared" si="0"/>
        <v>36</v>
      </c>
      <c r="I20" s="55">
        <v>0</v>
      </c>
      <c r="J20" s="54">
        <v>0</v>
      </c>
      <c r="K20" s="54">
        <f t="shared" si="1"/>
        <v>0</v>
      </c>
      <c r="L20" s="54">
        <f t="shared" si="2"/>
        <v>0</v>
      </c>
      <c r="M20" s="54">
        <f t="shared" si="3"/>
        <v>0</v>
      </c>
      <c r="N20" s="46">
        <f>(J20*'Labor Data'!$K$10)+(K20*'Labor Data'!$K$9)+(L20*'Labor Data'!$K$11)+(M20*'Labor Data'!$K$8)</f>
        <v>0</v>
      </c>
      <c r="O20" s="46">
        <f t="shared" si="4"/>
        <v>0</v>
      </c>
      <c r="P20" s="54">
        <f t="shared" si="5"/>
        <v>0</v>
      </c>
      <c r="Q20" s="86"/>
      <c r="R20" s="52" t="s">
        <v>202</v>
      </c>
      <c r="S20" s="59"/>
    </row>
    <row r="21" spans="2:19" s="45" customFormat="1" ht="9" x14ac:dyDescent="0.15">
      <c r="B21" s="79" t="s">
        <v>203</v>
      </c>
      <c r="C21" s="53">
        <v>80</v>
      </c>
      <c r="D21" s="46">
        <v>0</v>
      </c>
      <c r="E21" s="46"/>
      <c r="F21" s="53">
        <v>1</v>
      </c>
      <c r="G21" s="53">
        <v>0</v>
      </c>
      <c r="H21" s="53">
        <f t="shared" si="0"/>
        <v>80</v>
      </c>
      <c r="I21" s="55">
        <f>I$9</f>
        <v>4</v>
      </c>
      <c r="J21" s="54">
        <v>0</v>
      </c>
      <c r="K21" s="54">
        <f t="shared" si="1"/>
        <v>320</v>
      </c>
      <c r="L21" s="54">
        <f t="shared" si="2"/>
        <v>32</v>
      </c>
      <c r="M21" s="54">
        <f t="shared" si="3"/>
        <v>16</v>
      </c>
      <c r="N21" s="46">
        <f>(J21*'Labor Data'!$K$10)+(K21*'Labor Data'!$K$9)+(L21*'Labor Data'!$K$11)+(M21*'Labor Data'!$K$8)</f>
        <v>30386.160000000003</v>
      </c>
      <c r="O21" s="46">
        <f t="shared" si="4"/>
        <v>0</v>
      </c>
      <c r="P21" s="54">
        <f t="shared" si="5"/>
        <v>4</v>
      </c>
      <c r="Q21" s="86"/>
      <c r="R21" s="52" t="s">
        <v>204</v>
      </c>
      <c r="S21" s="59"/>
    </row>
    <row r="22" spans="2:19" s="45" customFormat="1" ht="9" x14ac:dyDescent="0.15">
      <c r="B22" s="79" t="s">
        <v>205</v>
      </c>
      <c r="C22" s="342">
        <v>20</v>
      </c>
      <c r="D22" s="46">
        <v>0</v>
      </c>
      <c r="E22" s="46"/>
      <c r="F22" s="53">
        <v>1</v>
      </c>
      <c r="G22" s="53">
        <v>0</v>
      </c>
      <c r="H22" s="53">
        <f t="shared" si="0"/>
        <v>20</v>
      </c>
      <c r="I22" s="55">
        <f>I21*0.1</f>
        <v>0.4</v>
      </c>
      <c r="J22" s="54">
        <v>0</v>
      </c>
      <c r="K22" s="54">
        <f t="shared" si="1"/>
        <v>8</v>
      </c>
      <c r="L22" s="54">
        <f t="shared" si="2"/>
        <v>0.8</v>
      </c>
      <c r="M22" s="54">
        <f t="shared" si="3"/>
        <v>0.4</v>
      </c>
      <c r="N22" s="46">
        <f>(J22*'Labor Data'!$K$10)+(K22*'Labor Data'!$K$9)+(L22*'Labor Data'!$K$11)+(M22*'Labor Data'!$K$8)</f>
        <v>759.654</v>
      </c>
      <c r="O22" s="46">
        <f t="shared" si="4"/>
        <v>0</v>
      </c>
      <c r="P22" s="54">
        <f t="shared" si="5"/>
        <v>0.4</v>
      </c>
      <c r="Q22" s="86"/>
      <c r="R22" s="52" t="s">
        <v>206</v>
      </c>
      <c r="S22" s="59"/>
    </row>
    <row r="23" spans="2:19" s="45" customFormat="1" ht="9" x14ac:dyDescent="0.15">
      <c r="B23" s="79" t="s">
        <v>207</v>
      </c>
      <c r="C23" s="535" t="s">
        <v>188</v>
      </c>
      <c r="D23" s="536"/>
      <c r="E23" s="343"/>
      <c r="F23" s="53"/>
      <c r="G23" s="53"/>
      <c r="H23" s="53"/>
      <c r="I23" s="55"/>
      <c r="J23" s="54"/>
      <c r="K23" s="54"/>
      <c r="L23" s="54"/>
      <c r="M23" s="54"/>
      <c r="N23" s="46"/>
      <c r="O23" s="46"/>
      <c r="P23" s="54"/>
      <c r="Q23" s="86"/>
      <c r="R23" s="52"/>
      <c r="S23" s="59"/>
    </row>
    <row r="24" spans="2:19" s="45" customFormat="1" ht="9" x14ac:dyDescent="0.15">
      <c r="B24" s="79" t="s">
        <v>208</v>
      </c>
      <c r="C24" s="535" t="s">
        <v>188</v>
      </c>
      <c r="D24" s="536"/>
      <c r="E24" s="343"/>
      <c r="F24" s="53"/>
      <c r="G24" s="53"/>
      <c r="H24" s="53"/>
      <c r="I24" s="55"/>
      <c r="J24" s="54"/>
      <c r="K24" s="54"/>
      <c r="L24" s="54"/>
      <c r="M24" s="54"/>
      <c r="N24" s="46"/>
      <c r="O24" s="46"/>
      <c r="P24" s="54"/>
      <c r="Q24" s="86"/>
      <c r="R24" s="52"/>
      <c r="S24" s="59"/>
    </row>
    <row r="25" spans="2:19" s="45" customFormat="1" ht="9" x14ac:dyDescent="0.15">
      <c r="B25" s="79" t="s">
        <v>209</v>
      </c>
      <c r="C25" s="53">
        <v>27</v>
      </c>
      <c r="D25" s="46">
        <v>0</v>
      </c>
      <c r="E25" s="46"/>
      <c r="F25" s="53">
        <v>1</v>
      </c>
      <c r="G25" s="53">
        <v>0</v>
      </c>
      <c r="H25" s="53">
        <f>C25*F25</f>
        <v>27</v>
      </c>
      <c r="I25" s="55">
        <f>'Annual # of Respondents'!H7</f>
        <v>58</v>
      </c>
      <c r="J25" s="54">
        <v>0</v>
      </c>
      <c r="K25" s="54">
        <f>H25*I25</f>
        <v>1566</v>
      </c>
      <c r="L25" s="54">
        <f>K25*0.1</f>
        <v>156.60000000000002</v>
      </c>
      <c r="M25" s="54">
        <f>K25*0.05</f>
        <v>78.300000000000011</v>
      </c>
      <c r="N25" s="46">
        <f>(J25*'Labor Data'!$K$10)+(K25*'Labor Data'!$K$9)+(L25*'Labor Data'!$K$11)+(M25*'Labor Data'!$K$8)</f>
        <v>148702.27050000001</v>
      </c>
      <c r="O25" s="46">
        <f>D25*F25*I25</f>
        <v>0</v>
      </c>
      <c r="P25" s="54">
        <f>F25*I25</f>
        <v>58</v>
      </c>
      <c r="Q25" s="86"/>
      <c r="R25" s="52" t="s">
        <v>210</v>
      </c>
      <c r="S25" s="59"/>
    </row>
    <row r="26" spans="2:19" s="45" customFormat="1" ht="9" x14ac:dyDescent="0.15">
      <c r="B26" s="79" t="s">
        <v>211</v>
      </c>
      <c r="C26" s="53">
        <v>15</v>
      </c>
      <c r="D26" s="46"/>
      <c r="E26" s="46"/>
      <c r="F26" s="53">
        <v>1</v>
      </c>
      <c r="G26" s="53">
        <v>0</v>
      </c>
      <c r="H26" s="53">
        <f t="shared" ref="H26:H29" si="6">C26*F26</f>
        <v>15</v>
      </c>
      <c r="I26" s="55">
        <v>1</v>
      </c>
      <c r="J26" s="54">
        <v>0</v>
      </c>
      <c r="K26" s="54">
        <f t="shared" ref="K26:K28" si="7">H26*I26</f>
        <v>15</v>
      </c>
      <c r="L26" s="54">
        <f t="shared" ref="L26:L28" si="8">K26*0.1</f>
        <v>1.5</v>
      </c>
      <c r="M26" s="54">
        <f t="shared" ref="M26:M28" si="9">K26*0.05</f>
        <v>0.75</v>
      </c>
      <c r="N26" s="46">
        <f>(J26*'Labor Data'!$K$10)+(K26*'Labor Data'!$K$9)+(L26*'Labor Data'!$K$11)+(M26*'Labor Data'!$K$8)</f>
        <v>1424.3512499999999</v>
      </c>
      <c r="O26" s="46">
        <f t="shared" ref="O26:O28" si="10">D26*F26*I26</f>
        <v>0</v>
      </c>
      <c r="P26" s="54">
        <f t="shared" ref="P26:P28" si="11">F26*I26</f>
        <v>1</v>
      </c>
      <c r="Q26" s="86"/>
      <c r="R26" s="52" t="s">
        <v>212</v>
      </c>
      <c r="S26" s="59"/>
    </row>
    <row r="27" spans="2:19" s="45" customFormat="1" ht="9" x14ac:dyDescent="0.15">
      <c r="B27" s="79" t="s">
        <v>213</v>
      </c>
      <c r="C27" s="53">
        <v>15</v>
      </c>
      <c r="D27" s="46"/>
      <c r="E27" s="46"/>
      <c r="F27" s="53">
        <v>1</v>
      </c>
      <c r="G27" s="53">
        <v>0</v>
      </c>
      <c r="H27" s="53">
        <f t="shared" si="6"/>
        <v>15</v>
      </c>
      <c r="I27" s="55">
        <v>1</v>
      </c>
      <c r="J27" s="54">
        <v>0</v>
      </c>
      <c r="K27" s="54">
        <f t="shared" si="7"/>
        <v>15</v>
      </c>
      <c r="L27" s="54">
        <f t="shared" si="8"/>
        <v>1.5</v>
      </c>
      <c r="M27" s="54">
        <f t="shared" si="9"/>
        <v>0.75</v>
      </c>
      <c r="N27" s="46">
        <f>(J27*'Labor Data'!$K$10)+(K27*'Labor Data'!$K$9)+(L27*'Labor Data'!$K$11)+(M27*'Labor Data'!$K$8)</f>
        <v>1424.3512499999999</v>
      </c>
      <c r="O27" s="46">
        <f t="shared" si="10"/>
        <v>0</v>
      </c>
      <c r="P27" s="54">
        <f t="shared" si="11"/>
        <v>1</v>
      </c>
      <c r="Q27" s="86"/>
      <c r="R27" s="52" t="s">
        <v>212</v>
      </c>
      <c r="S27" s="59"/>
    </row>
    <row r="28" spans="2:19" s="45" customFormat="1" ht="9" x14ac:dyDescent="0.15">
      <c r="B28" s="79" t="s">
        <v>214</v>
      </c>
      <c r="C28" s="53">
        <v>15</v>
      </c>
      <c r="D28" s="46"/>
      <c r="E28" s="46"/>
      <c r="F28" s="53">
        <v>1</v>
      </c>
      <c r="G28" s="53">
        <v>0</v>
      </c>
      <c r="H28" s="53">
        <f t="shared" si="6"/>
        <v>15</v>
      </c>
      <c r="I28" s="55">
        <v>1</v>
      </c>
      <c r="J28" s="54">
        <v>0</v>
      </c>
      <c r="K28" s="54">
        <f t="shared" si="7"/>
        <v>15</v>
      </c>
      <c r="L28" s="54">
        <f t="shared" si="8"/>
        <v>1.5</v>
      </c>
      <c r="M28" s="54">
        <f t="shared" si="9"/>
        <v>0.75</v>
      </c>
      <c r="N28" s="46">
        <f>(J28*'Labor Data'!$K$10)+(K28*'Labor Data'!$K$9)+(L28*'Labor Data'!$K$11)+(M28*'Labor Data'!$K$8)</f>
        <v>1424.3512499999999</v>
      </c>
      <c r="O28" s="46">
        <f t="shared" si="10"/>
        <v>0</v>
      </c>
      <c r="P28" s="54">
        <f t="shared" si="11"/>
        <v>1</v>
      </c>
      <c r="Q28" s="86"/>
      <c r="R28" s="52" t="s">
        <v>212</v>
      </c>
      <c r="S28" s="59"/>
    </row>
    <row r="29" spans="2:19" s="45" customFormat="1" ht="9" x14ac:dyDescent="0.15">
      <c r="B29" s="79" t="s">
        <v>215</v>
      </c>
      <c r="C29" s="53">
        <v>5</v>
      </c>
      <c r="D29" s="46"/>
      <c r="E29" s="46"/>
      <c r="F29" s="53">
        <v>1</v>
      </c>
      <c r="G29" s="53">
        <v>0</v>
      </c>
      <c r="H29" s="53">
        <f t="shared" si="6"/>
        <v>5</v>
      </c>
      <c r="I29" s="55">
        <f>'Annual # of Respondents'!H5</f>
        <v>15</v>
      </c>
      <c r="J29" s="54"/>
      <c r="K29" s="54">
        <f t="shared" ref="K29" si="12">H29*I29</f>
        <v>75</v>
      </c>
      <c r="L29" s="54">
        <f t="shared" ref="L29" si="13">K29*0.1</f>
        <v>7.5</v>
      </c>
      <c r="M29" s="54">
        <f t="shared" ref="M29" si="14">K29*0.05</f>
        <v>3.75</v>
      </c>
      <c r="N29" s="46">
        <f>(J29*'Labor Data'!$K$10)+(K29*'Labor Data'!$K$9)+(L29*'Labor Data'!$K$11)+(M29*'Labor Data'!$K$8)</f>
        <v>7121.7562500000004</v>
      </c>
      <c r="O29" s="46">
        <f t="shared" ref="O29" si="15">D29*F29*I29</f>
        <v>0</v>
      </c>
      <c r="P29" s="54">
        <f t="shared" ref="P29" si="16">F29*I29</f>
        <v>15</v>
      </c>
      <c r="Q29" s="86"/>
      <c r="R29" s="52" t="s">
        <v>216</v>
      </c>
      <c r="S29" s="59"/>
    </row>
    <row r="30" spans="2:19" s="45" customFormat="1" ht="9" x14ac:dyDescent="0.15">
      <c r="B30" s="58" t="s">
        <v>217</v>
      </c>
      <c r="C30" s="53"/>
      <c r="D30" s="46"/>
      <c r="E30" s="46"/>
      <c r="F30" s="53"/>
      <c r="G30" s="53"/>
      <c r="H30" s="53"/>
      <c r="I30" s="55"/>
      <c r="J30" s="54">
        <f t="shared" ref="J30:O30" si="17">SUM(J7:J29)</f>
        <v>38048</v>
      </c>
      <c r="K30" s="54">
        <f t="shared" si="17"/>
        <v>2420</v>
      </c>
      <c r="L30" s="54">
        <f t="shared" si="17"/>
        <v>242</v>
      </c>
      <c r="M30" s="54">
        <f t="shared" si="17"/>
        <v>121</v>
      </c>
      <c r="N30" s="46">
        <f t="shared" si="17"/>
        <v>2126640.3269999996</v>
      </c>
      <c r="O30" s="46">
        <f t="shared" si="17"/>
        <v>368408.35245573742</v>
      </c>
      <c r="P30" s="54">
        <f>SUM(P15:P29)+P9</f>
        <v>93.4</v>
      </c>
      <c r="Q30" s="46">
        <f>SUM(Q7:Q29)</f>
        <v>28134</v>
      </c>
      <c r="R30" s="52"/>
      <c r="S30" s="57" t="e">
        <f>SUM(O7,O9:O10,#REF!,#REF!,#REF!,#REF!,#REF!,#REF!,#REF!)</f>
        <v>#REF!</v>
      </c>
    </row>
    <row r="31" spans="2:19" s="45" customFormat="1" ht="9" x14ac:dyDescent="0.15">
      <c r="B31" s="56" t="s">
        <v>218</v>
      </c>
      <c r="C31" s="53"/>
      <c r="D31" s="46"/>
      <c r="E31" s="46"/>
      <c r="F31" s="53"/>
      <c r="G31" s="53"/>
      <c r="H31" s="53"/>
      <c r="I31" s="54"/>
      <c r="J31" s="54"/>
      <c r="K31" s="54"/>
      <c r="L31" s="54"/>
      <c r="M31" s="54"/>
      <c r="N31" s="46"/>
      <c r="O31" s="46"/>
      <c r="P31" s="46"/>
      <c r="Q31" s="85"/>
      <c r="R31" s="52"/>
    </row>
    <row r="32" spans="2:19" s="45" customFormat="1" ht="9" x14ac:dyDescent="0.15">
      <c r="B32" s="56" t="s">
        <v>219</v>
      </c>
      <c r="C32" s="535" t="s">
        <v>220</v>
      </c>
      <c r="D32" s="536"/>
      <c r="E32" s="343"/>
      <c r="F32" s="53"/>
      <c r="G32" s="53"/>
      <c r="H32" s="53"/>
      <c r="I32" s="54"/>
      <c r="J32" s="54"/>
      <c r="K32" s="54"/>
      <c r="L32" s="54"/>
      <c r="M32" s="54"/>
      <c r="N32" s="46"/>
      <c r="O32" s="46"/>
      <c r="P32" s="46"/>
      <c r="Q32" s="85"/>
      <c r="R32" s="52"/>
    </row>
    <row r="33" spans="1:19" s="45" customFormat="1" ht="9" x14ac:dyDescent="0.15">
      <c r="B33" s="56" t="s">
        <v>221</v>
      </c>
      <c r="C33" s="535" t="s">
        <v>175</v>
      </c>
      <c r="D33" s="536"/>
      <c r="E33" s="343"/>
      <c r="F33" s="53"/>
      <c r="G33" s="53"/>
      <c r="H33" s="53"/>
      <c r="I33" s="54"/>
      <c r="J33" s="54"/>
      <c r="K33" s="54"/>
      <c r="L33" s="54"/>
      <c r="M33" s="54"/>
      <c r="N33" s="46"/>
      <c r="O33" s="46"/>
      <c r="P33" s="46"/>
      <c r="Q33" s="85"/>
      <c r="R33" s="52"/>
    </row>
    <row r="34" spans="1:19" s="45" customFormat="1" ht="9" x14ac:dyDescent="0.15">
      <c r="B34" s="56" t="s">
        <v>222</v>
      </c>
      <c r="C34" s="535" t="s">
        <v>175</v>
      </c>
      <c r="D34" s="536"/>
      <c r="E34" s="343"/>
      <c r="F34" s="53"/>
      <c r="G34" s="53"/>
      <c r="H34" s="53"/>
      <c r="I34" s="54"/>
      <c r="J34" s="54"/>
      <c r="K34" s="54"/>
      <c r="L34" s="54"/>
      <c r="M34" s="54"/>
      <c r="N34" s="46"/>
      <c r="O34" s="46"/>
      <c r="P34" s="46"/>
      <c r="Q34" s="85"/>
      <c r="R34" s="52"/>
    </row>
    <row r="35" spans="1:19" s="45" customFormat="1" ht="9" x14ac:dyDescent="0.15">
      <c r="B35" s="56" t="s">
        <v>223</v>
      </c>
      <c r="C35" s="535" t="s">
        <v>175</v>
      </c>
      <c r="D35" s="536"/>
      <c r="E35" s="343"/>
      <c r="F35" s="53"/>
      <c r="G35" s="53"/>
      <c r="H35" s="53"/>
      <c r="I35" s="54"/>
      <c r="J35" s="54"/>
      <c r="K35" s="54"/>
      <c r="L35" s="54"/>
      <c r="M35" s="54"/>
      <c r="N35" s="46"/>
      <c r="O35" s="46"/>
      <c r="P35" s="46"/>
      <c r="Q35" s="85"/>
      <c r="R35" s="52"/>
    </row>
    <row r="36" spans="1:19" s="45" customFormat="1" ht="9" x14ac:dyDescent="0.15">
      <c r="B36" s="56" t="s">
        <v>224</v>
      </c>
      <c r="C36" s="53"/>
      <c r="D36" s="46"/>
      <c r="E36" s="46"/>
      <c r="F36" s="53"/>
      <c r="G36" s="53"/>
      <c r="H36" s="53"/>
      <c r="I36" s="54"/>
      <c r="J36" s="54"/>
      <c r="K36" s="54"/>
      <c r="L36" s="54"/>
      <c r="M36" s="54"/>
      <c r="N36" s="46"/>
      <c r="O36" s="46"/>
      <c r="P36" s="46"/>
      <c r="Q36" s="85"/>
      <c r="R36" s="52"/>
    </row>
    <row r="37" spans="1:19" s="45" customFormat="1" ht="9.75" customHeight="1" x14ac:dyDescent="0.15">
      <c r="B37" s="81" t="s">
        <v>225</v>
      </c>
      <c r="C37" s="342">
        <v>5</v>
      </c>
      <c r="D37" s="46">
        <v>0</v>
      </c>
      <c r="E37" s="46"/>
      <c r="F37" s="53">
        <v>12</v>
      </c>
      <c r="G37" s="53">
        <v>0</v>
      </c>
      <c r="H37" s="53">
        <f>C37*F37</f>
        <v>60</v>
      </c>
      <c r="I37" s="55">
        <f>I$10</f>
        <v>58</v>
      </c>
      <c r="J37" s="54">
        <v>0</v>
      </c>
      <c r="K37" s="54">
        <f>H37*I37</f>
        <v>3480</v>
      </c>
      <c r="L37" s="54">
        <f>K37*0.1</f>
        <v>348</v>
      </c>
      <c r="M37" s="54">
        <f>K37*0.05</f>
        <v>174</v>
      </c>
      <c r="N37" s="46">
        <f>(J37*'Labor Data'!$K$10)+(K37*'Labor Data'!$K$9)+(L37*'Labor Data'!$K$11)+(M37*'Labor Data'!$K$8)</f>
        <v>330449.49000000005</v>
      </c>
      <c r="O37" s="46">
        <f>D37*F37*I37</f>
        <v>0</v>
      </c>
      <c r="P37" s="54">
        <v>0</v>
      </c>
      <c r="Q37" s="86"/>
      <c r="R37" s="52" t="s">
        <v>226</v>
      </c>
    </row>
    <row r="38" spans="1:19" s="45" customFormat="1" ht="9.75" customHeight="1" x14ac:dyDescent="0.15">
      <c r="B38" s="79" t="s">
        <v>227</v>
      </c>
      <c r="C38" s="53">
        <v>11</v>
      </c>
      <c r="D38" s="46">
        <v>0</v>
      </c>
      <c r="E38" s="46"/>
      <c r="F38" s="53">
        <v>12</v>
      </c>
      <c r="G38" s="53">
        <v>0</v>
      </c>
      <c r="H38" s="53">
        <f>C38*F38</f>
        <v>132</v>
      </c>
      <c r="I38" s="55">
        <f>I$10</f>
        <v>58</v>
      </c>
      <c r="J38" s="54">
        <v>0</v>
      </c>
      <c r="K38" s="54">
        <f>H38*I38</f>
        <v>7656</v>
      </c>
      <c r="L38" s="54">
        <f>K38*0.1</f>
        <v>765.6</v>
      </c>
      <c r="M38" s="54">
        <f>K38*0.05</f>
        <v>382.8</v>
      </c>
      <c r="N38" s="46">
        <f>(J38*'Labor Data'!$K$10)+(K38*'Labor Data'!$K$9)+(L38*'Labor Data'!$K$11)+(M38*'Labor Data'!$K$8)</f>
        <v>726988.87800000003</v>
      </c>
      <c r="O38" s="46">
        <f>D38*F38*I38</f>
        <v>0</v>
      </c>
      <c r="P38" s="54">
        <v>0</v>
      </c>
      <c r="Q38" s="86"/>
      <c r="R38" s="52" t="s">
        <v>226</v>
      </c>
    </row>
    <row r="39" spans="1:19" s="45" customFormat="1" ht="9" x14ac:dyDescent="0.15">
      <c r="B39" s="79" t="s">
        <v>228</v>
      </c>
      <c r="C39" s="342">
        <v>4</v>
      </c>
      <c r="D39" s="46">
        <v>0</v>
      </c>
      <c r="E39" s="46"/>
      <c r="F39" s="53">
        <v>1</v>
      </c>
      <c r="G39" s="53">
        <v>0</v>
      </c>
      <c r="H39" s="53">
        <f>C39*F39</f>
        <v>4</v>
      </c>
      <c r="I39" s="55">
        <f>'Annual # of Respondents'!H6-I38</f>
        <v>16</v>
      </c>
      <c r="J39" s="54">
        <v>0</v>
      </c>
      <c r="K39" s="54">
        <f>H39*I39</f>
        <v>64</v>
      </c>
      <c r="L39" s="54">
        <f>K39*0.1</f>
        <v>6.4</v>
      </c>
      <c r="M39" s="54">
        <f>K39*0.05</f>
        <v>3.2</v>
      </c>
      <c r="N39" s="46">
        <f>(J39*'Labor Data'!$K$10)+(K39*'Labor Data'!$K$9)+(L39*'Labor Data'!$K$11)+(M39*'Labor Data'!$K$8)</f>
        <v>6077.232</v>
      </c>
      <c r="O39" s="46">
        <f>D39*F39*I39</f>
        <v>0</v>
      </c>
      <c r="P39" s="54">
        <v>0</v>
      </c>
      <c r="Q39" s="86"/>
      <c r="R39" s="52" t="s">
        <v>229</v>
      </c>
    </row>
    <row r="40" spans="1:19" s="45" customFormat="1" ht="9" x14ac:dyDescent="0.15">
      <c r="B40" s="56" t="s">
        <v>230</v>
      </c>
      <c r="C40" s="535" t="s">
        <v>175</v>
      </c>
      <c r="D40" s="536"/>
      <c r="E40" s="343"/>
      <c r="F40" s="53"/>
      <c r="G40" s="53"/>
      <c r="H40" s="53"/>
      <c r="I40" s="55"/>
      <c r="J40" s="54"/>
      <c r="K40" s="54"/>
      <c r="L40" s="54"/>
      <c r="M40" s="54"/>
      <c r="N40" s="46"/>
      <c r="O40" s="46"/>
      <c r="P40" s="54"/>
      <c r="Q40" s="86"/>
      <c r="R40" s="52"/>
    </row>
    <row r="41" spans="1:19" s="45" customFormat="1" ht="9" x14ac:dyDescent="0.15">
      <c r="B41" s="80" t="s">
        <v>231</v>
      </c>
      <c r="C41" s="535" t="s">
        <v>175</v>
      </c>
      <c r="D41" s="536"/>
      <c r="E41" s="343"/>
      <c r="F41" s="53"/>
      <c r="G41" s="53"/>
      <c r="H41" s="53"/>
      <c r="I41" s="55"/>
      <c r="J41" s="54"/>
      <c r="K41" s="54"/>
      <c r="L41" s="54"/>
      <c r="M41" s="54"/>
      <c r="N41" s="46"/>
      <c r="O41" s="46"/>
      <c r="P41" s="46"/>
      <c r="Q41" s="85"/>
      <c r="R41" s="52"/>
    </row>
    <row r="42" spans="1:19" s="45" customFormat="1" ht="9" x14ac:dyDescent="0.15">
      <c r="B42" s="51" t="s">
        <v>232</v>
      </c>
      <c r="C42" s="50"/>
      <c r="D42" s="49"/>
      <c r="E42" s="49"/>
      <c r="F42" s="50"/>
      <c r="G42" s="50"/>
      <c r="H42" s="50"/>
      <c r="I42" s="48"/>
      <c r="J42" s="48">
        <f>SUM(J32:J41)</f>
        <v>0</v>
      </c>
      <c r="K42" s="48">
        <f t="shared" ref="K42:Q42" si="18">SUM(K32:K41)</f>
        <v>11200</v>
      </c>
      <c r="L42" s="48">
        <f t="shared" si="18"/>
        <v>1120</v>
      </c>
      <c r="M42" s="48">
        <f t="shared" si="18"/>
        <v>560</v>
      </c>
      <c r="N42" s="49">
        <f t="shared" si="18"/>
        <v>1063515.6000000001</v>
      </c>
      <c r="O42" s="49">
        <f t="shared" si="18"/>
        <v>0</v>
      </c>
      <c r="P42" s="48">
        <f t="shared" si="18"/>
        <v>0</v>
      </c>
      <c r="Q42" s="49">
        <f t="shared" si="18"/>
        <v>0</v>
      </c>
      <c r="R42" s="47"/>
      <c r="S42" s="46">
        <f>SUM(S32:S41)</f>
        <v>0</v>
      </c>
    </row>
    <row r="43" spans="1:19" s="37" customFormat="1" x14ac:dyDescent="0.2">
      <c r="B43" s="44" t="s">
        <v>233</v>
      </c>
      <c r="C43" s="42"/>
      <c r="D43" s="43"/>
      <c r="E43" s="43"/>
      <c r="F43" s="42"/>
      <c r="G43" s="42"/>
      <c r="H43" s="42"/>
      <c r="I43" s="41"/>
      <c r="J43" s="39">
        <f t="shared" ref="J43:Q43" si="19">J30+J42</f>
        <v>38048</v>
      </c>
      <c r="K43" s="39">
        <f t="shared" si="19"/>
        <v>13620</v>
      </c>
      <c r="L43" s="39">
        <f t="shared" si="19"/>
        <v>1362</v>
      </c>
      <c r="M43" s="39">
        <f t="shared" si="19"/>
        <v>681</v>
      </c>
      <c r="N43" s="40">
        <f t="shared" si="19"/>
        <v>3190155.9269999997</v>
      </c>
      <c r="O43" s="40">
        <f>O30+O42</f>
        <v>368408.35245573742</v>
      </c>
      <c r="P43" s="39">
        <f t="shared" si="19"/>
        <v>93.4</v>
      </c>
      <c r="Q43" s="40">
        <f t="shared" si="19"/>
        <v>28134</v>
      </c>
      <c r="R43" s="38"/>
    </row>
    <row r="44" spans="1:19" ht="39" customHeight="1" x14ac:dyDescent="0.2"/>
    <row r="45" spans="1:19" s="34" customFormat="1" ht="12.75" customHeight="1" x14ac:dyDescent="0.15">
      <c r="A45" s="74" t="s">
        <v>234</v>
      </c>
      <c r="B45" s="78"/>
      <c r="C45" s="78"/>
      <c r="D45" s="78"/>
      <c r="E45" s="78"/>
      <c r="F45" s="78"/>
      <c r="G45" s="78"/>
      <c r="H45" s="78"/>
      <c r="I45" s="78"/>
      <c r="J45" s="78"/>
      <c r="K45" s="78"/>
      <c r="L45" s="78"/>
      <c r="M45" s="78"/>
      <c r="N45" s="78"/>
      <c r="O45" s="78"/>
      <c r="P45" s="78"/>
      <c r="Q45" s="78"/>
      <c r="R45" s="35"/>
    </row>
    <row r="46" spans="1:19" s="273" customFormat="1" ht="9" customHeight="1" x14ac:dyDescent="0.15">
      <c r="A46" s="272" t="s">
        <v>235</v>
      </c>
      <c r="B46" s="273" t="s">
        <v>236</v>
      </c>
      <c r="C46" s="34"/>
      <c r="D46" s="34"/>
      <c r="E46" s="34"/>
      <c r="F46" s="34"/>
      <c r="G46" s="34"/>
      <c r="H46" s="34"/>
      <c r="I46" s="34"/>
      <c r="J46" s="34"/>
      <c r="K46" s="34"/>
      <c r="L46" s="34"/>
      <c r="M46" s="34"/>
      <c r="N46" s="34"/>
      <c r="O46" s="34"/>
      <c r="P46" s="34"/>
      <c r="Q46" s="34"/>
      <c r="R46" s="34"/>
      <c r="S46" s="34"/>
    </row>
    <row r="47" spans="1:19" s="273" customFormat="1" ht="19.5" customHeight="1" x14ac:dyDescent="0.15">
      <c r="A47" s="272" t="s">
        <v>237</v>
      </c>
      <c r="B47" s="610" t="s">
        <v>238</v>
      </c>
      <c r="C47" s="610"/>
      <c r="D47" s="610"/>
      <c r="E47" s="610"/>
      <c r="F47" s="610"/>
      <c r="G47" s="610"/>
      <c r="H47" s="610"/>
      <c r="I47" s="610"/>
      <c r="J47" s="610"/>
      <c r="K47" s="610"/>
      <c r="L47" s="610"/>
      <c r="M47" s="610"/>
      <c r="N47" s="610"/>
      <c r="O47" s="610"/>
      <c r="P47" s="610"/>
      <c r="Q47" s="610"/>
      <c r="R47" s="610"/>
      <c r="S47" s="34"/>
    </row>
    <row r="48" spans="1:19" s="273" customFormat="1" ht="9" customHeight="1" x14ac:dyDescent="0.15">
      <c r="A48" s="272" t="s">
        <v>239</v>
      </c>
      <c r="B48" s="69" t="s">
        <v>240</v>
      </c>
      <c r="C48" s="34"/>
      <c r="D48" s="34"/>
      <c r="E48" s="34"/>
      <c r="F48" s="34"/>
      <c r="G48" s="34"/>
      <c r="H48" s="34"/>
      <c r="I48" s="34"/>
      <c r="J48" s="34"/>
      <c r="K48" s="34"/>
      <c r="L48" s="34"/>
      <c r="M48" s="34"/>
      <c r="N48" s="34"/>
      <c r="O48" s="34"/>
      <c r="P48" s="34"/>
      <c r="Q48" s="34"/>
      <c r="R48" s="34"/>
      <c r="S48" s="34"/>
    </row>
    <row r="49" spans="1:19" s="273" customFormat="1" ht="9" x14ac:dyDescent="0.15">
      <c r="A49" s="272" t="s">
        <v>179</v>
      </c>
      <c r="B49" s="69" t="s">
        <v>1365</v>
      </c>
      <c r="C49" s="345"/>
      <c r="D49" s="345"/>
      <c r="E49" s="345"/>
      <c r="F49" s="345"/>
      <c r="G49" s="345"/>
      <c r="H49" s="345"/>
      <c r="I49" s="345"/>
      <c r="J49" s="345"/>
      <c r="K49" s="345"/>
      <c r="L49" s="345"/>
      <c r="M49" s="345"/>
      <c r="N49" s="345"/>
      <c r="O49" s="345"/>
      <c r="P49" s="345"/>
      <c r="Q49" s="345"/>
      <c r="R49" s="345"/>
      <c r="S49" s="34"/>
    </row>
    <row r="50" spans="1:19" s="273" customFormat="1" ht="29.25" customHeight="1" x14ac:dyDescent="0.15">
      <c r="A50" s="272" t="s">
        <v>242</v>
      </c>
      <c r="B50" s="610" t="s">
        <v>243</v>
      </c>
      <c r="C50" s="610"/>
      <c r="D50" s="610"/>
      <c r="E50" s="610"/>
      <c r="F50" s="610"/>
      <c r="G50" s="610"/>
      <c r="H50" s="610"/>
      <c r="I50" s="610"/>
      <c r="J50" s="610"/>
      <c r="K50" s="610"/>
      <c r="L50" s="610"/>
      <c r="M50" s="610"/>
      <c r="N50" s="610"/>
      <c r="O50" s="610"/>
      <c r="P50" s="610"/>
      <c r="Q50" s="610"/>
      <c r="R50" s="610"/>
      <c r="S50" s="610"/>
    </row>
    <row r="51" spans="1:19" s="273" customFormat="1" ht="9" x14ac:dyDescent="0.15">
      <c r="A51" s="272" t="s">
        <v>204</v>
      </c>
      <c r="B51" s="34" t="s">
        <v>1366</v>
      </c>
      <c r="C51" s="34"/>
      <c r="D51" s="34"/>
      <c r="E51" s="34"/>
      <c r="F51" s="34"/>
      <c r="G51" s="34"/>
      <c r="H51" s="34"/>
      <c r="I51" s="34"/>
      <c r="J51" s="34"/>
      <c r="K51" s="34"/>
      <c r="L51" s="34"/>
      <c r="M51" s="34"/>
      <c r="N51" s="34"/>
      <c r="O51" s="34"/>
      <c r="P51" s="34"/>
      <c r="Q51" s="34"/>
      <c r="R51" s="34"/>
      <c r="S51" s="34"/>
    </row>
    <row r="52" spans="1:19" s="273" customFormat="1" ht="39" customHeight="1" x14ac:dyDescent="0.15">
      <c r="A52" s="272" t="s">
        <v>245</v>
      </c>
      <c r="B52" s="610" t="s">
        <v>1367</v>
      </c>
      <c r="C52" s="610"/>
      <c r="D52" s="610"/>
      <c r="E52" s="610"/>
      <c r="F52" s="610"/>
      <c r="G52" s="610"/>
      <c r="H52" s="610"/>
      <c r="I52" s="610"/>
      <c r="J52" s="610"/>
      <c r="K52" s="610"/>
      <c r="L52" s="610"/>
      <c r="M52" s="610"/>
      <c r="N52" s="610"/>
      <c r="O52" s="610"/>
      <c r="P52" s="610"/>
      <c r="Q52" s="610"/>
      <c r="R52" s="610"/>
      <c r="S52" s="610"/>
    </row>
    <row r="53" spans="1:19" s="273" customFormat="1" ht="9" customHeight="1" x14ac:dyDescent="0.15">
      <c r="A53" s="272" t="s">
        <v>192</v>
      </c>
      <c r="B53" s="610" t="s">
        <v>1368</v>
      </c>
      <c r="C53" s="610"/>
      <c r="D53" s="610"/>
      <c r="E53" s="610"/>
      <c r="F53" s="610"/>
      <c r="G53" s="610"/>
      <c r="H53" s="610"/>
      <c r="I53" s="610"/>
      <c r="J53" s="610"/>
      <c r="K53" s="610"/>
      <c r="L53" s="610"/>
      <c r="M53" s="610"/>
      <c r="N53" s="610"/>
      <c r="O53" s="610"/>
      <c r="P53" s="610"/>
      <c r="Q53" s="610"/>
      <c r="R53" s="610"/>
      <c r="S53" s="34"/>
    </row>
    <row r="54" spans="1:19" s="273" customFormat="1" ht="9" customHeight="1" x14ac:dyDescent="0.15">
      <c r="A54" s="272" t="s">
        <v>194</v>
      </c>
      <c r="B54" s="34" t="s">
        <v>248</v>
      </c>
      <c r="C54" s="75"/>
      <c r="D54" s="75"/>
      <c r="E54" s="75"/>
      <c r="F54" s="75"/>
      <c r="G54" s="75"/>
      <c r="H54" s="75"/>
      <c r="I54" s="75"/>
      <c r="J54" s="75"/>
      <c r="K54" s="75"/>
      <c r="L54" s="75"/>
      <c r="M54" s="75"/>
      <c r="N54" s="34"/>
      <c r="O54" s="34"/>
      <c r="P54" s="33"/>
      <c r="Q54" s="33"/>
      <c r="R54" s="35"/>
      <c r="S54" s="34"/>
    </row>
    <row r="55" spans="1:19" s="273" customFormat="1" ht="10.5" customHeight="1" x14ac:dyDescent="0.15">
      <c r="A55" s="272" t="s">
        <v>196</v>
      </c>
      <c r="B55" s="34" t="s">
        <v>1369</v>
      </c>
      <c r="C55" s="35"/>
      <c r="D55" s="35"/>
      <c r="E55" s="35"/>
      <c r="F55" s="35"/>
      <c r="G55" s="35"/>
      <c r="H55" s="35"/>
      <c r="I55" s="36"/>
      <c r="J55" s="35"/>
      <c r="K55" s="35"/>
      <c r="L55" s="35"/>
      <c r="M55" s="35"/>
      <c r="N55" s="34"/>
      <c r="O55" s="34"/>
      <c r="P55" s="33"/>
      <c r="Q55" s="33"/>
      <c r="R55" s="35"/>
      <c r="S55" s="34"/>
    </row>
    <row r="56" spans="1:19" s="273" customFormat="1" ht="9" customHeight="1" x14ac:dyDescent="0.15">
      <c r="A56" s="272" t="s">
        <v>250</v>
      </c>
      <c r="B56" s="274" t="s">
        <v>1360</v>
      </c>
      <c r="C56" s="35"/>
      <c r="D56" s="35"/>
      <c r="E56" s="35"/>
      <c r="F56" s="35"/>
      <c r="G56" s="35"/>
      <c r="H56" s="35"/>
      <c r="I56" s="36"/>
      <c r="J56" s="35"/>
      <c r="K56" s="35"/>
      <c r="L56" s="35"/>
      <c r="M56" s="35"/>
      <c r="N56" s="34"/>
      <c r="O56" s="34"/>
      <c r="P56" s="33"/>
      <c r="Q56" s="33"/>
      <c r="R56" s="35"/>
      <c r="S56" s="34"/>
    </row>
    <row r="57" spans="1:19" s="273" customFormat="1" ht="9" x14ac:dyDescent="0.15">
      <c r="A57" s="272" t="s">
        <v>200</v>
      </c>
      <c r="B57" s="69" t="s">
        <v>352</v>
      </c>
      <c r="C57" s="35"/>
      <c r="D57" s="35"/>
      <c r="E57" s="35"/>
      <c r="F57" s="35"/>
      <c r="G57" s="35"/>
      <c r="H57" s="35"/>
      <c r="I57" s="36"/>
      <c r="J57" s="35"/>
      <c r="K57" s="35"/>
      <c r="L57" s="35"/>
      <c r="M57" s="35"/>
      <c r="N57" s="34"/>
      <c r="O57" s="34"/>
      <c r="P57" s="33"/>
      <c r="Q57" s="33"/>
      <c r="R57" s="35"/>
      <c r="S57" s="34"/>
    </row>
    <row r="58" spans="1:19" s="273" customFormat="1" ht="9" x14ac:dyDescent="0.15">
      <c r="A58" s="272" t="s">
        <v>253</v>
      </c>
      <c r="B58" s="34" t="s">
        <v>254</v>
      </c>
      <c r="C58" s="34"/>
      <c r="D58" s="34"/>
      <c r="E58" s="34"/>
      <c r="F58" s="34"/>
      <c r="G58" s="34"/>
      <c r="H58" s="34"/>
      <c r="I58" s="34"/>
      <c r="J58" s="34"/>
      <c r="K58" s="34"/>
      <c r="L58" s="34"/>
      <c r="M58" s="34"/>
      <c r="N58" s="34"/>
      <c r="O58" s="34"/>
      <c r="P58" s="33"/>
      <c r="Q58" s="33"/>
      <c r="R58" s="35"/>
      <c r="S58" s="34"/>
    </row>
    <row r="59" spans="1:19" s="273" customFormat="1" ht="9" x14ac:dyDescent="0.15">
      <c r="A59" s="272" t="s">
        <v>206</v>
      </c>
      <c r="B59" s="34" t="s">
        <v>255</v>
      </c>
      <c r="C59" s="34"/>
      <c r="D59" s="34"/>
      <c r="E59" s="34"/>
      <c r="F59" s="34"/>
      <c r="G59" s="34"/>
      <c r="H59" s="34"/>
      <c r="I59" s="34"/>
      <c r="J59" s="34"/>
      <c r="K59" s="34"/>
      <c r="L59" s="34"/>
      <c r="M59" s="34"/>
      <c r="N59" s="34"/>
      <c r="O59" s="34"/>
      <c r="P59" s="33"/>
      <c r="Q59" s="33"/>
      <c r="R59" s="35"/>
      <c r="S59" s="34"/>
    </row>
    <row r="60" spans="1:19" s="274" customFormat="1" ht="16.5" customHeight="1" x14ac:dyDescent="0.15">
      <c r="A60" s="297" t="s">
        <v>210</v>
      </c>
      <c r="B60" s="610" t="s">
        <v>1370</v>
      </c>
      <c r="C60" s="610"/>
      <c r="D60" s="610"/>
      <c r="E60" s="610"/>
      <c r="F60" s="610"/>
      <c r="G60" s="610"/>
      <c r="H60" s="610"/>
      <c r="I60" s="610"/>
      <c r="J60" s="610"/>
      <c r="K60" s="610"/>
      <c r="L60" s="610"/>
      <c r="M60" s="610"/>
      <c r="N60" s="610"/>
      <c r="O60" s="610"/>
      <c r="P60" s="610"/>
      <c r="Q60" s="610"/>
      <c r="R60" s="610"/>
      <c r="S60" s="34"/>
    </row>
    <row r="61" spans="1:19" s="274" customFormat="1" ht="16.5" customHeight="1" x14ac:dyDescent="0.15">
      <c r="A61" s="297" t="s">
        <v>226</v>
      </c>
      <c r="B61" s="610" t="s">
        <v>1371</v>
      </c>
      <c r="C61" s="610"/>
      <c r="D61" s="610"/>
      <c r="E61" s="610"/>
      <c r="F61" s="610"/>
      <c r="G61" s="610"/>
      <c r="H61" s="610"/>
      <c r="I61" s="610"/>
      <c r="J61" s="610"/>
      <c r="K61" s="610"/>
      <c r="L61" s="610"/>
      <c r="M61" s="610"/>
      <c r="N61" s="610"/>
      <c r="O61" s="610"/>
      <c r="P61" s="610"/>
      <c r="Q61" s="610"/>
      <c r="R61" s="610"/>
      <c r="S61" s="34"/>
    </row>
    <row r="62" spans="1:19" s="34" customFormat="1" ht="9" x14ac:dyDescent="0.15">
      <c r="A62" s="73" t="s">
        <v>229</v>
      </c>
      <c r="B62" s="69" t="s">
        <v>1372</v>
      </c>
      <c r="C62" s="345"/>
      <c r="D62" s="345"/>
      <c r="E62" s="345"/>
      <c r="F62" s="345"/>
      <c r="G62" s="345"/>
      <c r="H62" s="345"/>
      <c r="I62" s="345"/>
      <c r="J62" s="345"/>
      <c r="K62" s="345"/>
      <c r="L62" s="345"/>
      <c r="M62" s="345"/>
      <c r="N62" s="345"/>
      <c r="O62" s="345"/>
      <c r="P62" s="345"/>
      <c r="Q62" s="345"/>
    </row>
    <row r="63" spans="1:19" s="34" customFormat="1" ht="27" customHeight="1" x14ac:dyDescent="0.15">
      <c r="A63" s="353" t="s">
        <v>212</v>
      </c>
      <c r="B63" s="532" t="s">
        <v>259</v>
      </c>
      <c r="C63" s="532"/>
      <c r="D63" s="532"/>
      <c r="E63" s="532"/>
      <c r="F63" s="532"/>
      <c r="G63" s="532"/>
      <c r="H63" s="532"/>
      <c r="I63" s="532"/>
      <c r="J63" s="532"/>
      <c r="K63" s="532"/>
      <c r="L63" s="532"/>
      <c r="M63" s="532"/>
      <c r="N63" s="532"/>
      <c r="O63" s="532"/>
      <c r="P63" s="532"/>
      <c r="Q63" s="532"/>
      <c r="R63" s="532"/>
    </row>
    <row r="64" spans="1:19" s="34" customFormat="1" ht="9" x14ac:dyDescent="0.15">
      <c r="A64" s="73" t="s">
        <v>216</v>
      </c>
      <c r="B64" s="609" t="s">
        <v>260</v>
      </c>
      <c r="C64" s="609"/>
      <c r="D64" s="609"/>
      <c r="E64" s="609"/>
      <c r="F64" s="609"/>
      <c r="G64" s="609"/>
      <c r="H64" s="609"/>
      <c r="I64" s="609"/>
      <c r="J64" s="609"/>
      <c r="K64" s="609"/>
      <c r="L64" s="609"/>
      <c r="M64" s="609"/>
      <c r="N64" s="609"/>
      <c r="O64" s="609"/>
      <c r="P64" s="609"/>
      <c r="Q64" s="609"/>
      <c r="R64" s="609"/>
    </row>
    <row r="65" spans="3:18" s="34" customFormat="1" ht="9" x14ac:dyDescent="0.15">
      <c r="C65" s="35"/>
      <c r="D65" s="35"/>
      <c r="E65" s="35"/>
      <c r="F65" s="35"/>
      <c r="G65" s="35"/>
      <c r="H65" s="35"/>
      <c r="I65" s="36"/>
      <c r="J65" s="35"/>
      <c r="K65" s="35"/>
      <c r="L65" s="35"/>
      <c r="M65" s="35"/>
      <c r="N65" s="35"/>
      <c r="O65" s="33"/>
      <c r="P65" s="33"/>
      <c r="Q65" s="33"/>
      <c r="R65" s="35"/>
    </row>
    <row r="66" spans="3:18" s="34" customFormat="1" ht="9" x14ac:dyDescent="0.15">
      <c r="C66" s="35"/>
      <c r="D66" s="35"/>
      <c r="E66" s="35"/>
      <c r="F66" s="35"/>
      <c r="G66" s="35"/>
      <c r="H66" s="35"/>
      <c r="I66" s="36"/>
      <c r="J66" s="35"/>
      <c r="K66" s="35"/>
      <c r="L66" s="35"/>
      <c r="M66" s="35"/>
      <c r="N66" s="35"/>
      <c r="O66" s="33"/>
      <c r="P66" s="33"/>
      <c r="Q66" s="33"/>
      <c r="R66" s="35"/>
    </row>
    <row r="67" spans="3:18" s="34" customFormat="1" ht="9" x14ac:dyDescent="0.15">
      <c r="C67" s="35"/>
      <c r="D67" s="35"/>
      <c r="E67" s="35"/>
      <c r="F67" s="35"/>
      <c r="G67" s="35"/>
      <c r="H67" s="35"/>
      <c r="I67" s="36"/>
      <c r="J67" s="35"/>
      <c r="K67" s="35"/>
      <c r="L67" s="35"/>
      <c r="M67" s="35"/>
      <c r="N67" s="35"/>
      <c r="O67" s="33"/>
      <c r="P67" s="33"/>
      <c r="Q67" s="33"/>
      <c r="R67" s="35"/>
    </row>
    <row r="68" spans="3:18" s="34" customFormat="1" ht="9" x14ac:dyDescent="0.15">
      <c r="C68" s="35"/>
      <c r="D68" s="35"/>
      <c r="E68" s="35"/>
      <c r="F68" s="35"/>
      <c r="G68" s="35"/>
      <c r="H68" s="35"/>
      <c r="I68" s="36"/>
      <c r="J68" s="35"/>
      <c r="K68" s="35"/>
      <c r="L68" s="35"/>
      <c r="M68" s="35"/>
      <c r="N68" s="35"/>
      <c r="O68" s="33"/>
      <c r="P68" s="33"/>
      <c r="Q68" s="33"/>
      <c r="R68" s="35"/>
    </row>
    <row r="69" spans="3:18" s="34" customFormat="1" ht="9" x14ac:dyDescent="0.15">
      <c r="C69" s="35"/>
      <c r="D69" s="35"/>
      <c r="E69" s="35"/>
      <c r="F69" s="35"/>
      <c r="G69" s="35"/>
      <c r="H69" s="35"/>
      <c r="I69" s="36"/>
      <c r="J69" s="35"/>
      <c r="K69" s="35"/>
      <c r="L69" s="35"/>
      <c r="M69" s="35"/>
      <c r="N69" s="35"/>
      <c r="O69" s="33"/>
      <c r="P69" s="33"/>
      <c r="Q69" s="33"/>
      <c r="R69" s="35"/>
    </row>
    <row r="70" spans="3:18" s="34" customFormat="1" ht="9" x14ac:dyDescent="0.15">
      <c r="C70" s="35"/>
      <c r="D70" s="35"/>
      <c r="E70" s="35"/>
      <c r="F70" s="35"/>
      <c r="G70" s="35"/>
      <c r="H70" s="35"/>
      <c r="I70" s="36"/>
      <c r="J70" s="35"/>
      <c r="K70" s="35"/>
      <c r="L70" s="35"/>
      <c r="M70" s="35"/>
      <c r="N70" s="35"/>
      <c r="O70" s="33"/>
      <c r="P70" s="33"/>
      <c r="Q70" s="33"/>
      <c r="R70" s="35"/>
    </row>
    <row r="71" spans="3:18" s="34" customFormat="1" ht="9" x14ac:dyDescent="0.15">
      <c r="C71" s="35"/>
      <c r="D71" s="35"/>
      <c r="E71" s="35"/>
      <c r="F71" s="35"/>
      <c r="G71" s="35"/>
      <c r="H71" s="35"/>
      <c r="I71" s="36"/>
      <c r="J71" s="35"/>
      <c r="K71" s="35"/>
      <c r="L71" s="35"/>
      <c r="M71" s="35"/>
      <c r="N71" s="35"/>
      <c r="O71" s="33"/>
      <c r="P71" s="33"/>
      <c r="Q71" s="33"/>
      <c r="R71" s="35"/>
    </row>
    <row r="72" spans="3:18" s="34" customFormat="1" ht="9" x14ac:dyDescent="0.15">
      <c r="C72" s="35"/>
      <c r="D72" s="35"/>
      <c r="E72" s="35"/>
      <c r="F72" s="35"/>
      <c r="G72" s="35"/>
      <c r="H72" s="35"/>
      <c r="I72" s="36"/>
      <c r="J72" s="35"/>
      <c r="K72" s="35"/>
      <c r="L72" s="35"/>
      <c r="M72" s="35"/>
      <c r="N72" s="35"/>
      <c r="O72" s="33"/>
      <c r="P72" s="33"/>
      <c r="Q72" s="33"/>
      <c r="R72" s="35"/>
    </row>
    <row r="73" spans="3:18" s="34" customFormat="1" ht="9" x14ac:dyDescent="0.15">
      <c r="C73" s="35"/>
      <c r="D73" s="35"/>
      <c r="E73" s="35"/>
      <c r="F73" s="35"/>
      <c r="G73" s="35"/>
      <c r="H73" s="35"/>
      <c r="I73" s="36"/>
      <c r="J73" s="35"/>
      <c r="K73" s="35"/>
      <c r="L73" s="35"/>
      <c r="M73" s="35"/>
      <c r="N73" s="35"/>
      <c r="O73" s="33"/>
      <c r="P73" s="33"/>
      <c r="Q73" s="33"/>
      <c r="R73" s="35"/>
    </row>
    <row r="74" spans="3:18" s="34" customFormat="1" ht="9" x14ac:dyDescent="0.15">
      <c r="C74" s="35"/>
      <c r="D74" s="35"/>
      <c r="E74" s="35"/>
      <c r="F74" s="35"/>
      <c r="G74" s="35"/>
      <c r="H74" s="35"/>
      <c r="I74" s="36"/>
      <c r="J74" s="35"/>
      <c r="K74" s="35"/>
      <c r="L74" s="35"/>
      <c r="M74" s="35"/>
      <c r="N74" s="35"/>
      <c r="O74" s="33"/>
      <c r="P74" s="33"/>
      <c r="Q74" s="33"/>
      <c r="R74" s="35"/>
    </row>
    <row r="75" spans="3:18" s="34" customFormat="1" ht="9" x14ac:dyDescent="0.15">
      <c r="C75" s="35"/>
      <c r="D75" s="35"/>
      <c r="E75" s="35"/>
      <c r="F75" s="35"/>
      <c r="G75" s="35"/>
      <c r="H75" s="35"/>
      <c r="I75" s="36"/>
      <c r="J75" s="35"/>
      <c r="K75" s="35"/>
      <c r="L75" s="35"/>
      <c r="M75" s="35"/>
      <c r="N75" s="35"/>
      <c r="O75" s="33"/>
      <c r="P75" s="33"/>
      <c r="Q75" s="33"/>
      <c r="R75" s="35"/>
    </row>
    <row r="76" spans="3:18" s="34" customFormat="1" ht="9" x14ac:dyDescent="0.15">
      <c r="C76" s="35"/>
      <c r="D76" s="35"/>
      <c r="E76" s="35"/>
      <c r="F76" s="35"/>
      <c r="G76" s="35"/>
      <c r="H76" s="35"/>
      <c r="I76" s="36"/>
      <c r="J76" s="35"/>
      <c r="K76" s="35"/>
      <c r="L76" s="35"/>
      <c r="M76" s="35"/>
      <c r="N76" s="35"/>
      <c r="O76" s="33"/>
      <c r="P76" s="33"/>
      <c r="Q76" s="33"/>
      <c r="R76" s="35"/>
    </row>
    <row r="77" spans="3:18" s="34" customFormat="1" ht="9" x14ac:dyDescent="0.15">
      <c r="C77" s="35"/>
      <c r="D77" s="35"/>
      <c r="E77" s="35"/>
      <c r="F77" s="35"/>
      <c r="G77" s="35"/>
      <c r="H77" s="35"/>
      <c r="I77" s="36"/>
      <c r="J77" s="35"/>
      <c r="K77" s="35"/>
      <c r="L77" s="35"/>
      <c r="M77" s="35"/>
      <c r="N77" s="35"/>
      <c r="O77" s="33"/>
      <c r="P77" s="33"/>
      <c r="Q77" s="33"/>
      <c r="R77" s="35"/>
    </row>
    <row r="78" spans="3:18" s="34" customFormat="1" ht="9" x14ac:dyDescent="0.15">
      <c r="C78" s="35"/>
      <c r="D78" s="35"/>
      <c r="E78" s="35"/>
      <c r="F78" s="35"/>
      <c r="G78" s="35"/>
      <c r="H78" s="35"/>
      <c r="I78" s="36"/>
      <c r="J78" s="35"/>
      <c r="K78" s="35"/>
      <c r="L78" s="35"/>
      <c r="M78" s="35"/>
      <c r="N78" s="35"/>
      <c r="O78" s="33"/>
      <c r="P78" s="33"/>
      <c r="Q78" s="33"/>
      <c r="R78" s="35"/>
    </row>
    <row r="79" spans="3:18" s="34" customFormat="1" x14ac:dyDescent="0.2">
      <c r="C79" s="35"/>
      <c r="D79" s="35"/>
      <c r="E79" s="35"/>
      <c r="F79" s="35"/>
      <c r="G79" s="35"/>
      <c r="H79" s="35"/>
      <c r="I79" s="36"/>
      <c r="J79" s="35"/>
      <c r="K79" s="35"/>
      <c r="L79" s="35"/>
      <c r="M79" s="35"/>
      <c r="N79" s="35"/>
      <c r="O79" s="33"/>
      <c r="P79" s="33"/>
      <c r="Q79" s="33"/>
      <c r="R79" s="30"/>
    </row>
    <row r="80" spans="3:18" s="34" customFormat="1" x14ac:dyDescent="0.2">
      <c r="C80" s="35"/>
      <c r="D80" s="35"/>
      <c r="E80" s="35"/>
      <c r="F80" s="35"/>
      <c r="G80" s="30"/>
      <c r="H80" s="35"/>
      <c r="I80" s="36"/>
      <c r="J80" s="30"/>
      <c r="K80" s="35"/>
      <c r="L80" s="35"/>
      <c r="M80" s="35"/>
      <c r="N80" s="35"/>
      <c r="O80" s="33"/>
      <c r="P80" s="33"/>
      <c r="Q80" s="33"/>
      <c r="R80" s="30"/>
    </row>
    <row r="81" spans="16:17" x14ac:dyDescent="0.2">
      <c r="P81" s="33"/>
      <c r="Q81" s="33"/>
    </row>
    <row r="82" spans="16:17" x14ac:dyDescent="0.2">
      <c r="P82" s="33"/>
      <c r="Q82" s="33"/>
    </row>
  </sheetData>
  <mergeCells count="22">
    <mergeCell ref="C41:D41"/>
    <mergeCell ref="B61:R61"/>
    <mergeCell ref="B60:R60"/>
    <mergeCell ref="B52:S52"/>
    <mergeCell ref="B50:S50"/>
    <mergeCell ref="B53:R53"/>
    <mergeCell ref="B64:R64"/>
    <mergeCell ref="B63:R63"/>
    <mergeCell ref="C4:D4"/>
    <mergeCell ref="B1:R1"/>
    <mergeCell ref="B2:R2"/>
    <mergeCell ref="B47:R47"/>
    <mergeCell ref="C5:D5"/>
    <mergeCell ref="C12:D12"/>
    <mergeCell ref="C13:D13"/>
    <mergeCell ref="C23:D23"/>
    <mergeCell ref="C24:D24"/>
    <mergeCell ref="C32:D32"/>
    <mergeCell ref="C33:D33"/>
    <mergeCell ref="C34:D34"/>
    <mergeCell ref="C35:D35"/>
    <mergeCell ref="C40:D40"/>
  </mergeCells>
  <pageMargins left="0.25" right="0.25" top="0.5" bottom="0.5" header="0.5" footer="0.5"/>
  <pageSetup scale="6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T83"/>
  <sheetViews>
    <sheetView zoomScale="115" zoomScaleNormal="115" zoomScaleSheetLayoutView="100" workbookViewId="0">
      <selection activeCell="F4" sqref="F4"/>
    </sheetView>
  </sheetViews>
  <sheetFormatPr defaultColWidth="9.140625" defaultRowHeight="11.25" x14ac:dyDescent="0.2"/>
  <cols>
    <col min="1" max="1" width="2" style="29" customWidth="1"/>
    <col min="2" max="2" width="36.7109375" style="29" customWidth="1"/>
    <col min="3" max="3" width="8.85546875" style="30" bestFit="1" customWidth="1"/>
    <col min="4" max="5" width="7.85546875" style="30" customWidth="1"/>
    <col min="6" max="6" width="20.7109375" style="30" customWidth="1"/>
    <col min="7" max="7" width="9.28515625" style="30" customWidth="1"/>
    <col min="8" max="8" width="8.28515625" style="30" customWidth="1"/>
    <col min="9" max="9" width="9.42578125" style="32" bestFit="1" customWidth="1"/>
    <col min="10" max="10" width="7.42578125" style="30" customWidth="1"/>
    <col min="11" max="12" width="6.85546875" style="30" bestFit="1" customWidth="1"/>
    <col min="13" max="13" width="8" style="30" customWidth="1"/>
    <col min="14" max="14" width="8.42578125" style="30" customWidth="1"/>
    <col min="15" max="15" width="10.140625" style="31" bestFit="1" customWidth="1"/>
    <col min="16" max="16" width="10" style="31" bestFit="1" customWidth="1"/>
    <col min="17" max="17" width="10" style="31" customWidth="1"/>
    <col min="18" max="18" width="4.42578125" style="30" bestFit="1" customWidth="1"/>
    <col min="19" max="19" width="0.140625" style="29" customWidth="1"/>
    <col min="20" max="20" width="3.7109375" style="29" customWidth="1"/>
    <col min="21" max="16384" width="9.140625" style="29"/>
  </cols>
  <sheetData>
    <row r="1" spans="2:20" x14ac:dyDescent="0.2">
      <c r="B1" s="537" t="s">
        <v>1386</v>
      </c>
      <c r="C1" s="537"/>
      <c r="D1" s="537"/>
      <c r="E1" s="537"/>
      <c r="F1" s="537"/>
      <c r="G1" s="537"/>
      <c r="H1" s="537"/>
      <c r="I1" s="537"/>
      <c r="J1" s="537"/>
      <c r="K1" s="537"/>
      <c r="L1" s="537"/>
      <c r="M1" s="537"/>
      <c r="N1" s="537"/>
      <c r="O1" s="537"/>
      <c r="P1" s="537"/>
      <c r="Q1" s="537"/>
      <c r="R1" s="537"/>
    </row>
    <row r="2" spans="2:20" x14ac:dyDescent="0.2">
      <c r="B2" s="538" t="s">
        <v>1387</v>
      </c>
      <c r="C2" s="538"/>
      <c r="D2" s="538"/>
      <c r="E2" s="538"/>
      <c r="F2" s="538"/>
      <c r="G2" s="538"/>
      <c r="H2" s="538"/>
      <c r="I2" s="538"/>
      <c r="J2" s="538"/>
      <c r="K2" s="538"/>
      <c r="L2" s="538"/>
      <c r="M2" s="538"/>
      <c r="N2" s="538"/>
      <c r="O2" s="538"/>
      <c r="P2" s="538"/>
      <c r="Q2" s="538"/>
      <c r="R2" s="538"/>
    </row>
    <row r="3" spans="2:20" s="66" customFormat="1" ht="66.75" customHeight="1" x14ac:dyDescent="0.15">
      <c r="B3" s="68" t="s">
        <v>156</v>
      </c>
      <c r="C3" s="68" t="s">
        <v>157</v>
      </c>
      <c r="D3" s="68" t="s">
        <v>158</v>
      </c>
      <c r="E3" s="68" t="s">
        <v>159</v>
      </c>
      <c r="F3" s="68" t="s">
        <v>160</v>
      </c>
      <c r="G3" s="68" t="s">
        <v>161</v>
      </c>
      <c r="H3" s="68" t="s">
        <v>162</v>
      </c>
      <c r="I3" s="76" t="s">
        <v>163</v>
      </c>
      <c r="J3" s="77" t="s">
        <v>164</v>
      </c>
      <c r="K3" s="77" t="s">
        <v>165</v>
      </c>
      <c r="L3" s="77" t="s">
        <v>166</v>
      </c>
      <c r="M3" s="77" t="s">
        <v>167</v>
      </c>
      <c r="N3" s="68" t="s">
        <v>168</v>
      </c>
      <c r="O3" s="77" t="s">
        <v>169</v>
      </c>
      <c r="P3" s="77" t="s">
        <v>170</v>
      </c>
      <c r="Q3" s="77" t="s">
        <v>171</v>
      </c>
      <c r="R3" s="67" t="s">
        <v>172</v>
      </c>
      <c r="S3" s="66" t="s">
        <v>173</v>
      </c>
    </row>
    <row r="4" spans="2:20" s="45" customFormat="1" ht="68.25" customHeight="1" x14ac:dyDescent="0.15">
      <c r="B4" s="65" t="s">
        <v>174</v>
      </c>
      <c r="C4" s="539" t="s">
        <v>175</v>
      </c>
      <c r="D4" s="540"/>
      <c r="E4" s="344"/>
      <c r="F4" s="63"/>
      <c r="G4" s="63"/>
      <c r="H4" s="63"/>
      <c r="I4" s="64"/>
      <c r="J4" s="64"/>
      <c r="K4" s="64"/>
      <c r="L4" s="64"/>
      <c r="M4" s="64"/>
      <c r="N4" s="62"/>
      <c r="O4" s="62"/>
      <c r="P4" s="62"/>
      <c r="Q4" s="84"/>
      <c r="R4" s="61"/>
    </row>
    <row r="5" spans="2:20" s="45" customFormat="1" ht="9" x14ac:dyDescent="0.15">
      <c r="B5" s="56" t="s">
        <v>176</v>
      </c>
      <c r="C5" s="535" t="s">
        <v>175</v>
      </c>
      <c r="D5" s="536"/>
      <c r="E5" s="343"/>
      <c r="F5" s="53"/>
      <c r="G5" s="53"/>
      <c r="H5" s="53"/>
      <c r="I5" s="54"/>
      <c r="J5" s="54"/>
      <c r="K5" s="54"/>
      <c r="L5" s="54"/>
      <c r="M5" s="54"/>
      <c r="N5" s="46"/>
      <c r="O5" s="46"/>
      <c r="P5" s="46"/>
      <c r="Q5" s="85"/>
      <c r="R5" s="52"/>
    </row>
    <row r="6" spans="2:20" s="45" customFormat="1" ht="9" x14ac:dyDescent="0.15">
      <c r="B6" s="56" t="s">
        <v>177</v>
      </c>
      <c r="C6" s="53"/>
      <c r="D6" s="46"/>
      <c r="E6" s="46"/>
      <c r="F6" s="53"/>
      <c r="G6" s="53"/>
      <c r="H6" s="53"/>
      <c r="I6" s="54"/>
      <c r="J6" s="54"/>
      <c r="K6" s="54"/>
      <c r="L6" s="54"/>
      <c r="M6" s="54"/>
      <c r="N6" s="46"/>
      <c r="O6" s="46"/>
      <c r="P6" s="46"/>
      <c r="Q6" s="85"/>
      <c r="R6" s="52"/>
    </row>
    <row r="7" spans="2:20" s="45" customFormat="1" ht="9" x14ac:dyDescent="0.15">
      <c r="B7" s="82" t="s">
        <v>178</v>
      </c>
      <c r="C7" s="53">
        <v>40</v>
      </c>
      <c r="D7" s="46">
        <v>0</v>
      </c>
      <c r="E7" s="46"/>
      <c r="F7" s="53">
        <v>1</v>
      </c>
      <c r="G7" s="53">
        <v>0</v>
      </c>
      <c r="H7" s="53">
        <f>C7*F7</f>
        <v>40</v>
      </c>
      <c r="I7" s="55">
        <f>'Annual # of Respondents'!K3</f>
        <v>0</v>
      </c>
      <c r="J7" s="54">
        <v>0</v>
      </c>
      <c r="K7" s="54">
        <f>H7*I7</f>
        <v>0</v>
      </c>
      <c r="L7" s="54">
        <f>K7*0.1</f>
        <v>0</v>
      </c>
      <c r="M7" s="55">
        <f>K7*0.05</f>
        <v>0</v>
      </c>
      <c r="N7" s="46">
        <f>(J7*'Labor Data'!$K$10)+(K7*'Labor Data'!$K$9)+(L7*'Labor Data'!$K$11)+(M7*'Labor Data'!$K$8)</f>
        <v>0</v>
      </c>
      <c r="O7" s="46">
        <f>D7*F7*I7</f>
        <v>0</v>
      </c>
      <c r="P7" s="54">
        <v>0</v>
      </c>
      <c r="Q7" s="86"/>
      <c r="R7" s="52" t="s">
        <v>179</v>
      </c>
    </row>
    <row r="8" spans="2:20" s="45" customFormat="1" ht="9" x14ac:dyDescent="0.15">
      <c r="B8" s="56" t="s">
        <v>180</v>
      </c>
      <c r="C8" s="53"/>
      <c r="D8" s="46"/>
      <c r="E8" s="46"/>
      <c r="F8" s="53"/>
      <c r="G8" s="53"/>
      <c r="H8" s="53"/>
      <c r="I8" s="54"/>
      <c r="J8" s="54"/>
      <c r="K8" s="54"/>
      <c r="L8" s="54"/>
      <c r="M8" s="54"/>
      <c r="N8" s="46"/>
      <c r="O8" s="46"/>
      <c r="P8" s="46"/>
      <c r="Q8" s="85"/>
      <c r="R8" s="52"/>
      <c r="T8" s="60"/>
    </row>
    <row r="9" spans="2:20" s="45" customFormat="1" ht="9" x14ac:dyDescent="0.15">
      <c r="B9" s="82" t="s">
        <v>182</v>
      </c>
      <c r="C9" s="53">
        <v>12</v>
      </c>
      <c r="D9" s="46">
        <f>'Other Cost Basis'!D2+'Other Cost Basis'!D17+'Other Cost Basis'!D18+'Other Cost Basis'!D19</f>
        <v>1983.6594844730848</v>
      </c>
      <c r="E9" s="46">
        <f>'Other Cost Basis'!D20</f>
        <v>1000</v>
      </c>
      <c r="F9" s="53">
        <v>1</v>
      </c>
      <c r="G9" s="53">
        <v>0</v>
      </c>
      <c r="H9" s="53">
        <f>C9*F9</f>
        <v>12</v>
      </c>
      <c r="I9" s="55">
        <f>'Annual # of Respondents'!K13</f>
        <v>6</v>
      </c>
      <c r="J9" s="54">
        <v>0</v>
      </c>
      <c r="K9" s="54">
        <f>H9*I9</f>
        <v>72</v>
      </c>
      <c r="L9" s="54">
        <f>K9*0.1</f>
        <v>7.2</v>
      </c>
      <c r="M9" s="54">
        <f>K9*0.05</f>
        <v>3.6</v>
      </c>
      <c r="N9" s="46">
        <f>(J9*'Labor Data'!$K$10)+(K9*'Labor Data'!$K$9)+(L9*'Labor Data'!$K$11)+(M9*'Labor Data'!$K$8)</f>
        <v>6836.8860000000004</v>
      </c>
      <c r="O9" s="46">
        <f>'2.B-Priv'!O9+(D9+E9)*F9*I9</f>
        <v>190954.20700627743</v>
      </c>
      <c r="P9" s="54">
        <f>F9*I9</f>
        <v>6</v>
      </c>
      <c r="Q9" s="86">
        <f>'Other Cost Basis'!B2+'Other Cost Basis'!B17+'Other Cost Basis'!B18+'Other Cost Basis'!B19</f>
        <v>18067</v>
      </c>
      <c r="R9" s="52" t="s">
        <v>183</v>
      </c>
      <c r="T9" s="60"/>
    </row>
    <row r="10" spans="2:20" s="45" customFormat="1" ht="9" x14ac:dyDescent="0.15">
      <c r="B10" s="82" t="s">
        <v>184</v>
      </c>
      <c r="C10" s="72">
        <f>ROUND('Controllers NSPS acreage'!V3,0)</f>
        <v>44</v>
      </c>
      <c r="D10" s="46">
        <f>'Other Cost Basis'!B9+'Other Cost Basis'!F13+'Other Cost Basis'!F14</f>
        <v>703.5</v>
      </c>
      <c r="E10" s="46"/>
      <c r="F10" s="53">
        <v>4</v>
      </c>
      <c r="G10" s="72">
        <f>C10*F10</f>
        <v>176</v>
      </c>
      <c r="H10" s="53">
        <v>0</v>
      </c>
      <c r="I10" s="55">
        <f>'Annual # of Respondents'!K7</f>
        <v>64</v>
      </c>
      <c r="J10" s="54">
        <f>G10*I10</f>
        <v>11264</v>
      </c>
      <c r="K10" s="54">
        <v>0</v>
      </c>
      <c r="L10" s="54">
        <v>0</v>
      </c>
      <c r="M10" s="54">
        <v>0</v>
      </c>
      <c r="N10" s="46">
        <f>(J10*'Labor Data'!$K$10)+(K10*'Labor Data'!$K$9)+(L10*'Labor Data'!$K$11)+(M10*'Labor Data'!$K$8)</f>
        <v>561555.45600000001</v>
      </c>
      <c r="O10" s="46">
        <f>D10*F10*I10</f>
        <v>180096</v>
      </c>
      <c r="P10" s="54">
        <v>0</v>
      </c>
      <c r="Q10" s="86"/>
      <c r="R10" s="52" t="s">
        <v>185</v>
      </c>
      <c r="T10" s="60"/>
    </row>
    <row r="11" spans="2:20" s="45" customFormat="1" ht="9" x14ac:dyDescent="0.15">
      <c r="B11" s="82" t="s">
        <v>186</v>
      </c>
      <c r="C11" s="295">
        <f>ROUND(2000/49.85,0)</f>
        <v>40</v>
      </c>
      <c r="D11" s="296">
        <f>'Other Cost Basis'!F15</f>
        <v>17</v>
      </c>
      <c r="E11" s="296"/>
      <c r="F11" s="53">
        <v>12</v>
      </c>
      <c r="G11" s="72">
        <f>C11*F11</f>
        <v>480</v>
      </c>
      <c r="H11" s="53">
        <v>0</v>
      </c>
      <c r="I11" s="55">
        <f>I10</f>
        <v>64</v>
      </c>
      <c r="J11" s="54">
        <f>G11*I11</f>
        <v>30720</v>
      </c>
      <c r="K11" s="54">
        <v>0</v>
      </c>
      <c r="L11" s="54">
        <v>0</v>
      </c>
      <c r="M11" s="54">
        <v>0</v>
      </c>
      <c r="N11" s="46">
        <f>(J11*'Labor Data'!$K$10)+(K11*'Labor Data'!$K$9)+(L11*'Labor Data'!$K$11)+(M11*'Labor Data'!$K$8)</f>
        <v>1531514.8799999999</v>
      </c>
      <c r="O11" s="46">
        <f>D11*F11*I11</f>
        <v>13056</v>
      </c>
      <c r="P11" s="54">
        <v>1</v>
      </c>
      <c r="Q11" s="86"/>
      <c r="R11" s="52" t="s">
        <v>185</v>
      </c>
      <c r="T11" s="60"/>
    </row>
    <row r="12" spans="2:20" s="45" customFormat="1" ht="9" x14ac:dyDescent="0.15">
      <c r="B12" s="56" t="s">
        <v>187</v>
      </c>
      <c r="C12" s="535" t="s">
        <v>188</v>
      </c>
      <c r="D12" s="536"/>
      <c r="E12" s="343"/>
      <c r="F12" s="53"/>
      <c r="G12" s="53"/>
      <c r="H12" s="53"/>
      <c r="I12" s="54"/>
      <c r="J12" s="54"/>
      <c r="K12" s="54"/>
      <c r="L12" s="54"/>
      <c r="M12" s="54"/>
      <c r="N12" s="46"/>
      <c r="O12" s="46"/>
      <c r="P12" s="46"/>
      <c r="Q12" s="85"/>
      <c r="R12" s="52"/>
      <c r="T12" s="60"/>
    </row>
    <row r="13" spans="2:20" s="45" customFormat="1" ht="9" x14ac:dyDescent="0.15">
      <c r="B13" s="56" t="s">
        <v>189</v>
      </c>
      <c r="C13" s="535" t="s">
        <v>188</v>
      </c>
      <c r="D13" s="536"/>
      <c r="E13" s="343"/>
      <c r="F13" s="53"/>
      <c r="G13" s="53"/>
      <c r="H13" s="53"/>
      <c r="I13" s="54"/>
      <c r="J13" s="54"/>
      <c r="K13" s="54"/>
      <c r="L13" s="54"/>
      <c r="M13" s="54"/>
      <c r="N13" s="46"/>
      <c r="O13" s="46"/>
      <c r="P13" s="46"/>
      <c r="Q13" s="85"/>
      <c r="R13" s="52"/>
    </row>
    <row r="14" spans="2:20" s="45" customFormat="1" ht="9" x14ac:dyDescent="0.15">
      <c r="B14" s="56" t="s">
        <v>190</v>
      </c>
      <c r="C14" s="53"/>
      <c r="D14" s="46"/>
      <c r="E14" s="46"/>
      <c r="F14" s="53"/>
      <c r="G14" s="53"/>
      <c r="H14" s="53"/>
      <c r="I14" s="54"/>
      <c r="J14" s="54"/>
      <c r="K14" s="54"/>
      <c r="L14" s="54"/>
      <c r="M14" s="54"/>
      <c r="N14" s="46"/>
      <c r="O14" s="46"/>
      <c r="P14" s="46"/>
      <c r="Q14" s="85"/>
      <c r="R14" s="52"/>
    </row>
    <row r="15" spans="2:20" s="45" customFormat="1" ht="9" x14ac:dyDescent="0.15">
      <c r="B15" s="81" t="s">
        <v>191</v>
      </c>
      <c r="C15" s="53">
        <v>2</v>
      </c>
      <c r="D15" s="46">
        <v>0</v>
      </c>
      <c r="E15" s="46"/>
      <c r="F15" s="53">
        <v>1</v>
      </c>
      <c r="G15" s="53">
        <v>0</v>
      </c>
      <c r="H15" s="53">
        <f t="shared" ref="H15:H22" si="0">C15*F15</f>
        <v>2</v>
      </c>
      <c r="I15" s="55">
        <f>'Annual # of Respondents'!K4</f>
        <v>0</v>
      </c>
      <c r="J15" s="54">
        <v>0</v>
      </c>
      <c r="K15" s="54">
        <f t="shared" ref="K15:K22" si="1">H15*I15</f>
        <v>0</v>
      </c>
      <c r="L15" s="54">
        <f t="shared" ref="L15:L22" si="2">K15*0.1</f>
        <v>0</v>
      </c>
      <c r="M15" s="54">
        <f t="shared" ref="M15:M22" si="3">K15*0.05</f>
        <v>0</v>
      </c>
      <c r="N15" s="46">
        <f>(J15*'Labor Data'!$K$10)+(K15*'Labor Data'!$K$9)+(L15*'Labor Data'!$K$11)+(M15*'Labor Data'!$K$8)</f>
        <v>0</v>
      </c>
      <c r="O15" s="46">
        <f t="shared" ref="O15:O22" si="4">D15*F15*I15</f>
        <v>0</v>
      </c>
      <c r="P15" s="54">
        <f t="shared" ref="P15:P22" si="5">F15*I15</f>
        <v>0</v>
      </c>
      <c r="Q15" s="86"/>
      <c r="R15" s="52" t="s">
        <v>192</v>
      </c>
    </row>
    <row r="16" spans="2:20" s="45" customFormat="1" ht="9" x14ac:dyDescent="0.15">
      <c r="B16" s="79" t="s">
        <v>193</v>
      </c>
      <c r="C16" s="342">
        <v>2</v>
      </c>
      <c r="D16" s="46">
        <v>0</v>
      </c>
      <c r="E16" s="46"/>
      <c r="F16" s="53">
        <v>1</v>
      </c>
      <c r="G16" s="53">
        <v>0</v>
      </c>
      <c r="H16" s="53">
        <f t="shared" si="0"/>
        <v>2</v>
      </c>
      <c r="I16" s="55">
        <f>0</f>
        <v>0</v>
      </c>
      <c r="J16" s="54">
        <v>0</v>
      </c>
      <c r="K16" s="54">
        <f t="shared" si="1"/>
        <v>0</v>
      </c>
      <c r="L16" s="54">
        <f t="shared" si="2"/>
        <v>0</v>
      </c>
      <c r="M16" s="54">
        <f t="shared" si="3"/>
        <v>0</v>
      </c>
      <c r="N16" s="46">
        <f>(J16*'Labor Data'!$K$10)+(K16*'Labor Data'!$K$9)+(L16*'Labor Data'!$K$11)+(M16*'Labor Data'!$K$8)</f>
        <v>0</v>
      </c>
      <c r="O16" s="46">
        <f t="shared" si="4"/>
        <v>0</v>
      </c>
      <c r="P16" s="54">
        <f t="shared" si="5"/>
        <v>0</v>
      </c>
      <c r="Q16" s="86"/>
      <c r="R16" s="52" t="s">
        <v>194</v>
      </c>
    </row>
    <row r="17" spans="2:19" s="45" customFormat="1" ht="9" x14ac:dyDescent="0.15">
      <c r="B17" s="79" t="s">
        <v>195</v>
      </c>
      <c r="C17" s="53">
        <v>8</v>
      </c>
      <c r="D17" s="46">
        <v>0</v>
      </c>
      <c r="E17" s="46"/>
      <c r="F17" s="53">
        <v>1</v>
      </c>
      <c r="G17" s="53">
        <v>0</v>
      </c>
      <c r="H17" s="53">
        <f t="shared" si="0"/>
        <v>8</v>
      </c>
      <c r="I17" s="55">
        <f>'Annual # of Respondents'!K9</f>
        <v>4.5</v>
      </c>
      <c r="J17" s="54">
        <v>0</v>
      </c>
      <c r="K17" s="54">
        <f t="shared" si="1"/>
        <v>36</v>
      </c>
      <c r="L17" s="54">
        <f t="shared" si="2"/>
        <v>3.6</v>
      </c>
      <c r="M17" s="54">
        <f t="shared" si="3"/>
        <v>1.8</v>
      </c>
      <c r="N17" s="46">
        <f>(J17*'Labor Data'!$K$10)+(K17*'Labor Data'!$K$9)+(L17*'Labor Data'!$K$11)+(M17*'Labor Data'!$K$8)</f>
        <v>3418.4430000000002</v>
      </c>
      <c r="O17" s="46">
        <f t="shared" si="4"/>
        <v>0</v>
      </c>
      <c r="P17" s="54">
        <f t="shared" si="5"/>
        <v>4.5</v>
      </c>
      <c r="Q17" s="86"/>
      <c r="R17" s="52" t="s">
        <v>196</v>
      </c>
      <c r="S17" s="59"/>
    </row>
    <row r="18" spans="2:19" s="45" customFormat="1" ht="9" x14ac:dyDescent="0.15">
      <c r="B18" s="79" t="s">
        <v>197</v>
      </c>
      <c r="C18" s="72">
        <v>12</v>
      </c>
      <c r="D18" s="46">
        <f>'Other Cost Basis'!D4</f>
        <v>2708.280314173127</v>
      </c>
      <c r="E18" s="46"/>
      <c r="F18" s="53">
        <v>1</v>
      </c>
      <c r="G18" s="53">
        <v>0</v>
      </c>
      <c r="H18" s="72">
        <f t="shared" si="0"/>
        <v>12</v>
      </c>
      <c r="I18" s="54">
        <f>IF('Annual # of Respondents'!K10&lt;0,0,'Annual # of Respondents'!K10)</f>
        <v>0</v>
      </c>
      <c r="J18" s="54">
        <v>0</v>
      </c>
      <c r="K18" s="54">
        <f t="shared" si="1"/>
        <v>0</v>
      </c>
      <c r="L18" s="54">
        <f t="shared" si="2"/>
        <v>0</v>
      </c>
      <c r="M18" s="54">
        <f t="shared" si="3"/>
        <v>0</v>
      </c>
      <c r="N18" s="46">
        <f>(J18*'Labor Data'!$K$10)+(K18*'Labor Data'!$K$9)+(L18*'Labor Data'!$K$11)+(M18*'Labor Data'!$K$8)</f>
        <v>0</v>
      </c>
      <c r="O18" s="46">
        <f>'2.B-Priv'!O18+D18*F18*I18</f>
        <v>20312.102356298452</v>
      </c>
      <c r="P18" s="54">
        <f t="shared" si="5"/>
        <v>0</v>
      </c>
      <c r="Q18" s="86">
        <f>'Other Cost Basis'!B2</f>
        <v>10067</v>
      </c>
      <c r="R18" s="52" t="s">
        <v>198</v>
      </c>
      <c r="S18" s="59"/>
    </row>
    <row r="19" spans="2:19" s="45" customFormat="1" ht="9" customHeight="1" x14ac:dyDescent="0.15">
      <c r="B19" s="79" t="s">
        <v>199</v>
      </c>
      <c r="C19" s="53">
        <v>1</v>
      </c>
      <c r="D19" s="46">
        <v>0</v>
      </c>
      <c r="E19" s="46"/>
      <c r="F19" s="53">
        <v>1</v>
      </c>
      <c r="G19" s="53">
        <v>0</v>
      </c>
      <c r="H19" s="53">
        <f t="shared" si="0"/>
        <v>1</v>
      </c>
      <c r="I19" s="55">
        <v>0</v>
      </c>
      <c r="J19" s="54">
        <v>0</v>
      </c>
      <c r="K19" s="54">
        <f t="shared" si="1"/>
        <v>0</v>
      </c>
      <c r="L19" s="54">
        <f t="shared" si="2"/>
        <v>0</v>
      </c>
      <c r="M19" s="54">
        <f t="shared" si="3"/>
        <v>0</v>
      </c>
      <c r="N19" s="46">
        <f>(J19*'Labor Data'!$K$10)+(K19*'Labor Data'!$K$9)+(L19*'Labor Data'!$K$11)+(M19*'Labor Data'!$K$8)</f>
        <v>0</v>
      </c>
      <c r="O19" s="46">
        <f t="shared" si="4"/>
        <v>0</v>
      </c>
      <c r="P19" s="54">
        <f t="shared" si="5"/>
        <v>0</v>
      </c>
      <c r="Q19" s="86"/>
      <c r="R19" s="52" t="s">
        <v>200</v>
      </c>
      <c r="S19" s="59"/>
    </row>
    <row r="20" spans="2:19" s="45" customFormat="1" ht="9" x14ac:dyDescent="0.15">
      <c r="B20" s="79" t="s">
        <v>201</v>
      </c>
      <c r="C20" s="53">
        <f>3*C18</f>
        <v>36</v>
      </c>
      <c r="D20" s="46">
        <v>0</v>
      </c>
      <c r="E20" s="46"/>
      <c r="F20" s="53">
        <v>1</v>
      </c>
      <c r="G20" s="53">
        <v>0</v>
      </c>
      <c r="H20" s="53">
        <f t="shared" si="0"/>
        <v>36</v>
      </c>
      <c r="I20" s="55">
        <v>0</v>
      </c>
      <c r="J20" s="54">
        <v>0</v>
      </c>
      <c r="K20" s="54">
        <f t="shared" si="1"/>
        <v>0</v>
      </c>
      <c r="L20" s="54">
        <f t="shared" si="2"/>
        <v>0</v>
      </c>
      <c r="M20" s="54">
        <f t="shared" si="3"/>
        <v>0</v>
      </c>
      <c r="N20" s="46">
        <f>(J20*'Labor Data'!$K$10)+(K20*'Labor Data'!$K$9)+(L20*'Labor Data'!$K$11)+(M20*'Labor Data'!$K$8)</f>
        <v>0</v>
      </c>
      <c r="O20" s="46">
        <f t="shared" si="4"/>
        <v>0</v>
      </c>
      <c r="P20" s="54">
        <f t="shared" si="5"/>
        <v>0</v>
      </c>
      <c r="Q20" s="86"/>
      <c r="R20" s="52" t="s">
        <v>202</v>
      </c>
      <c r="S20" s="59"/>
    </row>
    <row r="21" spans="2:19" s="45" customFormat="1" ht="9" x14ac:dyDescent="0.15">
      <c r="B21" s="79" t="s">
        <v>203</v>
      </c>
      <c r="C21" s="53">
        <v>80</v>
      </c>
      <c r="D21" s="46">
        <v>0</v>
      </c>
      <c r="E21" s="46"/>
      <c r="F21" s="53">
        <v>1</v>
      </c>
      <c r="G21" s="53">
        <v>0</v>
      </c>
      <c r="H21" s="53">
        <f t="shared" si="0"/>
        <v>80</v>
      </c>
      <c r="I21" s="55">
        <f>I$9</f>
        <v>6</v>
      </c>
      <c r="J21" s="54">
        <v>0</v>
      </c>
      <c r="K21" s="54">
        <f t="shared" si="1"/>
        <v>480</v>
      </c>
      <c r="L21" s="54">
        <f t="shared" si="2"/>
        <v>48</v>
      </c>
      <c r="M21" s="54">
        <f t="shared" si="3"/>
        <v>24</v>
      </c>
      <c r="N21" s="46">
        <f>(J21*'Labor Data'!$K$10)+(K21*'Labor Data'!$K$9)+(L21*'Labor Data'!$K$11)+(M21*'Labor Data'!$K$8)</f>
        <v>45579.24</v>
      </c>
      <c r="O21" s="46">
        <f t="shared" si="4"/>
        <v>0</v>
      </c>
      <c r="P21" s="54">
        <f t="shared" si="5"/>
        <v>6</v>
      </c>
      <c r="Q21" s="86"/>
      <c r="R21" s="52" t="s">
        <v>204</v>
      </c>
      <c r="S21" s="59"/>
    </row>
    <row r="22" spans="2:19" s="45" customFormat="1" ht="9" x14ac:dyDescent="0.15">
      <c r="B22" s="79" t="s">
        <v>205</v>
      </c>
      <c r="C22" s="342">
        <v>20</v>
      </c>
      <c r="D22" s="46">
        <v>0</v>
      </c>
      <c r="E22" s="46"/>
      <c r="F22" s="53">
        <v>1</v>
      </c>
      <c r="G22" s="53">
        <v>0</v>
      </c>
      <c r="H22" s="53">
        <f t="shared" si="0"/>
        <v>20</v>
      </c>
      <c r="I22" s="55">
        <f>I21*0.1</f>
        <v>0.60000000000000009</v>
      </c>
      <c r="J22" s="54">
        <v>0</v>
      </c>
      <c r="K22" s="54">
        <f t="shared" si="1"/>
        <v>12.000000000000002</v>
      </c>
      <c r="L22" s="54">
        <f t="shared" si="2"/>
        <v>1.2000000000000002</v>
      </c>
      <c r="M22" s="54">
        <f t="shared" si="3"/>
        <v>0.60000000000000009</v>
      </c>
      <c r="N22" s="46">
        <f>(J22*'Labor Data'!$K$10)+(K22*'Labor Data'!$K$9)+(L22*'Labor Data'!$K$11)+(M22*'Labor Data'!$K$8)</f>
        <v>1139.4810000000002</v>
      </c>
      <c r="O22" s="46">
        <f t="shared" si="4"/>
        <v>0</v>
      </c>
      <c r="P22" s="54">
        <f t="shared" si="5"/>
        <v>0.60000000000000009</v>
      </c>
      <c r="Q22" s="86"/>
      <c r="R22" s="52" t="s">
        <v>206</v>
      </c>
      <c r="S22" s="59"/>
    </row>
    <row r="23" spans="2:19" s="45" customFormat="1" ht="9" x14ac:dyDescent="0.15">
      <c r="B23" s="79" t="s">
        <v>207</v>
      </c>
      <c r="C23" s="535" t="s">
        <v>188</v>
      </c>
      <c r="D23" s="536"/>
      <c r="E23" s="343"/>
      <c r="F23" s="53"/>
      <c r="G23" s="53"/>
      <c r="H23" s="53"/>
      <c r="I23" s="55"/>
      <c r="J23" s="54"/>
      <c r="K23" s="54"/>
      <c r="L23" s="54"/>
      <c r="M23" s="54"/>
      <c r="N23" s="46"/>
      <c r="O23" s="46"/>
      <c r="P23" s="54"/>
      <c r="Q23" s="86"/>
      <c r="R23" s="52"/>
      <c r="S23" s="59"/>
    </row>
    <row r="24" spans="2:19" s="45" customFormat="1" ht="9" x14ac:dyDescent="0.15">
      <c r="B24" s="79" t="s">
        <v>208</v>
      </c>
      <c r="C24" s="535" t="s">
        <v>188</v>
      </c>
      <c r="D24" s="536"/>
      <c r="E24" s="343"/>
      <c r="F24" s="53"/>
      <c r="G24" s="53"/>
      <c r="H24" s="53"/>
      <c r="I24" s="55"/>
      <c r="J24" s="54"/>
      <c r="K24" s="54"/>
      <c r="L24" s="54"/>
      <c r="M24" s="54"/>
      <c r="N24" s="46"/>
      <c r="O24" s="46"/>
      <c r="P24" s="54"/>
      <c r="Q24" s="86"/>
      <c r="R24" s="52"/>
      <c r="S24" s="59"/>
    </row>
    <row r="25" spans="2:19" s="45" customFormat="1" ht="9" x14ac:dyDescent="0.15">
      <c r="B25" s="79" t="s">
        <v>209</v>
      </c>
      <c r="C25" s="53">
        <v>27</v>
      </c>
      <c r="D25" s="46">
        <v>0</v>
      </c>
      <c r="E25" s="46"/>
      <c r="F25" s="53">
        <v>1</v>
      </c>
      <c r="G25" s="53">
        <v>0</v>
      </c>
      <c r="H25" s="53">
        <f>C25*F25</f>
        <v>27</v>
      </c>
      <c r="I25" s="55">
        <f>'Annual # of Respondents'!K7</f>
        <v>64</v>
      </c>
      <c r="J25" s="54">
        <v>0</v>
      </c>
      <c r="K25" s="54">
        <f>H25*I25</f>
        <v>1728</v>
      </c>
      <c r="L25" s="54">
        <f>K25*0.1</f>
        <v>172.8</v>
      </c>
      <c r="M25" s="54">
        <f>K25*0.05</f>
        <v>86.4</v>
      </c>
      <c r="N25" s="46">
        <f>(J25*'Labor Data'!$K$10)+(K25*'Labor Data'!$K$9)+(L25*'Labor Data'!$K$11)+(M25*'Labor Data'!$K$8)</f>
        <v>164085.26400000002</v>
      </c>
      <c r="O25" s="46">
        <f>D25*F25*I25</f>
        <v>0</v>
      </c>
      <c r="P25" s="54">
        <f>F25*I25</f>
        <v>64</v>
      </c>
      <c r="Q25" s="86"/>
      <c r="R25" s="52" t="s">
        <v>210</v>
      </c>
      <c r="S25" s="59"/>
    </row>
    <row r="26" spans="2:19" s="45" customFormat="1" ht="9" x14ac:dyDescent="0.15">
      <c r="B26" s="79" t="s">
        <v>211</v>
      </c>
      <c r="C26" s="53">
        <v>15</v>
      </c>
      <c r="D26" s="46"/>
      <c r="E26" s="46"/>
      <c r="F26" s="53">
        <v>1</v>
      </c>
      <c r="G26" s="53">
        <v>0</v>
      </c>
      <c r="H26" s="53">
        <f t="shared" ref="H26:H29" si="6">C26*F26</f>
        <v>15</v>
      </c>
      <c r="I26" s="55">
        <v>1</v>
      </c>
      <c r="J26" s="54">
        <v>0</v>
      </c>
      <c r="K26" s="54">
        <f t="shared" ref="K26:K28" si="7">H26*I26</f>
        <v>15</v>
      </c>
      <c r="L26" s="54">
        <f t="shared" ref="L26:L28" si="8">K26*0.1</f>
        <v>1.5</v>
      </c>
      <c r="M26" s="54">
        <f t="shared" ref="M26:M28" si="9">K26*0.05</f>
        <v>0.75</v>
      </c>
      <c r="N26" s="46">
        <f>(J26*'Labor Data'!$K$10)+(K26*'Labor Data'!$K$9)+(L26*'Labor Data'!$K$11)+(M26*'Labor Data'!$K$8)</f>
        <v>1424.3512499999999</v>
      </c>
      <c r="O26" s="46">
        <f t="shared" ref="O26:O28" si="10">D26*F26*I26</f>
        <v>0</v>
      </c>
      <c r="P26" s="54">
        <f t="shared" ref="P26:P28" si="11">F26*I26</f>
        <v>1</v>
      </c>
      <c r="Q26" s="86"/>
      <c r="R26" s="52" t="s">
        <v>212</v>
      </c>
      <c r="S26" s="59"/>
    </row>
    <row r="27" spans="2:19" s="45" customFormat="1" ht="9" x14ac:dyDescent="0.15">
      <c r="B27" s="79" t="s">
        <v>213</v>
      </c>
      <c r="C27" s="53">
        <v>15</v>
      </c>
      <c r="D27" s="46"/>
      <c r="E27" s="46"/>
      <c r="F27" s="53">
        <v>1</v>
      </c>
      <c r="G27" s="53">
        <v>0</v>
      </c>
      <c r="H27" s="53">
        <f t="shared" si="6"/>
        <v>15</v>
      </c>
      <c r="I27" s="55">
        <v>1</v>
      </c>
      <c r="J27" s="54">
        <v>0</v>
      </c>
      <c r="K27" s="54">
        <f t="shared" si="7"/>
        <v>15</v>
      </c>
      <c r="L27" s="54">
        <f t="shared" si="8"/>
        <v>1.5</v>
      </c>
      <c r="M27" s="54">
        <f t="shared" si="9"/>
        <v>0.75</v>
      </c>
      <c r="N27" s="46">
        <f>(J27*'Labor Data'!$K$10)+(K27*'Labor Data'!$K$9)+(L27*'Labor Data'!$K$11)+(M27*'Labor Data'!$K$8)</f>
        <v>1424.3512499999999</v>
      </c>
      <c r="O27" s="46">
        <f t="shared" si="10"/>
        <v>0</v>
      </c>
      <c r="P27" s="54">
        <f t="shared" si="11"/>
        <v>1</v>
      </c>
      <c r="Q27" s="86"/>
      <c r="R27" s="52" t="s">
        <v>212</v>
      </c>
      <c r="S27" s="59"/>
    </row>
    <row r="28" spans="2:19" s="45" customFormat="1" ht="9" x14ac:dyDescent="0.15">
      <c r="B28" s="79" t="s">
        <v>214</v>
      </c>
      <c r="C28" s="53">
        <v>15</v>
      </c>
      <c r="D28" s="46"/>
      <c r="E28" s="46"/>
      <c r="F28" s="53">
        <v>1</v>
      </c>
      <c r="G28" s="53">
        <v>0</v>
      </c>
      <c r="H28" s="53">
        <f t="shared" si="6"/>
        <v>15</v>
      </c>
      <c r="I28" s="55">
        <v>1</v>
      </c>
      <c r="J28" s="54">
        <v>0</v>
      </c>
      <c r="K28" s="54">
        <f t="shared" si="7"/>
        <v>15</v>
      </c>
      <c r="L28" s="54">
        <f t="shared" si="8"/>
        <v>1.5</v>
      </c>
      <c r="M28" s="54">
        <f t="shared" si="9"/>
        <v>0.75</v>
      </c>
      <c r="N28" s="46">
        <f>(J28*'Labor Data'!$K$10)+(K28*'Labor Data'!$K$9)+(L28*'Labor Data'!$K$11)+(M28*'Labor Data'!$K$8)</f>
        <v>1424.3512499999999</v>
      </c>
      <c r="O28" s="46">
        <f t="shared" si="10"/>
        <v>0</v>
      </c>
      <c r="P28" s="54">
        <f t="shared" si="11"/>
        <v>1</v>
      </c>
      <c r="Q28" s="86"/>
      <c r="R28" s="52" t="s">
        <v>212</v>
      </c>
      <c r="S28" s="59"/>
    </row>
    <row r="29" spans="2:19" s="45" customFormat="1" ht="9" x14ac:dyDescent="0.15">
      <c r="B29" s="79" t="s">
        <v>215</v>
      </c>
      <c r="C29" s="53">
        <v>5</v>
      </c>
      <c r="D29" s="46"/>
      <c r="E29" s="46"/>
      <c r="F29" s="53">
        <v>1</v>
      </c>
      <c r="G29" s="53">
        <v>0</v>
      </c>
      <c r="H29" s="53">
        <f t="shared" si="6"/>
        <v>5</v>
      </c>
      <c r="I29" s="55">
        <f>'Annual # of Respondents'!K5</f>
        <v>15</v>
      </c>
      <c r="J29" s="54">
        <v>0</v>
      </c>
      <c r="K29" s="54">
        <f t="shared" ref="K29" si="12">H29*I29</f>
        <v>75</v>
      </c>
      <c r="L29" s="54">
        <f t="shared" ref="L29" si="13">K29*0.1</f>
        <v>7.5</v>
      </c>
      <c r="M29" s="54">
        <f t="shared" ref="M29" si="14">K29*0.05</f>
        <v>3.75</v>
      </c>
      <c r="N29" s="46">
        <f>(J29*'Labor Data'!$K$10)+(K29*'Labor Data'!$K$9)+(L29*'Labor Data'!$K$11)+(M29*'Labor Data'!$K$8)</f>
        <v>7121.7562500000004</v>
      </c>
      <c r="O29" s="46">
        <f t="shared" ref="O29" si="15">D29*F29*I29</f>
        <v>0</v>
      </c>
      <c r="P29" s="54">
        <f t="shared" ref="P29" si="16">F29*I29</f>
        <v>15</v>
      </c>
      <c r="Q29" s="86"/>
      <c r="R29" s="52" t="s">
        <v>216</v>
      </c>
      <c r="S29" s="59"/>
    </row>
    <row r="30" spans="2:19" s="45" customFormat="1" ht="9" x14ac:dyDescent="0.15">
      <c r="B30" s="58" t="s">
        <v>217</v>
      </c>
      <c r="C30" s="53"/>
      <c r="D30" s="46"/>
      <c r="E30" s="46"/>
      <c r="F30" s="53"/>
      <c r="G30" s="53"/>
      <c r="H30" s="53"/>
      <c r="I30" s="55"/>
      <c r="J30" s="54">
        <f>SUM(J7:J29)</f>
        <v>41984</v>
      </c>
      <c r="K30" s="54">
        <f t="shared" ref="K30:O30" si="17">SUM(K7:K29)</f>
        <v>2448</v>
      </c>
      <c r="L30" s="54">
        <f t="shared" si="17"/>
        <v>244.8</v>
      </c>
      <c r="M30" s="54">
        <f t="shared" si="17"/>
        <v>122.4</v>
      </c>
      <c r="N30" s="46">
        <f t="shared" si="17"/>
        <v>2325524.46</v>
      </c>
      <c r="O30" s="46">
        <f t="shared" si="17"/>
        <v>404418.30936257588</v>
      </c>
      <c r="P30" s="54">
        <f>SUM(P15:P29)+P9</f>
        <v>99.1</v>
      </c>
      <c r="Q30" s="46">
        <f>SUM(Q7:Q29)</f>
        <v>28134</v>
      </c>
      <c r="R30" s="52"/>
      <c r="S30" s="57" t="e">
        <f>SUM(O7,O9:O10,#REF!,#REF!,#REF!,#REF!,#REF!,#REF!,#REF!)</f>
        <v>#REF!</v>
      </c>
    </row>
    <row r="31" spans="2:19" s="45" customFormat="1" ht="9" x14ac:dyDescent="0.15">
      <c r="B31" s="56" t="s">
        <v>218</v>
      </c>
      <c r="C31" s="53"/>
      <c r="D31" s="46"/>
      <c r="E31" s="46"/>
      <c r="F31" s="53"/>
      <c r="G31" s="53"/>
      <c r="H31" s="53"/>
      <c r="I31" s="54"/>
      <c r="J31" s="54"/>
      <c r="K31" s="54"/>
      <c r="L31" s="54"/>
      <c r="M31" s="54"/>
      <c r="N31" s="46"/>
      <c r="O31" s="46"/>
      <c r="P31" s="46"/>
      <c r="Q31" s="85"/>
      <c r="R31" s="52"/>
    </row>
    <row r="32" spans="2:19" s="45" customFormat="1" ht="9" x14ac:dyDescent="0.15">
      <c r="B32" s="56" t="s">
        <v>219</v>
      </c>
      <c r="C32" s="535" t="s">
        <v>220</v>
      </c>
      <c r="D32" s="536"/>
      <c r="E32" s="343"/>
      <c r="F32" s="53"/>
      <c r="G32" s="53"/>
      <c r="H32" s="53"/>
      <c r="I32" s="54"/>
      <c r="J32" s="54"/>
      <c r="K32" s="54"/>
      <c r="L32" s="54"/>
      <c r="M32" s="54"/>
      <c r="N32" s="46"/>
      <c r="O32" s="46"/>
      <c r="P32" s="46"/>
      <c r="Q32" s="85"/>
      <c r="R32" s="52"/>
    </row>
    <row r="33" spans="1:19" s="45" customFormat="1" ht="9" x14ac:dyDescent="0.15">
      <c r="B33" s="56" t="s">
        <v>221</v>
      </c>
      <c r="C33" s="535" t="s">
        <v>175</v>
      </c>
      <c r="D33" s="536"/>
      <c r="E33" s="343"/>
      <c r="F33" s="53"/>
      <c r="G33" s="53"/>
      <c r="H33" s="53"/>
      <c r="I33" s="54"/>
      <c r="J33" s="54"/>
      <c r="K33" s="54"/>
      <c r="L33" s="54"/>
      <c r="M33" s="54"/>
      <c r="N33" s="46"/>
      <c r="O33" s="46"/>
      <c r="P33" s="46"/>
      <c r="Q33" s="85"/>
      <c r="R33" s="52"/>
    </row>
    <row r="34" spans="1:19" s="45" customFormat="1" ht="9" x14ac:dyDescent="0.15">
      <c r="B34" s="56" t="s">
        <v>222</v>
      </c>
      <c r="C34" s="535" t="s">
        <v>175</v>
      </c>
      <c r="D34" s="536"/>
      <c r="E34" s="343"/>
      <c r="F34" s="53"/>
      <c r="G34" s="53"/>
      <c r="H34" s="53"/>
      <c r="I34" s="54"/>
      <c r="J34" s="54"/>
      <c r="K34" s="54"/>
      <c r="L34" s="54"/>
      <c r="M34" s="54"/>
      <c r="N34" s="46"/>
      <c r="O34" s="46"/>
      <c r="P34" s="46"/>
      <c r="Q34" s="85"/>
      <c r="R34" s="52"/>
    </row>
    <row r="35" spans="1:19" s="45" customFormat="1" ht="9" x14ac:dyDescent="0.15">
      <c r="B35" s="56" t="s">
        <v>223</v>
      </c>
      <c r="C35" s="535" t="s">
        <v>175</v>
      </c>
      <c r="D35" s="536"/>
      <c r="E35" s="343"/>
      <c r="F35" s="53"/>
      <c r="G35" s="53"/>
      <c r="H35" s="53"/>
      <c r="I35" s="54"/>
      <c r="J35" s="54"/>
      <c r="K35" s="54"/>
      <c r="L35" s="54"/>
      <c r="M35" s="54"/>
      <c r="N35" s="46"/>
      <c r="O35" s="46"/>
      <c r="P35" s="46"/>
      <c r="Q35" s="85"/>
      <c r="R35" s="52"/>
    </row>
    <row r="36" spans="1:19" s="45" customFormat="1" ht="9" x14ac:dyDescent="0.15">
      <c r="B36" s="56" t="s">
        <v>224</v>
      </c>
      <c r="C36" s="53"/>
      <c r="D36" s="46"/>
      <c r="E36" s="46"/>
      <c r="F36" s="53"/>
      <c r="G36" s="53"/>
      <c r="H36" s="53"/>
      <c r="I36" s="54"/>
      <c r="J36" s="54"/>
      <c r="K36" s="54"/>
      <c r="L36" s="54"/>
      <c r="M36" s="54"/>
      <c r="N36" s="46"/>
      <c r="O36" s="46"/>
      <c r="P36" s="46"/>
      <c r="Q36" s="85"/>
      <c r="R36" s="52"/>
    </row>
    <row r="37" spans="1:19" s="45" customFormat="1" ht="9.75" customHeight="1" x14ac:dyDescent="0.15">
      <c r="B37" s="81" t="s">
        <v>225</v>
      </c>
      <c r="C37" s="342">
        <v>5</v>
      </c>
      <c r="D37" s="46">
        <v>0</v>
      </c>
      <c r="E37" s="46"/>
      <c r="F37" s="53">
        <v>12</v>
      </c>
      <c r="G37" s="53">
        <v>0</v>
      </c>
      <c r="H37" s="53">
        <f>C37*F37</f>
        <v>60</v>
      </c>
      <c r="I37" s="55">
        <f>I$10</f>
        <v>64</v>
      </c>
      <c r="J37" s="54">
        <v>0</v>
      </c>
      <c r="K37" s="54">
        <f>H37*I37</f>
        <v>3840</v>
      </c>
      <c r="L37" s="54">
        <f>K37*0.1</f>
        <v>384</v>
      </c>
      <c r="M37" s="54">
        <f>K37*0.05</f>
        <v>192</v>
      </c>
      <c r="N37" s="46">
        <f>(J37*'Labor Data'!$K$10)+(K37*'Labor Data'!$K$9)+(L37*'Labor Data'!$K$11)+(M37*'Labor Data'!$K$8)</f>
        <v>364633.92</v>
      </c>
      <c r="O37" s="46">
        <f>D37*F37*I37</f>
        <v>0</v>
      </c>
      <c r="P37" s="54">
        <v>0</v>
      </c>
      <c r="Q37" s="86"/>
      <c r="R37" s="52" t="s">
        <v>226</v>
      </c>
    </row>
    <row r="38" spans="1:19" s="45" customFormat="1" ht="9.75" customHeight="1" x14ac:dyDescent="0.15">
      <c r="B38" s="79" t="s">
        <v>227</v>
      </c>
      <c r="C38" s="53">
        <v>11</v>
      </c>
      <c r="D38" s="46">
        <v>0</v>
      </c>
      <c r="E38" s="46"/>
      <c r="F38" s="53">
        <v>12</v>
      </c>
      <c r="G38" s="53">
        <v>0</v>
      </c>
      <c r="H38" s="53">
        <f>C38*F38</f>
        <v>132</v>
      </c>
      <c r="I38" s="55">
        <f>I$10</f>
        <v>64</v>
      </c>
      <c r="J38" s="54">
        <v>0</v>
      </c>
      <c r="K38" s="54">
        <f>H38*I38</f>
        <v>8448</v>
      </c>
      <c r="L38" s="54">
        <f>K38*0.1</f>
        <v>844.80000000000007</v>
      </c>
      <c r="M38" s="54">
        <f>K38*0.05</f>
        <v>422.40000000000003</v>
      </c>
      <c r="N38" s="46">
        <f>(J38*'Labor Data'!$K$10)+(K38*'Labor Data'!$K$9)+(L38*'Labor Data'!$K$11)+(M38*'Labor Data'!$K$8)</f>
        <v>802194.62400000007</v>
      </c>
      <c r="O38" s="46">
        <f>D38*F38*I38</f>
        <v>0</v>
      </c>
      <c r="P38" s="54">
        <v>0</v>
      </c>
      <c r="Q38" s="86"/>
      <c r="R38" s="52" t="s">
        <v>226</v>
      </c>
    </row>
    <row r="39" spans="1:19" s="45" customFormat="1" ht="9" x14ac:dyDescent="0.15">
      <c r="B39" s="79" t="s">
        <v>228</v>
      </c>
      <c r="C39" s="342">
        <v>4</v>
      </c>
      <c r="D39" s="46">
        <v>0</v>
      </c>
      <c r="E39" s="46"/>
      <c r="F39" s="53">
        <v>1</v>
      </c>
      <c r="G39" s="53">
        <v>0</v>
      </c>
      <c r="H39" s="53">
        <f>C39*F39</f>
        <v>4</v>
      </c>
      <c r="I39" s="55">
        <f>'Annual # of Respondents'!K6-I38</f>
        <v>10</v>
      </c>
      <c r="J39" s="54">
        <v>0</v>
      </c>
      <c r="K39" s="54">
        <f>H39*I39</f>
        <v>40</v>
      </c>
      <c r="L39" s="54">
        <f>K39*0.1</f>
        <v>4</v>
      </c>
      <c r="M39" s="54">
        <f>K39*0.05</f>
        <v>2</v>
      </c>
      <c r="N39" s="46">
        <f>(J39*'Labor Data'!$K$10)+(K39*'Labor Data'!$K$9)+(L39*'Labor Data'!$K$11)+(M39*'Labor Data'!$K$8)</f>
        <v>3798.2700000000004</v>
      </c>
      <c r="O39" s="46">
        <f>D39*F39*I39</f>
        <v>0</v>
      </c>
      <c r="P39" s="54">
        <v>0</v>
      </c>
      <c r="Q39" s="86"/>
      <c r="R39" s="52" t="s">
        <v>229</v>
      </c>
    </row>
    <row r="40" spans="1:19" s="45" customFormat="1" ht="9" x14ac:dyDescent="0.15">
      <c r="B40" s="56" t="s">
        <v>230</v>
      </c>
      <c r="C40" s="535" t="s">
        <v>175</v>
      </c>
      <c r="D40" s="536"/>
      <c r="E40" s="343"/>
      <c r="F40" s="53"/>
      <c r="G40" s="53"/>
      <c r="H40" s="53"/>
      <c r="I40" s="55"/>
      <c r="J40" s="54"/>
      <c r="K40" s="54"/>
      <c r="L40" s="54"/>
      <c r="M40" s="54"/>
      <c r="N40" s="46"/>
      <c r="O40" s="46"/>
      <c r="P40" s="54"/>
      <c r="Q40" s="86"/>
      <c r="R40" s="52"/>
    </row>
    <row r="41" spans="1:19" s="45" customFormat="1" ht="9" x14ac:dyDescent="0.15">
      <c r="B41" s="80" t="s">
        <v>231</v>
      </c>
      <c r="C41" s="535" t="s">
        <v>175</v>
      </c>
      <c r="D41" s="536"/>
      <c r="E41" s="343"/>
      <c r="F41" s="53"/>
      <c r="G41" s="53"/>
      <c r="H41" s="53"/>
      <c r="I41" s="55"/>
      <c r="J41" s="54"/>
      <c r="K41" s="54"/>
      <c r="L41" s="54"/>
      <c r="M41" s="54"/>
      <c r="N41" s="46"/>
      <c r="O41" s="46"/>
      <c r="P41" s="46"/>
      <c r="Q41" s="85"/>
      <c r="R41" s="52"/>
    </row>
    <row r="42" spans="1:19" s="45" customFormat="1" ht="9" x14ac:dyDescent="0.15">
      <c r="B42" s="51" t="s">
        <v>232</v>
      </c>
      <c r="C42" s="50"/>
      <c r="D42" s="49"/>
      <c r="E42" s="49"/>
      <c r="F42" s="50"/>
      <c r="G42" s="50"/>
      <c r="H42" s="50"/>
      <c r="I42" s="48"/>
      <c r="J42" s="48">
        <f>SUM(J32:J41)</f>
        <v>0</v>
      </c>
      <c r="K42" s="48">
        <f t="shared" ref="K42:Q42" si="18">SUM(K32:K41)</f>
        <v>12328</v>
      </c>
      <c r="L42" s="48">
        <f t="shared" si="18"/>
        <v>1232.8000000000002</v>
      </c>
      <c r="M42" s="48">
        <f t="shared" si="18"/>
        <v>616.40000000000009</v>
      </c>
      <c r="N42" s="49">
        <f t="shared" si="18"/>
        <v>1170626.814</v>
      </c>
      <c r="O42" s="49">
        <f t="shared" si="18"/>
        <v>0</v>
      </c>
      <c r="P42" s="48">
        <f t="shared" si="18"/>
        <v>0</v>
      </c>
      <c r="Q42" s="49">
        <f t="shared" si="18"/>
        <v>0</v>
      </c>
      <c r="R42" s="47"/>
      <c r="S42" s="46">
        <f>SUM(S32:S41)</f>
        <v>0</v>
      </c>
    </row>
    <row r="43" spans="1:19" s="37" customFormat="1" x14ac:dyDescent="0.2">
      <c r="B43" s="44" t="s">
        <v>233</v>
      </c>
      <c r="C43" s="42"/>
      <c r="D43" s="43"/>
      <c r="E43" s="43"/>
      <c r="F43" s="42"/>
      <c r="G43" s="42"/>
      <c r="H43" s="42"/>
      <c r="I43" s="41"/>
      <c r="J43" s="39">
        <f t="shared" ref="J43:Q43" si="19">J30+J42</f>
        <v>41984</v>
      </c>
      <c r="K43" s="39">
        <f t="shared" si="19"/>
        <v>14776</v>
      </c>
      <c r="L43" s="39">
        <f t="shared" si="19"/>
        <v>1477.6000000000001</v>
      </c>
      <c r="M43" s="39">
        <f t="shared" si="19"/>
        <v>738.80000000000007</v>
      </c>
      <c r="N43" s="40">
        <f t="shared" si="19"/>
        <v>3496151.2740000002</v>
      </c>
      <c r="O43" s="40">
        <f>O30+O42</f>
        <v>404418.30936257588</v>
      </c>
      <c r="P43" s="39">
        <f t="shared" si="19"/>
        <v>99.1</v>
      </c>
      <c r="Q43" s="40">
        <f t="shared" si="19"/>
        <v>28134</v>
      </c>
      <c r="R43" s="38"/>
    </row>
    <row r="44" spans="1:19" ht="39" customHeight="1" x14ac:dyDescent="0.2"/>
    <row r="45" spans="1:19" s="34" customFormat="1" ht="12.75" customHeight="1" x14ac:dyDescent="0.15">
      <c r="A45" s="74" t="s">
        <v>234</v>
      </c>
      <c r="B45" s="78"/>
      <c r="C45" s="78"/>
      <c r="D45" s="78"/>
      <c r="E45" s="78"/>
      <c r="F45" s="78"/>
      <c r="G45" s="78"/>
      <c r="H45" s="78"/>
      <c r="I45" s="78"/>
      <c r="J45" s="78"/>
      <c r="K45" s="78"/>
      <c r="L45" s="78"/>
      <c r="M45" s="78"/>
      <c r="N45" s="78"/>
      <c r="O45" s="78"/>
      <c r="P45" s="78"/>
      <c r="Q45" s="78"/>
      <c r="R45" s="35"/>
    </row>
    <row r="46" spans="1:19" s="273" customFormat="1" ht="9" customHeight="1" x14ac:dyDescent="0.15">
      <c r="A46" s="272" t="s">
        <v>235</v>
      </c>
      <c r="B46" s="273" t="s">
        <v>236</v>
      </c>
    </row>
    <row r="47" spans="1:19" s="273" customFormat="1" ht="19.5" customHeight="1" x14ac:dyDescent="0.15">
      <c r="A47" s="272" t="s">
        <v>237</v>
      </c>
      <c r="B47" s="610" t="s">
        <v>238</v>
      </c>
      <c r="C47" s="610"/>
      <c r="D47" s="610"/>
      <c r="E47" s="610"/>
      <c r="F47" s="610"/>
      <c r="G47" s="610"/>
      <c r="H47" s="610"/>
      <c r="I47" s="610"/>
      <c r="J47" s="610"/>
      <c r="K47" s="610"/>
      <c r="L47" s="610"/>
      <c r="M47" s="610"/>
      <c r="N47" s="610"/>
      <c r="O47" s="610"/>
      <c r="P47" s="610"/>
      <c r="Q47" s="610"/>
      <c r="R47" s="610"/>
    </row>
    <row r="48" spans="1:19" s="273" customFormat="1" ht="9" customHeight="1" x14ac:dyDescent="0.15">
      <c r="A48" s="272" t="s">
        <v>239</v>
      </c>
      <c r="B48" s="274" t="s">
        <v>240</v>
      </c>
    </row>
    <row r="49" spans="1:19" s="273" customFormat="1" ht="9" x14ac:dyDescent="0.15">
      <c r="A49" s="272" t="s">
        <v>179</v>
      </c>
      <c r="B49" s="274" t="s">
        <v>1375</v>
      </c>
      <c r="C49" s="347"/>
      <c r="D49" s="347"/>
      <c r="E49" s="347"/>
      <c r="F49" s="347"/>
      <c r="G49" s="347"/>
      <c r="H49" s="347"/>
      <c r="I49" s="347"/>
      <c r="J49" s="347"/>
      <c r="K49" s="347"/>
      <c r="L49" s="347"/>
      <c r="M49" s="347"/>
      <c r="N49" s="347"/>
      <c r="O49" s="347"/>
      <c r="P49" s="347"/>
      <c r="Q49" s="347"/>
      <c r="R49" s="347"/>
    </row>
    <row r="50" spans="1:19" s="273" customFormat="1" ht="30.75" customHeight="1" x14ac:dyDescent="0.15">
      <c r="A50" s="272" t="s">
        <v>242</v>
      </c>
      <c r="B50" s="610" t="s">
        <v>243</v>
      </c>
      <c r="C50" s="610"/>
      <c r="D50" s="610"/>
      <c r="E50" s="610"/>
      <c r="F50" s="610"/>
      <c r="G50" s="610"/>
      <c r="H50" s="610"/>
      <c r="I50" s="610"/>
      <c r="J50" s="610"/>
      <c r="K50" s="610"/>
      <c r="L50" s="610"/>
      <c r="M50" s="610"/>
      <c r="N50" s="610"/>
      <c r="O50" s="610"/>
      <c r="P50" s="610"/>
      <c r="Q50" s="610"/>
      <c r="R50" s="610"/>
      <c r="S50" s="610"/>
    </row>
    <row r="51" spans="1:19" s="273" customFormat="1" ht="9" x14ac:dyDescent="0.15">
      <c r="A51" s="272" t="s">
        <v>204</v>
      </c>
      <c r="B51" s="34" t="s">
        <v>1376</v>
      </c>
      <c r="C51" s="34"/>
      <c r="D51" s="34"/>
      <c r="E51" s="34"/>
      <c r="F51" s="34"/>
      <c r="G51" s="34"/>
      <c r="H51" s="34"/>
      <c r="I51" s="34"/>
      <c r="J51" s="34"/>
      <c r="K51" s="34"/>
      <c r="L51" s="34"/>
      <c r="M51" s="34"/>
      <c r="N51" s="34"/>
      <c r="O51" s="34"/>
      <c r="P51" s="34"/>
      <c r="Q51" s="34"/>
      <c r="R51" s="34"/>
      <c r="S51" s="34"/>
    </row>
    <row r="52" spans="1:19" s="273" customFormat="1" ht="36" customHeight="1" x14ac:dyDescent="0.15">
      <c r="A52" s="272" t="s">
        <v>245</v>
      </c>
      <c r="B52" s="610" t="s">
        <v>1377</v>
      </c>
      <c r="C52" s="610"/>
      <c r="D52" s="610"/>
      <c r="E52" s="610"/>
      <c r="F52" s="610"/>
      <c r="G52" s="610"/>
      <c r="H52" s="610"/>
      <c r="I52" s="610"/>
      <c r="J52" s="610"/>
      <c r="K52" s="610"/>
      <c r="L52" s="610"/>
      <c r="M52" s="610"/>
      <c r="N52" s="610"/>
      <c r="O52" s="610"/>
      <c r="P52" s="610"/>
      <c r="Q52" s="610"/>
      <c r="R52" s="610"/>
      <c r="S52" s="610"/>
    </row>
    <row r="53" spans="1:19" s="273" customFormat="1" ht="9" customHeight="1" x14ac:dyDescent="0.15">
      <c r="A53" s="272" t="s">
        <v>192</v>
      </c>
      <c r="B53" s="610" t="s">
        <v>1368</v>
      </c>
      <c r="C53" s="610"/>
      <c r="D53" s="610"/>
      <c r="E53" s="610"/>
      <c r="F53" s="610"/>
      <c r="G53" s="610"/>
      <c r="H53" s="610"/>
      <c r="I53" s="610"/>
      <c r="J53" s="610"/>
      <c r="K53" s="610"/>
      <c r="L53" s="610"/>
      <c r="M53" s="610"/>
      <c r="N53" s="610"/>
      <c r="O53" s="610"/>
      <c r="P53" s="610"/>
      <c r="Q53" s="610"/>
      <c r="R53" s="610"/>
      <c r="S53" s="34"/>
    </row>
    <row r="54" spans="1:19" s="273" customFormat="1" ht="9" customHeight="1" x14ac:dyDescent="0.15">
      <c r="A54" s="272" t="s">
        <v>194</v>
      </c>
      <c r="B54" s="34" t="s">
        <v>248</v>
      </c>
      <c r="C54" s="75"/>
      <c r="D54" s="75"/>
      <c r="E54" s="75"/>
      <c r="F54" s="75"/>
      <c r="G54" s="75"/>
      <c r="H54" s="75"/>
      <c r="I54" s="75"/>
      <c r="J54" s="75"/>
      <c r="K54" s="75"/>
      <c r="L54" s="75"/>
      <c r="M54" s="75"/>
      <c r="N54" s="34"/>
      <c r="O54" s="34"/>
      <c r="P54" s="33"/>
      <c r="Q54" s="33"/>
      <c r="R54" s="35"/>
      <c r="S54" s="34"/>
    </row>
    <row r="55" spans="1:19" s="273" customFormat="1" ht="9" x14ac:dyDescent="0.15">
      <c r="A55" s="272" t="s">
        <v>196</v>
      </c>
      <c r="B55" s="34" t="s">
        <v>1378</v>
      </c>
      <c r="C55" s="35"/>
      <c r="D55" s="35"/>
      <c r="E55" s="35"/>
      <c r="F55" s="35"/>
      <c r="G55" s="35"/>
      <c r="H55" s="35"/>
      <c r="I55" s="36"/>
      <c r="J55" s="35"/>
      <c r="K55" s="35"/>
      <c r="L55" s="35"/>
      <c r="M55" s="35"/>
      <c r="N55" s="34"/>
      <c r="O55" s="34"/>
      <c r="P55" s="33"/>
      <c r="Q55" s="33"/>
      <c r="R55" s="35"/>
      <c r="S55" s="34"/>
    </row>
    <row r="56" spans="1:19" s="273" customFormat="1" ht="9" customHeight="1" x14ac:dyDescent="0.15">
      <c r="A56" s="272" t="s">
        <v>250</v>
      </c>
      <c r="B56" s="274" t="s">
        <v>1360</v>
      </c>
      <c r="C56" s="35"/>
      <c r="D56" s="35"/>
      <c r="E56" s="35"/>
      <c r="F56" s="35"/>
      <c r="G56" s="35"/>
      <c r="H56" s="35"/>
      <c r="I56" s="36"/>
      <c r="J56" s="35"/>
      <c r="K56" s="35"/>
      <c r="L56" s="35"/>
      <c r="M56" s="35"/>
      <c r="N56" s="34"/>
      <c r="O56" s="34"/>
      <c r="P56" s="33"/>
      <c r="Q56" s="33"/>
      <c r="R56" s="35"/>
      <c r="S56" s="34"/>
    </row>
    <row r="57" spans="1:19" s="273" customFormat="1" ht="9" x14ac:dyDescent="0.15">
      <c r="A57" s="272" t="s">
        <v>200</v>
      </c>
      <c r="B57" s="69" t="s">
        <v>352</v>
      </c>
      <c r="C57" s="35"/>
      <c r="D57" s="35"/>
      <c r="E57" s="35"/>
      <c r="F57" s="35"/>
      <c r="G57" s="35"/>
      <c r="H57" s="35"/>
      <c r="I57" s="36"/>
      <c r="J57" s="35"/>
      <c r="K57" s="35"/>
      <c r="L57" s="35"/>
      <c r="M57" s="35"/>
      <c r="N57" s="34"/>
      <c r="O57" s="34"/>
      <c r="P57" s="33"/>
      <c r="Q57" s="33"/>
      <c r="R57" s="35"/>
      <c r="S57" s="34"/>
    </row>
    <row r="58" spans="1:19" s="273" customFormat="1" ht="9" x14ac:dyDescent="0.15">
      <c r="A58" s="272" t="s">
        <v>253</v>
      </c>
      <c r="B58" s="34" t="s">
        <v>254</v>
      </c>
      <c r="C58" s="34"/>
      <c r="D58" s="34"/>
      <c r="E58" s="34"/>
      <c r="F58" s="34"/>
      <c r="G58" s="34"/>
      <c r="H58" s="34"/>
      <c r="I58" s="34"/>
      <c r="J58" s="34"/>
      <c r="K58" s="34"/>
      <c r="L58" s="34"/>
      <c r="M58" s="34"/>
      <c r="N58" s="34"/>
      <c r="O58" s="34"/>
      <c r="P58" s="33"/>
      <c r="Q58" s="33"/>
      <c r="R58" s="35"/>
      <c r="S58" s="34"/>
    </row>
    <row r="59" spans="1:19" s="273" customFormat="1" ht="9" x14ac:dyDescent="0.15">
      <c r="A59" s="272" t="s">
        <v>206</v>
      </c>
      <c r="B59" s="34" t="s">
        <v>255</v>
      </c>
      <c r="C59" s="34"/>
      <c r="D59" s="34"/>
      <c r="E59" s="34"/>
      <c r="F59" s="34"/>
      <c r="G59" s="34"/>
      <c r="H59" s="34"/>
      <c r="I59" s="34"/>
      <c r="J59" s="34"/>
      <c r="K59" s="34"/>
      <c r="L59" s="34"/>
      <c r="M59" s="34"/>
      <c r="N59" s="34"/>
      <c r="O59" s="34"/>
      <c r="P59" s="33"/>
      <c r="Q59" s="33"/>
      <c r="R59" s="35"/>
      <c r="S59" s="34"/>
    </row>
    <row r="60" spans="1:19" s="273" customFormat="1" ht="16.5" customHeight="1" x14ac:dyDescent="0.15">
      <c r="A60" s="272" t="s">
        <v>210</v>
      </c>
      <c r="B60" s="610" t="s">
        <v>1379</v>
      </c>
      <c r="C60" s="610"/>
      <c r="D60" s="610"/>
      <c r="E60" s="610"/>
      <c r="F60" s="610"/>
      <c r="G60" s="610"/>
      <c r="H60" s="610"/>
      <c r="I60" s="610"/>
      <c r="J60" s="610"/>
      <c r="K60" s="610"/>
      <c r="L60" s="610"/>
      <c r="M60" s="610"/>
      <c r="N60" s="610"/>
      <c r="O60" s="610"/>
      <c r="P60" s="610"/>
      <c r="Q60" s="610"/>
      <c r="R60" s="610"/>
      <c r="S60" s="34"/>
    </row>
    <row r="61" spans="1:19" s="273" customFormat="1" ht="16.5" customHeight="1" x14ac:dyDescent="0.15">
      <c r="A61" s="272" t="s">
        <v>226</v>
      </c>
      <c r="B61" s="610" t="s">
        <v>1380</v>
      </c>
      <c r="C61" s="610"/>
      <c r="D61" s="610"/>
      <c r="E61" s="610"/>
      <c r="F61" s="610"/>
      <c r="G61" s="610"/>
      <c r="H61" s="610"/>
      <c r="I61" s="610"/>
      <c r="J61" s="610"/>
      <c r="K61" s="610"/>
      <c r="L61" s="610"/>
      <c r="M61" s="610"/>
      <c r="N61" s="610"/>
      <c r="O61" s="610"/>
      <c r="P61" s="610"/>
      <c r="Q61" s="610"/>
      <c r="R61" s="610"/>
      <c r="S61" s="34"/>
    </row>
    <row r="62" spans="1:19" s="34" customFormat="1" ht="9" x14ac:dyDescent="0.15">
      <c r="A62" s="73" t="s">
        <v>229</v>
      </c>
      <c r="B62" s="69" t="s">
        <v>258</v>
      </c>
      <c r="C62" s="345"/>
      <c r="D62" s="345"/>
      <c r="E62" s="345"/>
      <c r="F62" s="345"/>
      <c r="G62" s="345"/>
      <c r="H62" s="345"/>
      <c r="I62" s="345"/>
      <c r="J62" s="345"/>
      <c r="K62" s="345"/>
      <c r="L62" s="345"/>
      <c r="M62" s="345"/>
      <c r="N62" s="345"/>
      <c r="O62" s="345"/>
      <c r="P62" s="345"/>
      <c r="Q62" s="345"/>
    </row>
    <row r="63" spans="1:19" s="34" customFormat="1" ht="27.75" customHeight="1" x14ac:dyDescent="0.15">
      <c r="A63" s="353" t="s">
        <v>212</v>
      </c>
      <c r="B63" s="532" t="s">
        <v>259</v>
      </c>
      <c r="C63" s="532"/>
      <c r="D63" s="532"/>
      <c r="E63" s="532"/>
      <c r="F63" s="532"/>
      <c r="G63" s="532"/>
      <c r="H63" s="532"/>
      <c r="I63" s="532"/>
      <c r="J63" s="532"/>
      <c r="K63" s="532"/>
      <c r="L63" s="532"/>
      <c r="M63" s="532"/>
      <c r="N63" s="532"/>
      <c r="O63" s="532"/>
      <c r="P63" s="532"/>
      <c r="Q63" s="532"/>
      <c r="R63" s="532"/>
    </row>
    <row r="64" spans="1:19" s="34" customFormat="1" ht="9" x14ac:dyDescent="0.15">
      <c r="A64" s="73" t="s">
        <v>216</v>
      </c>
      <c r="B64" s="609" t="s">
        <v>260</v>
      </c>
      <c r="C64" s="609"/>
      <c r="D64" s="609"/>
      <c r="E64" s="609"/>
      <c r="F64" s="609"/>
      <c r="G64" s="609"/>
      <c r="H64" s="609"/>
      <c r="I64" s="609"/>
      <c r="J64" s="609"/>
      <c r="K64" s="609"/>
      <c r="L64" s="609"/>
      <c r="M64" s="609"/>
      <c r="N64" s="609"/>
      <c r="O64" s="609"/>
      <c r="P64" s="609"/>
      <c r="Q64" s="609"/>
      <c r="R64" s="609"/>
    </row>
    <row r="65" spans="3:18" s="34" customFormat="1" ht="9" x14ac:dyDescent="0.15">
      <c r="C65" s="35"/>
      <c r="D65" s="35"/>
      <c r="E65" s="35"/>
      <c r="F65" s="35"/>
      <c r="G65" s="35"/>
      <c r="H65" s="35"/>
      <c r="I65" s="36"/>
      <c r="J65" s="35"/>
      <c r="K65" s="35"/>
      <c r="L65" s="35"/>
      <c r="M65" s="35"/>
      <c r="N65" s="35"/>
      <c r="O65" s="33"/>
      <c r="P65" s="33"/>
      <c r="Q65" s="33"/>
      <c r="R65" s="35"/>
    </row>
    <row r="66" spans="3:18" s="34" customFormat="1" ht="9" x14ac:dyDescent="0.15">
      <c r="C66" s="35"/>
      <c r="D66" s="35"/>
      <c r="E66" s="35"/>
      <c r="F66" s="35"/>
      <c r="G66" s="35"/>
      <c r="H66" s="35"/>
      <c r="I66" s="36"/>
      <c r="J66" s="35"/>
      <c r="K66" s="35"/>
      <c r="L66" s="35"/>
      <c r="M66" s="35"/>
      <c r="N66" s="35"/>
      <c r="O66" s="33"/>
      <c r="P66" s="33"/>
      <c r="Q66" s="33"/>
      <c r="R66" s="35"/>
    </row>
    <row r="67" spans="3:18" s="34" customFormat="1" ht="9" x14ac:dyDescent="0.15">
      <c r="C67" s="35"/>
      <c r="D67" s="35"/>
      <c r="E67" s="35"/>
      <c r="F67" s="35"/>
      <c r="G67" s="35"/>
      <c r="H67" s="35"/>
      <c r="I67" s="36"/>
      <c r="J67" s="35"/>
      <c r="K67" s="35"/>
      <c r="L67" s="35"/>
      <c r="M67" s="35"/>
      <c r="N67" s="35"/>
      <c r="O67" s="33"/>
      <c r="P67" s="33"/>
      <c r="Q67" s="33"/>
      <c r="R67" s="35"/>
    </row>
    <row r="68" spans="3:18" s="34" customFormat="1" ht="9" x14ac:dyDescent="0.15">
      <c r="C68" s="35"/>
      <c r="D68" s="35"/>
      <c r="E68" s="35"/>
      <c r="F68" s="35"/>
      <c r="G68" s="35"/>
      <c r="H68" s="35"/>
      <c r="I68" s="36"/>
      <c r="J68" s="35"/>
      <c r="K68" s="35"/>
      <c r="L68" s="35"/>
      <c r="M68" s="35"/>
      <c r="N68" s="35"/>
      <c r="O68" s="33"/>
      <c r="P68" s="33"/>
      <c r="Q68" s="33"/>
      <c r="R68" s="35"/>
    </row>
    <row r="69" spans="3:18" s="34" customFormat="1" ht="9" x14ac:dyDescent="0.15">
      <c r="C69" s="35"/>
      <c r="D69" s="35"/>
      <c r="E69" s="35"/>
      <c r="F69" s="35"/>
      <c r="G69" s="35"/>
      <c r="H69" s="35"/>
      <c r="I69" s="36"/>
      <c r="J69" s="35"/>
      <c r="K69" s="35"/>
      <c r="L69" s="35"/>
      <c r="M69" s="35"/>
      <c r="N69" s="35"/>
      <c r="O69" s="33"/>
      <c r="P69" s="33"/>
      <c r="Q69" s="33"/>
      <c r="R69" s="35"/>
    </row>
    <row r="70" spans="3:18" s="34" customFormat="1" ht="9" x14ac:dyDescent="0.15">
      <c r="C70" s="35"/>
      <c r="D70" s="35"/>
      <c r="E70" s="35"/>
      <c r="F70" s="35"/>
      <c r="G70" s="35"/>
      <c r="H70" s="35"/>
      <c r="I70" s="36"/>
      <c r="J70" s="35"/>
      <c r="K70" s="35"/>
      <c r="L70" s="35"/>
      <c r="M70" s="35"/>
      <c r="N70" s="35"/>
      <c r="O70" s="33"/>
      <c r="P70" s="33"/>
      <c r="Q70" s="33"/>
      <c r="R70" s="35"/>
    </row>
    <row r="71" spans="3:18" s="34" customFormat="1" ht="9" x14ac:dyDescent="0.15">
      <c r="C71" s="35"/>
      <c r="D71" s="35"/>
      <c r="E71" s="35"/>
      <c r="F71" s="35"/>
      <c r="G71" s="35"/>
      <c r="H71" s="35"/>
      <c r="I71" s="36"/>
      <c r="J71" s="35"/>
      <c r="K71" s="35"/>
      <c r="L71" s="35"/>
      <c r="M71" s="35"/>
      <c r="N71" s="35"/>
      <c r="O71" s="33"/>
      <c r="P71" s="33"/>
      <c r="Q71" s="33"/>
      <c r="R71" s="35"/>
    </row>
    <row r="72" spans="3:18" s="34" customFormat="1" ht="9" x14ac:dyDescent="0.15">
      <c r="C72" s="35"/>
      <c r="D72" s="35"/>
      <c r="E72" s="35"/>
      <c r="F72" s="35"/>
      <c r="G72" s="35"/>
      <c r="H72" s="35"/>
      <c r="I72" s="36"/>
      <c r="J72" s="35"/>
      <c r="K72" s="35"/>
      <c r="L72" s="35"/>
      <c r="M72" s="35"/>
      <c r="N72" s="35"/>
      <c r="O72" s="33"/>
      <c r="P72" s="33"/>
      <c r="Q72" s="33"/>
      <c r="R72" s="35"/>
    </row>
    <row r="73" spans="3:18" s="34" customFormat="1" ht="9" x14ac:dyDescent="0.15">
      <c r="C73" s="35"/>
      <c r="D73" s="35"/>
      <c r="E73" s="35"/>
      <c r="F73" s="35"/>
      <c r="G73" s="35"/>
      <c r="H73" s="35"/>
      <c r="I73" s="36"/>
      <c r="J73" s="35"/>
      <c r="K73" s="35"/>
      <c r="L73" s="35"/>
      <c r="M73" s="35"/>
      <c r="N73" s="35"/>
      <c r="O73" s="33"/>
      <c r="P73" s="33"/>
      <c r="Q73" s="33"/>
      <c r="R73" s="35"/>
    </row>
    <row r="74" spans="3:18" s="34" customFormat="1" ht="9" x14ac:dyDescent="0.15">
      <c r="C74" s="35"/>
      <c r="D74" s="35"/>
      <c r="E74" s="35"/>
      <c r="F74" s="35"/>
      <c r="G74" s="35"/>
      <c r="H74" s="35"/>
      <c r="I74" s="36"/>
      <c r="J74" s="35"/>
      <c r="K74" s="35"/>
      <c r="L74" s="35"/>
      <c r="M74" s="35"/>
      <c r="N74" s="35"/>
      <c r="O74" s="33"/>
      <c r="P74" s="33"/>
      <c r="Q74" s="33"/>
      <c r="R74" s="35"/>
    </row>
    <row r="75" spans="3:18" s="34" customFormat="1" ht="9" x14ac:dyDescent="0.15">
      <c r="C75" s="35"/>
      <c r="D75" s="35"/>
      <c r="E75" s="35"/>
      <c r="F75" s="35"/>
      <c r="G75" s="35"/>
      <c r="H75" s="35"/>
      <c r="I75" s="36"/>
      <c r="J75" s="35"/>
      <c r="K75" s="35"/>
      <c r="L75" s="35"/>
      <c r="M75" s="35"/>
      <c r="N75" s="35"/>
      <c r="O75" s="33"/>
      <c r="P75" s="33"/>
      <c r="Q75" s="33"/>
      <c r="R75" s="35"/>
    </row>
    <row r="76" spans="3:18" s="34" customFormat="1" ht="9" x14ac:dyDescent="0.15">
      <c r="C76" s="35"/>
      <c r="D76" s="35"/>
      <c r="E76" s="35"/>
      <c r="F76" s="35"/>
      <c r="G76" s="35"/>
      <c r="H76" s="35"/>
      <c r="I76" s="36"/>
      <c r="J76" s="35"/>
      <c r="K76" s="35"/>
      <c r="L76" s="35"/>
      <c r="M76" s="35"/>
      <c r="N76" s="35"/>
      <c r="O76" s="33"/>
      <c r="P76" s="33"/>
      <c r="Q76" s="33"/>
      <c r="R76" s="35"/>
    </row>
    <row r="77" spans="3:18" s="34" customFormat="1" ht="9" x14ac:dyDescent="0.15">
      <c r="C77" s="35"/>
      <c r="D77" s="35"/>
      <c r="E77" s="35"/>
      <c r="F77" s="35"/>
      <c r="G77" s="35"/>
      <c r="H77" s="35"/>
      <c r="I77" s="36"/>
      <c r="J77" s="35"/>
      <c r="K77" s="35"/>
      <c r="L77" s="35"/>
      <c r="M77" s="35"/>
      <c r="N77" s="35"/>
      <c r="O77" s="33"/>
      <c r="P77" s="33"/>
      <c r="Q77" s="33"/>
      <c r="R77" s="35"/>
    </row>
    <row r="78" spans="3:18" s="34" customFormat="1" ht="9" x14ac:dyDescent="0.15">
      <c r="C78" s="35"/>
      <c r="D78" s="35"/>
      <c r="E78" s="35"/>
      <c r="F78" s="35"/>
      <c r="G78" s="35"/>
      <c r="H78" s="35"/>
      <c r="I78" s="36"/>
      <c r="J78" s="35"/>
      <c r="K78" s="35"/>
      <c r="L78" s="35"/>
      <c r="M78" s="35"/>
      <c r="N78" s="35"/>
      <c r="O78" s="33"/>
      <c r="P78" s="33"/>
      <c r="Q78" s="33"/>
      <c r="R78" s="35"/>
    </row>
    <row r="79" spans="3:18" s="34" customFormat="1" ht="9" x14ac:dyDescent="0.15">
      <c r="C79" s="35"/>
      <c r="D79" s="35"/>
      <c r="E79" s="35"/>
      <c r="F79" s="35"/>
      <c r="G79" s="35"/>
      <c r="H79" s="35"/>
      <c r="I79" s="36"/>
      <c r="J79" s="35"/>
      <c r="K79" s="35"/>
      <c r="L79" s="35"/>
      <c r="M79" s="35"/>
      <c r="N79" s="35"/>
      <c r="O79" s="33"/>
      <c r="P79" s="33"/>
      <c r="Q79" s="33"/>
      <c r="R79" s="35"/>
    </row>
    <row r="80" spans="3:18" s="34" customFormat="1" x14ac:dyDescent="0.2">
      <c r="C80" s="35"/>
      <c r="D80" s="35"/>
      <c r="E80" s="35"/>
      <c r="F80" s="35"/>
      <c r="G80" s="35"/>
      <c r="H80" s="35"/>
      <c r="I80" s="36"/>
      <c r="J80" s="35"/>
      <c r="K80" s="35"/>
      <c r="L80" s="35"/>
      <c r="M80" s="35"/>
      <c r="N80" s="35"/>
      <c r="O80" s="33"/>
      <c r="P80" s="33"/>
      <c r="Q80" s="33"/>
      <c r="R80" s="30"/>
    </row>
    <row r="81" spans="3:18" s="34" customFormat="1" x14ac:dyDescent="0.2">
      <c r="C81" s="35"/>
      <c r="D81" s="35"/>
      <c r="E81" s="35"/>
      <c r="F81" s="35"/>
      <c r="G81" s="30"/>
      <c r="H81" s="35"/>
      <c r="I81" s="36"/>
      <c r="J81" s="30"/>
      <c r="K81" s="35"/>
      <c r="L81" s="35"/>
      <c r="M81" s="35"/>
      <c r="N81" s="35"/>
      <c r="O81" s="33"/>
      <c r="P81" s="33"/>
      <c r="Q81" s="33"/>
      <c r="R81" s="30"/>
    </row>
    <row r="82" spans="3:18" x14ac:dyDescent="0.2">
      <c r="P82" s="33"/>
      <c r="Q82" s="33"/>
    </row>
    <row r="83" spans="3:18" x14ac:dyDescent="0.2">
      <c r="P83" s="33"/>
      <c r="Q83" s="33"/>
    </row>
  </sheetData>
  <mergeCells count="22">
    <mergeCell ref="C41:D41"/>
    <mergeCell ref="B61:R61"/>
    <mergeCell ref="B60:R60"/>
    <mergeCell ref="B52:S52"/>
    <mergeCell ref="B50:S50"/>
    <mergeCell ref="B53:R53"/>
    <mergeCell ref="B64:R64"/>
    <mergeCell ref="B63:R63"/>
    <mergeCell ref="C4:D4"/>
    <mergeCell ref="B1:R1"/>
    <mergeCell ref="B2:R2"/>
    <mergeCell ref="B47:R47"/>
    <mergeCell ref="C5:D5"/>
    <mergeCell ref="C12:D12"/>
    <mergeCell ref="C13:D13"/>
    <mergeCell ref="C23:D23"/>
    <mergeCell ref="C24:D24"/>
    <mergeCell ref="C32:D32"/>
    <mergeCell ref="C33:D33"/>
    <mergeCell ref="C34:D34"/>
    <mergeCell ref="C35:D35"/>
    <mergeCell ref="C40:D40"/>
  </mergeCells>
  <pageMargins left="0.25" right="0.25" top="0.5" bottom="0.5" header="0.5" footer="0.5"/>
  <pageSetup scale="6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T57"/>
  <sheetViews>
    <sheetView zoomScaleNormal="100" zoomScaleSheetLayoutView="85" workbookViewId="0">
      <pane xSplit="11" ySplit="14" topLeftCell="L15" activePane="bottomRight" state="frozen"/>
      <selection pane="topRight" activeCell="L1" sqref="L1"/>
      <selection pane="bottomLeft" activeCell="A15" sqref="A15"/>
      <selection pane="bottomRight" activeCell="K17" sqref="K17"/>
    </sheetView>
  </sheetViews>
  <sheetFormatPr defaultColWidth="9.140625" defaultRowHeight="12.75" x14ac:dyDescent="0.2"/>
  <cols>
    <col min="1" max="1" width="2.28515625" style="103" customWidth="1"/>
    <col min="2" max="2" width="2.42578125" style="103" customWidth="1"/>
    <col min="3" max="3" width="2.140625" style="103" customWidth="1"/>
    <col min="4" max="4" width="1.42578125" style="103" customWidth="1"/>
    <col min="5" max="5" width="2.42578125" style="103" customWidth="1"/>
    <col min="6" max="6" width="44.7109375" style="103" customWidth="1"/>
    <col min="7" max="7" width="12" style="108" customWidth="1"/>
    <col min="8" max="8" width="13" style="108" customWidth="1"/>
    <col min="9" max="9" width="14.28515625" style="108" customWidth="1"/>
    <col min="10" max="10" width="10.5703125" style="108" customWidth="1"/>
    <col min="11" max="11" width="12.7109375" style="108" customWidth="1"/>
    <col min="12" max="12" width="14" style="108" customWidth="1"/>
    <col min="13" max="13" width="13" style="107" customWidth="1"/>
    <col min="14" max="14" width="6.7109375" style="106" customWidth="1"/>
    <col min="15" max="15" width="15.28515625" style="103" customWidth="1"/>
    <col min="16" max="16384" width="9.140625" style="103"/>
  </cols>
  <sheetData>
    <row r="1" spans="1:16" x14ac:dyDescent="0.2">
      <c r="A1" s="616" t="s">
        <v>1388</v>
      </c>
      <c r="B1" s="616"/>
      <c r="C1" s="616"/>
      <c r="D1" s="616"/>
      <c r="E1" s="616"/>
      <c r="F1" s="616"/>
      <c r="G1" s="616"/>
      <c r="H1" s="616"/>
      <c r="I1" s="616"/>
      <c r="J1" s="616"/>
      <c r="K1" s="616"/>
      <c r="L1" s="616"/>
      <c r="M1" s="616"/>
      <c r="N1" s="616"/>
    </row>
    <row r="2" spans="1:16" ht="12" customHeight="1" x14ac:dyDescent="0.2">
      <c r="A2" s="616" t="s">
        <v>1389</v>
      </c>
      <c r="B2" s="616"/>
      <c r="C2" s="616"/>
      <c r="D2" s="616"/>
      <c r="E2" s="616"/>
      <c r="F2" s="616"/>
      <c r="G2" s="616"/>
      <c r="H2" s="616"/>
      <c r="I2" s="616"/>
      <c r="J2" s="616"/>
      <c r="K2" s="616"/>
      <c r="L2" s="616"/>
      <c r="M2" s="616"/>
      <c r="N2" s="616"/>
    </row>
    <row r="3" spans="1:16" ht="15" customHeight="1" thickBot="1" x14ac:dyDescent="0.25"/>
    <row r="4" spans="1:16" s="104" customFormat="1" ht="68.25" customHeight="1" x14ac:dyDescent="0.2">
      <c r="A4" s="159" t="s">
        <v>156</v>
      </c>
      <c r="B4" s="158"/>
      <c r="C4" s="158"/>
      <c r="D4" s="158"/>
      <c r="E4" s="158"/>
      <c r="F4" s="158"/>
      <c r="G4" s="157" t="s">
        <v>1390</v>
      </c>
      <c r="H4" s="157" t="s">
        <v>1391</v>
      </c>
      <c r="I4" s="157" t="s">
        <v>1392</v>
      </c>
      <c r="J4" s="157" t="s">
        <v>1393</v>
      </c>
      <c r="K4" s="157" t="s">
        <v>1394</v>
      </c>
      <c r="L4" s="157" t="s">
        <v>1395</v>
      </c>
      <c r="M4" s="156" t="s">
        <v>1396</v>
      </c>
      <c r="N4" s="155" t="s">
        <v>172</v>
      </c>
      <c r="O4" s="258"/>
    </row>
    <row r="5" spans="1:16" x14ac:dyDescent="0.2">
      <c r="A5" s="154" t="s">
        <v>394</v>
      </c>
      <c r="B5" s="153" t="s">
        <v>1397</v>
      </c>
      <c r="C5" s="153"/>
      <c r="D5" s="153"/>
      <c r="E5" s="153"/>
      <c r="F5" s="152"/>
      <c r="G5" s="151">
        <v>40</v>
      </c>
      <c r="H5" s="151">
        <v>10</v>
      </c>
      <c r="I5" s="150">
        <f>G5*H5</f>
        <v>400</v>
      </c>
      <c r="J5" s="150">
        <f>I5</f>
        <v>400</v>
      </c>
      <c r="K5" s="150">
        <f>J5*0.05</f>
        <v>20</v>
      </c>
      <c r="L5" s="150">
        <f>J5*0.1</f>
        <v>40</v>
      </c>
      <c r="M5" s="149">
        <f>(J5*'Agency Base Data'!$D$6)+(K5*'Agency Base Data'!$D$4)+(L5*'Agency Base Data'!$D$5)</f>
        <v>21360.000000000004</v>
      </c>
      <c r="N5" s="260" t="s">
        <v>235</v>
      </c>
      <c r="O5" s="259"/>
    </row>
    <row r="6" spans="1:16" ht="25.5" customHeight="1" x14ac:dyDescent="0.2">
      <c r="A6" s="143" t="s">
        <v>397</v>
      </c>
      <c r="B6" s="617" t="s">
        <v>398</v>
      </c>
      <c r="C6" s="617"/>
      <c r="D6" s="617"/>
      <c r="E6" s="617"/>
      <c r="F6" s="617"/>
      <c r="G6" s="139">
        <v>2</v>
      </c>
      <c r="H6" s="138">
        <f>'Annual # of Respondents'!C7</f>
        <v>84</v>
      </c>
      <c r="I6" s="138">
        <f>G6*H6</f>
        <v>168</v>
      </c>
      <c r="J6" s="138">
        <f>I6</f>
        <v>168</v>
      </c>
      <c r="K6" s="138">
        <f>J6*0.05</f>
        <v>8.4</v>
      </c>
      <c r="L6" s="138">
        <f>J6*0.1</f>
        <v>16.8</v>
      </c>
      <c r="M6" s="137">
        <f>(J6*'Agency Base Data'!$D$6)+(K6*'Agency Base Data'!$D$4)+(L6*'Agency Base Data'!$D$5)</f>
        <v>8971.2000000000007</v>
      </c>
      <c r="N6" s="136" t="s">
        <v>237</v>
      </c>
      <c r="O6" s="259"/>
      <c r="P6" s="163"/>
    </row>
    <row r="7" spans="1:16" ht="15" customHeight="1" x14ac:dyDescent="0.2">
      <c r="A7" s="143" t="s">
        <v>399</v>
      </c>
      <c r="B7" s="142" t="s">
        <v>400</v>
      </c>
      <c r="C7" s="147"/>
      <c r="D7" s="145"/>
      <c r="E7" s="145"/>
      <c r="F7" s="144"/>
      <c r="G7" s="139"/>
      <c r="H7" s="139"/>
      <c r="I7" s="138"/>
      <c r="J7" s="138"/>
      <c r="K7" s="138"/>
      <c r="L7" s="138"/>
      <c r="M7" s="137"/>
      <c r="N7" s="136"/>
      <c r="O7" s="259"/>
    </row>
    <row r="8" spans="1:16" ht="15" customHeight="1" x14ac:dyDescent="0.2">
      <c r="A8" s="143"/>
      <c r="B8" s="142" t="s">
        <v>402</v>
      </c>
      <c r="C8" s="142" t="s">
        <v>403</v>
      </c>
      <c r="D8" s="145"/>
      <c r="E8" s="141"/>
      <c r="F8" s="144"/>
      <c r="G8" s="139">
        <v>12</v>
      </c>
      <c r="H8" s="138">
        <f>'Annual # of Respondents'!C13*0.2</f>
        <v>16.8</v>
      </c>
      <c r="I8" s="138">
        <f t="shared" ref="I8:I13" si="0">G8*H8</f>
        <v>201.60000000000002</v>
      </c>
      <c r="J8" s="138">
        <f t="shared" ref="J8:J13" si="1">I8</f>
        <v>201.60000000000002</v>
      </c>
      <c r="K8" s="138">
        <f t="shared" ref="K8:K13" si="2">J8*0.05</f>
        <v>10.080000000000002</v>
      </c>
      <c r="L8" s="138">
        <f t="shared" ref="L8:L13" si="3">J8*0.1</f>
        <v>20.160000000000004</v>
      </c>
      <c r="M8" s="137">
        <f>(J8*'Agency Base Data'!$D$6)+(K8*'Agency Base Data'!$D$4)+(L8*'Agency Base Data'!$D$5)</f>
        <v>10765.44</v>
      </c>
      <c r="N8" s="148" t="s">
        <v>1398</v>
      </c>
      <c r="O8" s="259"/>
      <c r="P8" s="163"/>
    </row>
    <row r="9" spans="1:16" ht="15" customHeight="1" x14ac:dyDescent="0.2">
      <c r="A9" s="143"/>
      <c r="B9" s="142" t="s">
        <v>404</v>
      </c>
      <c r="C9" s="142" t="s">
        <v>405</v>
      </c>
      <c r="D9" s="145"/>
      <c r="E9" s="141"/>
      <c r="F9" s="144"/>
      <c r="G9" s="139">
        <v>20</v>
      </c>
      <c r="H9" s="138">
        <f>'Annual # of Respondents'!C7*0.2</f>
        <v>16.8</v>
      </c>
      <c r="I9" s="138">
        <f t="shared" si="0"/>
        <v>336</v>
      </c>
      <c r="J9" s="138">
        <f t="shared" si="1"/>
        <v>336</v>
      </c>
      <c r="K9" s="138">
        <f t="shared" si="2"/>
        <v>16.8</v>
      </c>
      <c r="L9" s="138">
        <f t="shared" si="3"/>
        <v>33.6</v>
      </c>
      <c r="M9" s="137">
        <f>(J9*'Agency Base Data'!$D$6)+(K9*'Agency Base Data'!$D$4)+(L9*'Agency Base Data'!$D$5)+(H9*('Other Cost Basis'!B9+'Other Cost Basis'!B13+'Other Cost Basis'!B14))</f>
        <v>34977.600000000006</v>
      </c>
      <c r="N9" s="148" t="s">
        <v>239</v>
      </c>
      <c r="O9" s="259"/>
    </row>
    <row r="10" spans="1:16" ht="15" customHeight="1" x14ac:dyDescent="0.2">
      <c r="A10" s="143"/>
      <c r="B10" s="142" t="s">
        <v>406</v>
      </c>
      <c r="C10" s="142" t="s">
        <v>407</v>
      </c>
      <c r="D10" s="145"/>
      <c r="E10" s="141"/>
      <c r="F10" s="144"/>
      <c r="G10" s="139">
        <v>1</v>
      </c>
      <c r="H10" s="138">
        <f>'Annual # of Respondents'!C13</f>
        <v>84</v>
      </c>
      <c r="I10" s="138">
        <f t="shared" si="0"/>
        <v>84</v>
      </c>
      <c r="J10" s="138">
        <f t="shared" si="1"/>
        <v>84</v>
      </c>
      <c r="K10" s="138">
        <f t="shared" si="2"/>
        <v>4.2</v>
      </c>
      <c r="L10" s="138">
        <f t="shared" si="3"/>
        <v>8.4</v>
      </c>
      <c r="M10" s="137">
        <f>(J10*'Agency Base Data'!$D$6)+(K10*'Agency Base Data'!$D$4)+(L10*'Agency Base Data'!$D$5)</f>
        <v>4485.6000000000004</v>
      </c>
      <c r="N10" s="148" t="s">
        <v>179</v>
      </c>
      <c r="O10" s="259"/>
      <c r="P10" s="163"/>
    </row>
    <row r="11" spans="1:16" ht="15" customHeight="1" x14ac:dyDescent="0.2">
      <c r="A11" s="143"/>
      <c r="B11" s="142" t="s">
        <v>408</v>
      </c>
      <c r="C11" s="142" t="s">
        <v>409</v>
      </c>
      <c r="D11" s="145"/>
      <c r="E11" s="141"/>
      <c r="F11" s="144"/>
      <c r="G11" s="139">
        <v>1</v>
      </c>
      <c r="H11" s="138">
        <f>'Annual # of Respondents'!C7</f>
        <v>84</v>
      </c>
      <c r="I11" s="138">
        <f t="shared" si="0"/>
        <v>84</v>
      </c>
      <c r="J11" s="138">
        <f t="shared" si="1"/>
        <v>84</v>
      </c>
      <c r="K11" s="138">
        <f t="shared" si="2"/>
        <v>4.2</v>
      </c>
      <c r="L11" s="138">
        <f t="shared" si="3"/>
        <v>8.4</v>
      </c>
      <c r="M11" s="137">
        <f>(J11*'Agency Base Data'!$D$6)+(K11*'Agency Base Data'!$D$4)+(L11*'Agency Base Data'!$D$5)</f>
        <v>4485.6000000000004</v>
      </c>
      <c r="N11" s="148" t="s">
        <v>242</v>
      </c>
      <c r="O11" s="259"/>
    </row>
    <row r="12" spans="1:16" ht="15" customHeight="1" x14ac:dyDescent="0.2">
      <c r="A12" s="143"/>
      <c r="B12" s="142" t="s">
        <v>410</v>
      </c>
      <c r="C12" s="142" t="s">
        <v>411</v>
      </c>
      <c r="D12" s="145"/>
      <c r="E12" s="141"/>
      <c r="F12" s="144"/>
      <c r="G12" s="139">
        <v>2</v>
      </c>
      <c r="H12" s="138">
        <f>'Annual # of Respondents'!C13</f>
        <v>84</v>
      </c>
      <c r="I12" s="138">
        <f t="shared" si="0"/>
        <v>168</v>
      </c>
      <c r="J12" s="138">
        <f t="shared" si="1"/>
        <v>168</v>
      </c>
      <c r="K12" s="138">
        <f t="shared" si="2"/>
        <v>8.4</v>
      </c>
      <c r="L12" s="138">
        <f t="shared" si="3"/>
        <v>16.8</v>
      </c>
      <c r="M12" s="137">
        <f>(J12*'Agency Base Data'!$D$6)+(K12*'Agency Base Data'!$D$4)+(L12*'Agency Base Data'!$D$5)</f>
        <v>8971.2000000000007</v>
      </c>
      <c r="N12" s="148" t="s">
        <v>179</v>
      </c>
      <c r="O12" s="259"/>
      <c r="P12" s="163"/>
    </row>
    <row r="13" spans="1:16" ht="15" customHeight="1" x14ac:dyDescent="0.2">
      <c r="A13" s="143" t="s">
        <v>412</v>
      </c>
      <c r="B13" s="142" t="s">
        <v>413</v>
      </c>
      <c r="C13" s="142"/>
      <c r="D13" s="145"/>
      <c r="E13" s="141"/>
      <c r="F13" s="144"/>
      <c r="G13" s="139">
        <v>24</v>
      </c>
      <c r="H13" s="138">
        <f>H12*0.1</f>
        <v>8.4</v>
      </c>
      <c r="I13" s="138">
        <f t="shared" si="0"/>
        <v>201.60000000000002</v>
      </c>
      <c r="J13" s="138">
        <f t="shared" si="1"/>
        <v>201.60000000000002</v>
      </c>
      <c r="K13" s="138">
        <f t="shared" si="2"/>
        <v>10.080000000000002</v>
      </c>
      <c r="L13" s="138">
        <f t="shared" si="3"/>
        <v>20.160000000000004</v>
      </c>
      <c r="M13" s="137">
        <f>(J13*'Agency Base Data'!$D$6)+(K13*'Agency Base Data'!$D$4)+(L13*'Agency Base Data'!$D$5)</f>
        <v>10765.44</v>
      </c>
      <c r="N13" s="148" t="s">
        <v>204</v>
      </c>
      <c r="O13" s="259"/>
    </row>
    <row r="14" spans="1:16" ht="15.75" customHeight="1" x14ac:dyDescent="0.2">
      <c r="A14" s="143" t="s">
        <v>1399</v>
      </c>
      <c r="B14" s="142" t="s">
        <v>1400</v>
      </c>
      <c r="C14" s="147"/>
      <c r="D14" s="146"/>
      <c r="E14" s="141"/>
      <c r="F14" s="144"/>
      <c r="G14" s="139"/>
      <c r="H14" s="138"/>
      <c r="I14" s="138"/>
      <c r="J14" s="138"/>
      <c r="K14" s="138"/>
      <c r="L14" s="138"/>
      <c r="M14" s="137"/>
      <c r="N14" s="136"/>
      <c r="O14" s="259"/>
    </row>
    <row r="15" spans="1:16" x14ac:dyDescent="0.2">
      <c r="A15" s="143"/>
      <c r="B15" s="142" t="s">
        <v>402</v>
      </c>
      <c r="C15" s="617" t="s">
        <v>417</v>
      </c>
      <c r="D15" s="617"/>
      <c r="E15" s="617"/>
      <c r="F15" s="617"/>
      <c r="G15" s="139">
        <v>2</v>
      </c>
      <c r="H15" s="138">
        <v>0</v>
      </c>
      <c r="I15" s="138">
        <f t="shared" ref="I15:I20" si="4">G15*H15</f>
        <v>0</v>
      </c>
      <c r="J15" s="138">
        <f t="shared" ref="J15:J20" si="5">I15</f>
        <v>0</v>
      </c>
      <c r="K15" s="138">
        <f t="shared" ref="K15:K20" si="6">J15*0.05</f>
        <v>0</v>
      </c>
      <c r="L15" s="138">
        <f t="shared" ref="L15:L20" si="7">J15*0.1</f>
        <v>0</v>
      </c>
      <c r="M15" s="137">
        <f>(J15*'Agency Base Data'!$D$6)+(K15*'Agency Base Data'!$D$4)+(L15*'Agency Base Data'!$D$5)</f>
        <v>0</v>
      </c>
      <c r="N15" s="148" t="s">
        <v>245</v>
      </c>
      <c r="O15" s="259"/>
    </row>
    <row r="16" spans="1:16" ht="15" customHeight="1" x14ac:dyDescent="0.2">
      <c r="A16" s="143" t="s">
        <v>1401</v>
      </c>
      <c r="B16" s="142" t="s">
        <v>415</v>
      </c>
      <c r="C16" s="142"/>
      <c r="D16" s="145"/>
      <c r="E16" s="141"/>
      <c r="F16" s="144"/>
      <c r="G16" s="139"/>
      <c r="H16" s="138"/>
      <c r="I16" s="138"/>
      <c r="J16" s="138"/>
      <c r="K16" s="138"/>
      <c r="L16" s="138"/>
      <c r="M16" s="137"/>
      <c r="N16" s="136"/>
      <c r="O16" s="259"/>
    </row>
    <row r="17" spans="1:20" ht="15" customHeight="1" x14ac:dyDescent="0.2">
      <c r="A17" s="143"/>
      <c r="B17" s="142" t="s">
        <v>402</v>
      </c>
      <c r="C17" s="142" t="s">
        <v>416</v>
      </c>
      <c r="D17" s="142"/>
      <c r="E17" s="141"/>
      <c r="F17" s="144"/>
      <c r="G17" s="139">
        <v>1</v>
      </c>
      <c r="H17" s="138">
        <f>'Annual # of Respondents'!C4</f>
        <v>9</v>
      </c>
      <c r="I17" s="138">
        <f t="shared" si="4"/>
        <v>9</v>
      </c>
      <c r="J17" s="138">
        <f t="shared" si="5"/>
        <v>9</v>
      </c>
      <c r="K17" s="138">
        <f t="shared" si="6"/>
        <v>0.45</v>
      </c>
      <c r="L17" s="138">
        <f t="shared" si="7"/>
        <v>0.9</v>
      </c>
      <c r="M17" s="137">
        <f>(J17*'Agency Base Data'!$D$6)+(K17*'Agency Base Data'!$D$4)+(L17*'Agency Base Data'!$D$5)</f>
        <v>480.6</v>
      </c>
      <c r="N17" s="148" t="s">
        <v>192</v>
      </c>
      <c r="O17" s="259"/>
      <c r="P17" s="163"/>
    </row>
    <row r="18" spans="1:20" ht="15" customHeight="1" x14ac:dyDescent="0.2">
      <c r="A18" s="143"/>
      <c r="B18" s="142" t="s">
        <v>404</v>
      </c>
      <c r="C18" s="142" t="s">
        <v>418</v>
      </c>
      <c r="D18" s="142"/>
      <c r="E18" s="141"/>
      <c r="F18" s="144"/>
      <c r="G18" s="139">
        <v>2</v>
      </c>
      <c r="H18" s="138">
        <f>'Annual # of Respondents'!C9+'Annual # of Respondents'!C10</f>
        <v>33</v>
      </c>
      <c r="I18" s="138">
        <f t="shared" si="4"/>
        <v>66</v>
      </c>
      <c r="J18" s="138">
        <f t="shared" si="5"/>
        <v>66</v>
      </c>
      <c r="K18" s="138">
        <f t="shared" si="6"/>
        <v>3.3000000000000003</v>
      </c>
      <c r="L18" s="138">
        <f t="shared" si="7"/>
        <v>6.6000000000000005</v>
      </c>
      <c r="M18" s="137">
        <f>(J18*'Agency Base Data'!$D$6)+(K18*'Agency Base Data'!$D$4)+(L18*'Agency Base Data'!$D$5)</f>
        <v>3524.4</v>
      </c>
      <c r="N18" s="148" t="s">
        <v>194</v>
      </c>
      <c r="O18" s="259"/>
    </row>
    <row r="19" spans="1:20" ht="15" customHeight="1" x14ac:dyDescent="0.2">
      <c r="A19" s="143"/>
      <c r="B19" s="142" t="s">
        <v>406</v>
      </c>
      <c r="C19" s="142" t="s">
        <v>419</v>
      </c>
      <c r="D19" s="165"/>
      <c r="E19" s="165"/>
      <c r="F19" s="166"/>
      <c r="G19" s="139">
        <v>1</v>
      </c>
      <c r="H19" s="138">
        <v>0</v>
      </c>
      <c r="I19" s="138">
        <f t="shared" si="4"/>
        <v>0</v>
      </c>
      <c r="J19" s="138">
        <f t="shared" si="5"/>
        <v>0</v>
      </c>
      <c r="K19" s="138">
        <f t="shared" si="6"/>
        <v>0</v>
      </c>
      <c r="L19" s="138">
        <f t="shared" si="7"/>
        <v>0</v>
      </c>
      <c r="M19" s="137">
        <f>(J19*'Agency Base Data'!$D$6)+(K19*'Agency Base Data'!$D$4)+(L19*'Agency Base Data'!$D$5)</f>
        <v>0</v>
      </c>
      <c r="N19" s="148" t="s">
        <v>196</v>
      </c>
      <c r="O19" s="259"/>
    </row>
    <row r="20" spans="1:20" ht="15" customHeight="1" x14ac:dyDescent="0.2">
      <c r="A20" s="143"/>
      <c r="B20" s="142" t="s">
        <v>408</v>
      </c>
      <c r="C20" s="164" t="s">
        <v>420</v>
      </c>
      <c r="G20" s="139">
        <v>1</v>
      </c>
      <c r="H20" s="138">
        <v>0</v>
      </c>
      <c r="I20" s="138">
        <f t="shared" si="4"/>
        <v>0</v>
      </c>
      <c r="J20" s="138">
        <f t="shared" si="5"/>
        <v>0</v>
      </c>
      <c r="K20" s="138">
        <f t="shared" si="6"/>
        <v>0</v>
      </c>
      <c r="L20" s="138">
        <f t="shared" si="7"/>
        <v>0</v>
      </c>
      <c r="M20" s="137">
        <f>(J20*'Agency Base Data'!$D$6)+(K20*'Agency Base Data'!$D$4)+(L20*'Agency Base Data'!$D$5)</f>
        <v>0</v>
      </c>
      <c r="N20" s="148" t="s">
        <v>196</v>
      </c>
      <c r="O20" s="259"/>
    </row>
    <row r="21" spans="1:20" ht="15" customHeight="1" x14ac:dyDescent="0.2">
      <c r="A21" s="143"/>
      <c r="B21" s="142" t="s">
        <v>410</v>
      </c>
      <c r="C21" s="142" t="s">
        <v>422</v>
      </c>
      <c r="D21" s="142"/>
      <c r="E21" s="141"/>
      <c r="F21" s="144"/>
      <c r="G21" s="139">
        <v>15</v>
      </c>
      <c r="H21" s="138">
        <f>'Annual # of Respondents'!C13</f>
        <v>84</v>
      </c>
      <c r="I21" s="138">
        <f>G21*H21</f>
        <v>1260</v>
      </c>
      <c r="J21" s="138">
        <f>I21</f>
        <v>1260</v>
      </c>
      <c r="K21" s="138">
        <f>J21*0.05</f>
        <v>63</v>
      </c>
      <c r="L21" s="138">
        <f>J21*0.1</f>
        <v>126</v>
      </c>
      <c r="M21" s="137">
        <f>(J21*'Agency Base Data'!$D$6)+(K21*'Agency Base Data'!$D$4)+(L21*'Agency Base Data'!$D$5)</f>
        <v>67284</v>
      </c>
      <c r="N21" s="148" t="s">
        <v>179</v>
      </c>
      <c r="O21" s="259"/>
      <c r="P21" s="163"/>
    </row>
    <row r="22" spans="1:20" ht="15" customHeight="1" x14ac:dyDescent="0.2">
      <c r="A22" s="143"/>
      <c r="B22" s="142" t="s">
        <v>421</v>
      </c>
      <c r="C22" s="142" t="s">
        <v>425</v>
      </c>
      <c r="D22" s="142"/>
      <c r="E22" s="141"/>
      <c r="F22" s="144"/>
      <c r="G22" s="139">
        <v>5</v>
      </c>
      <c r="H22" s="138">
        <f>'Annual # of Respondents'!C13*0.1</f>
        <v>8.4</v>
      </c>
      <c r="I22" s="138">
        <f>G22*H22</f>
        <v>42</v>
      </c>
      <c r="J22" s="138">
        <f>I22</f>
        <v>42</v>
      </c>
      <c r="K22" s="138">
        <f>J22*0.05</f>
        <v>2.1</v>
      </c>
      <c r="L22" s="138">
        <f>J22*0.1</f>
        <v>4.2</v>
      </c>
      <c r="M22" s="137">
        <f>(J22*'Agency Base Data'!$D$6)+(K22*'Agency Base Data'!$D$4)+(L22*'Agency Base Data'!$D$5)</f>
        <v>2242.8000000000002</v>
      </c>
      <c r="N22" s="148" t="s">
        <v>250</v>
      </c>
      <c r="O22" s="259"/>
    </row>
    <row r="23" spans="1:20" ht="15" customHeight="1" x14ac:dyDescent="0.2">
      <c r="A23" s="143"/>
      <c r="B23" s="142" t="s">
        <v>424</v>
      </c>
      <c r="C23" s="142" t="s">
        <v>1402</v>
      </c>
      <c r="D23" s="142"/>
      <c r="E23" s="141"/>
      <c r="F23" s="140"/>
      <c r="G23" s="139">
        <v>12</v>
      </c>
      <c r="H23" s="138">
        <f>H$12</f>
        <v>84</v>
      </c>
      <c r="I23" s="138">
        <f>G23*H23</f>
        <v>1008</v>
      </c>
      <c r="J23" s="138">
        <f>I23</f>
        <v>1008</v>
      </c>
      <c r="K23" s="138">
        <f>J23*0.05</f>
        <v>50.400000000000006</v>
      </c>
      <c r="L23" s="138">
        <f>J23*0.1</f>
        <v>100.80000000000001</v>
      </c>
      <c r="M23" s="137">
        <f>(J23*'Agency Base Data'!$D$6)+(K23*'Agency Base Data'!$D$4)+(L23*'Agency Base Data'!$D$5)</f>
        <v>53827.199999999997</v>
      </c>
      <c r="N23" s="148" t="s">
        <v>179</v>
      </c>
      <c r="O23" s="259"/>
      <c r="P23" s="163"/>
    </row>
    <row r="24" spans="1:20" ht="15" customHeight="1" x14ac:dyDescent="0.2">
      <c r="A24" s="143"/>
      <c r="B24" s="142" t="s">
        <v>426</v>
      </c>
      <c r="C24" s="142" t="s">
        <v>429</v>
      </c>
      <c r="D24" s="142"/>
      <c r="E24" s="141"/>
      <c r="F24" s="140"/>
      <c r="G24" s="139">
        <v>2</v>
      </c>
      <c r="H24" s="138">
        <f>H$11</f>
        <v>84</v>
      </c>
      <c r="I24" s="138">
        <f>G24*H24</f>
        <v>168</v>
      </c>
      <c r="J24" s="138">
        <f>I24</f>
        <v>168</v>
      </c>
      <c r="K24" s="138">
        <f>J24*0.05</f>
        <v>8.4</v>
      </c>
      <c r="L24" s="138">
        <f>J24*0.1</f>
        <v>16.8</v>
      </c>
      <c r="M24" s="137">
        <f>(J24*'Agency Base Data'!$D$6)+(K24*'Agency Base Data'!$D$4)+(L24*'Agency Base Data'!$D$5)</f>
        <v>8971.2000000000007</v>
      </c>
      <c r="N24" s="148"/>
    </row>
    <row r="25" spans="1:20" ht="15" customHeight="1" x14ac:dyDescent="0.2">
      <c r="A25" s="314"/>
      <c r="B25" s="142" t="s">
        <v>428</v>
      </c>
      <c r="C25" s="316" t="s">
        <v>431</v>
      </c>
      <c r="D25" s="316"/>
      <c r="E25" s="354"/>
      <c r="F25" s="355"/>
      <c r="G25" s="356">
        <f>15*0.25</f>
        <v>3.75</v>
      </c>
      <c r="H25" s="357">
        <f>('1.A-Public'!F26*'1.A-Public'!I26)+('1.B-Priv'!F26*'1.B-Priv'!I26)</f>
        <v>2</v>
      </c>
      <c r="I25" s="138">
        <f t="shared" ref="I25:I27" si="8">G25*H25</f>
        <v>7.5</v>
      </c>
      <c r="J25" s="138">
        <f t="shared" ref="J25:J27" si="9">I25</f>
        <v>7.5</v>
      </c>
      <c r="K25" s="138">
        <f t="shared" ref="K25:K27" si="10">J25*0.05</f>
        <v>0.375</v>
      </c>
      <c r="L25" s="138">
        <f t="shared" ref="L25:L27" si="11">J25*0.1</f>
        <v>0.75</v>
      </c>
      <c r="M25" s="137">
        <f>(J25*'Agency Base Data'!$D$6)+(K25*'Agency Base Data'!$D$4)+(L25*'Agency Base Data'!$D$5)</f>
        <v>400.5</v>
      </c>
      <c r="N25" s="315" t="s">
        <v>206</v>
      </c>
    </row>
    <row r="26" spans="1:20" ht="15" customHeight="1" x14ac:dyDescent="0.2">
      <c r="A26" s="314"/>
      <c r="B26" s="142" t="s">
        <v>430</v>
      </c>
      <c r="C26" s="316" t="s">
        <v>433</v>
      </c>
      <c r="D26" s="316"/>
      <c r="E26" s="354"/>
      <c r="F26" s="355"/>
      <c r="G26" s="356">
        <f t="shared" ref="G26:G27" si="12">15*0.25</f>
        <v>3.75</v>
      </c>
      <c r="H26" s="357">
        <f>('1.A-Public'!F27*'1.A-Public'!I27)+('1.B-Priv'!F27*'1.B-Priv'!I27)</f>
        <v>2</v>
      </c>
      <c r="I26" s="138">
        <f t="shared" si="8"/>
        <v>7.5</v>
      </c>
      <c r="J26" s="138">
        <f t="shared" si="9"/>
        <v>7.5</v>
      </c>
      <c r="K26" s="138">
        <f t="shared" si="10"/>
        <v>0.375</v>
      </c>
      <c r="L26" s="138">
        <f t="shared" si="11"/>
        <v>0.75</v>
      </c>
      <c r="M26" s="137">
        <f>(J26*'Agency Base Data'!$D$6)+(K26*'Agency Base Data'!$D$4)+(L26*'Agency Base Data'!$D$5)</f>
        <v>400.5</v>
      </c>
      <c r="N26" s="315" t="s">
        <v>206</v>
      </c>
    </row>
    <row r="27" spans="1:20" ht="15" customHeight="1" x14ac:dyDescent="0.2">
      <c r="A27" s="314"/>
      <c r="B27" s="142" t="s">
        <v>432</v>
      </c>
      <c r="C27" s="316" t="s">
        <v>435</v>
      </c>
      <c r="D27" s="316"/>
      <c r="E27" s="354"/>
      <c r="F27" s="355"/>
      <c r="G27" s="356">
        <f t="shared" si="12"/>
        <v>3.75</v>
      </c>
      <c r="H27" s="357">
        <f>('1.A-Public'!F28*'1.A-Public'!I28)+('1.B-Priv'!F28*'1.B-Priv'!I28)</f>
        <v>2</v>
      </c>
      <c r="I27" s="138">
        <f t="shared" si="8"/>
        <v>7.5</v>
      </c>
      <c r="J27" s="138">
        <f t="shared" si="9"/>
        <v>7.5</v>
      </c>
      <c r="K27" s="138">
        <f t="shared" si="10"/>
        <v>0.375</v>
      </c>
      <c r="L27" s="138">
        <f t="shared" si="11"/>
        <v>0.75</v>
      </c>
      <c r="M27" s="137">
        <f>(J27*'Agency Base Data'!$D$6)+(K27*'Agency Base Data'!$D$4)+(L27*'Agency Base Data'!$D$5)</f>
        <v>400.5</v>
      </c>
      <c r="N27" s="315" t="s">
        <v>206</v>
      </c>
    </row>
    <row r="28" spans="1:20" ht="15" customHeight="1" x14ac:dyDescent="0.2">
      <c r="A28" s="314"/>
      <c r="B28" s="316" t="s">
        <v>434</v>
      </c>
      <c r="C28" s="316" t="s">
        <v>437</v>
      </c>
      <c r="D28" s="316"/>
      <c r="E28" s="354"/>
      <c r="F28" s="355"/>
      <c r="G28" s="356">
        <v>2</v>
      </c>
      <c r="H28" s="357">
        <f>'Annual # of Respondents'!C5</f>
        <v>32</v>
      </c>
      <c r="I28" s="138">
        <f>G28*H28</f>
        <v>64</v>
      </c>
      <c r="J28" s="138">
        <f>I28</f>
        <v>64</v>
      </c>
      <c r="K28" s="138">
        <f>J28*0.05</f>
        <v>3.2</v>
      </c>
      <c r="L28" s="138">
        <f>J28*0.1</f>
        <v>6.4</v>
      </c>
      <c r="M28" s="137">
        <f>(J28*'Agency Base Data'!$D$6)+(K28*'Agency Base Data'!$D$4)+(L28*'Agency Base Data'!$D$5)</f>
        <v>3417.6</v>
      </c>
      <c r="N28" s="315" t="s">
        <v>210</v>
      </c>
    </row>
    <row r="29" spans="1:20" ht="24.75" customHeight="1" thickBot="1" x14ac:dyDescent="0.25">
      <c r="A29" s="135" t="s">
        <v>438</v>
      </c>
      <c r="B29" s="134" t="s">
        <v>439</v>
      </c>
      <c r="C29" s="133"/>
      <c r="D29" s="132"/>
      <c r="E29" s="132"/>
      <c r="F29" s="118"/>
      <c r="G29" s="612" t="s">
        <v>440</v>
      </c>
      <c r="H29" s="613"/>
      <c r="I29" s="613"/>
      <c r="J29" s="614"/>
      <c r="K29" s="131"/>
      <c r="L29" s="116"/>
      <c r="M29" s="130">
        <f>(('Agency Base Data'!$C$14*('Agency Base Data'!$C$11+'Agency Base Data'!$C$12))+'Agency Base Data'!$C$13)*SUM(H8:H9)</f>
        <v>37900.800000000003</v>
      </c>
      <c r="N29" s="170" t="s">
        <v>253</v>
      </c>
      <c r="P29" s="109"/>
    </row>
    <row r="30" spans="1:20" x14ac:dyDescent="0.2">
      <c r="A30" s="129" t="s">
        <v>1403</v>
      </c>
      <c r="B30" s="127"/>
      <c r="C30" s="128"/>
      <c r="D30" s="127"/>
      <c r="E30" s="126"/>
      <c r="F30" s="125"/>
      <c r="G30" s="124"/>
      <c r="H30" s="124"/>
      <c r="I30" s="124"/>
      <c r="J30" s="123">
        <f>SUM(J5:J29)</f>
        <v>4282.7</v>
      </c>
      <c r="K30" s="123">
        <f>SUM(K5:K29)</f>
        <v>214.13500000000002</v>
      </c>
      <c r="L30" s="123">
        <f>SUM(L5:L29)</f>
        <v>428.27000000000004</v>
      </c>
      <c r="M30" s="122">
        <f>SUM(M5:M29)</f>
        <v>283632.18000000005</v>
      </c>
      <c r="N30" s="121"/>
      <c r="O30" s="109"/>
      <c r="P30" s="109"/>
      <c r="Q30" s="109"/>
      <c r="R30" s="109"/>
      <c r="S30" s="109"/>
      <c r="T30" s="109"/>
    </row>
    <row r="31" spans="1:20" ht="13.5" thickBot="1" x14ac:dyDescent="0.25">
      <c r="A31" s="120" t="s">
        <v>1404</v>
      </c>
      <c r="B31" s="119"/>
      <c r="C31" s="119"/>
      <c r="D31" s="119"/>
      <c r="E31" s="119"/>
      <c r="F31" s="119"/>
      <c r="G31" s="118"/>
      <c r="H31" s="118"/>
      <c r="I31" s="118"/>
      <c r="J31" s="117"/>
      <c r="K31" s="116"/>
      <c r="L31" s="115">
        <f>(SUM(J5:J29))+(SUM(K5:K29))+(SUM(L5:L29))</f>
        <v>4925.1050000000005</v>
      </c>
      <c r="M31" s="114"/>
      <c r="N31" s="113"/>
      <c r="O31" s="109"/>
      <c r="P31" s="109"/>
      <c r="Q31" s="109"/>
      <c r="R31" s="109"/>
      <c r="S31" s="109"/>
      <c r="T31" s="109"/>
    </row>
    <row r="32" spans="1:20" ht="6.75" customHeight="1" x14ac:dyDescent="0.2">
      <c r="G32" s="103"/>
      <c r="H32" s="103"/>
      <c r="I32" s="103"/>
      <c r="O32" s="109"/>
      <c r="P32" s="109"/>
      <c r="Q32" s="109"/>
      <c r="R32" s="109"/>
      <c r="S32" s="109"/>
      <c r="T32" s="109"/>
    </row>
    <row r="33" spans="1:20" s="109" customFormat="1" ht="11.25" x14ac:dyDescent="0.2">
      <c r="A33" s="109" t="s">
        <v>1405</v>
      </c>
      <c r="J33" s="112"/>
      <c r="K33" s="112"/>
      <c r="L33" s="112"/>
      <c r="M33" s="111"/>
      <c r="N33" s="110"/>
    </row>
    <row r="34" spans="1:20" s="109" customFormat="1" x14ac:dyDescent="0.2">
      <c r="A34" s="611" t="s">
        <v>1406</v>
      </c>
      <c r="B34" s="611"/>
      <c r="C34" s="611"/>
      <c r="D34" s="611"/>
      <c r="E34" s="611"/>
      <c r="F34" s="611"/>
      <c r="G34" s="611"/>
      <c r="H34" s="611"/>
      <c r="I34" s="611"/>
      <c r="J34" s="611"/>
      <c r="K34" s="611"/>
      <c r="L34" s="611"/>
      <c r="M34" s="611"/>
      <c r="N34" s="611"/>
      <c r="P34" s="103"/>
      <c r="Q34" s="103"/>
      <c r="R34" s="103"/>
    </row>
    <row r="35" spans="1:20" s="109" customFormat="1" ht="25.5" customHeight="1" x14ac:dyDescent="0.2">
      <c r="A35" s="615" t="s">
        <v>1407</v>
      </c>
      <c r="B35" s="615"/>
      <c r="C35" s="615"/>
      <c r="D35" s="615"/>
      <c r="E35" s="615"/>
      <c r="F35" s="615"/>
      <c r="G35" s="615"/>
      <c r="H35" s="615"/>
      <c r="I35" s="615"/>
      <c r="J35" s="615"/>
      <c r="K35" s="615"/>
      <c r="L35" s="615"/>
      <c r="M35" s="615"/>
      <c r="N35" s="615"/>
      <c r="P35" s="103"/>
      <c r="Q35" s="103"/>
      <c r="R35" s="103"/>
      <c r="S35" s="103"/>
      <c r="T35" s="103"/>
    </row>
    <row r="36" spans="1:20" s="109" customFormat="1" ht="11.25" x14ac:dyDescent="0.2">
      <c r="A36" s="611" t="s">
        <v>1408</v>
      </c>
      <c r="B36" s="611"/>
      <c r="C36" s="611"/>
      <c r="D36" s="611"/>
      <c r="E36" s="611"/>
      <c r="F36" s="611"/>
      <c r="G36" s="611"/>
      <c r="H36" s="611"/>
      <c r="I36" s="611"/>
      <c r="J36" s="611"/>
      <c r="K36" s="611"/>
      <c r="L36" s="611"/>
      <c r="M36" s="611"/>
      <c r="N36" s="611"/>
      <c r="O36" s="256"/>
    </row>
    <row r="37" spans="1:20" x14ac:dyDescent="0.2">
      <c r="A37" s="611" t="s">
        <v>1409</v>
      </c>
      <c r="B37" s="611"/>
      <c r="C37" s="611"/>
      <c r="D37" s="611"/>
      <c r="E37" s="611"/>
      <c r="F37" s="611"/>
      <c r="G37" s="611"/>
      <c r="H37" s="611"/>
      <c r="I37" s="611"/>
      <c r="J37" s="611"/>
      <c r="K37" s="611"/>
      <c r="L37" s="611"/>
      <c r="M37" s="611"/>
      <c r="N37" s="611"/>
      <c r="O37" s="256"/>
    </row>
    <row r="38" spans="1:20" s="109" customFormat="1" ht="12.75" customHeight="1" x14ac:dyDescent="0.2">
      <c r="A38" s="109" t="s">
        <v>1410</v>
      </c>
    </row>
    <row r="39" spans="1:20" s="109" customFormat="1" ht="12.75" customHeight="1" x14ac:dyDescent="0.2">
      <c r="A39" s="109" t="s">
        <v>1411</v>
      </c>
    </row>
    <row r="40" spans="1:20" s="109" customFormat="1" ht="21.75" customHeight="1" x14ac:dyDescent="0.2">
      <c r="A40" s="611" t="s">
        <v>1412</v>
      </c>
      <c r="B40" s="611"/>
      <c r="C40" s="611"/>
      <c r="D40" s="611"/>
      <c r="E40" s="611"/>
      <c r="F40" s="611"/>
      <c r="G40" s="611"/>
      <c r="H40" s="611"/>
      <c r="I40" s="611"/>
      <c r="J40" s="611"/>
      <c r="K40" s="611"/>
      <c r="L40" s="611"/>
      <c r="M40" s="611"/>
      <c r="N40" s="611"/>
      <c r="O40" s="256"/>
    </row>
    <row r="41" spans="1:20" s="109" customFormat="1" ht="11.25" customHeight="1" x14ac:dyDescent="0.2">
      <c r="A41" s="109" t="s">
        <v>1413</v>
      </c>
      <c r="J41" s="112"/>
      <c r="K41" s="112"/>
      <c r="L41" s="112"/>
      <c r="M41" s="111"/>
      <c r="N41" s="110"/>
      <c r="O41" s="103"/>
    </row>
    <row r="42" spans="1:20" x14ac:dyDescent="0.2">
      <c r="A42" s="109" t="s">
        <v>1414</v>
      </c>
      <c r="B42" s="163"/>
      <c r="C42" s="163"/>
      <c r="D42" s="163"/>
      <c r="E42" s="163"/>
      <c r="F42" s="163"/>
      <c r="G42" s="163"/>
      <c r="H42" s="163"/>
      <c r="I42" s="163"/>
      <c r="J42" s="261"/>
      <c r="K42" s="261"/>
      <c r="L42" s="261"/>
      <c r="M42" s="262"/>
      <c r="N42" s="263"/>
    </row>
    <row r="43" spans="1:20" x14ac:dyDescent="0.2">
      <c r="A43" s="109" t="s">
        <v>1415</v>
      </c>
      <c r="B43" s="163"/>
      <c r="C43" s="163"/>
      <c r="D43" s="163"/>
      <c r="E43" s="163"/>
      <c r="F43" s="163"/>
      <c r="G43" s="163"/>
      <c r="H43" s="163"/>
      <c r="I43" s="163"/>
      <c r="J43" s="261"/>
      <c r="K43" s="261"/>
      <c r="L43" s="261"/>
      <c r="M43" s="262"/>
      <c r="N43" s="263"/>
    </row>
    <row r="44" spans="1:20" ht="34.5" customHeight="1" x14ac:dyDescent="0.2">
      <c r="A44" s="611" t="s">
        <v>1416</v>
      </c>
      <c r="B44" s="611"/>
      <c r="C44" s="611"/>
      <c r="D44" s="611"/>
      <c r="E44" s="611"/>
      <c r="F44" s="611"/>
      <c r="G44" s="611"/>
      <c r="H44" s="611"/>
      <c r="I44" s="611"/>
      <c r="J44" s="611"/>
      <c r="K44" s="611"/>
      <c r="L44" s="611"/>
      <c r="M44" s="611"/>
      <c r="N44" s="611"/>
    </row>
    <row r="45" spans="1:20" ht="23.25" customHeight="1" x14ac:dyDescent="0.2">
      <c r="A45" s="611" t="s">
        <v>1417</v>
      </c>
      <c r="B45" s="611"/>
      <c r="C45" s="611"/>
      <c r="D45" s="611"/>
      <c r="E45" s="611"/>
      <c r="F45" s="611"/>
      <c r="G45" s="611"/>
      <c r="H45" s="611"/>
      <c r="I45" s="611"/>
      <c r="J45" s="611"/>
      <c r="K45" s="611"/>
      <c r="L45" s="611"/>
      <c r="M45" s="611"/>
      <c r="N45" s="611"/>
    </row>
    <row r="46" spans="1:20" x14ac:dyDescent="0.2">
      <c r="A46" s="611" t="s">
        <v>1418</v>
      </c>
      <c r="B46" s="611"/>
      <c r="C46" s="611"/>
      <c r="D46" s="611"/>
      <c r="E46" s="611"/>
      <c r="F46" s="611"/>
      <c r="G46" s="611"/>
      <c r="H46" s="611"/>
      <c r="I46" s="611"/>
      <c r="J46" s="611"/>
      <c r="K46" s="611"/>
      <c r="L46" s="611"/>
      <c r="M46" s="611"/>
      <c r="N46" s="611"/>
      <c r="O46" s="611"/>
      <c r="P46" s="611"/>
      <c r="Q46" s="611"/>
      <c r="R46" s="611"/>
    </row>
    <row r="47" spans="1:20" ht="24" customHeight="1" x14ac:dyDescent="0.2">
      <c r="A47" s="611" t="s">
        <v>1419</v>
      </c>
      <c r="B47" s="611"/>
      <c r="C47" s="611"/>
      <c r="D47" s="611"/>
      <c r="E47" s="611"/>
      <c r="F47" s="611"/>
      <c r="G47" s="611"/>
      <c r="H47" s="611"/>
      <c r="I47" s="611"/>
      <c r="J47" s="611"/>
      <c r="K47" s="611"/>
      <c r="L47" s="611"/>
      <c r="M47" s="611"/>
      <c r="N47" s="611"/>
    </row>
    <row r="49" spans="1:10" x14ac:dyDescent="0.2">
      <c r="A49" s="109"/>
    </row>
    <row r="50" spans="1:10" x14ac:dyDescent="0.2">
      <c r="A50" s="109"/>
    </row>
    <row r="52" spans="1:10" x14ac:dyDescent="0.2">
      <c r="J52" s="107"/>
    </row>
    <row r="54" spans="1:10" x14ac:dyDescent="0.2">
      <c r="G54" s="358"/>
      <c r="H54" s="358"/>
      <c r="J54" s="107"/>
    </row>
    <row r="55" spans="1:10" x14ac:dyDescent="0.2">
      <c r="G55" s="358"/>
      <c r="H55" s="358"/>
    </row>
    <row r="56" spans="1:10" x14ac:dyDescent="0.2">
      <c r="G56" s="358"/>
      <c r="H56" s="358"/>
    </row>
    <row r="57" spans="1:10" x14ac:dyDescent="0.2">
      <c r="G57" s="358"/>
      <c r="H57" s="358"/>
    </row>
  </sheetData>
  <mergeCells count="15">
    <mergeCell ref="G29:J29"/>
    <mergeCell ref="A35:N35"/>
    <mergeCell ref="A40:N40"/>
    <mergeCell ref="A37:N37"/>
    <mergeCell ref="A1:N1"/>
    <mergeCell ref="A2:N2"/>
    <mergeCell ref="A34:N34"/>
    <mergeCell ref="B6:F6"/>
    <mergeCell ref="C15:F15"/>
    <mergeCell ref="A47:N47"/>
    <mergeCell ref="A46:N46"/>
    <mergeCell ref="O46:R46"/>
    <mergeCell ref="A45:N45"/>
    <mergeCell ref="A36:N36"/>
    <mergeCell ref="A44:N44"/>
  </mergeCells>
  <pageMargins left="0.25" right="0.25" top="0.5" bottom="0.5" header="0.5" footer="0.5"/>
  <pageSetup scale="71"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T57"/>
  <sheetViews>
    <sheetView zoomScale="115" zoomScaleNormal="115" zoomScaleSheetLayoutView="85" workbookViewId="0">
      <selection sqref="A1:XFD1048576"/>
    </sheetView>
  </sheetViews>
  <sheetFormatPr defaultColWidth="9.140625" defaultRowHeight="12.75" x14ac:dyDescent="0.2"/>
  <cols>
    <col min="1" max="1" width="2.28515625" style="103" customWidth="1"/>
    <col min="2" max="2" width="2.42578125" style="103" customWidth="1"/>
    <col min="3" max="3" width="2.140625" style="103" customWidth="1"/>
    <col min="4" max="4" width="1.42578125" style="103" customWidth="1"/>
    <col min="5" max="5" width="2.42578125" style="103" customWidth="1"/>
    <col min="6" max="6" width="44.7109375" style="103" customWidth="1"/>
    <col min="7" max="7" width="12" style="108" customWidth="1"/>
    <col min="8" max="8" width="13" style="108" customWidth="1"/>
    <col min="9" max="9" width="14.28515625" style="108" customWidth="1"/>
    <col min="10" max="10" width="10.5703125" style="108" customWidth="1"/>
    <col min="11" max="11" width="12.7109375" style="108" customWidth="1"/>
    <col min="12" max="12" width="14" style="108" customWidth="1"/>
    <col min="13" max="13" width="13" style="107" customWidth="1"/>
    <col min="14" max="14" width="6.7109375" style="106" customWidth="1"/>
    <col min="15" max="15" width="15.28515625" style="103" customWidth="1"/>
    <col min="16" max="16384" width="9.140625" style="103"/>
  </cols>
  <sheetData>
    <row r="1" spans="1:15" x14ac:dyDescent="0.2">
      <c r="A1" s="616" t="s">
        <v>1420</v>
      </c>
      <c r="B1" s="616"/>
      <c r="C1" s="616"/>
      <c r="D1" s="616"/>
      <c r="E1" s="616"/>
      <c r="F1" s="616"/>
      <c r="G1" s="616"/>
      <c r="H1" s="616"/>
      <c r="I1" s="616"/>
      <c r="J1" s="616"/>
      <c r="K1" s="616"/>
      <c r="L1" s="616"/>
      <c r="M1" s="616"/>
      <c r="N1" s="616"/>
    </row>
    <row r="2" spans="1:15" ht="12" customHeight="1" x14ac:dyDescent="0.2">
      <c r="A2" s="616" t="s">
        <v>1421</v>
      </c>
      <c r="B2" s="616"/>
      <c r="C2" s="616"/>
      <c r="D2" s="616"/>
      <c r="E2" s="616"/>
      <c r="F2" s="616"/>
      <c r="G2" s="616"/>
      <c r="H2" s="616"/>
      <c r="I2" s="616"/>
      <c r="J2" s="616"/>
      <c r="K2" s="616"/>
      <c r="L2" s="616"/>
      <c r="M2" s="616"/>
      <c r="N2" s="616"/>
    </row>
    <row r="3" spans="1:15" ht="15" customHeight="1" thickBot="1" x14ac:dyDescent="0.25"/>
    <row r="4" spans="1:15" s="104" customFormat="1" ht="68.25" customHeight="1" x14ac:dyDescent="0.2">
      <c r="A4" s="159" t="s">
        <v>156</v>
      </c>
      <c r="B4" s="158"/>
      <c r="C4" s="158"/>
      <c r="D4" s="158"/>
      <c r="E4" s="158"/>
      <c r="F4" s="158"/>
      <c r="G4" s="157" t="s">
        <v>1390</v>
      </c>
      <c r="H4" s="157" t="s">
        <v>1391</v>
      </c>
      <c r="I4" s="157" t="s">
        <v>1392</v>
      </c>
      <c r="J4" s="157" t="s">
        <v>1393</v>
      </c>
      <c r="K4" s="157" t="s">
        <v>1394</v>
      </c>
      <c r="L4" s="157" t="s">
        <v>1395</v>
      </c>
      <c r="M4" s="156" t="s">
        <v>1396</v>
      </c>
      <c r="N4" s="155" t="s">
        <v>172</v>
      </c>
      <c r="O4" s="258"/>
    </row>
    <row r="5" spans="1:15" x14ac:dyDescent="0.2">
      <c r="A5" s="154" t="s">
        <v>394</v>
      </c>
      <c r="B5" s="153" t="s">
        <v>1397</v>
      </c>
      <c r="C5" s="153"/>
      <c r="D5" s="153"/>
      <c r="E5" s="153"/>
      <c r="F5" s="152"/>
      <c r="G5" s="151">
        <v>40</v>
      </c>
      <c r="H5" s="151">
        <v>0</v>
      </c>
      <c r="I5" s="150">
        <f>G5*H5</f>
        <v>0</v>
      </c>
      <c r="J5" s="150">
        <f>I5</f>
        <v>0</v>
      </c>
      <c r="K5" s="150">
        <f>J5*0.05</f>
        <v>0</v>
      </c>
      <c r="L5" s="150">
        <f>J5*0.1</f>
        <v>0</v>
      </c>
      <c r="M5" s="149">
        <f>(J5*'Agency Base Data'!$D$6)+(K5*'Agency Base Data'!$D$4)+(L5*'Agency Base Data'!$D$5)</f>
        <v>0</v>
      </c>
      <c r="N5" s="260" t="s">
        <v>235</v>
      </c>
      <c r="O5" s="163"/>
    </row>
    <row r="6" spans="1:15" ht="28.5" customHeight="1" x14ac:dyDescent="0.2">
      <c r="A6" s="143" t="s">
        <v>397</v>
      </c>
      <c r="B6" s="617" t="s">
        <v>398</v>
      </c>
      <c r="C6" s="617"/>
      <c r="D6" s="617"/>
      <c r="E6" s="617"/>
      <c r="F6" s="617"/>
      <c r="G6" s="139">
        <v>2</v>
      </c>
      <c r="H6" s="138">
        <f>'Annual # of Respondents'!F7</f>
        <v>91</v>
      </c>
      <c r="I6" s="138">
        <f>G6*H6</f>
        <v>182</v>
      </c>
      <c r="J6" s="138">
        <f>I6</f>
        <v>182</v>
      </c>
      <c r="K6" s="138">
        <f>J6*0.05</f>
        <v>9.1</v>
      </c>
      <c r="L6" s="138">
        <f>J6*0.1</f>
        <v>18.2</v>
      </c>
      <c r="M6" s="137">
        <f>(J6*'Agency Base Data'!$D$6)+(K6*'Agency Base Data'!$D$4)+(L6*'Agency Base Data'!$D$5)</f>
        <v>9718.7999999999993</v>
      </c>
      <c r="N6" s="136" t="s">
        <v>237</v>
      </c>
    </row>
    <row r="7" spans="1:15" ht="15" customHeight="1" x14ac:dyDescent="0.2">
      <c r="A7" s="143" t="s">
        <v>399</v>
      </c>
      <c r="B7" s="142" t="s">
        <v>400</v>
      </c>
      <c r="C7" s="147"/>
      <c r="D7" s="145"/>
      <c r="E7" s="145"/>
      <c r="F7" s="144"/>
      <c r="G7" s="139"/>
      <c r="H7" s="139"/>
      <c r="I7" s="138"/>
      <c r="J7" s="138"/>
      <c r="K7" s="138"/>
      <c r="L7" s="138"/>
      <c r="M7" s="137"/>
      <c r="N7" s="136"/>
    </row>
    <row r="8" spans="1:15" ht="15" customHeight="1" x14ac:dyDescent="0.2">
      <c r="A8" s="143"/>
      <c r="B8" s="142" t="s">
        <v>402</v>
      </c>
      <c r="C8" s="142" t="s">
        <v>403</v>
      </c>
      <c r="D8" s="145"/>
      <c r="E8" s="141"/>
      <c r="F8" s="144"/>
      <c r="G8" s="139">
        <v>12</v>
      </c>
      <c r="H8" s="138">
        <f>'Annual # of Respondents'!F13*0.2</f>
        <v>1.4000000000000001</v>
      </c>
      <c r="I8" s="138">
        <f t="shared" ref="I8:I13" si="0">G8*H8</f>
        <v>16.8</v>
      </c>
      <c r="J8" s="138">
        <f t="shared" ref="J8:J13" si="1">I8</f>
        <v>16.8</v>
      </c>
      <c r="K8" s="138">
        <f t="shared" ref="K8:K13" si="2">J8*0.05</f>
        <v>0.84000000000000008</v>
      </c>
      <c r="L8" s="138">
        <f t="shared" ref="L8:L13" si="3">J8*0.1</f>
        <v>1.6800000000000002</v>
      </c>
      <c r="M8" s="137">
        <f>(J8*'Agency Base Data'!$D$6)+(K8*'Agency Base Data'!$D$4)+(L8*'Agency Base Data'!$D$5)</f>
        <v>897.12</v>
      </c>
      <c r="N8" s="148" t="s">
        <v>1398</v>
      </c>
      <c r="O8" s="163"/>
    </row>
    <row r="9" spans="1:15" ht="15" customHeight="1" x14ac:dyDescent="0.2">
      <c r="A9" s="143"/>
      <c r="B9" s="142" t="s">
        <v>404</v>
      </c>
      <c r="C9" s="142" t="s">
        <v>405</v>
      </c>
      <c r="D9" s="145"/>
      <c r="E9" s="141"/>
      <c r="F9" s="144"/>
      <c r="G9" s="139">
        <v>20</v>
      </c>
      <c r="H9" s="138">
        <f>'Annual # of Respondents'!F7*0.2</f>
        <v>18.2</v>
      </c>
      <c r="I9" s="138">
        <f t="shared" si="0"/>
        <v>364</v>
      </c>
      <c r="J9" s="138">
        <f t="shared" si="1"/>
        <v>364</v>
      </c>
      <c r="K9" s="138">
        <f t="shared" si="2"/>
        <v>18.2</v>
      </c>
      <c r="L9" s="138">
        <f t="shared" si="3"/>
        <v>36.4</v>
      </c>
      <c r="M9" s="137">
        <f>(J9*'Agency Base Data'!$D$6)+(K9*'Agency Base Data'!$D$4)+(L9*'Agency Base Data'!$D$5)+H9*('Other Cost Basis'!B9+'Other Cost Basis'!B13+'Other Cost Basis'!B14)</f>
        <v>37892.399999999994</v>
      </c>
      <c r="N9" s="148" t="s">
        <v>239</v>
      </c>
    </row>
    <row r="10" spans="1:15" ht="15" customHeight="1" x14ac:dyDescent="0.2">
      <c r="A10" s="143"/>
      <c r="B10" s="142" t="s">
        <v>406</v>
      </c>
      <c r="C10" s="142" t="s">
        <v>407</v>
      </c>
      <c r="D10" s="145"/>
      <c r="E10" s="141"/>
      <c r="F10" s="144"/>
      <c r="G10" s="139">
        <v>1</v>
      </c>
      <c r="H10" s="138">
        <f>'Annual # of Respondents'!F13</f>
        <v>7</v>
      </c>
      <c r="I10" s="138">
        <f t="shared" si="0"/>
        <v>7</v>
      </c>
      <c r="J10" s="138">
        <f t="shared" si="1"/>
        <v>7</v>
      </c>
      <c r="K10" s="138">
        <f t="shared" si="2"/>
        <v>0.35000000000000003</v>
      </c>
      <c r="L10" s="138">
        <f t="shared" si="3"/>
        <v>0.70000000000000007</v>
      </c>
      <c r="M10" s="137">
        <f>(J10*'Agency Base Data'!$D$6)+(K10*'Agency Base Data'!$D$4)+(L10*'Agency Base Data'!$D$5)</f>
        <v>373.8</v>
      </c>
      <c r="N10" s="148" t="s">
        <v>179</v>
      </c>
      <c r="O10" s="163"/>
    </row>
    <row r="11" spans="1:15" ht="15" customHeight="1" x14ac:dyDescent="0.2">
      <c r="A11" s="143"/>
      <c r="B11" s="142" t="s">
        <v>408</v>
      </c>
      <c r="C11" s="142" t="s">
        <v>409</v>
      </c>
      <c r="D11" s="145"/>
      <c r="E11" s="141"/>
      <c r="F11" s="144"/>
      <c r="G11" s="139">
        <v>1</v>
      </c>
      <c r="H11" s="138">
        <f>'Annual # of Respondents'!F7</f>
        <v>91</v>
      </c>
      <c r="I11" s="138">
        <f t="shared" si="0"/>
        <v>91</v>
      </c>
      <c r="J11" s="138">
        <f t="shared" si="1"/>
        <v>91</v>
      </c>
      <c r="K11" s="138">
        <f t="shared" si="2"/>
        <v>4.55</v>
      </c>
      <c r="L11" s="138">
        <f t="shared" si="3"/>
        <v>9.1</v>
      </c>
      <c r="M11" s="137">
        <f>(J11*'Agency Base Data'!$D$6)+(K11*'Agency Base Data'!$D$4)+(L11*'Agency Base Data'!$D$5)</f>
        <v>4859.3999999999996</v>
      </c>
      <c r="N11" s="148" t="s">
        <v>242</v>
      </c>
    </row>
    <row r="12" spans="1:15" ht="15" customHeight="1" x14ac:dyDescent="0.2">
      <c r="A12" s="143"/>
      <c r="B12" s="142" t="s">
        <v>410</v>
      </c>
      <c r="C12" s="142" t="s">
        <v>411</v>
      </c>
      <c r="D12" s="145"/>
      <c r="E12" s="141"/>
      <c r="F12" s="144"/>
      <c r="G12" s="139">
        <v>2</v>
      </c>
      <c r="H12" s="138">
        <f>'Annual # of Respondents'!F13</f>
        <v>7</v>
      </c>
      <c r="I12" s="138">
        <f t="shared" si="0"/>
        <v>14</v>
      </c>
      <c r="J12" s="138">
        <f t="shared" si="1"/>
        <v>14</v>
      </c>
      <c r="K12" s="138">
        <f t="shared" si="2"/>
        <v>0.70000000000000007</v>
      </c>
      <c r="L12" s="138">
        <f t="shared" si="3"/>
        <v>1.4000000000000001</v>
      </c>
      <c r="M12" s="137">
        <f>(J12*'Agency Base Data'!$D$6)+(K12*'Agency Base Data'!$D$4)+(L12*'Agency Base Data'!$D$5)</f>
        <v>747.6</v>
      </c>
      <c r="N12" s="148" t="s">
        <v>179</v>
      </c>
      <c r="O12" s="163"/>
    </row>
    <row r="13" spans="1:15" ht="15" customHeight="1" x14ac:dyDescent="0.2">
      <c r="A13" s="143" t="s">
        <v>412</v>
      </c>
      <c r="B13" s="142" t="s">
        <v>413</v>
      </c>
      <c r="C13" s="142"/>
      <c r="D13" s="145"/>
      <c r="E13" s="141"/>
      <c r="F13" s="144"/>
      <c r="G13" s="139">
        <v>24</v>
      </c>
      <c r="H13" s="138">
        <f>H12*0.1</f>
        <v>0.70000000000000007</v>
      </c>
      <c r="I13" s="138">
        <f t="shared" si="0"/>
        <v>16.8</v>
      </c>
      <c r="J13" s="138">
        <f t="shared" si="1"/>
        <v>16.8</v>
      </c>
      <c r="K13" s="138">
        <f t="shared" si="2"/>
        <v>0.84000000000000008</v>
      </c>
      <c r="L13" s="138">
        <f t="shared" si="3"/>
        <v>1.6800000000000002</v>
      </c>
      <c r="M13" s="137">
        <f>(J13*'Agency Base Data'!$D$6)+(K13*'Agency Base Data'!$D$4)+(L13*'Agency Base Data'!$D$5)</f>
        <v>897.12</v>
      </c>
      <c r="N13" s="148" t="s">
        <v>204</v>
      </c>
    </row>
    <row r="14" spans="1:15" ht="15.75" customHeight="1" x14ac:dyDescent="0.2">
      <c r="A14" s="143" t="s">
        <v>1399</v>
      </c>
      <c r="B14" s="142" t="s">
        <v>1400</v>
      </c>
      <c r="C14" s="147"/>
      <c r="D14" s="146"/>
      <c r="E14" s="141"/>
      <c r="F14" s="144"/>
      <c r="G14" s="139"/>
      <c r="H14" s="138"/>
      <c r="I14" s="138"/>
      <c r="J14" s="138"/>
      <c r="K14" s="138"/>
      <c r="L14" s="138"/>
      <c r="M14" s="137"/>
      <c r="N14" s="136"/>
    </row>
    <row r="15" spans="1:15" x14ac:dyDescent="0.2">
      <c r="A15" s="143"/>
      <c r="B15" s="142" t="s">
        <v>402</v>
      </c>
      <c r="C15" s="617" t="s">
        <v>417</v>
      </c>
      <c r="D15" s="617"/>
      <c r="E15" s="617"/>
      <c r="F15" s="617"/>
      <c r="G15" s="139">
        <v>2</v>
      </c>
      <c r="H15" s="138">
        <v>0</v>
      </c>
      <c r="I15" s="138">
        <f t="shared" ref="I15:I24" si="4">G15*H15</f>
        <v>0</v>
      </c>
      <c r="J15" s="138">
        <f t="shared" ref="J15:J24" si="5">I15</f>
        <v>0</v>
      </c>
      <c r="K15" s="138">
        <f t="shared" ref="K15:K24" si="6">J15*0.05</f>
        <v>0</v>
      </c>
      <c r="L15" s="138">
        <f t="shared" ref="L15:L24" si="7">J15*0.1</f>
        <v>0</v>
      </c>
      <c r="M15" s="137">
        <f>(J15*'Agency Base Data'!$D$6)+(K15*'Agency Base Data'!$D$4)+(L15*'Agency Base Data'!$D$5)</f>
        <v>0</v>
      </c>
      <c r="N15" s="148" t="s">
        <v>245</v>
      </c>
    </row>
    <row r="16" spans="1:15" ht="15" customHeight="1" x14ac:dyDescent="0.2">
      <c r="A16" s="143" t="s">
        <v>1401</v>
      </c>
      <c r="B16" s="142" t="s">
        <v>415</v>
      </c>
      <c r="C16" s="142"/>
      <c r="D16" s="145"/>
      <c r="E16" s="141"/>
      <c r="F16" s="144"/>
      <c r="G16" s="139"/>
      <c r="H16" s="138"/>
      <c r="I16" s="138"/>
      <c r="J16" s="138"/>
      <c r="K16" s="138"/>
      <c r="L16" s="138"/>
      <c r="M16" s="137"/>
      <c r="N16" s="136"/>
    </row>
    <row r="17" spans="1:20" ht="15" customHeight="1" x14ac:dyDescent="0.2">
      <c r="A17" s="143"/>
      <c r="B17" s="142" t="s">
        <v>402</v>
      </c>
      <c r="C17" s="142" t="s">
        <v>416</v>
      </c>
      <c r="D17" s="142"/>
      <c r="E17" s="141"/>
      <c r="F17" s="144"/>
      <c r="G17" s="139">
        <v>1</v>
      </c>
      <c r="H17" s="138">
        <f>'Annual # of Respondents'!F4</f>
        <v>0</v>
      </c>
      <c r="I17" s="138">
        <f t="shared" si="4"/>
        <v>0</v>
      </c>
      <c r="J17" s="138">
        <f t="shared" si="5"/>
        <v>0</v>
      </c>
      <c r="K17" s="138">
        <f t="shared" si="6"/>
        <v>0</v>
      </c>
      <c r="L17" s="138">
        <f t="shared" si="7"/>
        <v>0</v>
      </c>
      <c r="M17" s="137">
        <f>(J17*'Agency Base Data'!$D$6)+(K17*'Agency Base Data'!$D$4)+(L17*'Agency Base Data'!$D$5)</f>
        <v>0</v>
      </c>
      <c r="N17" s="148" t="s">
        <v>192</v>
      </c>
      <c r="O17" s="163"/>
    </row>
    <row r="18" spans="1:20" ht="15" customHeight="1" x14ac:dyDescent="0.2">
      <c r="A18" s="143"/>
      <c r="B18" s="142" t="s">
        <v>404</v>
      </c>
      <c r="C18" s="142" t="s">
        <v>418</v>
      </c>
      <c r="D18" s="142"/>
      <c r="E18" s="141"/>
      <c r="F18" s="144"/>
      <c r="G18" s="139">
        <v>2</v>
      </c>
      <c r="H18" s="138">
        <f>'Annual # of Respondents'!F9+'Annual # of Respondents'!F10</f>
        <v>19.5</v>
      </c>
      <c r="I18" s="138">
        <f t="shared" si="4"/>
        <v>39</v>
      </c>
      <c r="J18" s="138">
        <f t="shared" si="5"/>
        <v>39</v>
      </c>
      <c r="K18" s="138">
        <f t="shared" si="6"/>
        <v>1.9500000000000002</v>
      </c>
      <c r="L18" s="138">
        <f t="shared" si="7"/>
        <v>3.9000000000000004</v>
      </c>
      <c r="M18" s="137">
        <f>(J18*'Agency Base Data'!$D$6)+(K18*'Agency Base Data'!$D$4)+(L18*'Agency Base Data'!$D$5)</f>
        <v>2082.6</v>
      </c>
      <c r="N18" s="148" t="s">
        <v>194</v>
      </c>
    </row>
    <row r="19" spans="1:20" ht="15" customHeight="1" x14ac:dyDescent="0.2">
      <c r="A19" s="143"/>
      <c r="B19" s="142" t="s">
        <v>406</v>
      </c>
      <c r="C19" s="142" t="s">
        <v>419</v>
      </c>
      <c r="D19" s="165"/>
      <c r="E19" s="165"/>
      <c r="F19" s="166"/>
      <c r="G19" s="139">
        <v>1</v>
      </c>
      <c r="H19" s="138">
        <v>0</v>
      </c>
      <c r="I19" s="138">
        <f t="shared" si="4"/>
        <v>0</v>
      </c>
      <c r="J19" s="138">
        <f t="shared" si="5"/>
        <v>0</v>
      </c>
      <c r="K19" s="138">
        <f t="shared" si="6"/>
        <v>0</v>
      </c>
      <c r="L19" s="138">
        <f t="shared" si="7"/>
        <v>0</v>
      </c>
      <c r="M19" s="137">
        <f>(J19*'Agency Base Data'!$D$6)+(K19*'Agency Base Data'!$D$4)+(L19*'Agency Base Data'!$D$5)</f>
        <v>0</v>
      </c>
      <c r="N19" s="148" t="s">
        <v>196</v>
      </c>
    </row>
    <row r="20" spans="1:20" ht="15" customHeight="1" x14ac:dyDescent="0.2">
      <c r="A20" s="143"/>
      <c r="B20" s="142" t="s">
        <v>408</v>
      </c>
      <c r="C20" s="164" t="s">
        <v>420</v>
      </c>
      <c r="G20" s="139">
        <v>1</v>
      </c>
      <c r="H20" s="138">
        <v>0</v>
      </c>
      <c r="I20" s="138">
        <f t="shared" si="4"/>
        <v>0</v>
      </c>
      <c r="J20" s="138">
        <f t="shared" si="5"/>
        <v>0</v>
      </c>
      <c r="K20" s="138">
        <f t="shared" si="6"/>
        <v>0</v>
      </c>
      <c r="L20" s="138">
        <f t="shared" si="7"/>
        <v>0</v>
      </c>
      <c r="M20" s="137">
        <f>(J20*'Agency Base Data'!$D$6)+(K20*'Agency Base Data'!$D$4)+(L20*'Agency Base Data'!$D$5)</f>
        <v>0</v>
      </c>
      <c r="N20" s="148" t="s">
        <v>196</v>
      </c>
    </row>
    <row r="21" spans="1:20" ht="15" customHeight="1" x14ac:dyDescent="0.2">
      <c r="A21" s="143"/>
      <c r="B21" s="142" t="s">
        <v>410</v>
      </c>
      <c r="C21" s="142" t="s">
        <v>422</v>
      </c>
      <c r="D21" s="142"/>
      <c r="E21" s="141"/>
      <c r="F21" s="144"/>
      <c r="G21" s="139">
        <v>15</v>
      </c>
      <c r="H21" s="138">
        <f>'Annual # of Respondents'!F13</f>
        <v>7</v>
      </c>
      <c r="I21" s="138">
        <f t="shared" si="4"/>
        <v>105</v>
      </c>
      <c r="J21" s="138">
        <f t="shared" si="5"/>
        <v>105</v>
      </c>
      <c r="K21" s="138">
        <f t="shared" si="6"/>
        <v>5.25</v>
      </c>
      <c r="L21" s="138">
        <f t="shared" si="7"/>
        <v>10.5</v>
      </c>
      <c r="M21" s="137">
        <f>(J21*'Agency Base Data'!$D$6)+(K21*'Agency Base Data'!$D$4)+(L21*'Agency Base Data'!$D$5)</f>
        <v>5607</v>
      </c>
      <c r="N21" s="148" t="s">
        <v>179</v>
      </c>
      <c r="O21" s="163"/>
    </row>
    <row r="22" spans="1:20" ht="15" customHeight="1" x14ac:dyDescent="0.2">
      <c r="A22" s="143"/>
      <c r="B22" s="142" t="s">
        <v>421</v>
      </c>
      <c r="C22" s="142" t="s">
        <v>425</v>
      </c>
      <c r="D22" s="142"/>
      <c r="E22" s="141"/>
      <c r="F22" s="144"/>
      <c r="G22" s="139">
        <v>5</v>
      </c>
      <c r="H22" s="138">
        <f>'Annual # of Respondents'!F13*0.1</f>
        <v>0.70000000000000007</v>
      </c>
      <c r="I22" s="138">
        <f t="shared" si="4"/>
        <v>3.5000000000000004</v>
      </c>
      <c r="J22" s="138">
        <f t="shared" si="5"/>
        <v>3.5000000000000004</v>
      </c>
      <c r="K22" s="138">
        <f t="shared" si="6"/>
        <v>0.17500000000000004</v>
      </c>
      <c r="L22" s="138">
        <f t="shared" si="7"/>
        <v>0.35000000000000009</v>
      </c>
      <c r="M22" s="137">
        <f>(J22*'Agency Base Data'!$D$6)+(K22*'Agency Base Data'!$D$4)+(L22*'Agency Base Data'!$D$5)</f>
        <v>186.9</v>
      </c>
      <c r="N22" s="148" t="s">
        <v>250</v>
      </c>
    </row>
    <row r="23" spans="1:20" ht="15" customHeight="1" x14ac:dyDescent="0.2">
      <c r="A23" s="143"/>
      <c r="B23" s="142" t="s">
        <v>424</v>
      </c>
      <c r="C23" s="142" t="s">
        <v>1402</v>
      </c>
      <c r="D23" s="142"/>
      <c r="E23" s="141"/>
      <c r="F23" s="140"/>
      <c r="G23" s="139">
        <v>12</v>
      </c>
      <c r="H23" s="138">
        <f>H$12</f>
        <v>7</v>
      </c>
      <c r="I23" s="138">
        <f t="shared" si="4"/>
        <v>84</v>
      </c>
      <c r="J23" s="138">
        <f t="shared" si="5"/>
        <v>84</v>
      </c>
      <c r="K23" s="138">
        <f t="shared" si="6"/>
        <v>4.2</v>
      </c>
      <c r="L23" s="138">
        <f t="shared" si="7"/>
        <v>8.4</v>
      </c>
      <c r="M23" s="137">
        <f>(J23*'Agency Base Data'!$D$6)+(K23*'Agency Base Data'!$D$4)+(L23*'Agency Base Data'!$D$5)</f>
        <v>4485.6000000000004</v>
      </c>
      <c r="N23" s="148" t="s">
        <v>179</v>
      </c>
      <c r="O23" s="163"/>
    </row>
    <row r="24" spans="1:20" ht="15" customHeight="1" x14ac:dyDescent="0.2">
      <c r="A24" s="143"/>
      <c r="B24" s="142" t="s">
        <v>426</v>
      </c>
      <c r="C24" s="142" t="s">
        <v>429</v>
      </c>
      <c r="D24" s="142"/>
      <c r="E24" s="141"/>
      <c r="F24" s="140"/>
      <c r="G24" s="139">
        <v>2</v>
      </c>
      <c r="H24" s="138">
        <f>H$11</f>
        <v>91</v>
      </c>
      <c r="I24" s="138">
        <f t="shared" si="4"/>
        <v>182</v>
      </c>
      <c r="J24" s="138">
        <f t="shared" si="5"/>
        <v>182</v>
      </c>
      <c r="K24" s="138">
        <f t="shared" si="6"/>
        <v>9.1</v>
      </c>
      <c r="L24" s="138">
        <f t="shared" si="7"/>
        <v>18.2</v>
      </c>
      <c r="M24" s="137">
        <f>(J24*'Agency Base Data'!$D$6)+(K24*'Agency Base Data'!$D$4)+(L24*'Agency Base Data'!$D$5)</f>
        <v>9718.7999999999993</v>
      </c>
      <c r="N24" s="148"/>
    </row>
    <row r="25" spans="1:20" ht="15" customHeight="1" x14ac:dyDescent="0.2">
      <c r="A25" s="314"/>
      <c r="B25" s="142" t="s">
        <v>428</v>
      </c>
      <c r="C25" s="316" t="s">
        <v>431</v>
      </c>
      <c r="D25" s="316"/>
      <c r="E25" s="354"/>
      <c r="F25" s="355"/>
      <c r="G25" s="356">
        <f>5*0.25</f>
        <v>1.25</v>
      </c>
      <c r="H25" s="357">
        <f>('2.A-Public'!F26*'2.A-Public'!I26)+('2.B-Priv'!F26*'2.B-Priv'!I26)</f>
        <v>2</v>
      </c>
      <c r="I25" s="138">
        <f t="shared" ref="I25:I27" si="8">G25*H25</f>
        <v>2.5</v>
      </c>
      <c r="J25" s="138">
        <f t="shared" ref="J25:J27" si="9">I25</f>
        <v>2.5</v>
      </c>
      <c r="K25" s="138">
        <f t="shared" ref="K25:K27" si="10">J25*0.05</f>
        <v>0.125</v>
      </c>
      <c r="L25" s="138">
        <f t="shared" ref="L25:L27" si="11">J25*0.1</f>
        <v>0.25</v>
      </c>
      <c r="M25" s="137">
        <f>(J25*'Agency Base Data'!$D$6)+(K25*'Agency Base Data'!$D$4)+(L25*'Agency Base Data'!$D$5)</f>
        <v>133.5</v>
      </c>
      <c r="N25" s="315" t="s">
        <v>206</v>
      </c>
    </row>
    <row r="26" spans="1:20" ht="15" customHeight="1" x14ac:dyDescent="0.2">
      <c r="A26" s="314"/>
      <c r="B26" s="142" t="s">
        <v>430</v>
      </c>
      <c r="C26" s="316" t="s">
        <v>433</v>
      </c>
      <c r="D26" s="316"/>
      <c r="E26" s="354"/>
      <c r="F26" s="355"/>
      <c r="G26" s="356">
        <f t="shared" ref="G26:G27" si="12">5*0.25</f>
        <v>1.25</v>
      </c>
      <c r="H26" s="357">
        <f>('2.A-Public'!F27*'2.A-Public'!I27)+('2.B-Priv'!F27*'2.B-Priv'!I27)</f>
        <v>2</v>
      </c>
      <c r="I26" s="138">
        <f t="shared" si="8"/>
        <v>2.5</v>
      </c>
      <c r="J26" s="138">
        <f t="shared" si="9"/>
        <v>2.5</v>
      </c>
      <c r="K26" s="138">
        <f t="shared" si="10"/>
        <v>0.125</v>
      </c>
      <c r="L26" s="138">
        <f t="shared" si="11"/>
        <v>0.25</v>
      </c>
      <c r="M26" s="137">
        <f>(J26*'Agency Base Data'!$D$6)+(K26*'Agency Base Data'!$D$4)+(L26*'Agency Base Data'!$D$5)</f>
        <v>133.5</v>
      </c>
      <c r="N26" s="315" t="s">
        <v>206</v>
      </c>
    </row>
    <row r="27" spans="1:20" ht="15" customHeight="1" x14ac:dyDescent="0.2">
      <c r="A27" s="314"/>
      <c r="B27" s="142" t="s">
        <v>432</v>
      </c>
      <c r="C27" s="316" t="s">
        <v>435</v>
      </c>
      <c r="D27" s="316"/>
      <c r="E27" s="354"/>
      <c r="F27" s="355"/>
      <c r="G27" s="356">
        <f t="shared" si="12"/>
        <v>1.25</v>
      </c>
      <c r="H27" s="357">
        <f>('2.A-Public'!F28*'2.A-Public'!I28)+('2.B-Priv'!F28*'2.B-Priv'!I28)</f>
        <v>2</v>
      </c>
      <c r="I27" s="138">
        <f t="shared" si="8"/>
        <v>2.5</v>
      </c>
      <c r="J27" s="138">
        <f t="shared" si="9"/>
        <v>2.5</v>
      </c>
      <c r="K27" s="138">
        <f t="shared" si="10"/>
        <v>0.125</v>
      </c>
      <c r="L27" s="138">
        <f t="shared" si="11"/>
        <v>0.25</v>
      </c>
      <c r="M27" s="137">
        <f>(J27*'Agency Base Data'!$D$6)+(K27*'Agency Base Data'!$D$4)+(L27*'Agency Base Data'!$D$5)</f>
        <v>133.5</v>
      </c>
      <c r="N27" s="315" t="s">
        <v>206</v>
      </c>
    </row>
    <row r="28" spans="1:20" ht="15" customHeight="1" x14ac:dyDescent="0.2">
      <c r="A28" s="314"/>
      <c r="B28" s="316" t="s">
        <v>434</v>
      </c>
      <c r="C28" s="316" t="s">
        <v>437</v>
      </c>
      <c r="D28" s="316"/>
      <c r="E28" s="354"/>
      <c r="F28" s="355"/>
      <c r="G28" s="356">
        <v>1</v>
      </c>
      <c r="H28" s="357">
        <f>'Annual # of Respondents'!F5</f>
        <v>32</v>
      </c>
      <c r="I28" s="138">
        <f t="shared" ref="I28" si="13">G28*H28</f>
        <v>32</v>
      </c>
      <c r="J28" s="138">
        <f t="shared" ref="J28" si="14">I28</f>
        <v>32</v>
      </c>
      <c r="K28" s="138">
        <f t="shared" ref="K28" si="15">J28*0.05</f>
        <v>1.6</v>
      </c>
      <c r="L28" s="138">
        <f t="shared" ref="L28" si="16">J28*0.1</f>
        <v>3.2</v>
      </c>
      <c r="M28" s="137">
        <f>(J28*'Agency Base Data'!$D$6)+(K28*'Agency Base Data'!$D$4)+(L28*'Agency Base Data'!$D$5)</f>
        <v>1708.8</v>
      </c>
      <c r="N28" s="315" t="s">
        <v>210</v>
      </c>
    </row>
    <row r="29" spans="1:20" ht="24.75" customHeight="1" thickBot="1" x14ac:dyDescent="0.25">
      <c r="A29" s="135" t="s">
        <v>438</v>
      </c>
      <c r="B29" s="134" t="s">
        <v>439</v>
      </c>
      <c r="C29" s="133"/>
      <c r="D29" s="132"/>
      <c r="E29" s="132"/>
      <c r="F29" s="118"/>
      <c r="G29" s="612" t="s">
        <v>440</v>
      </c>
      <c r="H29" s="613"/>
      <c r="I29" s="613"/>
      <c r="J29" s="614"/>
      <c r="K29" s="131"/>
      <c r="L29" s="116"/>
      <c r="M29" s="130">
        <f>(('Agency Base Data'!$C$14*('Agency Base Data'!$C$11+'Agency Base Data'!$C$12))+'Agency Base Data'!$C$13)*SUM(H8:H9)</f>
        <v>22108.799999999999</v>
      </c>
      <c r="N29" s="170" t="s">
        <v>253</v>
      </c>
    </row>
    <row r="30" spans="1:20" x14ac:dyDescent="0.2">
      <c r="A30" s="129" t="s">
        <v>1403</v>
      </c>
      <c r="B30" s="127"/>
      <c r="C30" s="128"/>
      <c r="D30" s="127"/>
      <c r="E30" s="126"/>
      <c r="F30" s="125"/>
      <c r="G30" s="124"/>
      <c r="H30" s="124"/>
      <c r="I30" s="124"/>
      <c r="J30" s="123">
        <f>SUM(J5:J29)</f>
        <v>1144.5999999999999</v>
      </c>
      <c r="K30" s="123">
        <f>SUM(K5:K29)</f>
        <v>57.230000000000011</v>
      </c>
      <c r="L30" s="123">
        <f>SUM(L5:L29)</f>
        <v>114.46000000000002</v>
      </c>
      <c r="M30" s="122">
        <f>SUM(M5:M29)</f>
        <v>101685.24</v>
      </c>
      <c r="N30" s="121"/>
      <c r="O30" s="109"/>
      <c r="Q30" s="109"/>
      <c r="R30" s="109"/>
      <c r="S30" s="109"/>
      <c r="T30" s="109"/>
    </row>
    <row r="31" spans="1:20" ht="13.5" thickBot="1" x14ac:dyDescent="0.25">
      <c r="A31" s="120" t="s">
        <v>1404</v>
      </c>
      <c r="B31" s="119"/>
      <c r="C31" s="119"/>
      <c r="D31" s="119"/>
      <c r="E31" s="119"/>
      <c r="F31" s="119"/>
      <c r="G31" s="118"/>
      <c r="H31" s="118"/>
      <c r="I31" s="118"/>
      <c r="J31" s="117"/>
      <c r="K31" s="116"/>
      <c r="L31" s="115">
        <f>(SUM(J5:J29))+(SUM(K5:K29))+(SUM(L5:L29))</f>
        <v>1316.29</v>
      </c>
      <c r="M31" s="114"/>
      <c r="N31" s="113"/>
      <c r="O31" s="109"/>
      <c r="P31" s="109"/>
      <c r="Q31" s="109"/>
      <c r="R31" s="109"/>
      <c r="S31" s="109"/>
      <c r="T31" s="109"/>
    </row>
    <row r="32" spans="1:20" ht="6.75" customHeight="1" x14ac:dyDescent="0.2">
      <c r="G32" s="103"/>
      <c r="H32" s="103"/>
      <c r="I32" s="103"/>
      <c r="O32" s="109"/>
      <c r="P32" s="109"/>
      <c r="Q32" s="109"/>
      <c r="R32" s="109"/>
      <c r="S32" s="109"/>
      <c r="T32" s="109"/>
    </row>
    <row r="33" spans="1:20" s="109" customFormat="1" ht="11.25" x14ac:dyDescent="0.2">
      <c r="A33" s="109" t="s">
        <v>1405</v>
      </c>
      <c r="J33" s="112"/>
      <c r="K33" s="112"/>
      <c r="L33" s="112"/>
      <c r="M33" s="111"/>
      <c r="N33" s="110"/>
    </row>
    <row r="34" spans="1:20" s="109" customFormat="1" x14ac:dyDescent="0.2">
      <c r="A34" s="611" t="s">
        <v>1406</v>
      </c>
      <c r="B34" s="611"/>
      <c r="C34" s="611"/>
      <c r="D34" s="611"/>
      <c r="E34" s="611"/>
      <c r="F34" s="611"/>
      <c r="G34" s="611"/>
      <c r="H34" s="611"/>
      <c r="I34" s="611"/>
      <c r="J34" s="611"/>
      <c r="K34" s="611"/>
      <c r="L34" s="611"/>
      <c r="M34" s="611"/>
      <c r="N34" s="611"/>
      <c r="P34" s="103"/>
      <c r="Q34" s="103"/>
      <c r="R34" s="103"/>
    </row>
    <row r="35" spans="1:20" s="109" customFormat="1" ht="25.5" customHeight="1" x14ac:dyDescent="0.2">
      <c r="A35" s="615" t="s">
        <v>1422</v>
      </c>
      <c r="B35" s="615"/>
      <c r="C35" s="615"/>
      <c r="D35" s="615"/>
      <c r="E35" s="615"/>
      <c r="F35" s="615"/>
      <c r="G35" s="615"/>
      <c r="H35" s="615"/>
      <c r="I35" s="615"/>
      <c r="J35" s="615"/>
      <c r="K35" s="615"/>
      <c r="L35" s="615"/>
      <c r="M35" s="615"/>
      <c r="N35" s="615"/>
      <c r="P35" s="103"/>
      <c r="Q35" s="103"/>
      <c r="R35" s="103"/>
      <c r="S35" s="103"/>
      <c r="T35" s="103"/>
    </row>
    <row r="36" spans="1:20" s="109" customFormat="1" ht="11.25" x14ac:dyDescent="0.2">
      <c r="A36" s="611" t="s">
        <v>1423</v>
      </c>
      <c r="B36" s="611"/>
      <c r="C36" s="611"/>
      <c r="D36" s="611"/>
      <c r="E36" s="611"/>
      <c r="F36" s="611"/>
      <c r="G36" s="611"/>
      <c r="H36" s="611"/>
      <c r="I36" s="611"/>
      <c r="J36" s="611"/>
      <c r="K36" s="611"/>
      <c r="L36" s="611"/>
      <c r="M36" s="611"/>
      <c r="N36" s="611"/>
      <c r="O36" s="256"/>
    </row>
    <row r="37" spans="1:20" x14ac:dyDescent="0.2">
      <c r="A37" s="611" t="s">
        <v>1424</v>
      </c>
      <c r="B37" s="611"/>
      <c r="C37" s="611"/>
      <c r="D37" s="611"/>
      <c r="E37" s="611"/>
      <c r="F37" s="611"/>
      <c r="G37" s="611"/>
      <c r="H37" s="611"/>
      <c r="I37" s="611"/>
      <c r="J37" s="611"/>
      <c r="K37" s="611"/>
      <c r="L37" s="611"/>
      <c r="M37" s="611"/>
      <c r="N37" s="611"/>
      <c r="O37" s="256"/>
    </row>
    <row r="38" spans="1:20" s="109" customFormat="1" ht="12.75" customHeight="1" x14ac:dyDescent="0.2">
      <c r="A38" s="109" t="s">
        <v>1410</v>
      </c>
    </row>
    <row r="39" spans="1:20" s="109" customFormat="1" ht="12.75" customHeight="1" x14ac:dyDescent="0.2">
      <c r="A39" s="109" t="s">
        <v>1411</v>
      </c>
    </row>
    <row r="40" spans="1:20" s="109" customFormat="1" ht="22.5" customHeight="1" x14ac:dyDescent="0.2">
      <c r="A40" s="611" t="s">
        <v>1425</v>
      </c>
      <c r="B40" s="611"/>
      <c r="C40" s="611"/>
      <c r="D40" s="611"/>
      <c r="E40" s="611"/>
      <c r="F40" s="611"/>
      <c r="G40" s="611"/>
      <c r="H40" s="611"/>
      <c r="I40" s="611"/>
      <c r="J40" s="611"/>
      <c r="K40" s="611"/>
      <c r="L40" s="611"/>
      <c r="M40" s="611"/>
      <c r="N40" s="611"/>
      <c r="O40" s="256"/>
    </row>
    <row r="41" spans="1:20" s="109" customFormat="1" ht="11.25" customHeight="1" x14ac:dyDescent="0.2">
      <c r="A41" s="109" t="s">
        <v>1413</v>
      </c>
      <c r="J41" s="112"/>
      <c r="K41" s="112"/>
      <c r="L41" s="112"/>
      <c r="M41" s="111"/>
      <c r="N41" s="110"/>
      <c r="O41" s="103"/>
    </row>
    <row r="42" spans="1:20" x14ac:dyDescent="0.2">
      <c r="A42" s="109" t="s">
        <v>1414</v>
      </c>
      <c r="B42" s="163"/>
      <c r="C42" s="163"/>
      <c r="D42" s="163"/>
      <c r="E42" s="163"/>
      <c r="F42" s="163"/>
      <c r="G42" s="163"/>
      <c r="H42" s="163"/>
      <c r="I42" s="163"/>
      <c r="J42" s="261"/>
      <c r="K42" s="261"/>
      <c r="L42" s="261"/>
      <c r="M42" s="262"/>
      <c r="N42" s="263"/>
    </row>
    <row r="43" spans="1:20" x14ac:dyDescent="0.2">
      <c r="A43" s="109" t="s">
        <v>1415</v>
      </c>
      <c r="B43" s="163"/>
      <c r="C43" s="163"/>
      <c r="D43" s="163"/>
      <c r="E43" s="163"/>
      <c r="F43" s="163"/>
      <c r="G43" s="163"/>
      <c r="H43" s="163"/>
      <c r="I43" s="163"/>
      <c r="J43" s="261"/>
      <c r="K43" s="261"/>
      <c r="L43" s="261"/>
      <c r="M43" s="262"/>
      <c r="N43" s="263"/>
    </row>
    <row r="44" spans="1:20" ht="39" customHeight="1" x14ac:dyDescent="0.2">
      <c r="A44" s="611" t="s">
        <v>1416</v>
      </c>
      <c r="B44" s="611"/>
      <c r="C44" s="611"/>
      <c r="D44" s="611"/>
      <c r="E44" s="611"/>
      <c r="F44" s="611"/>
      <c r="G44" s="611"/>
      <c r="H44" s="611"/>
      <c r="I44" s="611"/>
      <c r="J44" s="611"/>
      <c r="K44" s="611"/>
      <c r="L44" s="611"/>
      <c r="M44" s="611"/>
      <c r="N44" s="611"/>
    </row>
    <row r="45" spans="1:20" ht="23.25" customHeight="1" x14ac:dyDescent="0.2">
      <c r="A45" s="611" t="s">
        <v>1417</v>
      </c>
      <c r="B45" s="611"/>
      <c r="C45" s="611"/>
      <c r="D45" s="611"/>
      <c r="E45" s="611"/>
      <c r="F45" s="611"/>
      <c r="G45" s="611"/>
      <c r="H45" s="611"/>
      <c r="I45" s="611"/>
      <c r="J45" s="611"/>
      <c r="K45" s="611"/>
      <c r="L45" s="611"/>
      <c r="M45" s="611"/>
      <c r="N45" s="611"/>
    </row>
    <row r="46" spans="1:20" ht="12.75" customHeight="1" x14ac:dyDescent="0.2">
      <c r="A46" s="611" t="s">
        <v>1418</v>
      </c>
      <c r="B46" s="611"/>
      <c r="C46" s="611"/>
      <c r="D46" s="611"/>
      <c r="E46" s="611"/>
      <c r="F46" s="611"/>
      <c r="G46" s="611"/>
      <c r="H46" s="611"/>
      <c r="I46" s="611"/>
      <c r="J46" s="611"/>
      <c r="K46" s="611"/>
      <c r="L46" s="611"/>
      <c r="M46" s="611"/>
      <c r="N46" s="611"/>
    </row>
    <row r="47" spans="1:20" ht="22.5" customHeight="1" x14ac:dyDescent="0.2">
      <c r="A47" s="611" t="s">
        <v>1419</v>
      </c>
      <c r="B47" s="611"/>
      <c r="C47" s="611"/>
      <c r="D47" s="611"/>
      <c r="E47" s="611"/>
      <c r="F47" s="611"/>
      <c r="G47" s="611"/>
      <c r="H47" s="611"/>
      <c r="I47" s="611"/>
      <c r="J47" s="611"/>
      <c r="K47" s="611"/>
      <c r="L47" s="611"/>
      <c r="M47" s="611"/>
      <c r="N47" s="611"/>
    </row>
    <row r="49" spans="1:10" x14ac:dyDescent="0.2">
      <c r="A49" s="109"/>
    </row>
    <row r="50" spans="1:10" x14ac:dyDescent="0.2">
      <c r="A50" s="109"/>
    </row>
    <row r="52" spans="1:10" x14ac:dyDescent="0.2">
      <c r="J52" s="107"/>
    </row>
    <row r="54" spans="1:10" x14ac:dyDescent="0.2">
      <c r="G54" s="358"/>
      <c r="H54" s="358"/>
      <c r="J54" s="107"/>
    </row>
    <row r="55" spans="1:10" x14ac:dyDescent="0.2">
      <c r="G55" s="358"/>
      <c r="H55" s="358"/>
    </row>
    <row r="56" spans="1:10" x14ac:dyDescent="0.2">
      <c r="G56" s="358"/>
      <c r="H56" s="358"/>
    </row>
    <row r="57" spans="1:10" x14ac:dyDescent="0.2">
      <c r="G57" s="358"/>
      <c r="H57" s="358"/>
    </row>
  </sheetData>
  <mergeCells count="14">
    <mergeCell ref="A47:N47"/>
    <mergeCell ref="A46:N46"/>
    <mergeCell ref="A34:N34"/>
    <mergeCell ref="A1:N1"/>
    <mergeCell ref="A2:N2"/>
    <mergeCell ref="B6:F6"/>
    <mergeCell ref="C15:F15"/>
    <mergeCell ref="G29:J29"/>
    <mergeCell ref="A37:N37"/>
    <mergeCell ref="A40:N40"/>
    <mergeCell ref="A45:N45"/>
    <mergeCell ref="A35:N35"/>
    <mergeCell ref="A36:N36"/>
    <mergeCell ref="A44:N44"/>
  </mergeCells>
  <pageMargins left="0.25" right="0.25" top="0.5" bottom="0.5" header="0.5" footer="0.5"/>
  <pageSetup scale="7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T58"/>
  <sheetViews>
    <sheetView zoomScaleNormal="100" zoomScaleSheetLayoutView="85" workbookViewId="0">
      <selection activeCell="P14" sqref="P14"/>
    </sheetView>
  </sheetViews>
  <sheetFormatPr defaultColWidth="9.140625" defaultRowHeight="12.75" x14ac:dyDescent="0.2"/>
  <cols>
    <col min="1" max="1" width="2.28515625" style="103" customWidth="1"/>
    <col min="2" max="2" width="2.42578125" style="103" customWidth="1"/>
    <col min="3" max="3" width="2.140625" style="103" customWidth="1"/>
    <col min="4" max="4" width="1.42578125" style="103" customWidth="1"/>
    <col min="5" max="5" width="2.42578125" style="103" customWidth="1"/>
    <col min="6" max="6" width="44.7109375" style="103" customWidth="1"/>
    <col min="7" max="7" width="12" style="108" customWidth="1"/>
    <col min="8" max="8" width="13" style="108" customWidth="1"/>
    <col min="9" max="9" width="14.28515625" style="108" customWidth="1"/>
    <col min="10" max="10" width="10.5703125" style="108" customWidth="1"/>
    <col min="11" max="11" width="12.7109375" style="108" customWidth="1"/>
    <col min="12" max="12" width="14" style="108" customWidth="1"/>
    <col min="13" max="13" width="13" style="107" customWidth="1"/>
    <col min="14" max="14" width="6.7109375" style="106" customWidth="1"/>
    <col min="15" max="15" width="15.28515625" style="103" customWidth="1"/>
    <col min="16" max="16384" width="9.140625" style="103"/>
  </cols>
  <sheetData>
    <row r="1" spans="1:15" x14ac:dyDescent="0.2">
      <c r="A1" s="616" t="s">
        <v>1426</v>
      </c>
      <c r="B1" s="616"/>
      <c r="C1" s="616"/>
      <c r="D1" s="616"/>
      <c r="E1" s="616"/>
      <c r="F1" s="616"/>
      <c r="G1" s="616"/>
      <c r="H1" s="616"/>
      <c r="I1" s="616"/>
      <c r="J1" s="616"/>
      <c r="K1" s="616"/>
      <c r="L1" s="616"/>
      <c r="M1" s="616"/>
      <c r="N1" s="616"/>
    </row>
    <row r="2" spans="1:15" ht="12" customHeight="1" x14ac:dyDescent="0.2">
      <c r="A2" s="616" t="s">
        <v>1427</v>
      </c>
      <c r="B2" s="616"/>
      <c r="C2" s="616"/>
      <c r="D2" s="616"/>
      <c r="E2" s="616"/>
      <c r="F2" s="616"/>
      <c r="G2" s="616"/>
      <c r="H2" s="616"/>
      <c r="I2" s="616"/>
      <c r="J2" s="616"/>
      <c r="K2" s="616"/>
      <c r="L2" s="616"/>
      <c r="M2" s="616"/>
      <c r="N2" s="616"/>
    </row>
    <row r="3" spans="1:15" ht="15" customHeight="1" thickBot="1" x14ac:dyDescent="0.25"/>
    <row r="4" spans="1:15" s="104" customFormat="1" ht="68.25" customHeight="1" x14ac:dyDescent="0.2">
      <c r="A4" s="159" t="s">
        <v>156</v>
      </c>
      <c r="B4" s="158"/>
      <c r="C4" s="158"/>
      <c r="D4" s="158"/>
      <c r="E4" s="158"/>
      <c r="F4" s="158"/>
      <c r="G4" s="157" t="s">
        <v>1390</v>
      </c>
      <c r="H4" s="157" t="s">
        <v>1391</v>
      </c>
      <c r="I4" s="157" t="s">
        <v>1392</v>
      </c>
      <c r="J4" s="157" t="s">
        <v>1393</v>
      </c>
      <c r="K4" s="157" t="s">
        <v>1394</v>
      </c>
      <c r="L4" s="157" t="s">
        <v>1395</v>
      </c>
      <c r="M4" s="156" t="s">
        <v>1396</v>
      </c>
      <c r="N4" s="155" t="s">
        <v>172</v>
      </c>
      <c r="O4" s="258"/>
    </row>
    <row r="5" spans="1:15" x14ac:dyDescent="0.2">
      <c r="A5" s="154" t="s">
        <v>394</v>
      </c>
      <c r="B5" s="153" t="s">
        <v>1397</v>
      </c>
      <c r="C5" s="153"/>
      <c r="D5" s="153"/>
      <c r="E5" s="153"/>
      <c r="F5" s="152"/>
      <c r="G5" s="151">
        <v>40</v>
      </c>
      <c r="H5" s="151">
        <v>0</v>
      </c>
      <c r="I5" s="150">
        <f>G5*H5</f>
        <v>0</v>
      </c>
      <c r="J5" s="150">
        <f>I5</f>
        <v>0</v>
      </c>
      <c r="K5" s="150">
        <f>J5*0.05</f>
        <v>0</v>
      </c>
      <c r="L5" s="150">
        <f>J5*0.1</f>
        <v>0</v>
      </c>
      <c r="M5" s="149">
        <f>(J5*'Agency Base Data'!$D$6)+(K5*'Agency Base Data'!$D$4)+(L5*'Agency Base Data'!$D$5)</f>
        <v>0</v>
      </c>
      <c r="N5" s="260" t="s">
        <v>235</v>
      </c>
      <c r="O5" s="163"/>
    </row>
    <row r="6" spans="1:15" ht="27" customHeight="1" x14ac:dyDescent="0.2">
      <c r="A6" s="143" t="s">
        <v>397</v>
      </c>
      <c r="B6" s="617" t="s">
        <v>398</v>
      </c>
      <c r="C6" s="617"/>
      <c r="D6" s="617"/>
      <c r="E6" s="617"/>
      <c r="F6" s="617"/>
      <c r="G6" s="139">
        <v>2</v>
      </c>
      <c r="H6" s="138">
        <f>'Annual # of Respondents'!I7</f>
        <v>104</v>
      </c>
      <c r="I6" s="138">
        <f>G6*H6</f>
        <v>208</v>
      </c>
      <c r="J6" s="138">
        <f>I6</f>
        <v>208</v>
      </c>
      <c r="K6" s="138">
        <f>J6*0.05</f>
        <v>10.4</v>
      </c>
      <c r="L6" s="138">
        <f>J6*0.1</f>
        <v>20.8</v>
      </c>
      <c r="M6" s="137">
        <f>(J6*'Agency Base Data'!$D$6)+(K6*'Agency Base Data'!$D$4)+(L6*'Agency Base Data'!$D$5)</f>
        <v>11107.2</v>
      </c>
      <c r="N6" s="136" t="s">
        <v>237</v>
      </c>
    </row>
    <row r="7" spans="1:15" ht="15" customHeight="1" x14ac:dyDescent="0.2">
      <c r="A7" s="143" t="s">
        <v>399</v>
      </c>
      <c r="B7" s="142" t="s">
        <v>400</v>
      </c>
      <c r="C7" s="147"/>
      <c r="D7" s="145"/>
      <c r="E7" s="145"/>
      <c r="F7" s="144"/>
      <c r="G7" s="139"/>
      <c r="H7" s="139"/>
      <c r="I7" s="138"/>
      <c r="J7" s="138"/>
      <c r="K7" s="138"/>
      <c r="L7" s="138"/>
      <c r="M7" s="137"/>
      <c r="N7" s="136"/>
    </row>
    <row r="8" spans="1:15" ht="15" customHeight="1" x14ac:dyDescent="0.2">
      <c r="A8" s="143"/>
      <c r="B8" s="142" t="s">
        <v>402</v>
      </c>
      <c r="C8" s="142" t="s">
        <v>403</v>
      </c>
      <c r="D8" s="145"/>
      <c r="E8" s="141"/>
      <c r="F8" s="144"/>
      <c r="G8" s="139">
        <v>12</v>
      </c>
      <c r="H8" s="138">
        <f>'Annual # of Respondents'!I13*0.2</f>
        <v>2.6</v>
      </c>
      <c r="I8" s="138">
        <f t="shared" ref="I8:I13" si="0">G8*H8</f>
        <v>31.200000000000003</v>
      </c>
      <c r="J8" s="138">
        <f t="shared" ref="J8:J13" si="1">I8</f>
        <v>31.200000000000003</v>
      </c>
      <c r="K8" s="138">
        <f t="shared" ref="K8:K13" si="2">J8*0.05</f>
        <v>1.5600000000000003</v>
      </c>
      <c r="L8" s="138">
        <f t="shared" ref="L8:L13" si="3">J8*0.1</f>
        <v>3.1200000000000006</v>
      </c>
      <c r="M8" s="137">
        <f>(J8*'Agency Base Data'!$D$6)+(K8*'Agency Base Data'!$D$4)+(L8*'Agency Base Data'!$D$5)</f>
        <v>1666.0800000000002</v>
      </c>
      <c r="N8" s="148" t="s">
        <v>1398</v>
      </c>
      <c r="O8" s="163"/>
    </row>
    <row r="9" spans="1:15" ht="15" customHeight="1" x14ac:dyDescent="0.2">
      <c r="A9" s="143"/>
      <c r="B9" s="142" t="s">
        <v>404</v>
      </c>
      <c r="C9" s="142" t="s">
        <v>405</v>
      </c>
      <c r="D9" s="145"/>
      <c r="E9" s="141"/>
      <c r="F9" s="144"/>
      <c r="G9" s="139">
        <v>20</v>
      </c>
      <c r="H9" s="138">
        <f>'Annual # of Respondents'!I7*0.2</f>
        <v>20.8</v>
      </c>
      <c r="I9" s="138">
        <f t="shared" si="0"/>
        <v>416</v>
      </c>
      <c r="J9" s="138">
        <f t="shared" si="1"/>
        <v>416</v>
      </c>
      <c r="K9" s="138">
        <f t="shared" si="2"/>
        <v>20.8</v>
      </c>
      <c r="L9" s="138">
        <f t="shared" si="3"/>
        <v>41.6</v>
      </c>
      <c r="M9" s="137">
        <f>(J9*'Agency Base Data'!$D$6)+(K9*'Agency Base Data'!$D$4)+(L9*'Agency Base Data'!$D$5)+H9*('Other Cost Basis'!B9+'Other Cost Basis'!B13+'Other Cost Basis'!B14)</f>
        <v>43305.600000000006</v>
      </c>
      <c r="N9" s="148" t="s">
        <v>239</v>
      </c>
    </row>
    <row r="10" spans="1:15" ht="15" customHeight="1" x14ac:dyDescent="0.2">
      <c r="A10" s="143"/>
      <c r="B10" s="142" t="s">
        <v>406</v>
      </c>
      <c r="C10" s="142" t="s">
        <v>407</v>
      </c>
      <c r="D10" s="145"/>
      <c r="E10" s="141"/>
      <c r="F10" s="144"/>
      <c r="G10" s="139">
        <v>1</v>
      </c>
      <c r="H10" s="138">
        <f>'Annual # of Respondents'!I13</f>
        <v>13</v>
      </c>
      <c r="I10" s="138">
        <f t="shared" si="0"/>
        <v>13</v>
      </c>
      <c r="J10" s="138">
        <f t="shared" si="1"/>
        <v>13</v>
      </c>
      <c r="K10" s="138">
        <f t="shared" si="2"/>
        <v>0.65</v>
      </c>
      <c r="L10" s="138">
        <f t="shared" si="3"/>
        <v>1.3</v>
      </c>
      <c r="M10" s="137">
        <f>(J10*'Agency Base Data'!$D$6)+(K10*'Agency Base Data'!$D$4)+(L10*'Agency Base Data'!$D$5)</f>
        <v>694.2</v>
      </c>
      <c r="N10" s="148" t="s">
        <v>179</v>
      </c>
      <c r="O10" s="163"/>
    </row>
    <row r="11" spans="1:15" ht="15" customHeight="1" x14ac:dyDescent="0.2">
      <c r="A11" s="143"/>
      <c r="B11" s="142" t="s">
        <v>408</v>
      </c>
      <c r="C11" s="142" t="s">
        <v>409</v>
      </c>
      <c r="D11" s="145"/>
      <c r="E11" s="141"/>
      <c r="F11" s="144"/>
      <c r="G11" s="139">
        <v>1</v>
      </c>
      <c r="H11" s="138">
        <f>'Annual # of Respondents'!I7</f>
        <v>104</v>
      </c>
      <c r="I11" s="138">
        <f t="shared" si="0"/>
        <v>104</v>
      </c>
      <c r="J11" s="138">
        <f t="shared" si="1"/>
        <v>104</v>
      </c>
      <c r="K11" s="138">
        <f t="shared" si="2"/>
        <v>5.2</v>
      </c>
      <c r="L11" s="138">
        <f t="shared" si="3"/>
        <v>10.4</v>
      </c>
      <c r="M11" s="137">
        <f>(J11*'Agency Base Data'!$D$6)+(K11*'Agency Base Data'!$D$4)+(L11*'Agency Base Data'!$D$5)</f>
        <v>5553.6</v>
      </c>
      <c r="N11" s="148" t="s">
        <v>242</v>
      </c>
    </row>
    <row r="12" spans="1:15" ht="15" customHeight="1" x14ac:dyDescent="0.2">
      <c r="A12" s="143"/>
      <c r="B12" s="142" t="s">
        <v>410</v>
      </c>
      <c r="C12" s="142" t="s">
        <v>411</v>
      </c>
      <c r="D12" s="145"/>
      <c r="E12" s="141"/>
      <c r="F12" s="144"/>
      <c r="G12" s="139">
        <v>2</v>
      </c>
      <c r="H12" s="138">
        <f>'Annual # of Respondents'!I13</f>
        <v>13</v>
      </c>
      <c r="I12" s="138">
        <f t="shared" si="0"/>
        <v>26</v>
      </c>
      <c r="J12" s="138">
        <f t="shared" si="1"/>
        <v>26</v>
      </c>
      <c r="K12" s="138">
        <f t="shared" si="2"/>
        <v>1.3</v>
      </c>
      <c r="L12" s="138">
        <f t="shared" si="3"/>
        <v>2.6</v>
      </c>
      <c r="M12" s="137">
        <f>(J12*'Agency Base Data'!$D$6)+(K12*'Agency Base Data'!$D$4)+(L12*'Agency Base Data'!$D$5)</f>
        <v>1388.4</v>
      </c>
      <c r="N12" s="148" t="s">
        <v>179</v>
      </c>
      <c r="O12" s="163"/>
    </row>
    <row r="13" spans="1:15" ht="15" customHeight="1" x14ac:dyDescent="0.2">
      <c r="A13" s="143" t="s">
        <v>412</v>
      </c>
      <c r="B13" s="142" t="s">
        <v>413</v>
      </c>
      <c r="C13" s="142"/>
      <c r="D13" s="145"/>
      <c r="E13" s="141"/>
      <c r="F13" s="144"/>
      <c r="G13" s="139">
        <v>24</v>
      </c>
      <c r="H13" s="138">
        <f>H12*0.1</f>
        <v>1.3</v>
      </c>
      <c r="I13" s="138">
        <f t="shared" si="0"/>
        <v>31.200000000000003</v>
      </c>
      <c r="J13" s="138">
        <f t="shared" si="1"/>
        <v>31.200000000000003</v>
      </c>
      <c r="K13" s="138">
        <f t="shared" si="2"/>
        <v>1.5600000000000003</v>
      </c>
      <c r="L13" s="138">
        <f t="shared" si="3"/>
        <v>3.1200000000000006</v>
      </c>
      <c r="M13" s="137">
        <f>(J13*'Agency Base Data'!$D$6)+(K13*'Agency Base Data'!$D$4)+(L13*'Agency Base Data'!$D$5)</f>
        <v>1666.0800000000002</v>
      </c>
      <c r="N13" s="148" t="s">
        <v>204</v>
      </c>
    </row>
    <row r="14" spans="1:15" ht="15.75" customHeight="1" x14ac:dyDescent="0.2">
      <c r="A14" s="143" t="s">
        <v>1399</v>
      </c>
      <c r="B14" s="142" t="s">
        <v>1400</v>
      </c>
      <c r="C14" s="147"/>
      <c r="D14" s="146"/>
      <c r="E14" s="141"/>
      <c r="F14" s="144"/>
      <c r="G14" s="139"/>
      <c r="H14" s="138"/>
      <c r="I14" s="138"/>
      <c r="J14" s="138"/>
      <c r="K14" s="138"/>
      <c r="L14" s="138"/>
      <c r="M14" s="137"/>
      <c r="N14" s="136"/>
    </row>
    <row r="15" spans="1:15" x14ac:dyDescent="0.2">
      <c r="A15" s="143"/>
      <c r="B15" s="142" t="s">
        <v>402</v>
      </c>
      <c r="C15" s="617" t="s">
        <v>417</v>
      </c>
      <c r="D15" s="617"/>
      <c r="E15" s="617"/>
      <c r="F15" s="617"/>
      <c r="G15" s="139">
        <v>2</v>
      </c>
      <c r="H15" s="138">
        <v>0</v>
      </c>
      <c r="I15" s="138">
        <f>G15*H15</f>
        <v>0</v>
      </c>
      <c r="J15" s="138">
        <f t="shared" ref="J15:J24" si="4">I15</f>
        <v>0</v>
      </c>
      <c r="K15" s="138">
        <f t="shared" ref="K15:K24" si="5">J15*0.05</f>
        <v>0</v>
      </c>
      <c r="L15" s="138">
        <f t="shared" ref="L15:L24" si="6">J15*0.1</f>
        <v>0</v>
      </c>
      <c r="M15" s="137">
        <f>(J15*'Agency Base Data'!$D$6)+(K15*'Agency Base Data'!$D$4)+(L15*'Agency Base Data'!$D$5)</f>
        <v>0</v>
      </c>
      <c r="N15" s="148" t="s">
        <v>245</v>
      </c>
    </row>
    <row r="16" spans="1:15" ht="15" customHeight="1" x14ac:dyDescent="0.2">
      <c r="A16" s="143" t="s">
        <v>1401</v>
      </c>
      <c r="B16" s="142" t="s">
        <v>415</v>
      </c>
      <c r="C16" s="142"/>
      <c r="D16" s="145"/>
      <c r="E16" s="141"/>
      <c r="F16" s="144"/>
      <c r="G16" s="139"/>
      <c r="H16" s="138"/>
      <c r="I16" s="138"/>
      <c r="J16" s="138"/>
      <c r="K16" s="138"/>
      <c r="L16" s="138"/>
      <c r="M16" s="137"/>
      <c r="N16" s="136"/>
    </row>
    <row r="17" spans="1:20" ht="15" customHeight="1" x14ac:dyDescent="0.2">
      <c r="A17" s="143"/>
      <c r="B17" s="142" t="s">
        <v>402</v>
      </c>
      <c r="C17" s="142" t="s">
        <v>416</v>
      </c>
      <c r="D17" s="142"/>
      <c r="E17" s="141"/>
      <c r="F17" s="144"/>
      <c r="G17" s="139">
        <v>1</v>
      </c>
      <c r="H17" s="138">
        <f>'Annual # of Respondents'!I4</f>
        <v>0</v>
      </c>
      <c r="I17" s="138">
        <f t="shared" ref="I17:I24" si="7">G17*H17</f>
        <v>0</v>
      </c>
      <c r="J17" s="138">
        <f t="shared" si="4"/>
        <v>0</v>
      </c>
      <c r="K17" s="138">
        <f t="shared" si="5"/>
        <v>0</v>
      </c>
      <c r="L17" s="138">
        <f t="shared" si="6"/>
        <v>0</v>
      </c>
      <c r="M17" s="137">
        <f>(J17*'Agency Base Data'!$D$6)+(K17*'Agency Base Data'!$D$4)+(L17*'Agency Base Data'!$D$5)</f>
        <v>0</v>
      </c>
      <c r="N17" s="148" t="s">
        <v>192</v>
      </c>
      <c r="O17" s="163"/>
    </row>
    <row r="18" spans="1:20" ht="15" customHeight="1" x14ac:dyDescent="0.2">
      <c r="A18" s="143"/>
      <c r="B18" s="142" t="s">
        <v>404</v>
      </c>
      <c r="C18" s="142" t="s">
        <v>418</v>
      </c>
      <c r="D18" s="142"/>
      <c r="E18" s="141"/>
      <c r="F18" s="144"/>
      <c r="G18" s="139">
        <v>2</v>
      </c>
      <c r="H18" s="138">
        <f>'Annual # of Respondents'!I9+'Annual # of Respondents'!I10</f>
        <v>5</v>
      </c>
      <c r="I18" s="138">
        <f t="shared" si="7"/>
        <v>10</v>
      </c>
      <c r="J18" s="138">
        <f t="shared" si="4"/>
        <v>10</v>
      </c>
      <c r="K18" s="138">
        <f t="shared" si="5"/>
        <v>0.5</v>
      </c>
      <c r="L18" s="138">
        <f t="shared" si="6"/>
        <v>1</v>
      </c>
      <c r="M18" s="137">
        <f>(J18*'Agency Base Data'!$D$6)+(K18*'Agency Base Data'!$D$4)+(L18*'Agency Base Data'!$D$5)</f>
        <v>534</v>
      </c>
      <c r="N18" s="148" t="s">
        <v>194</v>
      </c>
    </row>
    <row r="19" spans="1:20" ht="15" customHeight="1" x14ac:dyDescent="0.2">
      <c r="A19" s="143"/>
      <c r="B19" s="142" t="s">
        <v>406</v>
      </c>
      <c r="C19" s="142" t="s">
        <v>419</v>
      </c>
      <c r="D19" s="165"/>
      <c r="E19" s="165"/>
      <c r="F19" s="166"/>
      <c r="G19" s="139">
        <v>1</v>
      </c>
      <c r="H19" s="138">
        <v>0</v>
      </c>
      <c r="I19" s="138">
        <f t="shared" si="7"/>
        <v>0</v>
      </c>
      <c r="J19" s="138">
        <f t="shared" si="4"/>
        <v>0</v>
      </c>
      <c r="K19" s="138">
        <f t="shared" si="5"/>
        <v>0</v>
      </c>
      <c r="L19" s="138">
        <f t="shared" si="6"/>
        <v>0</v>
      </c>
      <c r="M19" s="137">
        <f>(J19*'Agency Base Data'!$D$6)+(K19*'Agency Base Data'!$D$4)+(L19*'Agency Base Data'!$D$5)</f>
        <v>0</v>
      </c>
      <c r="N19" s="148" t="s">
        <v>196</v>
      </c>
    </row>
    <row r="20" spans="1:20" ht="15" customHeight="1" x14ac:dyDescent="0.2">
      <c r="A20" s="143"/>
      <c r="B20" s="142" t="s">
        <v>408</v>
      </c>
      <c r="C20" s="164" t="s">
        <v>420</v>
      </c>
      <c r="G20" s="139">
        <v>1</v>
      </c>
      <c r="H20" s="138">
        <v>0</v>
      </c>
      <c r="I20" s="138">
        <f t="shared" si="7"/>
        <v>0</v>
      </c>
      <c r="J20" s="138">
        <f t="shared" si="4"/>
        <v>0</v>
      </c>
      <c r="K20" s="138">
        <f t="shared" si="5"/>
        <v>0</v>
      </c>
      <c r="L20" s="138">
        <f t="shared" si="6"/>
        <v>0</v>
      </c>
      <c r="M20" s="137">
        <f>(J20*'Agency Base Data'!$D$6)+(K20*'Agency Base Data'!$D$4)+(L20*'Agency Base Data'!$D$5)</f>
        <v>0</v>
      </c>
      <c r="N20" s="148" t="s">
        <v>196</v>
      </c>
    </row>
    <row r="21" spans="1:20" ht="15" customHeight="1" x14ac:dyDescent="0.2">
      <c r="A21" s="143"/>
      <c r="B21" s="142" t="s">
        <v>410</v>
      </c>
      <c r="C21" s="142" t="s">
        <v>422</v>
      </c>
      <c r="D21" s="142"/>
      <c r="E21" s="141"/>
      <c r="F21" s="144"/>
      <c r="G21" s="139">
        <v>15</v>
      </c>
      <c r="H21" s="138">
        <f>'Annual # of Respondents'!I13</f>
        <v>13</v>
      </c>
      <c r="I21" s="138">
        <f>G21*H21</f>
        <v>195</v>
      </c>
      <c r="J21" s="138">
        <f t="shared" si="4"/>
        <v>195</v>
      </c>
      <c r="K21" s="138">
        <f t="shared" si="5"/>
        <v>9.75</v>
      </c>
      <c r="L21" s="138">
        <f t="shared" si="6"/>
        <v>19.5</v>
      </c>
      <c r="M21" s="137">
        <f>(J21*'Agency Base Data'!$D$6)+(K21*'Agency Base Data'!$D$4)+(L21*'Agency Base Data'!$D$5)</f>
        <v>10413</v>
      </c>
      <c r="N21" s="148" t="s">
        <v>179</v>
      </c>
      <c r="O21" s="163"/>
    </row>
    <row r="22" spans="1:20" ht="15" customHeight="1" x14ac:dyDescent="0.2">
      <c r="A22" s="143"/>
      <c r="B22" s="142" t="s">
        <v>421</v>
      </c>
      <c r="C22" s="142" t="s">
        <v>425</v>
      </c>
      <c r="D22" s="142"/>
      <c r="E22" s="141"/>
      <c r="F22" s="144"/>
      <c r="G22" s="139">
        <v>5</v>
      </c>
      <c r="H22" s="138">
        <f>'Annual # of Respondents'!I13*0.1</f>
        <v>1.3</v>
      </c>
      <c r="I22" s="138">
        <f t="shared" si="7"/>
        <v>6.5</v>
      </c>
      <c r="J22" s="138">
        <f t="shared" si="4"/>
        <v>6.5</v>
      </c>
      <c r="K22" s="138">
        <f t="shared" si="5"/>
        <v>0.32500000000000001</v>
      </c>
      <c r="L22" s="138">
        <f t="shared" si="6"/>
        <v>0.65</v>
      </c>
      <c r="M22" s="137">
        <f>(J22*'Agency Base Data'!$D$6)+(K22*'Agency Base Data'!$D$4)+(L22*'Agency Base Data'!$D$5)</f>
        <v>347.1</v>
      </c>
      <c r="N22" s="148" t="s">
        <v>250</v>
      </c>
    </row>
    <row r="23" spans="1:20" ht="15" customHeight="1" x14ac:dyDescent="0.2">
      <c r="A23" s="143"/>
      <c r="B23" s="142" t="s">
        <v>424</v>
      </c>
      <c r="C23" s="142" t="s">
        <v>1402</v>
      </c>
      <c r="D23" s="142"/>
      <c r="E23" s="141"/>
      <c r="F23" s="140"/>
      <c r="G23" s="139">
        <v>12</v>
      </c>
      <c r="H23" s="138">
        <f>H$12</f>
        <v>13</v>
      </c>
      <c r="I23" s="138">
        <f t="shared" si="7"/>
        <v>156</v>
      </c>
      <c r="J23" s="138">
        <f t="shared" si="4"/>
        <v>156</v>
      </c>
      <c r="K23" s="138">
        <f t="shared" si="5"/>
        <v>7.8000000000000007</v>
      </c>
      <c r="L23" s="138">
        <f t="shared" si="6"/>
        <v>15.600000000000001</v>
      </c>
      <c r="M23" s="137">
        <f>(J23*'Agency Base Data'!$D$6)+(K23*'Agency Base Data'!$D$4)+(L23*'Agency Base Data'!$D$5)</f>
        <v>8330.4</v>
      </c>
      <c r="N23" s="148" t="s">
        <v>179</v>
      </c>
      <c r="O23" s="163"/>
    </row>
    <row r="24" spans="1:20" ht="15" customHeight="1" x14ac:dyDescent="0.2">
      <c r="A24" s="143"/>
      <c r="B24" s="142" t="s">
        <v>426</v>
      </c>
      <c r="C24" s="142" t="s">
        <v>429</v>
      </c>
      <c r="D24" s="142"/>
      <c r="E24" s="141"/>
      <c r="F24" s="140"/>
      <c r="G24" s="139">
        <v>2</v>
      </c>
      <c r="H24" s="138">
        <f>H$11</f>
        <v>104</v>
      </c>
      <c r="I24" s="138">
        <f t="shared" si="7"/>
        <v>208</v>
      </c>
      <c r="J24" s="138">
        <f t="shared" si="4"/>
        <v>208</v>
      </c>
      <c r="K24" s="138">
        <f t="shared" si="5"/>
        <v>10.4</v>
      </c>
      <c r="L24" s="138">
        <f t="shared" si="6"/>
        <v>20.8</v>
      </c>
      <c r="M24" s="137">
        <f>(J24*'Agency Base Data'!$D$6)+(K24*'Agency Base Data'!$D$4)+(L24*'Agency Base Data'!$D$5)</f>
        <v>11107.2</v>
      </c>
      <c r="N24" s="148"/>
    </row>
    <row r="25" spans="1:20" ht="15" customHeight="1" x14ac:dyDescent="0.2">
      <c r="A25" s="314"/>
      <c r="B25" s="142" t="s">
        <v>428</v>
      </c>
      <c r="C25" s="316" t="s">
        <v>431</v>
      </c>
      <c r="D25" s="316"/>
      <c r="E25" s="354"/>
      <c r="F25" s="355"/>
      <c r="G25" s="356">
        <f>5*0.25</f>
        <v>1.25</v>
      </c>
      <c r="H25" s="357">
        <f>('3.A-Public'!F26*'3.A-Public'!I26)+('3.B-Priv'!F26*'3.B-Priv'!I26)</f>
        <v>2</v>
      </c>
      <c r="I25" s="138">
        <f t="shared" ref="I25:I27" si="8">G25*H25</f>
        <v>2.5</v>
      </c>
      <c r="J25" s="138">
        <f t="shared" ref="J25:J27" si="9">I25</f>
        <v>2.5</v>
      </c>
      <c r="K25" s="138">
        <f t="shared" ref="K25:K27" si="10">J25*0.05</f>
        <v>0.125</v>
      </c>
      <c r="L25" s="138">
        <f t="shared" ref="L25:L27" si="11">J25*0.1</f>
        <v>0.25</v>
      </c>
      <c r="M25" s="137">
        <f>(J25*'Agency Base Data'!$D$6)+(K25*'Agency Base Data'!$D$4)+(L25*'Agency Base Data'!$D$5)</f>
        <v>133.5</v>
      </c>
      <c r="N25" s="315" t="s">
        <v>206</v>
      </c>
    </row>
    <row r="26" spans="1:20" ht="15" customHeight="1" x14ac:dyDescent="0.2">
      <c r="A26" s="314"/>
      <c r="B26" s="142" t="s">
        <v>430</v>
      </c>
      <c r="C26" s="316" t="s">
        <v>433</v>
      </c>
      <c r="D26" s="316"/>
      <c r="E26" s="354"/>
      <c r="F26" s="355"/>
      <c r="G26" s="356">
        <f t="shared" ref="G26:G27" si="12">5*0.25</f>
        <v>1.25</v>
      </c>
      <c r="H26" s="357">
        <f>('3.A-Public'!F27*'3.A-Public'!I27)+('3.B-Priv'!F27*'3.B-Priv'!I27)</f>
        <v>2</v>
      </c>
      <c r="I26" s="138">
        <f t="shared" si="8"/>
        <v>2.5</v>
      </c>
      <c r="J26" s="138">
        <f t="shared" si="9"/>
        <v>2.5</v>
      </c>
      <c r="K26" s="138">
        <f t="shared" si="10"/>
        <v>0.125</v>
      </c>
      <c r="L26" s="138">
        <f t="shared" si="11"/>
        <v>0.25</v>
      </c>
      <c r="M26" s="137">
        <f>(J26*'Agency Base Data'!$D$6)+(K26*'Agency Base Data'!$D$4)+(L26*'Agency Base Data'!$D$5)</f>
        <v>133.5</v>
      </c>
      <c r="N26" s="315" t="s">
        <v>206</v>
      </c>
    </row>
    <row r="27" spans="1:20" ht="15" customHeight="1" x14ac:dyDescent="0.2">
      <c r="A27" s="314"/>
      <c r="B27" s="142" t="s">
        <v>432</v>
      </c>
      <c r="C27" s="316" t="s">
        <v>435</v>
      </c>
      <c r="D27" s="316"/>
      <c r="E27" s="354"/>
      <c r="F27" s="355"/>
      <c r="G27" s="356">
        <f t="shared" si="12"/>
        <v>1.25</v>
      </c>
      <c r="H27" s="357">
        <f>('3.A-Public'!F28*'3.A-Public'!I28)+('3.B-Priv'!F28*'3.B-Priv'!I28)</f>
        <v>2</v>
      </c>
      <c r="I27" s="138">
        <f t="shared" si="8"/>
        <v>2.5</v>
      </c>
      <c r="J27" s="138">
        <f t="shared" si="9"/>
        <v>2.5</v>
      </c>
      <c r="K27" s="138">
        <f t="shared" si="10"/>
        <v>0.125</v>
      </c>
      <c r="L27" s="138">
        <f t="shared" si="11"/>
        <v>0.25</v>
      </c>
      <c r="M27" s="137">
        <f>(J27*'Agency Base Data'!$D$6)+(K27*'Agency Base Data'!$D$4)+(L27*'Agency Base Data'!$D$5)</f>
        <v>133.5</v>
      </c>
      <c r="N27" s="315" t="s">
        <v>206</v>
      </c>
    </row>
    <row r="28" spans="1:20" ht="15" customHeight="1" x14ac:dyDescent="0.2">
      <c r="A28" s="314"/>
      <c r="B28" s="316" t="s">
        <v>434</v>
      </c>
      <c r="C28" s="316" t="s">
        <v>437</v>
      </c>
      <c r="D28" s="316"/>
      <c r="E28" s="354"/>
      <c r="F28" s="355"/>
      <c r="G28" s="356">
        <v>1</v>
      </c>
      <c r="H28" s="357">
        <f>'Annual # of Respondents'!I5</f>
        <v>32</v>
      </c>
      <c r="I28" s="138">
        <f t="shared" ref="I28" si="13">G28*H28</f>
        <v>32</v>
      </c>
      <c r="J28" s="138">
        <f t="shared" ref="J28" si="14">I28</f>
        <v>32</v>
      </c>
      <c r="K28" s="138">
        <f t="shared" ref="K28" si="15">J28*0.05</f>
        <v>1.6</v>
      </c>
      <c r="L28" s="138">
        <f t="shared" ref="L28" si="16">J28*0.1</f>
        <v>3.2</v>
      </c>
      <c r="M28" s="137">
        <f>(J28*'Agency Base Data'!$D$6)+(K28*'Agency Base Data'!$D$4)+(L28*'Agency Base Data'!$D$5)</f>
        <v>1708.8</v>
      </c>
      <c r="N28" s="315" t="s">
        <v>210</v>
      </c>
    </row>
    <row r="29" spans="1:20" ht="24.75" customHeight="1" thickBot="1" x14ac:dyDescent="0.25">
      <c r="A29" s="135" t="s">
        <v>438</v>
      </c>
      <c r="B29" s="134" t="s">
        <v>439</v>
      </c>
      <c r="C29" s="133"/>
      <c r="D29" s="132"/>
      <c r="E29" s="132"/>
      <c r="F29" s="118"/>
      <c r="G29" s="612" t="s">
        <v>440</v>
      </c>
      <c r="H29" s="613"/>
      <c r="I29" s="613"/>
      <c r="J29" s="614"/>
      <c r="K29" s="131"/>
      <c r="L29" s="116"/>
      <c r="M29" s="130">
        <f>(('Agency Base Data'!$C$14*('Agency Base Data'!$C$11+'Agency Base Data'!$C$12))+'Agency Base Data'!$C$13)*SUM(H8:H9)</f>
        <v>26395.200000000001</v>
      </c>
      <c r="N29" s="170" t="s">
        <v>253</v>
      </c>
      <c r="P29" s="109"/>
    </row>
    <row r="30" spans="1:20" x14ac:dyDescent="0.2">
      <c r="A30" s="129" t="s">
        <v>1403</v>
      </c>
      <c r="B30" s="127"/>
      <c r="C30" s="128"/>
      <c r="D30" s="127"/>
      <c r="E30" s="126"/>
      <c r="F30" s="125"/>
      <c r="G30" s="124"/>
      <c r="H30" s="124"/>
      <c r="I30" s="124"/>
      <c r="J30" s="123">
        <f>SUM(J5:J29)</f>
        <v>1444.4</v>
      </c>
      <c r="K30" s="123">
        <f>SUM(K5:K29)</f>
        <v>72.220000000000013</v>
      </c>
      <c r="L30" s="123">
        <f>SUM(L5:L29)</f>
        <v>144.44000000000003</v>
      </c>
      <c r="M30" s="122">
        <f>SUM(M5:M29)</f>
        <v>124617.36</v>
      </c>
      <c r="N30" s="121"/>
      <c r="O30" s="109"/>
      <c r="P30" s="109"/>
      <c r="Q30" s="109"/>
      <c r="R30" s="109"/>
      <c r="S30" s="109"/>
      <c r="T30" s="109"/>
    </row>
    <row r="31" spans="1:20" ht="13.5" thickBot="1" x14ac:dyDescent="0.25">
      <c r="A31" s="120" t="s">
        <v>1404</v>
      </c>
      <c r="B31" s="119"/>
      <c r="C31" s="119"/>
      <c r="D31" s="119"/>
      <c r="E31" s="119"/>
      <c r="F31" s="119"/>
      <c r="G31" s="118"/>
      <c r="H31" s="118"/>
      <c r="I31" s="118"/>
      <c r="J31" s="117"/>
      <c r="K31" s="116"/>
      <c r="L31" s="115">
        <f>(SUM(J5:J29))+(SUM(K5:K29))+(SUM(L5:L29))</f>
        <v>1661.0600000000002</v>
      </c>
      <c r="M31" s="114"/>
      <c r="N31" s="113"/>
      <c r="O31" s="109"/>
      <c r="P31" s="109"/>
      <c r="Q31" s="109"/>
      <c r="R31" s="109"/>
      <c r="S31" s="109"/>
      <c r="T31" s="109"/>
    </row>
    <row r="32" spans="1:20" ht="6.75" customHeight="1" x14ac:dyDescent="0.2">
      <c r="G32" s="103"/>
      <c r="H32" s="103"/>
      <c r="I32" s="103"/>
      <c r="O32" s="109"/>
      <c r="P32" s="109"/>
      <c r="Q32" s="109"/>
      <c r="R32" s="109"/>
      <c r="S32" s="109"/>
      <c r="T32" s="109"/>
    </row>
    <row r="33" spans="1:20" s="109" customFormat="1" ht="11.25" x14ac:dyDescent="0.2">
      <c r="A33" s="109" t="s">
        <v>1428</v>
      </c>
      <c r="J33" s="112"/>
      <c r="K33" s="112"/>
      <c r="L33" s="112"/>
      <c r="M33" s="111"/>
      <c r="N33" s="110"/>
    </row>
    <row r="34" spans="1:20" s="109" customFormat="1" x14ac:dyDescent="0.2">
      <c r="A34" s="611" t="s">
        <v>1406</v>
      </c>
      <c r="B34" s="611"/>
      <c r="C34" s="611"/>
      <c r="D34" s="611"/>
      <c r="E34" s="611"/>
      <c r="F34" s="611"/>
      <c r="G34" s="611"/>
      <c r="H34" s="611"/>
      <c r="I34" s="611"/>
      <c r="J34" s="611"/>
      <c r="K34" s="611"/>
      <c r="L34" s="611"/>
      <c r="M34" s="611"/>
      <c r="N34" s="611"/>
      <c r="P34" s="103"/>
      <c r="Q34" s="103"/>
      <c r="R34" s="103"/>
    </row>
    <row r="35" spans="1:20" s="109" customFormat="1" ht="25.5" customHeight="1" x14ac:dyDescent="0.2">
      <c r="A35" s="615" t="s">
        <v>1407</v>
      </c>
      <c r="B35" s="615"/>
      <c r="C35" s="615"/>
      <c r="D35" s="615"/>
      <c r="E35" s="615"/>
      <c r="F35" s="615"/>
      <c r="G35" s="615"/>
      <c r="H35" s="615"/>
      <c r="I35" s="615"/>
      <c r="J35" s="615"/>
      <c r="K35" s="615"/>
      <c r="L35" s="615"/>
      <c r="M35" s="615"/>
      <c r="N35" s="615"/>
      <c r="P35" s="103"/>
      <c r="Q35" s="103"/>
      <c r="R35" s="103"/>
      <c r="S35" s="103"/>
      <c r="T35" s="103"/>
    </row>
    <row r="36" spans="1:20" s="109" customFormat="1" ht="11.25" x14ac:dyDescent="0.2">
      <c r="A36" s="611" t="s">
        <v>1429</v>
      </c>
      <c r="B36" s="611"/>
      <c r="C36" s="611"/>
      <c r="D36" s="611"/>
      <c r="E36" s="611"/>
      <c r="F36" s="611"/>
      <c r="G36" s="611"/>
      <c r="H36" s="611"/>
      <c r="I36" s="611"/>
      <c r="J36" s="611"/>
      <c r="K36" s="611"/>
      <c r="L36" s="611"/>
      <c r="M36" s="611"/>
      <c r="N36" s="611"/>
      <c r="O36" s="256"/>
    </row>
    <row r="37" spans="1:20" x14ac:dyDescent="0.2">
      <c r="A37" s="611" t="s">
        <v>1430</v>
      </c>
      <c r="B37" s="611"/>
      <c r="C37" s="611"/>
      <c r="D37" s="611"/>
      <c r="E37" s="611"/>
      <c r="F37" s="611"/>
      <c r="G37" s="611"/>
      <c r="H37" s="611"/>
      <c r="I37" s="611"/>
      <c r="J37" s="611"/>
      <c r="K37" s="611"/>
      <c r="L37" s="611"/>
      <c r="M37" s="611"/>
      <c r="N37" s="611"/>
      <c r="O37" s="256"/>
    </row>
    <row r="38" spans="1:20" s="109" customFormat="1" ht="12.75" customHeight="1" x14ac:dyDescent="0.2">
      <c r="A38" s="109" t="s">
        <v>1410</v>
      </c>
    </row>
    <row r="39" spans="1:20" s="109" customFormat="1" ht="12.75" customHeight="1" x14ac:dyDescent="0.2">
      <c r="A39" s="109" t="s">
        <v>1411</v>
      </c>
    </row>
    <row r="40" spans="1:20" s="109" customFormat="1" ht="22.5" customHeight="1" x14ac:dyDescent="0.2">
      <c r="A40" s="611" t="s">
        <v>1425</v>
      </c>
      <c r="B40" s="611"/>
      <c r="C40" s="611"/>
      <c r="D40" s="611"/>
      <c r="E40" s="611"/>
      <c r="F40" s="611"/>
      <c r="G40" s="611"/>
      <c r="H40" s="611"/>
      <c r="I40" s="611"/>
      <c r="J40" s="611"/>
      <c r="K40" s="611"/>
      <c r="L40" s="611"/>
      <c r="M40" s="611"/>
      <c r="N40" s="611"/>
      <c r="O40" s="256"/>
    </row>
    <row r="41" spans="1:20" s="109" customFormat="1" ht="11.25" x14ac:dyDescent="0.2">
      <c r="A41" s="611" t="s">
        <v>1431</v>
      </c>
      <c r="B41" s="611"/>
      <c r="C41" s="611"/>
      <c r="D41" s="611"/>
      <c r="E41" s="611"/>
      <c r="F41" s="611"/>
      <c r="G41" s="611"/>
      <c r="H41" s="611"/>
      <c r="I41" s="611"/>
      <c r="J41" s="611"/>
      <c r="K41" s="611"/>
      <c r="L41" s="611"/>
      <c r="M41" s="611"/>
      <c r="N41" s="611"/>
      <c r="O41" s="256"/>
    </row>
    <row r="42" spans="1:20" s="109" customFormat="1" ht="11.25" customHeight="1" x14ac:dyDescent="0.2">
      <c r="A42" s="109" t="s">
        <v>1413</v>
      </c>
      <c r="J42" s="112"/>
      <c r="K42" s="112"/>
      <c r="L42" s="112"/>
      <c r="M42" s="111"/>
      <c r="N42" s="110"/>
      <c r="O42" s="103"/>
    </row>
    <row r="43" spans="1:20" x14ac:dyDescent="0.2">
      <c r="A43" s="109" t="s">
        <v>1414</v>
      </c>
      <c r="B43" s="163"/>
      <c r="C43" s="163"/>
      <c r="D43" s="163"/>
      <c r="E43" s="163"/>
      <c r="F43" s="163"/>
      <c r="G43" s="163"/>
      <c r="H43" s="163"/>
      <c r="I43" s="163"/>
      <c r="J43" s="261"/>
      <c r="K43" s="261"/>
      <c r="L43" s="261"/>
      <c r="M43" s="262"/>
      <c r="N43" s="263"/>
    </row>
    <row r="44" spans="1:20" x14ac:dyDescent="0.2">
      <c r="A44" s="109" t="s">
        <v>1415</v>
      </c>
      <c r="B44" s="163"/>
      <c r="C44" s="163"/>
      <c r="D44" s="163"/>
      <c r="E44" s="163"/>
      <c r="F44" s="163"/>
      <c r="G44" s="163"/>
      <c r="H44" s="163"/>
      <c r="I44" s="163"/>
      <c r="J44" s="261"/>
      <c r="K44" s="261"/>
      <c r="L44" s="261"/>
      <c r="M44" s="262"/>
      <c r="N44" s="263"/>
    </row>
    <row r="45" spans="1:20" ht="33" customHeight="1" x14ac:dyDescent="0.2">
      <c r="A45" s="611" t="s">
        <v>1416</v>
      </c>
      <c r="B45" s="611"/>
      <c r="C45" s="611"/>
      <c r="D45" s="611"/>
      <c r="E45" s="611"/>
      <c r="F45" s="611"/>
      <c r="G45" s="611"/>
      <c r="H45" s="611"/>
      <c r="I45" s="611"/>
      <c r="J45" s="611"/>
      <c r="K45" s="611"/>
      <c r="L45" s="611"/>
      <c r="M45" s="611"/>
      <c r="N45" s="611"/>
    </row>
    <row r="46" spans="1:20" ht="23.25" customHeight="1" x14ac:dyDescent="0.2">
      <c r="A46" s="611" t="s">
        <v>1417</v>
      </c>
      <c r="B46" s="611"/>
      <c r="C46" s="611"/>
      <c r="D46" s="611"/>
      <c r="E46" s="611"/>
      <c r="F46" s="611"/>
      <c r="G46" s="611"/>
      <c r="H46" s="611"/>
      <c r="I46" s="611"/>
      <c r="J46" s="611"/>
      <c r="K46" s="611"/>
      <c r="L46" s="611"/>
      <c r="M46" s="611"/>
      <c r="N46" s="611"/>
    </row>
    <row r="47" spans="1:20" ht="12.75" customHeight="1" x14ac:dyDescent="0.2">
      <c r="A47" s="611" t="s">
        <v>1418</v>
      </c>
      <c r="B47" s="611"/>
      <c r="C47" s="611"/>
      <c r="D47" s="611"/>
      <c r="E47" s="611"/>
      <c r="F47" s="611"/>
      <c r="G47" s="611"/>
      <c r="H47" s="611"/>
      <c r="I47" s="611"/>
      <c r="J47" s="611"/>
      <c r="K47" s="611"/>
      <c r="L47" s="611"/>
      <c r="M47" s="611"/>
      <c r="N47" s="611"/>
    </row>
    <row r="48" spans="1:20" ht="24.75" customHeight="1" x14ac:dyDescent="0.2">
      <c r="A48" s="615" t="s">
        <v>1432</v>
      </c>
      <c r="B48" s="615"/>
      <c r="C48" s="615"/>
      <c r="D48" s="615"/>
      <c r="E48" s="615"/>
      <c r="F48" s="615"/>
      <c r="G48" s="615"/>
      <c r="H48" s="615"/>
      <c r="I48" s="615"/>
      <c r="J48" s="615"/>
      <c r="K48" s="615"/>
      <c r="L48" s="615"/>
      <c r="M48" s="615"/>
      <c r="N48" s="615"/>
    </row>
    <row r="50" spans="1:10" x14ac:dyDescent="0.2">
      <c r="A50" s="109"/>
    </row>
    <row r="51" spans="1:10" x14ac:dyDescent="0.2">
      <c r="A51" s="109"/>
    </row>
    <row r="53" spans="1:10" x14ac:dyDescent="0.2">
      <c r="J53" s="107"/>
    </row>
    <row r="55" spans="1:10" x14ac:dyDescent="0.2">
      <c r="G55" s="358"/>
      <c r="H55" s="358"/>
      <c r="J55" s="107"/>
    </row>
    <row r="56" spans="1:10" x14ac:dyDescent="0.2">
      <c r="G56" s="358"/>
      <c r="H56" s="358"/>
    </row>
    <row r="57" spans="1:10" x14ac:dyDescent="0.2">
      <c r="G57" s="358"/>
      <c r="H57" s="358"/>
    </row>
    <row r="58" spans="1:10" x14ac:dyDescent="0.2">
      <c r="G58" s="358"/>
      <c r="H58" s="358"/>
    </row>
  </sheetData>
  <mergeCells count="15">
    <mergeCell ref="A48:N48"/>
    <mergeCell ref="A47:N47"/>
    <mergeCell ref="A34:N34"/>
    <mergeCell ref="A1:N1"/>
    <mergeCell ref="A2:N2"/>
    <mergeCell ref="B6:F6"/>
    <mergeCell ref="C15:F15"/>
    <mergeCell ref="G29:J29"/>
    <mergeCell ref="A46:N46"/>
    <mergeCell ref="A35:N35"/>
    <mergeCell ref="A36:N36"/>
    <mergeCell ref="A45:N45"/>
    <mergeCell ref="A37:N37"/>
    <mergeCell ref="A41:N41"/>
    <mergeCell ref="A40:N40"/>
  </mergeCells>
  <pageMargins left="0.25" right="0.25" top="0.5" bottom="0.5" header="0.5" footer="0.5"/>
  <pageSetup scale="7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23"/>
  <sheetViews>
    <sheetView topLeftCell="B1" zoomScaleNormal="100" workbookViewId="0">
      <selection activeCell="E18" sqref="E18"/>
    </sheetView>
  </sheetViews>
  <sheetFormatPr defaultColWidth="9.140625" defaultRowHeight="11.25" x14ac:dyDescent="0.2"/>
  <cols>
    <col min="1" max="1" width="38.28515625" style="92" customWidth="1"/>
    <col min="2" max="3" width="19.42578125" style="92" customWidth="1"/>
    <col min="4" max="4" width="12.7109375" style="92" customWidth="1"/>
    <col min="5" max="5" width="13.85546875" style="92" customWidth="1"/>
    <col min="6" max="6" width="16.42578125" style="92" customWidth="1"/>
    <col min="7" max="7" width="13.85546875" style="92" customWidth="1"/>
    <col min="8" max="8" width="16.42578125" style="92" customWidth="1"/>
    <col min="9" max="9" width="13.42578125" style="92" customWidth="1"/>
    <col min="10" max="10" width="12.140625" style="92" bestFit="1" customWidth="1"/>
    <col min="11" max="11" width="11.7109375" style="92" customWidth="1"/>
    <col min="12" max="14" width="11.7109375" style="92" bestFit="1" customWidth="1"/>
    <col min="15" max="15" width="13.42578125" style="92" customWidth="1"/>
    <col min="16" max="17" width="9.85546875" style="92" customWidth="1"/>
    <col min="18" max="16384" width="9.140625" style="92"/>
  </cols>
  <sheetData>
    <row r="1" spans="1:21" ht="15" x14ac:dyDescent="0.25">
      <c r="A1"/>
      <c r="B1"/>
      <c r="C1"/>
      <c r="D1"/>
      <c r="E1"/>
      <c r="F1"/>
      <c r="G1"/>
      <c r="H1"/>
      <c r="I1"/>
      <c r="J1"/>
      <c r="K1"/>
      <c r="L1"/>
      <c r="M1"/>
      <c r="N1"/>
    </row>
    <row r="2" spans="1:21" ht="12" thickBot="1" x14ac:dyDescent="0.25"/>
    <row r="3" spans="1:21" ht="13.5" thickBot="1" x14ac:dyDescent="0.25">
      <c r="A3" s="544" t="s">
        <v>261</v>
      </c>
      <c r="B3" s="229" t="s">
        <v>262</v>
      </c>
      <c r="C3" s="240" t="s">
        <v>263</v>
      </c>
      <c r="D3" s="171"/>
    </row>
    <row r="4" spans="1:21" ht="12" thickBot="1" x14ac:dyDescent="0.25">
      <c r="A4" s="545"/>
      <c r="B4" s="95" t="s">
        <v>264</v>
      </c>
      <c r="C4" s="241" t="s">
        <v>265</v>
      </c>
      <c r="D4" s="172"/>
    </row>
    <row r="5" spans="1:21" x14ac:dyDescent="0.2">
      <c r="A5" s="95" t="s">
        <v>266</v>
      </c>
      <c r="B5" s="242">
        <f>'1.C-Fed'!L$31</f>
        <v>4925.1050000000005</v>
      </c>
      <c r="C5" s="243">
        <f>'1.C-Fed'!M$30</f>
        <v>283632.18000000005</v>
      </c>
    </row>
    <row r="6" spans="1:21" x14ac:dyDescent="0.2">
      <c r="A6" s="95" t="s">
        <v>267</v>
      </c>
      <c r="B6" s="243">
        <f>'2.C-Fed'!L$31</f>
        <v>1316.29</v>
      </c>
      <c r="C6" s="243">
        <f>'2.C-Fed'!M30</f>
        <v>101685.24</v>
      </c>
    </row>
    <row r="7" spans="1:21" x14ac:dyDescent="0.2">
      <c r="A7" s="95" t="s">
        <v>268</v>
      </c>
      <c r="B7" s="243">
        <f>'3.C-Fed'!L$31</f>
        <v>1661.0600000000002</v>
      </c>
      <c r="C7" s="243">
        <f>'3.C-Fed'!M30</f>
        <v>124617.36</v>
      </c>
    </row>
    <row r="8" spans="1:21" ht="12" thickBot="1" x14ac:dyDescent="0.25">
      <c r="A8" s="97" t="s">
        <v>269</v>
      </c>
      <c r="B8" s="244">
        <f>AVERAGE(B5:B7)</f>
        <v>2634.1516666666671</v>
      </c>
      <c r="C8" s="244">
        <f>AVERAGE(C5:C7)</f>
        <v>169978.26</v>
      </c>
      <c r="D8" s="245"/>
    </row>
    <row r="11" spans="1:21" ht="12" thickBot="1" x14ac:dyDescent="0.25">
      <c r="A11" s="92" t="s">
        <v>270</v>
      </c>
    </row>
    <row r="12" spans="1:21" ht="15.75" customHeight="1" thickBot="1" x14ac:dyDescent="0.25">
      <c r="A12" s="544" t="s">
        <v>261</v>
      </c>
      <c r="B12" s="541" t="s">
        <v>271</v>
      </c>
      <c r="C12" s="542"/>
      <c r="D12" s="543"/>
      <c r="E12" s="541" t="s">
        <v>272</v>
      </c>
      <c r="F12" s="542"/>
      <c r="G12" s="543"/>
      <c r="H12" s="231" t="s">
        <v>273</v>
      </c>
      <c r="I12" s="541" t="s">
        <v>274</v>
      </c>
      <c r="J12" s="542"/>
      <c r="K12" s="543"/>
      <c r="L12" s="250" t="s">
        <v>150</v>
      </c>
      <c r="M12" s="250" t="s">
        <v>151</v>
      </c>
      <c r="N12" s="250"/>
      <c r="O12" s="230"/>
      <c r="P12" s="230"/>
      <c r="Q12" s="230"/>
      <c r="R12" s="232"/>
      <c r="S12" s="232"/>
      <c r="T12" s="232"/>
      <c r="U12" s="232"/>
    </row>
    <row r="13" spans="1:21" ht="45.75" thickBot="1" x14ac:dyDescent="0.25">
      <c r="A13" s="545"/>
      <c r="B13" s="254" t="s">
        <v>275</v>
      </c>
      <c r="C13" s="254" t="s">
        <v>276</v>
      </c>
      <c r="D13" s="254" t="s">
        <v>277</v>
      </c>
      <c r="E13" s="254" t="s">
        <v>275</v>
      </c>
      <c r="F13" s="254" t="s">
        <v>276</v>
      </c>
      <c r="G13" s="254" t="s">
        <v>277</v>
      </c>
      <c r="H13" s="253" t="s">
        <v>278</v>
      </c>
      <c r="I13" s="253" t="s">
        <v>279</v>
      </c>
      <c r="J13" s="253" t="s">
        <v>280</v>
      </c>
      <c r="K13" s="253" t="s">
        <v>281</v>
      </c>
      <c r="L13" s="94" t="s">
        <v>282</v>
      </c>
      <c r="M13" s="94" t="s">
        <v>282</v>
      </c>
      <c r="N13" s="94" t="s">
        <v>282</v>
      </c>
      <c r="O13" s="246" t="s">
        <v>283</v>
      </c>
      <c r="P13" s="93" t="s">
        <v>284</v>
      </c>
      <c r="Q13" s="93" t="s">
        <v>285</v>
      </c>
      <c r="R13" s="93" t="s">
        <v>286</v>
      </c>
      <c r="S13" s="276" t="s">
        <v>287</v>
      </c>
      <c r="T13" s="276" t="s">
        <v>288</v>
      </c>
      <c r="U13" s="255" t="s">
        <v>289</v>
      </c>
    </row>
    <row r="14" spans="1:21" x14ac:dyDescent="0.2">
      <c r="A14" s="95" t="s">
        <v>266</v>
      </c>
      <c r="B14" s="96">
        <f>SUM('1.A-Public'!J$30:M$30)</f>
        <v>27174.399999999998</v>
      </c>
      <c r="C14" s="96">
        <f>SUM('1.B-Priv'!J$30:M$30)</f>
        <v>46470.9</v>
      </c>
      <c r="D14" s="96">
        <f>B14+C14</f>
        <v>73645.3</v>
      </c>
      <c r="E14" s="96">
        <f>SUM('1.A-Public'!J$42:M$42)</f>
        <v>6757.4000000000005</v>
      </c>
      <c r="F14" s="96">
        <f>SUM('1.B-Priv'!J$42:M$42)</f>
        <v>11983</v>
      </c>
      <c r="G14" s="96">
        <f>E14+F14</f>
        <v>18740.400000000001</v>
      </c>
      <c r="H14" s="96">
        <f>D14+G14</f>
        <v>92385.700000000012</v>
      </c>
      <c r="I14" s="233">
        <f>'1.A-Public'!$N$43</f>
        <v>2157880.62</v>
      </c>
      <c r="J14" s="233">
        <f>'1.B-Priv'!$N$43</f>
        <v>3667631.9714999995</v>
      </c>
      <c r="K14" s="233">
        <f>I14+J14</f>
        <v>5825512.5914999992</v>
      </c>
      <c r="L14" s="233">
        <f>'1.A-Public'!O$43</f>
        <v>208486.72783301037</v>
      </c>
      <c r="M14" s="233">
        <f>'1.B-Priv'!O$43</f>
        <v>340339.29404658533</v>
      </c>
      <c r="N14" s="233">
        <f>L14+M14</f>
        <v>548826.0218795957</v>
      </c>
      <c r="O14" s="233">
        <f>K14+N14</f>
        <v>6374338.6133795949</v>
      </c>
      <c r="P14" s="96">
        <f>'Annual # of Respondents'!D6</f>
        <v>59</v>
      </c>
      <c r="Q14" s="96">
        <f>'Annual # of Respondents'!E6</f>
        <v>67</v>
      </c>
      <c r="R14" s="96">
        <f>'Annual # of Respondents'!C6</f>
        <v>126</v>
      </c>
      <c r="S14" s="280">
        <f>ROUND('1.A-Public'!P30,0)</f>
        <v>142</v>
      </c>
      <c r="T14" s="280">
        <f>ROUND('1.B-Priv'!P30,0)</f>
        <v>198</v>
      </c>
      <c r="U14" s="278">
        <f>S14+T14</f>
        <v>340</v>
      </c>
    </row>
    <row r="15" spans="1:21" x14ac:dyDescent="0.2">
      <c r="A15" s="95" t="s">
        <v>267</v>
      </c>
      <c r="B15" s="96">
        <f>SUM('2.A-Public'!J$30:M$30)</f>
        <v>23381.05</v>
      </c>
      <c r="C15" s="96">
        <f>SUM('2.B-Priv'!J$30:M$30)</f>
        <v>40831</v>
      </c>
      <c r="D15" s="96">
        <f>B15+C15</f>
        <v>64212.05</v>
      </c>
      <c r="E15" s="96">
        <f>SUM('2.A-Public'!J$42:M$42)</f>
        <v>7419.8</v>
      </c>
      <c r="F15" s="96">
        <f>SUM('2.B-Priv'!J$42:M$42)</f>
        <v>12880</v>
      </c>
      <c r="G15" s="96">
        <f>E15+F15</f>
        <v>20299.8</v>
      </c>
      <c r="H15" s="96">
        <f>D15+G15</f>
        <v>84511.85</v>
      </c>
      <c r="I15" s="233">
        <f>'2.A-Public'!$N$43</f>
        <v>1835000.1652500005</v>
      </c>
      <c r="J15" s="233">
        <f>'2.B-Priv'!$N$43</f>
        <v>3190155.9269999997</v>
      </c>
      <c r="K15" s="233">
        <f>I15+J15</f>
        <v>5025156.0922500007</v>
      </c>
      <c r="L15" s="233">
        <f>'2.A-Public'!O$43</f>
        <v>226491.70628642966</v>
      </c>
      <c r="M15" s="233">
        <f>'2.B-Priv'!O$43</f>
        <v>368408.35245573742</v>
      </c>
      <c r="N15" s="233">
        <f>L15+M15</f>
        <v>594900.05874216708</v>
      </c>
      <c r="O15" s="233">
        <f>K15+N15</f>
        <v>5620056.1509921681</v>
      </c>
      <c r="P15" s="96">
        <f>'Annual # of Respondents'!G6</f>
        <v>62</v>
      </c>
      <c r="Q15" s="96">
        <f>'Annual # of Respondents'!H6</f>
        <v>74</v>
      </c>
      <c r="R15" s="96">
        <f>'Annual # of Respondents'!F6</f>
        <v>136</v>
      </c>
      <c r="S15" s="280">
        <f>ROUND('2.A-Public'!P30,0)</f>
        <v>70</v>
      </c>
      <c r="T15" s="280">
        <f>ROUND('2.B-Priv'!P30,0)</f>
        <v>93</v>
      </c>
      <c r="U15" s="278">
        <f>S15+T15</f>
        <v>163</v>
      </c>
    </row>
    <row r="16" spans="1:21" x14ac:dyDescent="0.2">
      <c r="A16" s="95" t="s">
        <v>268</v>
      </c>
      <c r="B16" s="96">
        <f>SUM('3.A-Public'!J$30:M$30)</f>
        <v>28452.600000000002</v>
      </c>
      <c r="C16" s="96">
        <f>SUM('3.B-Priv'!J$30:M$30)</f>
        <v>44799.200000000004</v>
      </c>
      <c r="D16" s="96">
        <f>B16+C16</f>
        <v>73251.8</v>
      </c>
      <c r="E16" s="96">
        <f>SUM('3.A-Public'!J$42:M$42)</f>
        <v>8933.1999999999989</v>
      </c>
      <c r="F16" s="96">
        <f>SUM('3.B-Priv'!J$42:M$42)</f>
        <v>14177.199999999999</v>
      </c>
      <c r="G16" s="96">
        <f>E16+F16</f>
        <v>23110.399999999998</v>
      </c>
      <c r="H16" s="96">
        <f>D16+G16</f>
        <v>96362.2</v>
      </c>
      <c r="I16" s="233">
        <f>'3.A-Public'!$N$43</f>
        <v>2228489.7810000004</v>
      </c>
      <c r="J16" s="233">
        <f>'3.B-Priv'!$N$43</f>
        <v>3496151.2740000002</v>
      </c>
      <c r="K16" s="233">
        <f>I16+J16</f>
        <v>5724641.0550000006</v>
      </c>
      <c r="L16" s="233">
        <f>'3.A-Public'!O$43</f>
        <v>268503.32267774123</v>
      </c>
      <c r="M16" s="233">
        <f>'3.B-Priv'!O$43</f>
        <v>404418.30936257588</v>
      </c>
      <c r="N16" s="233">
        <f>L16+M16</f>
        <v>672921.63204031717</v>
      </c>
      <c r="O16" s="233">
        <f>K16+N16</f>
        <v>6397562.6870403178</v>
      </c>
      <c r="P16" s="96">
        <f>'Annual # of Respondents'!J6</f>
        <v>62</v>
      </c>
      <c r="Q16" s="96">
        <f>'Annual # of Respondents'!K6</f>
        <v>74</v>
      </c>
      <c r="R16" s="96">
        <f>'Annual # of Respondents'!I6</f>
        <v>136</v>
      </c>
      <c r="S16" s="280">
        <f>ROUND('3.A-Public'!P30,0)</f>
        <v>82</v>
      </c>
      <c r="T16" s="280">
        <f>ROUND('3.B-Priv'!P30,0)</f>
        <v>99</v>
      </c>
      <c r="U16" s="278">
        <f>S16+T16</f>
        <v>181</v>
      </c>
    </row>
    <row r="17" spans="1:21" x14ac:dyDescent="0.2">
      <c r="A17" s="95" t="s">
        <v>290</v>
      </c>
      <c r="B17" s="251">
        <f t="shared" ref="B17:H17" si="0">SUM(B14:B16)</f>
        <v>79008.05</v>
      </c>
      <c r="C17" s="251">
        <f t="shared" si="0"/>
        <v>132101.1</v>
      </c>
      <c r="D17" s="251">
        <f t="shared" si="0"/>
        <v>211109.15000000002</v>
      </c>
      <c r="E17" s="251">
        <f t="shared" si="0"/>
        <v>23110.400000000001</v>
      </c>
      <c r="F17" s="251">
        <f t="shared" si="0"/>
        <v>39040.199999999997</v>
      </c>
      <c r="G17" s="251">
        <f t="shared" si="0"/>
        <v>62150.599999999991</v>
      </c>
      <c r="H17" s="251">
        <f t="shared" si="0"/>
        <v>273259.75</v>
      </c>
      <c r="I17" s="252">
        <f t="shared" ref="I17:O17" si="1">SUM(I14:I16)</f>
        <v>6221370.5662500011</v>
      </c>
      <c r="J17" s="252">
        <f t="shared" si="1"/>
        <v>10353939.172499999</v>
      </c>
      <c r="K17" s="252">
        <f t="shared" si="1"/>
        <v>16575309.73875</v>
      </c>
      <c r="L17" s="252">
        <f t="shared" si="1"/>
        <v>703481.75679718121</v>
      </c>
      <c r="M17" s="252">
        <f t="shared" si="1"/>
        <v>1113165.9558648986</v>
      </c>
      <c r="N17" s="252">
        <f t="shared" si="1"/>
        <v>1816647.7126620798</v>
      </c>
      <c r="O17" s="252">
        <f t="shared" si="1"/>
        <v>18391957.451412082</v>
      </c>
      <c r="P17" s="251"/>
      <c r="Q17" s="251"/>
      <c r="R17" s="251"/>
      <c r="S17" s="281">
        <f>SUM(S14:S16)</f>
        <v>294</v>
      </c>
      <c r="T17" s="281">
        <f>SUM(T14:T16)</f>
        <v>390</v>
      </c>
      <c r="U17" s="279">
        <f>SUM(U14:U16)</f>
        <v>684</v>
      </c>
    </row>
    <row r="18" spans="1:21" ht="12" thickBot="1" x14ac:dyDescent="0.25">
      <c r="A18" s="97" t="s">
        <v>269</v>
      </c>
      <c r="B18" s="292">
        <f>AVERAGE(B14:B16)</f>
        <v>26336.016666666666</v>
      </c>
      <c r="C18" s="292">
        <f>AVERAGE(C14:C16)</f>
        <v>44033.700000000004</v>
      </c>
      <c r="D18" s="292">
        <f>AVERAGE(D14:D16)</f>
        <v>70369.716666666674</v>
      </c>
      <c r="E18" s="291">
        <f t="shared" ref="E18:O18" si="2">AVERAGE(E14:E16)</f>
        <v>7703.4666666666672</v>
      </c>
      <c r="F18" s="291">
        <f t="shared" si="2"/>
        <v>13013.4</v>
      </c>
      <c r="G18" s="291">
        <f t="shared" si="2"/>
        <v>20716.866666666665</v>
      </c>
      <c r="H18" s="234">
        <f>AVERAGE(H14:H16)</f>
        <v>91086.583333333328</v>
      </c>
      <c r="I18" s="235">
        <f t="shared" si="2"/>
        <v>2073790.1887500004</v>
      </c>
      <c r="J18" s="235">
        <f t="shared" si="2"/>
        <v>3451313.0574999996</v>
      </c>
      <c r="K18" s="235">
        <f t="shared" si="2"/>
        <v>5525103.2462499999</v>
      </c>
      <c r="L18" s="249">
        <f t="shared" si="2"/>
        <v>234493.91893239375</v>
      </c>
      <c r="M18" s="249">
        <f t="shared" si="2"/>
        <v>371055.31862163288</v>
      </c>
      <c r="N18" s="249">
        <f t="shared" si="2"/>
        <v>605549.23755402665</v>
      </c>
      <c r="O18" s="248">
        <f t="shared" si="2"/>
        <v>6130652.4838040275</v>
      </c>
      <c r="P18" s="277">
        <f t="shared" ref="P18:Q18" si="3">AVERAGE(P14:P16)</f>
        <v>61</v>
      </c>
      <c r="Q18" s="277">
        <f t="shared" si="3"/>
        <v>71.666666666666671</v>
      </c>
      <c r="R18" s="277">
        <f>AVERAGE(R14:R16)</f>
        <v>132.66666666666666</v>
      </c>
      <c r="S18" s="275">
        <f>AVERAGE(S14:S16)</f>
        <v>98</v>
      </c>
      <c r="T18" s="275">
        <f>AVERAGE(T14:T16)</f>
        <v>130</v>
      </c>
      <c r="U18" s="236">
        <f>AVERAGE(U14:U16)</f>
        <v>228</v>
      </c>
    </row>
    <row r="19" spans="1:21" x14ac:dyDescent="0.2">
      <c r="A19" s="98" t="s">
        <v>291</v>
      </c>
      <c r="B19" s="282"/>
      <c r="C19" s="282"/>
      <c r="D19" s="282"/>
      <c r="E19" s="283"/>
      <c r="F19" s="283"/>
      <c r="G19" s="283"/>
      <c r="L19" s="100">
        <f>L18/S18</f>
        <v>2392.7950911468752</v>
      </c>
      <c r="M19" s="100">
        <f>M18/T18</f>
        <v>2854.2716817048681</v>
      </c>
      <c r="N19" s="100">
        <f>N18/U18</f>
        <v>2655.9177085702922</v>
      </c>
      <c r="O19" s="173"/>
      <c r="P19" s="173"/>
      <c r="Q19" s="173"/>
      <c r="R19" s="99"/>
      <c r="S19" s="99"/>
      <c r="T19" s="99"/>
      <c r="U19" s="237"/>
    </row>
    <row r="20" spans="1:21" ht="12" thickBot="1" x14ac:dyDescent="0.25">
      <c r="A20" s="101" t="s">
        <v>292</v>
      </c>
      <c r="B20" s="284">
        <f>B18/S18</f>
        <v>268.73486394557824</v>
      </c>
      <c r="C20" s="284">
        <f>C18/T18</f>
        <v>338.72076923076929</v>
      </c>
      <c r="D20" s="285">
        <f>D18/U18</f>
        <v>308.63910818713452</v>
      </c>
      <c r="E20" s="284">
        <f>E18/S18</f>
        <v>78.606802721088442</v>
      </c>
      <c r="F20" s="284">
        <f>F18/T18</f>
        <v>100.10307692307693</v>
      </c>
      <c r="G20" s="285">
        <f>G18/U18</f>
        <v>90.863450292397658</v>
      </c>
      <c r="H20" s="294">
        <f>H18/U18</f>
        <v>399.50255847953213</v>
      </c>
      <c r="L20" s="238">
        <f>(B18+E18)/O18</f>
        <v>5.5523426622629364E-3</v>
      </c>
      <c r="M20" s="238">
        <f>(C18+F18)/R18</f>
        <v>430.00326633165838</v>
      </c>
      <c r="N20" s="238">
        <f>(D18+G18)/U18</f>
        <v>399.50255847953218</v>
      </c>
      <c r="O20" s="247"/>
      <c r="P20" s="247"/>
      <c r="Q20" s="247"/>
      <c r="R20" s="102"/>
      <c r="S20" s="102"/>
      <c r="T20" s="102"/>
      <c r="U20" s="239"/>
    </row>
    <row r="23" spans="1:21" x14ac:dyDescent="0.2">
      <c r="A23" s="92" t="s">
        <v>293</v>
      </c>
    </row>
  </sheetData>
  <mergeCells count="5">
    <mergeCell ref="I12:K12"/>
    <mergeCell ref="A12:A13"/>
    <mergeCell ref="B12:D12"/>
    <mergeCell ref="E12:G12"/>
    <mergeCell ref="A3:A4"/>
  </mergeCells>
  <pageMargins left="0.75" right="0.75" top="1" bottom="1" header="0.5" footer="0.5"/>
  <pageSetup scale="51"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A2783-F087-4872-9CBD-E1AE24EA0AF0}">
  <dimension ref="A1:B7"/>
  <sheetViews>
    <sheetView workbookViewId="0">
      <selection activeCell="B6" sqref="B6"/>
    </sheetView>
  </sheetViews>
  <sheetFormatPr defaultRowHeight="15" x14ac:dyDescent="0.25"/>
  <cols>
    <col min="1" max="1" width="27.7109375" bestFit="1" customWidth="1"/>
    <col min="2" max="2" width="14.28515625" bestFit="1" customWidth="1"/>
  </cols>
  <sheetData>
    <row r="1" spans="1:2" x14ac:dyDescent="0.25">
      <c r="A1" s="546" t="s">
        <v>1433</v>
      </c>
      <c r="B1" s="546"/>
    </row>
    <row r="2" spans="1:2" x14ac:dyDescent="0.25">
      <c r="A2" t="s">
        <v>1439</v>
      </c>
      <c r="B2" s="514">
        <f>Responses!F19</f>
        <v>651.04166666666663</v>
      </c>
    </row>
    <row r="3" spans="1:2" x14ac:dyDescent="0.25">
      <c r="A3" t="s">
        <v>367</v>
      </c>
      <c r="B3">
        <f>Respondents!F8</f>
        <v>298</v>
      </c>
    </row>
    <row r="4" spans="1:2" x14ac:dyDescent="0.25">
      <c r="A4" t="s">
        <v>1434</v>
      </c>
      <c r="B4" s="515">
        <f>'Table 1B'!N42</f>
        <v>250000</v>
      </c>
    </row>
    <row r="5" spans="1:2" x14ac:dyDescent="0.25">
      <c r="A5" t="s">
        <v>1435</v>
      </c>
      <c r="B5" s="516">
        <f>'Table 1B'!N45</f>
        <v>19800000</v>
      </c>
    </row>
    <row r="6" spans="1:2" x14ac:dyDescent="0.25">
      <c r="A6" t="s">
        <v>1436</v>
      </c>
      <c r="B6" s="516">
        <f>'Table 1B'!N44</f>
        <v>1180000</v>
      </c>
    </row>
    <row r="7" spans="1:2" x14ac:dyDescent="0.25">
      <c r="A7" t="s">
        <v>1437</v>
      </c>
      <c r="B7" t="s">
        <v>1438</v>
      </c>
    </row>
  </sheetData>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D5629-C5A2-4CC0-8D1C-17828D2CB3EC}">
  <sheetPr>
    <pageSetUpPr fitToPage="1"/>
  </sheetPr>
  <dimension ref="A1:AD68"/>
  <sheetViews>
    <sheetView topLeftCell="A39" zoomScaleNormal="100" zoomScaleSheetLayoutView="100" workbookViewId="0">
      <selection activeCell="B51" sqref="B51:K51"/>
    </sheetView>
  </sheetViews>
  <sheetFormatPr defaultColWidth="9.140625" defaultRowHeight="12.75" x14ac:dyDescent="0.2"/>
  <cols>
    <col min="1" max="1" width="2" style="382" customWidth="1"/>
    <col min="2" max="2" width="34.5703125" style="382" customWidth="1"/>
    <col min="3" max="3" width="9.85546875" style="396" customWidth="1"/>
    <col min="4" max="4" width="10.140625" style="396" customWidth="1"/>
    <col min="5" max="5" width="13.5703125" style="396" customWidth="1"/>
    <col min="6" max="6" width="13.85546875" style="396" customWidth="1"/>
    <col min="7" max="7" width="11.85546875" style="396" customWidth="1"/>
    <col min="8" max="9" width="9.85546875" style="396" customWidth="1"/>
    <col min="10" max="10" width="9.5703125" style="414" bestFit="1" customWidth="1"/>
    <col min="11" max="11" width="11" style="396" customWidth="1"/>
    <col min="12" max="12" width="4.5703125" style="396" customWidth="1"/>
    <col min="13" max="13" width="2.85546875" style="396" customWidth="1"/>
    <col min="14" max="14" width="22.140625" style="396" customWidth="1"/>
    <col min="15" max="15" width="11.85546875" style="396" customWidth="1"/>
    <col min="16" max="17" width="15.42578125" style="396" customWidth="1"/>
    <col min="18" max="18" width="11.5703125" style="396" hidden="1" customWidth="1"/>
    <col min="19" max="19" width="9.7109375" style="396" hidden="1" customWidth="1"/>
    <col min="20" max="20" width="15.5703125" style="396" hidden="1" customWidth="1"/>
    <col min="21" max="21" width="9.85546875" style="396" hidden="1" customWidth="1"/>
    <col min="22" max="22" width="10.42578125" style="396" hidden="1" customWidth="1"/>
    <col min="23" max="23" width="13" style="412" customWidth="1"/>
    <col min="24" max="24" width="10" style="412" bestFit="1" customWidth="1"/>
    <col min="25" max="25" width="19.7109375" style="412" customWidth="1"/>
    <col min="26" max="26" width="19.7109375" style="396" customWidth="1"/>
    <col min="27" max="28" width="19.7109375" style="382" customWidth="1"/>
    <col min="29" max="29" width="7.7109375" style="382" customWidth="1"/>
    <col min="30" max="30" width="9.140625" style="382"/>
    <col min="31" max="31" width="14.28515625" style="382" customWidth="1"/>
    <col min="32" max="16384" width="9.140625" style="382"/>
  </cols>
  <sheetData>
    <row r="1" spans="2:26" ht="26.25" customHeight="1" x14ac:dyDescent="0.2">
      <c r="B1" s="551" t="s">
        <v>294</v>
      </c>
      <c r="C1" s="551"/>
      <c r="D1" s="551"/>
      <c r="E1" s="551"/>
      <c r="F1" s="551"/>
      <c r="G1" s="551"/>
      <c r="H1" s="551"/>
      <c r="I1" s="551"/>
      <c r="J1" s="551"/>
      <c r="K1" s="551"/>
      <c r="L1" s="449"/>
      <c r="M1" s="449"/>
      <c r="N1" s="449"/>
      <c r="O1" s="449"/>
      <c r="P1" s="430"/>
      <c r="Q1" s="430"/>
      <c r="R1" s="430"/>
      <c r="S1" s="430"/>
      <c r="T1" s="430"/>
      <c r="U1" s="430"/>
      <c r="V1" s="430"/>
      <c r="W1" s="430"/>
      <c r="X1" s="430"/>
      <c r="Y1" s="430"/>
      <c r="Z1" s="430"/>
    </row>
    <row r="2" spans="2:26" x14ac:dyDescent="0.2">
      <c r="B2" s="450"/>
      <c r="C2" s="450"/>
      <c r="D2" s="450"/>
      <c r="E2" s="450"/>
      <c r="F2" s="450"/>
      <c r="G2" s="450"/>
      <c r="H2" s="450"/>
      <c r="I2" s="450"/>
      <c r="J2" s="450"/>
      <c r="K2" s="450"/>
      <c r="L2" s="450"/>
      <c r="M2" s="404"/>
      <c r="N2" s="404"/>
      <c r="O2" s="404"/>
      <c r="P2" s="404"/>
      <c r="Q2" s="404"/>
      <c r="R2" s="450"/>
      <c r="S2" s="450"/>
      <c r="T2" s="450"/>
      <c r="U2" s="450"/>
      <c r="V2" s="450"/>
      <c r="W2" s="404"/>
      <c r="X2" s="404"/>
      <c r="Y2" s="404"/>
      <c r="Z2" s="404"/>
    </row>
    <row r="3" spans="2:26" s="386" customFormat="1" ht="82.5" customHeight="1" x14ac:dyDescent="0.2">
      <c r="B3" s="437" t="s">
        <v>156</v>
      </c>
      <c r="C3" s="463" t="s">
        <v>295</v>
      </c>
      <c r="D3" s="463" t="s">
        <v>296</v>
      </c>
      <c r="E3" s="463" t="s">
        <v>297</v>
      </c>
      <c r="F3" s="464" t="s">
        <v>298</v>
      </c>
      <c r="G3" s="465" t="s">
        <v>299</v>
      </c>
      <c r="H3" s="465" t="s">
        <v>300</v>
      </c>
      <c r="I3" s="465" t="s">
        <v>301</v>
      </c>
      <c r="J3" s="465" t="s">
        <v>302</v>
      </c>
      <c r="K3" s="463" t="s">
        <v>303</v>
      </c>
      <c r="L3" s="385" t="s">
        <v>172</v>
      </c>
      <c r="M3" s="419"/>
      <c r="N3" s="419"/>
      <c r="O3" s="419"/>
      <c r="P3" s="418"/>
      <c r="Q3" s="418"/>
      <c r="R3" s="480" t="s">
        <v>304</v>
      </c>
      <c r="S3" s="480" t="s">
        <v>305</v>
      </c>
      <c r="T3" s="384" t="s">
        <v>306</v>
      </c>
      <c r="U3" s="384" t="s">
        <v>307</v>
      </c>
      <c r="V3" s="384" t="s">
        <v>308</v>
      </c>
    </row>
    <row r="4" spans="2:26" ht="19.5" customHeight="1" x14ac:dyDescent="0.2">
      <c r="B4" s="390" t="s">
        <v>174</v>
      </c>
      <c r="C4" s="480" t="s">
        <v>309</v>
      </c>
      <c r="D4" s="388"/>
      <c r="E4" s="388"/>
      <c r="F4" s="389"/>
      <c r="G4" s="389"/>
      <c r="H4" s="389"/>
      <c r="I4" s="389"/>
      <c r="J4" s="389"/>
      <c r="K4" s="462"/>
      <c r="L4" s="462"/>
      <c r="M4" s="420"/>
      <c r="N4" s="549" t="s">
        <v>310</v>
      </c>
      <c r="O4" s="549"/>
      <c r="P4" s="549"/>
      <c r="Q4" s="418"/>
      <c r="R4" s="387"/>
      <c r="S4" s="388"/>
      <c r="T4" s="462"/>
      <c r="U4" s="462"/>
      <c r="V4" s="462"/>
      <c r="W4" s="382"/>
      <c r="X4" s="382"/>
    </row>
    <row r="5" spans="2:26" x14ac:dyDescent="0.2">
      <c r="B5" s="390" t="s">
        <v>176</v>
      </c>
      <c r="C5" s="480" t="s">
        <v>309</v>
      </c>
      <c r="D5" s="388"/>
      <c r="E5" s="388"/>
      <c r="F5" s="389"/>
      <c r="G5" s="389"/>
      <c r="H5" s="389"/>
      <c r="I5" s="389"/>
      <c r="J5" s="389"/>
      <c r="K5" s="462"/>
      <c r="L5" s="462"/>
      <c r="M5" s="420"/>
      <c r="N5" s="360" t="s">
        <v>311</v>
      </c>
      <c r="O5" s="360" t="s">
        <v>312</v>
      </c>
      <c r="P5" s="387" t="s">
        <v>313</v>
      </c>
      <c r="Q5" s="382"/>
      <c r="R5" s="387"/>
      <c r="S5" s="388"/>
      <c r="T5" s="462"/>
      <c r="U5" s="462"/>
      <c r="V5" s="462"/>
      <c r="W5" s="382"/>
      <c r="X5" s="382"/>
    </row>
    <row r="6" spans="2:26" x14ac:dyDescent="0.2">
      <c r="B6" s="390" t="s">
        <v>177</v>
      </c>
      <c r="C6" s="480"/>
      <c r="D6" s="388"/>
      <c r="E6" s="388"/>
      <c r="F6" s="389"/>
      <c r="G6" s="389"/>
      <c r="H6" s="389"/>
      <c r="I6" s="389"/>
      <c r="J6" s="389"/>
      <c r="K6" s="462"/>
      <c r="L6" s="462"/>
      <c r="M6" s="420"/>
      <c r="N6" s="360" t="s">
        <v>314</v>
      </c>
      <c r="O6" s="489">
        <f>70.35+(70.35*1.1)</f>
        <v>147.73500000000001</v>
      </c>
      <c r="P6" s="413" t="s">
        <v>558</v>
      </c>
      <c r="Q6" s="421"/>
      <c r="R6" s="462"/>
      <c r="S6" s="462"/>
      <c r="T6" s="462"/>
      <c r="U6" s="462"/>
      <c r="V6" s="462"/>
      <c r="W6" s="382"/>
      <c r="X6" s="382"/>
    </row>
    <row r="7" spans="2:26" ht="25.5" x14ac:dyDescent="0.2">
      <c r="B7" s="441" t="s">
        <v>315</v>
      </c>
      <c r="C7" s="480"/>
      <c r="D7" s="388"/>
      <c r="E7" s="388"/>
      <c r="F7" s="391"/>
      <c r="G7" s="389"/>
      <c r="H7" s="389"/>
      <c r="I7" s="391"/>
      <c r="J7" s="389"/>
      <c r="K7" s="462"/>
      <c r="L7" s="462"/>
      <c r="M7" s="420"/>
      <c r="N7" s="360" t="s">
        <v>316</v>
      </c>
      <c r="O7" s="489">
        <f>48.64+(48.64*1.1)</f>
        <v>102.14400000000001</v>
      </c>
      <c r="P7" s="413" t="s">
        <v>317</v>
      </c>
      <c r="Q7" s="421"/>
      <c r="R7" s="462">
        <v>0</v>
      </c>
      <c r="S7" s="462"/>
      <c r="T7" s="462">
        <f>R7*D7*F7</f>
        <v>0</v>
      </c>
      <c r="U7" s="389">
        <v>0</v>
      </c>
      <c r="V7" s="389"/>
      <c r="W7" s="382"/>
      <c r="X7" s="382"/>
    </row>
    <row r="8" spans="2:26" x14ac:dyDescent="0.2">
      <c r="B8" s="394" t="s">
        <v>318</v>
      </c>
      <c r="C8" s="480">
        <v>4</v>
      </c>
      <c r="D8" s="388">
        <v>1</v>
      </c>
      <c r="E8" s="388">
        <f t="shared" ref="E8:E9" si="0">C8*D8</f>
        <v>4</v>
      </c>
      <c r="F8" s="391">
        <f>'Table 1C'!G11</f>
        <v>144</v>
      </c>
      <c r="G8" s="389">
        <v>0</v>
      </c>
      <c r="H8" s="389">
        <f t="shared" ref="H8:H9" si="1">E8*F8</f>
        <v>576</v>
      </c>
      <c r="I8" s="391">
        <f t="shared" ref="I8:I9" si="2">H8*0.05</f>
        <v>28.8</v>
      </c>
      <c r="J8" s="389">
        <f t="shared" ref="J8:J9" si="3">H8*0.1</f>
        <v>57.6</v>
      </c>
      <c r="K8" s="462">
        <f t="shared" ref="K8:K9" si="4">(G8*O$8)+(H8*O$7)+(J8*O$9)+(I8*O$6)</f>
        <v>65622.614400000006</v>
      </c>
      <c r="L8" s="462" t="s">
        <v>239</v>
      </c>
      <c r="M8" s="420"/>
      <c r="N8" s="387" t="s">
        <v>319</v>
      </c>
      <c r="O8" s="489">
        <f>30.66+(30.66*1.1)</f>
        <v>64.38600000000001</v>
      </c>
      <c r="P8" s="413" t="s">
        <v>320</v>
      </c>
      <c r="Q8" s="421"/>
      <c r="R8" s="462"/>
      <c r="S8" s="462"/>
      <c r="T8" s="462"/>
      <c r="U8" s="462"/>
      <c r="V8" s="462"/>
      <c r="W8" s="382"/>
      <c r="X8" s="392"/>
    </row>
    <row r="9" spans="2:26" x14ac:dyDescent="0.2">
      <c r="B9" s="394" t="s">
        <v>321</v>
      </c>
      <c r="C9" s="480">
        <v>40</v>
      </c>
      <c r="D9" s="388">
        <v>1</v>
      </c>
      <c r="E9" s="388">
        <f t="shared" si="0"/>
        <v>40</v>
      </c>
      <c r="F9" s="391">
        <f>'Table 1C'!G12</f>
        <v>1</v>
      </c>
      <c r="G9" s="389">
        <v>0</v>
      </c>
      <c r="H9" s="389">
        <f t="shared" si="1"/>
        <v>40</v>
      </c>
      <c r="I9" s="391">
        <f t="shared" si="2"/>
        <v>2</v>
      </c>
      <c r="J9" s="389">
        <f t="shared" si="3"/>
        <v>4</v>
      </c>
      <c r="K9" s="462">
        <f t="shared" si="4"/>
        <v>4557.1260000000002</v>
      </c>
      <c r="L9" s="462" t="s">
        <v>239</v>
      </c>
      <c r="M9" s="420"/>
      <c r="N9" s="360" t="s">
        <v>322</v>
      </c>
      <c r="O9" s="489">
        <f>20.94+(20.94*1.1)</f>
        <v>43.974000000000004</v>
      </c>
      <c r="P9" s="413" t="s">
        <v>323</v>
      </c>
      <c r="Q9" s="421"/>
      <c r="R9" s="462">
        <f>'Other Cost Basis'!D2+'Other Cost Basis'!D17+'Other Cost Basis'!D18+'Other Cost Basis'!D19</f>
        <v>1983.6594844730848</v>
      </c>
      <c r="S9" s="462"/>
      <c r="T9" s="462">
        <f>(R9+S9)*D11*F11</f>
        <v>9918.2974223654237</v>
      </c>
      <c r="U9" s="389">
        <f>D11*F11</f>
        <v>5</v>
      </c>
      <c r="V9" s="389">
        <f>'Other Cost Basis'!B2+'Other Cost Basis'!B17+'Other Cost Basis'!B18+'Other Cost Basis'!B19</f>
        <v>18067</v>
      </c>
      <c r="W9" s="382"/>
      <c r="X9" s="392"/>
    </row>
    <row r="10" spans="2:26" ht="17.25" customHeight="1" x14ac:dyDescent="0.2">
      <c r="B10" s="441" t="s">
        <v>324</v>
      </c>
      <c r="C10" s="480"/>
      <c r="D10" s="388"/>
      <c r="E10" s="388"/>
      <c r="F10" s="389"/>
      <c r="G10" s="389"/>
      <c r="H10" s="389"/>
      <c r="I10" s="389"/>
      <c r="J10" s="389"/>
      <c r="K10" s="462"/>
      <c r="L10" s="462"/>
      <c r="M10" s="420"/>
      <c r="N10" s="360" t="s">
        <v>1440</v>
      </c>
      <c r="O10" s="360"/>
      <c r="P10" s="360"/>
      <c r="Q10" s="382"/>
      <c r="R10" s="462">
        <f>'Other Cost Basis'!B9+'Other Cost Basis'!F13+'Other Cost Basis'!F14</f>
        <v>703.5</v>
      </c>
      <c r="S10" s="462">
        <f>'Other Cost Basis'!D20</f>
        <v>1000</v>
      </c>
      <c r="T10" s="462">
        <f>R10*D12*F12+F12*S10</f>
        <v>659822</v>
      </c>
      <c r="U10" s="389">
        <v>0</v>
      </c>
      <c r="V10" s="389"/>
      <c r="W10" s="382"/>
      <c r="X10" s="392"/>
      <c r="Y10" s="382"/>
      <c r="Z10" s="382"/>
    </row>
    <row r="11" spans="2:26" x14ac:dyDescent="0.2">
      <c r="B11" s="394" t="s">
        <v>325</v>
      </c>
      <c r="C11" s="480">
        <v>12</v>
      </c>
      <c r="D11" s="388">
        <v>1</v>
      </c>
      <c r="E11" s="388">
        <f>C11*D11</f>
        <v>12</v>
      </c>
      <c r="F11" s="391">
        <f>'Table 1C'!G14</f>
        <v>5</v>
      </c>
      <c r="G11" s="389">
        <v>0</v>
      </c>
      <c r="H11" s="389">
        <f>E11*F11</f>
        <v>60</v>
      </c>
      <c r="I11" s="389">
        <f>H11*0.05</f>
        <v>3</v>
      </c>
      <c r="J11" s="389">
        <f>H11*0.1</f>
        <v>6</v>
      </c>
      <c r="K11" s="462">
        <f>(G11*O$8)+(H11*O$7)+(J11*O$9)+(I11*O$6)</f>
        <v>6835.6890000000003</v>
      </c>
      <c r="L11" s="462" t="s">
        <v>179</v>
      </c>
      <c r="M11" s="420"/>
      <c r="N11" s="420"/>
      <c r="O11" s="420"/>
      <c r="P11" s="420"/>
      <c r="Q11" s="420"/>
      <c r="R11" s="462">
        <f>'Other Cost Basis'!F15</f>
        <v>17</v>
      </c>
      <c r="S11" s="462"/>
      <c r="T11" s="462">
        <f>R11*D13*F13</f>
        <v>35292</v>
      </c>
      <c r="U11" s="389">
        <v>1</v>
      </c>
      <c r="V11" s="389"/>
      <c r="W11" s="382"/>
      <c r="X11" s="392"/>
      <c r="Y11" s="382"/>
      <c r="Z11" s="382"/>
    </row>
    <row r="12" spans="2:26" ht="16.5" customHeight="1" x14ac:dyDescent="0.2">
      <c r="B12" s="394" t="s">
        <v>326</v>
      </c>
      <c r="C12" s="383">
        <f>ROUND(174*0.25,0)</f>
        <v>44</v>
      </c>
      <c r="D12" s="388">
        <v>4</v>
      </c>
      <c r="E12" s="388">
        <f>C12*D12</f>
        <v>176</v>
      </c>
      <c r="F12" s="391">
        <f>'Table 1C'!G15</f>
        <v>173</v>
      </c>
      <c r="G12" s="389">
        <f>E12*F12</f>
        <v>30448</v>
      </c>
      <c r="H12" s="389">
        <v>0</v>
      </c>
      <c r="I12" s="389">
        <v>0</v>
      </c>
      <c r="J12" s="389">
        <v>0</v>
      </c>
      <c r="K12" s="462">
        <f>(G12*O$8)+(H12*O$7)+(J12*O$9)+(I12*O$6)</f>
        <v>1960424.9280000003</v>
      </c>
      <c r="L12" s="462" t="s">
        <v>242</v>
      </c>
      <c r="M12" s="420"/>
      <c r="N12" s="420"/>
      <c r="O12" s="420"/>
      <c r="P12" s="420"/>
      <c r="Q12" s="420"/>
      <c r="R12" s="387"/>
      <c r="S12" s="388"/>
      <c r="T12" s="462"/>
      <c r="U12" s="462"/>
      <c r="V12" s="462"/>
      <c r="W12" s="382"/>
      <c r="X12" s="392"/>
      <c r="Y12" s="382"/>
      <c r="Z12" s="382"/>
    </row>
    <row r="13" spans="2:26" x14ac:dyDescent="0.2">
      <c r="B13" s="394" t="s">
        <v>327</v>
      </c>
      <c r="C13" s="383">
        <f>ROUND(2000/49.85,0)</f>
        <v>40</v>
      </c>
      <c r="D13" s="388">
        <v>12</v>
      </c>
      <c r="E13" s="388">
        <f>C13*D13</f>
        <v>480</v>
      </c>
      <c r="F13" s="391">
        <f>'Table 1C'!G16</f>
        <v>173</v>
      </c>
      <c r="G13" s="389">
        <f>E13*F13</f>
        <v>83040</v>
      </c>
      <c r="H13" s="389">
        <v>0</v>
      </c>
      <c r="I13" s="389">
        <v>0</v>
      </c>
      <c r="J13" s="389">
        <v>0</v>
      </c>
      <c r="K13" s="462">
        <f>(G13*O$8)+(H13*O$7)+(J13*O$9)+(I13*O$6)</f>
        <v>5346613.4400000004</v>
      </c>
      <c r="L13" s="462" t="s">
        <v>242</v>
      </c>
      <c r="M13" s="420"/>
      <c r="N13" s="420"/>
      <c r="O13" s="420"/>
      <c r="P13" s="420"/>
      <c r="Q13" s="420"/>
      <c r="R13" s="387"/>
      <c r="S13" s="388"/>
      <c r="T13" s="462"/>
      <c r="U13" s="462"/>
      <c r="V13" s="462"/>
      <c r="W13" s="382"/>
      <c r="X13" s="382"/>
      <c r="Y13" s="382"/>
      <c r="Z13" s="382"/>
    </row>
    <row r="14" spans="2:26" ht="25.5" x14ac:dyDescent="0.2">
      <c r="B14" s="441" t="s">
        <v>328</v>
      </c>
      <c r="C14" s="480" t="s">
        <v>188</v>
      </c>
      <c r="D14" s="388"/>
      <c r="E14" s="388"/>
      <c r="F14" s="389"/>
      <c r="G14" s="389"/>
      <c r="H14" s="389"/>
      <c r="I14" s="389"/>
      <c r="J14" s="389"/>
      <c r="K14" s="462"/>
      <c r="L14" s="462"/>
      <c r="M14" s="420"/>
      <c r="N14" s="420"/>
      <c r="O14" s="420"/>
      <c r="P14" s="420"/>
      <c r="Q14" s="420"/>
      <c r="R14" s="462"/>
      <c r="S14" s="462"/>
      <c r="T14" s="462"/>
      <c r="U14" s="462"/>
      <c r="V14" s="462"/>
      <c r="W14" s="382"/>
      <c r="X14" s="382"/>
      <c r="Y14" s="382"/>
      <c r="Z14" s="382"/>
    </row>
    <row r="15" spans="2:26" ht="25.5" x14ac:dyDescent="0.2">
      <c r="B15" s="441" t="s">
        <v>329</v>
      </c>
      <c r="C15" s="480" t="s">
        <v>188</v>
      </c>
      <c r="D15" s="388"/>
      <c r="E15" s="388"/>
      <c r="F15" s="389"/>
      <c r="G15" s="389"/>
      <c r="H15" s="389"/>
      <c r="I15" s="389"/>
      <c r="J15" s="389"/>
      <c r="K15" s="462"/>
      <c r="L15" s="462"/>
      <c r="M15" s="420"/>
      <c r="N15" s="420"/>
      <c r="O15" s="420"/>
      <c r="P15" s="420"/>
      <c r="Q15" s="420"/>
      <c r="R15" s="462">
        <v>0</v>
      </c>
      <c r="S15" s="462"/>
      <c r="T15" s="462">
        <f t="shared" ref="T15:T22" si="5">R15*D17*F17</f>
        <v>0</v>
      </c>
      <c r="U15" s="389">
        <f t="shared" ref="U15:U22" si="6">D17*F17</f>
        <v>0</v>
      </c>
      <c r="V15" s="389"/>
      <c r="W15" s="382"/>
      <c r="X15" s="382"/>
      <c r="Y15" s="382"/>
      <c r="Z15" s="382"/>
    </row>
    <row r="16" spans="2:26" x14ac:dyDescent="0.2">
      <c r="B16" s="441" t="s">
        <v>330</v>
      </c>
      <c r="C16" s="480"/>
      <c r="D16" s="388"/>
      <c r="E16" s="388"/>
      <c r="F16" s="389"/>
      <c r="G16" s="389"/>
      <c r="H16" s="389"/>
      <c r="I16" s="389"/>
      <c r="J16" s="389"/>
      <c r="K16" s="462"/>
      <c r="L16" s="462"/>
      <c r="M16" s="420"/>
      <c r="N16" s="363"/>
      <c r="O16" s="420"/>
      <c r="P16" s="420"/>
      <c r="Q16" s="420"/>
      <c r="R16" s="462">
        <v>0</v>
      </c>
      <c r="S16" s="462"/>
      <c r="T16" s="462">
        <f t="shared" si="5"/>
        <v>0</v>
      </c>
      <c r="U16" s="389">
        <f t="shared" si="6"/>
        <v>0</v>
      </c>
      <c r="V16" s="389"/>
      <c r="W16" s="382"/>
      <c r="X16" s="382"/>
      <c r="Y16" s="382"/>
      <c r="Z16" s="382"/>
    </row>
    <row r="17" spans="2:26" x14ac:dyDescent="0.2">
      <c r="B17" s="394" t="s">
        <v>191</v>
      </c>
      <c r="C17" s="480">
        <v>2</v>
      </c>
      <c r="D17" s="388">
        <v>1</v>
      </c>
      <c r="E17" s="388">
        <f t="shared" ref="E17:E24" si="7">C17*D17</f>
        <v>2</v>
      </c>
      <c r="F17" s="391">
        <f>'Table 1C'!G20</f>
        <v>0</v>
      </c>
      <c r="G17" s="389">
        <v>0</v>
      </c>
      <c r="H17" s="389">
        <f t="shared" ref="H17:H24" si="8">E17*F17</f>
        <v>0</v>
      </c>
      <c r="I17" s="389">
        <f t="shared" ref="I17:I24" si="9">H17*0.05</f>
        <v>0</v>
      </c>
      <c r="J17" s="389">
        <f t="shared" ref="J17:J24" si="10">H17*0.1</f>
        <v>0</v>
      </c>
      <c r="K17" s="462">
        <f t="shared" ref="K17:K24" si="11">(G17*O$8)+(H17*O$7)+(J17*O$9)+(I17*O$6)</f>
        <v>0</v>
      </c>
      <c r="L17" s="462" t="s">
        <v>204</v>
      </c>
      <c r="M17" s="420"/>
      <c r="N17" s="420"/>
      <c r="O17" s="420"/>
      <c r="P17" s="420"/>
      <c r="Q17" s="420"/>
      <c r="R17" s="462">
        <v>0</v>
      </c>
      <c r="S17" s="462"/>
      <c r="T17" s="462">
        <f t="shared" si="5"/>
        <v>0</v>
      </c>
      <c r="U17" s="389">
        <f t="shared" si="6"/>
        <v>10</v>
      </c>
      <c r="V17" s="389"/>
      <c r="W17" s="395"/>
      <c r="X17" s="382"/>
      <c r="Y17" s="382"/>
      <c r="Z17" s="382"/>
    </row>
    <row r="18" spans="2:26" x14ac:dyDescent="0.2">
      <c r="B18" s="394" t="s">
        <v>193</v>
      </c>
      <c r="C18" s="480">
        <v>2</v>
      </c>
      <c r="D18" s="388">
        <v>1</v>
      </c>
      <c r="E18" s="388">
        <f t="shared" si="7"/>
        <v>2</v>
      </c>
      <c r="F18" s="391">
        <f>'Table 1C'!G21</f>
        <v>0</v>
      </c>
      <c r="G18" s="389">
        <v>0</v>
      </c>
      <c r="H18" s="389">
        <f t="shared" si="8"/>
        <v>0</v>
      </c>
      <c r="I18" s="389">
        <f t="shared" si="9"/>
        <v>0</v>
      </c>
      <c r="J18" s="389">
        <f t="shared" si="10"/>
        <v>0</v>
      </c>
      <c r="K18" s="462">
        <f t="shared" si="11"/>
        <v>0</v>
      </c>
      <c r="L18" s="462" t="s">
        <v>245</v>
      </c>
      <c r="M18" s="420"/>
      <c r="N18" s="420"/>
      <c r="O18" s="420"/>
      <c r="P18" s="420"/>
      <c r="Q18" s="420"/>
      <c r="R18" s="462">
        <f>'Other Cost Basis'!D4</f>
        <v>2708.280314173127</v>
      </c>
      <c r="S18" s="462"/>
      <c r="T18" s="462">
        <f t="shared" si="5"/>
        <v>27082.80314173127</v>
      </c>
      <c r="U18" s="389">
        <f t="shared" si="6"/>
        <v>10</v>
      </c>
      <c r="V18" s="389">
        <f>'Other Cost Basis'!B2</f>
        <v>10067</v>
      </c>
      <c r="W18" s="395"/>
      <c r="X18" s="382"/>
      <c r="Y18" s="382"/>
      <c r="Z18" s="382"/>
    </row>
    <row r="19" spans="2:26" ht="13.5" customHeight="1" x14ac:dyDescent="0.2">
      <c r="B19" s="394" t="s">
        <v>195</v>
      </c>
      <c r="C19" s="480">
        <v>8</v>
      </c>
      <c r="D19" s="388">
        <v>1</v>
      </c>
      <c r="E19" s="388">
        <f t="shared" si="7"/>
        <v>8</v>
      </c>
      <c r="F19" s="391">
        <f>'Table 1C'!G22</f>
        <v>10</v>
      </c>
      <c r="G19" s="389">
        <v>0</v>
      </c>
      <c r="H19" s="389">
        <f t="shared" si="8"/>
        <v>80</v>
      </c>
      <c r="I19" s="389">
        <f t="shared" si="9"/>
        <v>4</v>
      </c>
      <c r="J19" s="389">
        <f t="shared" si="10"/>
        <v>8</v>
      </c>
      <c r="K19" s="462">
        <f t="shared" si="11"/>
        <v>9114.2520000000004</v>
      </c>
      <c r="L19" s="462" t="s">
        <v>192</v>
      </c>
      <c r="M19" s="420"/>
      <c r="N19" s="420"/>
      <c r="O19" s="420"/>
      <c r="P19" s="420"/>
      <c r="Q19" s="420"/>
      <c r="R19" s="462">
        <v>0</v>
      </c>
      <c r="S19" s="462"/>
      <c r="T19" s="462">
        <f t="shared" si="5"/>
        <v>0</v>
      </c>
      <c r="U19" s="389">
        <f t="shared" si="6"/>
        <v>0</v>
      </c>
      <c r="V19" s="389"/>
      <c r="W19" s="395"/>
      <c r="X19" s="382"/>
      <c r="Y19" s="382"/>
      <c r="Z19" s="382"/>
    </row>
    <row r="20" spans="2:26" x14ac:dyDescent="0.2">
      <c r="B20" s="394" t="s">
        <v>197</v>
      </c>
      <c r="C20" s="383">
        <v>12</v>
      </c>
      <c r="D20" s="388">
        <v>1</v>
      </c>
      <c r="E20" s="393">
        <f t="shared" si="7"/>
        <v>12</v>
      </c>
      <c r="F20" s="391">
        <f>'Table 1C'!G23</f>
        <v>10</v>
      </c>
      <c r="G20" s="389">
        <v>0</v>
      </c>
      <c r="H20" s="389">
        <f t="shared" si="8"/>
        <v>120</v>
      </c>
      <c r="I20" s="389">
        <f t="shared" si="9"/>
        <v>6</v>
      </c>
      <c r="J20" s="389">
        <f t="shared" si="10"/>
        <v>12</v>
      </c>
      <c r="K20" s="462">
        <f t="shared" si="11"/>
        <v>13671.378000000001</v>
      </c>
      <c r="L20" s="462" t="s">
        <v>192</v>
      </c>
      <c r="M20" s="420"/>
      <c r="N20" s="420"/>
      <c r="O20" s="420"/>
      <c r="P20" s="420"/>
      <c r="Q20" s="420"/>
      <c r="R20" s="462">
        <v>0</v>
      </c>
      <c r="S20" s="462"/>
      <c r="T20" s="462">
        <f t="shared" si="5"/>
        <v>0</v>
      </c>
      <c r="U20" s="389">
        <f t="shared" si="6"/>
        <v>0</v>
      </c>
      <c r="V20" s="389"/>
      <c r="W20" s="395"/>
      <c r="X20" s="382"/>
      <c r="Y20" s="382"/>
      <c r="Z20" s="382"/>
    </row>
    <row r="21" spans="2:26" x14ac:dyDescent="0.2">
      <c r="B21" s="394" t="s">
        <v>199</v>
      </c>
      <c r="C21" s="480">
        <v>1</v>
      </c>
      <c r="D21" s="388">
        <v>1</v>
      </c>
      <c r="E21" s="388">
        <f t="shared" si="7"/>
        <v>1</v>
      </c>
      <c r="F21" s="391">
        <f>'Table 1C'!G24</f>
        <v>0</v>
      </c>
      <c r="G21" s="389">
        <v>0</v>
      </c>
      <c r="H21" s="389">
        <f t="shared" si="8"/>
        <v>0</v>
      </c>
      <c r="I21" s="389">
        <f t="shared" si="9"/>
        <v>0</v>
      </c>
      <c r="J21" s="389">
        <f t="shared" si="10"/>
        <v>0</v>
      </c>
      <c r="K21" s="462">
        <f t="shared" si="11"/>
        <v>0</v>
      </c>
      <c r="L21" s="462" t="s">
        <v>194</v>
      </c>
      <c r="M21" s="420"/>
      <c r="N21" s="420"/>
      <c r="O21" s="420"/>
      <c r="P21" s="420"/>
      <c r="Q21" s="420"/>
      <c r="R21" s="462">
        <v>0</v>
      </c>
      <c r="S21" s="462"/>
      <c r="T21" s="462">
        <f t="shared" si="5"/>
        <v>0</v>
      </c>
      <c r="U21" s="389">
        <f t="shared" si="6"/>
        <v>5</v>
      </c>
      <c r="V21" s="389"/>
      <c r="W21" s="395"/>
      <c r="X21" s="382"/>
      <c r="Y21" s="382"/>
      <c r="Z21" s="382"/>
    </row>
    <row r="22" spans="2:26" x14ac:dyDescent="0.2">
      <c r="B22" s="394" t="s">
        <v>201</v>
      </c>
      <c r="C22" s="480">
        <f>3*C20</f>
        <v>36</v>
      </c>
      <c r="D22" s="388">
        <v>1</v>
      </c>
      <c r="E22" s="388">
        <f t="shared" si="7"/>
        <v>36</v>
      </c>
      <c r="F22" s="391">
        <f>'Table 1C'!G25</f>
        <v>0</v>
      </c>
      <c r="G22" s="389">
        <v>0</v>
      </c>
      <c r="H22" s="389">
        <f t="shared" si="8"/>
        <v>0</v>
      </c>
      <c r="I22" s="389">
        <f t="shared" si="9"/>
        <v>0</v>
      </c>
      <c r="J22" s="389">
        <f t="shared" si="10"/>
        <v>0</v>
      </c>
      <c r="K22" s="462">
        <f t="shared" si="11"/>
        <v>0</v>
      </c>
      <c r="L22" s="462" t="s">
        <v>331</v>
      </c>
      <c r="M22" s="420"/>
      <c r="N22" s="420"/>
      <c r="O22" s="420"/>
      <c r="P22" s="420"/>
      <c r="Q22" s="420"/>
      <c r="R22" s="462">
        <v>0</v>
      </c>
      <c r="S22" s="462"/>
      <c r="T22" s="462">
        <f t="shared" si="5"/>
        <v>0</v>
      </c>
      <c r="U22" s="389">
        <f t="shared" si="6"/>
        <v>0.51200000000000001</v>
      </c>
      <c r="V22" s="389"/>
      <c r="W22" s="395"/>
      <c r="X22" s="382"/>
      <c r="Y22" s="382"/>
      <c r="Z22" s="382"/>
    </row>
    <row r="23" spans="2:26" ht="25.5" x14ac:dyDescent="0.2">
      <c r="B23" s="394" t="s">
        <v>203</v>
      </c>
      <c r="C23" s="480">
        <v>80</v>
      </c>
      <c r="D23" s="388">
        <v>1</v>
      </c>
      <c r="E23" s="388">
        <f t="shared" si="7"/>
        <v>80</v>
      </c>
      <c r="F23" s="391">
        <f>'Table 1C'!G26</f>
        <v>5</v>
      </c>
      <c r="G23" s="389">
        <v>0</v>
      </c>
      <c r="H23" s="389">
        <f>E23*F23</f>
        <v>400</v>
      </c>
      <c r="I23" s="389">
        <f t="shared" si="9"/>
        <v>20</v>
      </c>
      <c r="J23" s="389">
        <f t="shared" si="10"/>
        <v>40</v>
      </c>
      <c r="K23" s="462">
        <f t="shared" si="11"/>
        <v>45571.26</v>
      </c>
      <c r="L23" s="462" t="s">
        <v>332</v>
      </c>
      <c r="M23" s="420"/>
      <c r="N23" s="420"/>
      <c r="O23" s="420"/>
      <c r="P23" s="420"/>
      <c r="Q23" s="420"/>
      <c r="R23" s="387"/>
      <c r="S23" s="388"/>
      <c r="T23" s="462"/>
      <c r="U23" s="389"/>
      <c r="V23" s="389"/>
      <c r="W23" s="395"/>
      <c r="X23" s="382"/>
      <c r="Y23" s="382"/>
      <c r="Z23" s="382"/>
    </row>
    <row r="24" spans="2:26" x14ac:dyDescent="0.2">
      <c r="B24" s="394" t="s">
        <v>333</v>
      </c>
      <c r="C24" s="480">
        <v>20</v>
      </c>
      <c r="D24" s="388">
        <v>1</v>
      </c>
      <c r="E24" s="388">
        <f t="shared" si="7"/>
        <v>20</v>
      </c>
      <c r="F24" s="435">
        <f>'Table 1C'!G27</f>
        <v>0.51200000000000001</v>
      </c>
      <c r="G24" s="389">
        <v>0</v>
      </c>
      <c r="H24" s="389">
        <f t="shared" si="8"/>
        <v>10.24</v>
      </c>
      <c r="I24" s="389">
        <f t="shared" si="9"/>
        <v>0.51200000000000001</v>
      </c>
      <c r="J24" s="389">
        <f t="shared" si="10"/>
        <v>1.024</v>
      </c>
      <c r="K24" s="462">
        <f t="shared" si="11"/>
        <v>1166.6242560000001</v>
      </c>
      <c r="L24" s="462" t="s">
        <v>200</v>
      </c>
      <c r="M24" s="420"/>
      <c r="N24" s="420"/>
      <c r="O24" s="420"/>
      <c r="P24" s="420"/>
      <c r="Q24" s="420"/>
      <c r="R24" s="387"/>
      <c r="S24" s="388"/>
      <c r="T24" s="462"/>
      <c r="U24" s="389"/>
      <c r="V24" s="389"/>
      <c r="W24" s="395"/>
      <c r="X24" s="382"/>
      <c r="Y24" s="382"/>
      <c r="Z24" s="382"/>
    </row>
    <row r="25" spans="2:26" ht="25.5" x14ac:dyDescent="0.2">
      <c r="B25" s="394" t="s">
        <v>207</v>
      </c>
      <c r="C25" s="480" t="s">
        <v>188</v>
      </c>
      <c r="D25" s="388"/>
      <c r="E25" s="388"/>
      <c r="F25" s="391"/>
      <c r="G25" s="389"/>
      <c r="H25" s="389"/>
      <c r="I25" s="389"/>
      <c r="J25" s="389"/>
      <c r="K25" s="462"/>
      <c r="L25" s="462"/>
      <c r="M25" s="420"/>
      <c r="N25" s="420"/>
      <c r="O25" s="420"/>
      <c r="P25" s="420"/>
      <c r="Q25" s="420"/>
      <c r="R25" s="462">
        <v>0</v>
      </c>
      <c r="S25" s="462"/>
      <c r="T25" s="462">
        <f>R25*D27*F27</f>
        <v>0</v>
      </c>
      <c r="U25" s="389">
        <f>D27*F27</f>
        <v>173</v>
      </c>
      <c r="V25" s="389"/>
      <c r="W25" s="395"/>
      <c r="X25" s="382"/>
      <c r="Y25" s="382"/>
      <c r="Z25" s="382"/>
    </row>
    <row r="26" spans="2:26" ht="25.5" x14ac:dyDescent="0.2">
      <c r="B26" s="394" t="s">
        <v>208</v>
      </c>
      <c r="C26" s="480" t="s">
        <v>188</v>
      </c>
      <c r="D26" s="388"/>
      <c r="E26" s="388"/>
      <c r="F26" s="391"/>
      <c r="G26" s="389"/>
      <c r="H26" s="389"/>
      <c r="I26" s="389"/>
      <c r="J26" s="389"/>
      <c r="K26" s="462"/>
      <c r="L26" s="462"/>
      <c r="M26" s="420"/>
      <c r="N26" s="420"/>
      <c r="O26" s="420"/>
      <c r="P26" s="420"/>
      <c r="Q26" s="420"/>
      <c r="R26" s="462">
        <v>0</v>
      </c>
      <c r="S26" s="462"/>
      <c r="T26" s="462">
        <f>R26*D28*F28</f>
        <v>0</v>
      </c>
      <c r="U26" s="389">
        <f>D28*F28</f>
        <v>1</v>
      </c>
      <c r="V26" s="389"/>
      <c r="W26" s="395"/>
      <c r="X26" s="382"/>
      <c r="Y26" s="382"/>
      <c r="Z26" s="382"/>
    </row>
    <row r="27" spans="2:26" x14ac:dyDescent="0.2">
      <c r="B27" s="394" t="s">
        <v>209</v>
      </c>
      <c r="C27" s="480">
        <v>27</v>
      </c>
      <c r="D27" s="388">
        <v>1</v>
      </c>
      <c r="E27" s="388">
        <f>C27*D27</f>
        <v>27</v>
      </c>
      <c r="F27" s="391">
        <f>'Table 1C'!G30</f>
        <v>173</v>
      </c>
      <c r="G27" s="389">
        <v>0</v>
      </c>
      <c r="H27" s="389">
        <f>E27*F27</f>
        <v>4671</v>
      </c>
      <c r="I27" s="389">
        <f>H27*0.05</f>
        <v>233.55</v>
      </c>
      <c r="J27" s="389">
        <f>H27*0.1</f>
        <v>467.1</v>
      </c>
      <c r="K27" s="462">
        <f>(G27*O$8)+(H27*O$7)+(J27*O$9)+(I27*O$6)</f>
        <v>532158.3886500001</v>
      </c>
      <c r="L27" s="462" t="s">
        <v>253</v>
      </c>
      <c r="M27" s="420"/>
      <c r="N27" s="420"/>
      <c r="O27" s="420"/>
      <c r="P27" s="420"/>
      <c r="Q27" s="420"/>
      <c r="R27" s="462">
        <v>0</v>
      </c>
      <c r="S27" s="462"/>
      <c r="T27" s="462">
        <f>R27*D29*F29</f>
        <v>0</v>
      </c>
      <c r="U27" s="389">
        <f>D29*F29</f>
        <v>1</v>
      </c>
      <c r="V27" s="389"/>
      <c r="W27" s="395"/>
      <c r="X27" s="382"/>
      <c r="Y27" s="382"/>
      <c r="Z27" s="382"/>
    </row>
    <row r="28" spans="2:26" x14ac:dyDescent="0.2">
      <c r="B28" s="394" t="s">
        <v>211</v>
      </c>
      <c r="C28" s="480">
        <v>15</v>
      </c>
      <c r="D28" s="388">
        <v>1</v>
      </c>
      <c r="E28" s="388">
        <f>C28*D28</f>
        <v>15</v>
      </c>
      <c r="F28" s="391">
        <f>'Table 1C'!G31</f>
        <v>1</v>
      </c>
      <c r="G28" s="389">
        <v>0</v>
      </c>
      <c r="H28" s="389">
        <f>E28*F28</f>
        <v>15</v>
      </c>
      <c r="I28" s="389">
        <f>H28*0.05</f>
        <v>0.75</v>
      </c>
      <c r="J28" s="389">
        <f>H28*0.1</f>
        <v>1.5</v>
      </c>
      <c r="K28" s="462">
        <f>(G28*O$8)+(H28*O$7)+(J28*O$9)+(I28*O$6)</f>
        <v>1708.9222500000001</v>
      </c>
      <c r="L28" s="462" t="s">
        <v>206</v>
      </c>
      <c r="M28" s="420"/>
      <c r="N28" s="420"/>
      <c r="O28" s="420"/>
      <c r="P28" s="420"/>
      <c r="Q28" s="420"/>
      <c r="R28" s="462">
        <v>0</v>
      </c>
      <c r="S28" s="462"/>
      <c r="T28" s="462">
        <f>R28*D30*F30</f>
        <v>0</v>
      </c>
      <c r="U28" s="389">
        <f>D30*F30</f>
        <v>1</v>
      </c>
      <c r="V28" s="389"/>
      <c r="W28" s="395"/>
      <c r="X28" s="382"/>
      <c r="Y28" s="382"/>
      <c r="Z28" s="382"/>
    </row>
    <row r="29" spans="2:26" x14ac:dyDescent="0.2">
      <c r="B29" s="394" t="s">
        <v>213</v>
      </c>
      <c r="C29" s="480">
        <v>15</v>
      </c>
      <c r="D29" s="388">
        <v>1</v>
      </c>
      <c r="E29" s="388">
        <f>C29*D29</f>
        <v>15</v>
      </c>
      <c r="F29" s="391">
        <f>'Table 1C'!G32</f>
        <v>1</v>
      </c>
      <c r="G29" s="389">
        <v>0</v>
      </c>
      <c r="H29" s="389">
        <f>E29*F29</f>
        <v>15</v>
      </c>
      <c r="I29" s="389">
        <f>H29*0.05</f>
        <v>0.75</v>
      </c>
      <c r="J29" s="389">
        <f>H29*0.1</f>
        <v>1.5</v>
      </c>
      <c r="K29" s="462">
        <f>(G29*O$8)+(H29*O$7)+(J29*O$9)+(I29*O$6)</f>
        <v>1708.9222500000001</v>
      </c>
      <c r="L29" s="462" t="s">
        <v>206</v>
      </c>
      <c r="M29" s="420"/>
      <c r="N29" s="420"/>
      <c r="O29" s="420"/>
      <c r="P29" s="420"/>
      <c r="Q29" s="420"/>
      <c r="R29" s="462">
        <v>0</v>
      </c>
      <c r="S29" s="462"/>
      <c r="T29" s="462">
        <f>R29*D31*F31</f>
        <v>0</v>
      </c>
      <c r="U29" s="389">
        <f>D31*F31</f>
        <v>15</v>
      </c>
      <c r="V29" s="389"/>
      <c r="W29" s="395"/>
      <c r="X29" s="382"/>
      <c r="Y29" s="382"/>
      <c r="Z29" s="382"/>
    </row>
    <row r="30" spans="2:26" ht="15" customHeight="1" x14ac:dyDescent="0.25">
      <c r="B30" s="394" t="s">
        <v>214</v>
      </c>
      <c r="C30" s="480">
        <v>15</v>
      </c>
      <c r="D30" s="388">
        <v>1</v>
      </c>
      <c r="E30" s="388">
        <f>C30*D30</f>
        <v>15</v>
      </c>
      <c r="F30" s="391">
        <f>'Table 1C'!G33</f>
        <v>1</v>
      </c>
      <c r="G30" s="389">
        <v>0</v>
      </c>
      <c r="H30" s="389">
        <f>E30*F30</f>
        <v>15</v>
      </c>
      <c r="I30" s="389">
        <f>H30*0.05</f>
        <v>0.75</v>
      </c>
      <c r="J30" s="389">
        <f>H30*0.1</f>
        <v>1.5</v>
      </c>
      <c r="K30" s="462">
        <f>(G30*O$8)+(H30*O$7)+(J30*O$9)+(I30*O$6)</f>
        <v>1708.9222500000001</v>
      </c>
      <c r="L30" s="462" t="s">
        <v>206</v>
      </c>
      <c r="M30" s="420"/>
      <c r="N30" s="427"/>
      <c r="O30" s="427"/>
      <c r="P30" s="427"/>
      <c r="Q30" s="427"/>
      <c r="R30" s="400"/>
      <c r="S30" s="400"/>
      <c r="T30" s="400">
        <f>SUM(T7:T29)</f>
        <v>732115.10056409671</v>
      </c>
      <c r="U30" s="403">
        <f>SUM(U15:U29)+U9</f>
        <v>221.512</v>
      </c>
      <c r="V30" s="400">
        <f>SUM(V7:V29)</f>
        <v>28134</v>
      </c>
      <c r="W30" s="401"/>
      <c r="X30" s="382"/>
      <c r="Y30" s="382"/>
      <c r="Z30" s="382"/>
    </row>
    <row r="31" spans="2:26" x14ac:dyDescent="0.2">
      <c r="B31" s="394" t="s">
        <v>215</v>
      </c>
      <c r="C31" s="480">
        <v>15</v>
      </c>
      <c r="D31" s="388">
        <v>1</v>
      </c>
      <c r="E31" s="388">
        <f>C31*D31</f>
        <v>15</v>
      </c>
      <c r="F31" s="391">
        <f>'Table 1C'!G34</f>
        <v>15</v>
      </c>
      <c r="G31" s="389">
        <v>0</v>
      </c>
      <c r="H31" s="389">
        <f>E31*F31</f>
        <v>225</v>
      </c>
      <c r="I31" s="389">
        <f>H31*0.05</f>
        <v>11.25</v>
      </c>
      <c r="J31" s="389">
        <f>H31*0.1</f>
        <v>22.5</v>
      </c>
      <c r="K31" s="462">
        <f>(G31*O$8)+(H31*O$7)+(J31*O$9)+(I31*O$6)</f>
        <v>25633.833750000002</v>
      </c>
      <c r="L31" s="462" t="s">
        <v>210</v>
      </c>
      <c r="M31" s="420"/>
      <c r="N31" s="420"/>
      <c r="O31" s="420"/>
      <c r="P31" s="420"/>
      <c r="Q31" s="420"/>
      <c r="R31" s="462"/>
      <c r="S31" s="462"/>
      <c r="T31" s="462"/>
      <c r="U31" s="462"/>
      <c r="V31" s="462"/>
      <c r="W31" s="382"/>
      <c r="X31" s="382"/>
      <c r="Y31" s="382"/>
      <c r="Z31" s="382"/>
    </row>
    <row r="32" spans="2:26" ht="13.5" x14ac:dyDescent="0.25">
      <c r="B32" s="436" t="s">
        <v>334</v>
      </c>
      <c r="C32" s="397"/>
      <c r="D32" s="398"/>
      <c r="E32" s="398"/>
      <c r="F32" s="399"/>
      <c r="G32" s="552">
        <f>SUM(G7:J31)</f>
        <v>120649.32600000002</v>
      </c>
      <c r="H32" s="553"/>
      <c r="I32" s="553"/>
      <c r="J32" s="554"/>
      <c r="K32" s="400">
        <f>SUM(K7:K31)</f>
        <v>8016496.3008059999</v>
      </c>
      <c r="L32" s="439"/>
      <c r="M32" s="427"/>
      <c r="N32" s="420"/>
      <c r="O32" s="420"/>
      <c r="P32" s="420"/>
      <c r="Q32" s="420"/>
      <c r="R32" s="387"/>
      <c r="S32" s="388"/>
      <c r="T32" s="462"/>
      <c r="U32" s="462"/>
      <c r="V32" s="462"/>
      <c r="W32" s="382"/>
      <c r="X32" s="382"/>
      <c r="Y32" s="382"/>
      <c r="Z32" s="382"/>
    </row>
    <row r="33" spans="1:30" x14ac:dyDescent="0.2">
      <c r="B33" s="390" t="s">
        <v>218</v>
      </c>
      <c r="C33" s="480"/>
      <c r="D33" s="388"/>
      <c r="E33" s="388"/>
      <c r="F33" s="389"/>
      <c r="G33" s="389"/>
      <c r="H33" s="389"/>
      <c r="I33" s="389"/>
      <c r="J33" s="389"/>
      <c r="K33" s="462"/>
      <c r="L33" s="462"/>
      <c r="M33" s="420"/>
      <c r="N33" s="420"/>
      <c r="O33" s="420"/>
      <c r="P33" s="420"/>
      <c r="Q33" s="420"/>
      <c r="R33" s="387"/>
      <c r="S33" s="388"/>
      <c r="T33" s="462"/>
      <c r="U33" s="462"/>
      <c r="V33" s="462"/>
      <c r="W33" s="382"/>
      <c r="X33" s="382"/>
      <c r="Y33" s="382"/>
      <c r="Z33" s="382"/>
    </row>
    <row r="34" spans="1:30" ht="25.5" x14ac:dyDescent="0.2">
      <c r="B34" s="441" t="s">
        <v>335</v>
      </c>
      <c r="C34" s="480" t="s">
        <v>336</v>
      </c>
      <c r="D34" s="388"/>
      <c r="E34" s="388"/>
      <c r="F34" s="389"/>
      <c r="G34" s="389"/>
      <c r="H34" s="389"/>
      <c r="I34" s="389"/>
      <c r="J34" s="389"/>
      <c r="K34" s="462"/>
      <c r="L34" s="462"/>
      <c r="M34" s="420"/>
      <c r="N34" s="420"/>
      <c r="O34" s="420"/>
      <c r="P34" s="420"/>
      <c r="Q34" s="420"/>
      <c r="R34" s="387"/>
      <c r="S34" s="388"/>
      <c r="T34" s="462"/>
      <c r="U34" s="462"/>
      <c r="V34" s="462"/>
      <c r="W34" s="382"/>
      <c r="X34" s="382"/>
      <c r="Y34" s="382"/>
      <c r="Z34" s="382"/>
    </row>
    <row r="35" spans="1:30" x14ac:dyDescent="0.2">
      <c r="B35" s="441" t="s">
        <v>337</v>
      </c>
      <c r="C35" s="480" t="s">
        <v>309</v>
      </c>
      <c r="D35" s="388"/>
      <c r="E35" s="388"/>
      <c r="F35" s="389"/>
      <c r="G35" s="389"/>
      <c r="H35" s="389"/>
      <c r="I35" s="389"/>
      <c r="J35" s="389"/>
      <c r="K35" s="462"/>
      <c r="L35" s="462"/>
      <c r="M35" s="420"/>
      <c r="N35" s="420"/>
      <c r="O35" s="420"/>
      <c r="P35" s="420"/>
      <c r="Q35" s="420"/>
      <c r="R35" s="387"/>
      <c r="S35" s="388"/>
      <c r="T35" s="462"/>
      <c r="U35" s="462"/>
      <c r="V35" s="462"/>
      <c r="W35" s="382"/>
      <c r="X35" s="382"/>
      <c r="Y35" s="382"/>
      <c r="Z35" s="382"/>
    </row>
    <row r="36" spans="1:30" ht="13.5" customHeight="1" x14ac:dyDescent="0.2">
      <c r="B36" s="441" t="s">
        <v>338</v>
      </c>
      <c r="C36" s="480" t="s">
        <v>309</v>
      </c>
      <c r="D36" s="388"/>
      <c r="E36" s="388"/>
      <c r="F36" s="389"/>
      <c r="G36" s="389"/>
      <c r="H36" s="389"/>
      <c r="I36" s="389"/>
      <c r="J36" s="389"/>
      <c r="K36" s="462"/>
      <c r="L36" s="462"/>
      <c r="M36" s="420"/>
      <c r="N36" s="420"/>
      <c r="O36" s="420"/>
      <c r="P36" s="420"/>
      <c r="Q36" s="420"/>
      <c r="R36" s="462"/>
      <c r="S36" s="462"/>
      <c r="T36" s="462"/>
      <c r="U36" s="462"/>
      <c r="V36" s="462"/>
      <c r="W36" s="382"/>
      <c r="X36" s="382"/>
      <c r="Y36" s="382"/>
      <c r="Z36" s="382"/>
    </row>
    <row r="37" spans="1:30" x14ac:dyDescent="0.2">
      <c r="B37" s="441" t="s">
        <v>339</v>
      </c>
      <c r="C37" s="480" t="s">
        <v>309</v>
      </c>
      <c r="D37" s="388"/>
      <c r="E37" s="388"/>
      <c r="F37" s="389"/>
      <c r="G37" s="389"/>
      <c r="H37" s="389"/>
      <c r="I37" s="389"/>
      <c r="J37" s="389"/>
      <c r="K37" s="462"/>
      <c r="L37" s="462"/>
      <c r="M37" s="420"/>
      <c r="N37" s="420"/>
      <c r="O37" s="420"/>
      <c r="P37" s="420"/>
      <c r="Q37" s="420"/>
      <c r="R37" s="462">
        <v>0</v>
      </c>
      <c r="S37" s="462"/>
      <c r="T37" s="462">
        <f>R37*D39*F39</f>
        <v>0</v>
      </c>
      <c r="U37" s="389">
        <v>0</v>
      </c>
      <c r="V37" s="389"/>
      <c r="W37" s="382"/>
      <c r="X37" s="382"/>
      <c r="Y37" s="382"/>
      <c r="Z37" s="382"/>
    </row>
    <row r="38" spans="1:30" x14ac:dyDescent="0.2">
      <c r="B38" s="441" t="s">
        <v>340</v>
      </c>
      <c r="C38" s="480"/>
      <c r="D38" s="388"/>
      <c r="E38" s="388"/>
      <c r="F38" s="389"/>
      <c r="G38" s="389"/>
      <c r="H38" s="389"/>
      <c r="I38" s="389"/>
      <c r="J38" s="389"/>
      <c r="K38" s="462"/>
      <c r="L38" s="462"/>
      <c r="M38" s="420"/>
      <c r="N38" s="420"/>
      <c r="O38" s="420"/>
      <c r="P38" s="420"/>
      <c r="Q38" s="420"/>
      <c r="R38" s="462">
        <v>0</v>
      </c>
      <c r="S38" s="462"/>
      <c r="T38" s="462">
        <f>R38*D40*F40</f>
        <v>0</v>
      </c>
      <c r="U38" s="389">
        <v>0</v>
      </c>
      <c r="V38" s="389"/>
      <c r="W38" s="382"/>
      <c r="X38" s="382"/>
      <c r="Y38" s="382"/>
      <c r="Z38" s="382"/>
    </row>
    <row r="39" spans="1:30" ht="13.5" customHeight="1" x14ac:dyDescent="0.2">
      <c r="B39" s="394" t="s">
        <v>225</v>
      </c>
      <c r="C39" s="480">
        <v>5</v>
      </c>
      <c r="D39" s="388">
        <v>12</v>
      </c>
      <c r="E39" s="388">
        <f>C39*D39</f>
        <v>60</v>
      </c>
      <c r="F39" s="391">
        <f>'Table 1C'!G42</f>
        <v>173</v>
      </c>
      <c r="G39" s="389">
        <v>0</v>
      </c>
      <c r="H39" s="389">
        <f>E39*F39</f>
        <v>10380</v>
      </c>
      <c r="I39" s="389">
        <f>H39*0.05</f>
        <v>519</v>
      </c>
      <c r="J39" s="389">
        <f>H39*0.1</f>
        <v>1038</v>
      </c>
      <c r="K39" s="462">
        <f>(G39*O$8)+(H39*O$7)+(J39*O$9)+(I39*O$6)</f>
        <v>1182574.1970000002</v>
      </c>
      <c r="L39" s="462" t="s">
        <v>226</v>
      </c>
      <c r="M39" s="420"/>
      <c r="N39" s="420"/>
      <c r="O39" s="420"/>
      <c r="P39" s="420"/>
      <c r="Q39" s="420"/>
      <c r="R39" s="462">
        <v>0</v>
      </c>
      <c r="S39" s="462"/>
      <c r="T39" s="462">
        <f>R39*D41*F41</f>
        <v>0</v>
      </c>
      <c r="U39" s="389">
        <v>0</v>
      </c>
      <c r="V39" s="389"/>
      <c r="W39" s="382"/>
      <c r="X39" s="382"/>
      <c r="Y39" s="382"/>
      <c r="Z39" s="382"/>
    </row>
    <row r="40" spans="1:30" ht="25.5" x14ac:dyDescent="0.2">
      <c r="B40" s="394" t="s">
        <v>227</v>
      </c>
      <c r="C40" s="480">
        <v>11</v>
      </c>
      <c r="D40" s="388">
        <v>12</v>
      </c>
      <c r="E40" s="388">
        <f>C40*D40</f>
        <v>132</v>
      </c>
      <c r="F40" s="391">
        <f>'Table 1C'!G43</f>
        <v>173</v>
      </c>
      <c r="G40" s="389">
        <v>0</v>
      </c>
      <c r="H40" s="389">
        <f>E40*F40</f>
        <v>22836</v>
      </c>
      <c r="I40" s="389">
        <f>H40*0.05</f>
        <v>1141.8</v>
      </c>
      <c r="J40" s="389">
        <f>H40*0.1</f>
        <v>2283.6</v>
      </c>
      <c r="K40" s="462">
        <f>(G40*O$8)+(H40*O$7)+(J40*O$9)+(I40*O$6)</f>
        <v>2601663.2333999998</v>
      </c>
      <c r="L40" s="462" t="s">
        <v>226</v>
      </c>
      <c r="M40" s="420"/>
      <c r="N40" s="420"/>
      <c r="O40" s="420"/>
      <c r="P40" s="420"/>
      <c r="Q40" s="420"/>
      <c r="R40" s="467"/>
      <c r="S40" s="468"/>
      <c r="T40" s="469"/>
      <c r="U40" s="470"/>
      <c r="V40" s="470"/>
      <c r="W40" s="382"/>
      <c r="X40" s="382"/>
      <c r="Y40" s="382"/>
      <c r="Z40" s="382"/>
    </row>
    <row r="41" spans="1:30" ht="26.25" x14ac:dyDescent="0.25">
      <c r="B41" s="394" t="s">
        <v>228</v>
      </c>
      <c r="C41" s="480">
        <v>4</v>
      </c>
      <c r="D41" s="388">
        <v>1</v>
      </c>
      <c r="E41" s="388">
        <f>C41*D41</f>
        <v>4</v>
      </c>
      <c r="F41" s="391">
        <f>'Table 1C'!G44</f>
        <v>0</v>
      </c>
      <c r="G41" s="389">
        <v>0</v>
      </c>
      <c r="H41" s="389">
        <f>E41*F41</f>
        <v>0</v>
      </c>
      <c r="I41" s="389">
        <f>H41*0.05</f>
        <v>0</v>
      </c>
      <c r="J41" s="389">
        <f>H41*0.1</f>
        <v>0</v>
      </c>
      <c r="K41" s="462">
        <f>(G41*O$8)+(H41*O$7)+(J41*O$9)+(I41*O$6)</f>
        <v>0</v>
      </c>
      <c r="L41" s="462" t="s">
        <v>229</v>
      </c>
      <c r="M41" s="420"/>
      <c r="N41" s="420"/>
      <c r="O41" s="420"/>
      <c r="P41" s="420"/>
      <c r="Q41" s="420"/>
      <c r="R41" s="427"/>
      <c r="S41" s="427"/>
      <c r="T41" s="427">
        <f>SUM(T32:T40)</f>
        <v>0</v>
      </c>
      <c r="U41" s="473">
        <f>SUM(U32:U40)</f>
        <v>0</v>
      </c>
      <c r="V41" s="427">
        <f>SUM(V32:V40)</f>
        <v>0</v>
      </c>
      <c r="W41" s="382"/>
      <c r="X41" s="382"/>
      <c r="Y41" s="382"/>
      <c r="Z41" s="382"/>
    </row>
    <row r="42" spans="1:30" ht="15" customHeight="1" x14ac:dyDescent="0.25">
      <c r="B42" s="441" t="s">
        <v>341</v>
      </c>
      <c r="C42" s="480" t="s">
        <v>309</v>
      </c>
      <c r="D42" s="388"/>
      <c r="E42" s="388"/>
      <c r="F42" s="391"/>
      <c r="G42" s="389"/>
      <c r="H42" s="389"/>
      <c r="I42" s="389"/>
      <c r="J42" s="389"/>
      <c r="K42" s="462"/>
      <c r="L42" s="462"/>
      <c r="M42" s="420"/>
      <c r="N42" s="427"/>
      <c r="O42" s="427"/>
      <c r="P42" s="427"/>
      <c r="Q42" s="427"/>
      <c r="R42" s="484" t="s">
        <v>233</v>
      </c>
      <c r="S42" s="407"/>
      <c r="T42" s="404"/>
      <c r="U42" s="474">
        <f>U30+U41</f>
        <v>221.512</v>
      </c>
      <c r="V42" s="407">
        <f>V30+V41</f>
        <v>28134</v>
      </c>
      <c r="W42" s="420"/>
      <c r="X42" s="382"/>
      <c r="Y42" s="382"/>
      <c r="Z42" s="382"/>
    </row>
    <row r="43" spans="1:30" s="404" customFormat="1" x14ac:dyDescent="0.2">
      <c r="A43" s="382"/>
      <c r="B43" s="441" t="s">
        <v>342</v>
      </c>
      <c r="C43" s="480" t="s">
        <v>309</v>
      </c>
      <c r="D43" s="388"/>
      <c r="E43" s="388"/>
      <c r="F43" s="391"/>
      <c r="G43" s="389"/>
      <c r="H43" s="389"/>
      <c r="I43" s="389"/>
      <c r="J43" s="389"/>
      <c r="K43" s="462"/>
      <c r="L43" s="462"/>
      <c r="M43" s="420"/>
      <c r="N43" s="407"/>
      <c r="O43" s="407"/>
      <c r="P43" s="407"/>
      <c r="Q43" s="407"/>
      <c r="R43" s="407"/>
      <c r="S43" s="407"/>
      <c r="T43" s="407"/>
      <c r="U43" s="474"/>
      <c r="V43" s="407"/>
      <c r="Y43" s="382"/>
      <c r="Z43" s="382"/>
    </row>
    <row r="44" spans="1:30" s="404" customFormat="1" ht="18.75" customHeight="1" x14ac:dyDescent="0.25">
      <c r="A44" s="382"/>
      <c r="B44" s="436" t="s">
        <v>343</v>
      </c>
      <c r="C44" s="398"/>
      <c r="D44" s="398"/>
      <c r="E44" s="398"/>
      <c r="F44" s="403"/>
      <c r="G44" s="552">
        <f>SUM(G39:J41)</f>
        <v>38198.400000000001</v>
      </c>
      <c r="H44" s="553"/>
      <c r="I44" s="553"/>
      <c r="J44" s="553"/>
      <c r="K44" s="400">
        <f>SUM(K34:K43)</f>
        <v>3784237.4304</v>
      </c>
      <c r="L44" s="439"/>
      <c r="M44" s="427"/>
      <c r="N44" s="407"/>
      <c r="O44" s="407"/>
      <c r="P44" s="407"/>
      <c r="Q44" s="407"/>
      <c r="R44" s="471"/>
      <c r="S44" s="471"/>
      <c r="T44" s="471">
        <f>T30+T41</f>
        <v>732115.10056409671</v>
      </c>
      <c r="U44" s="472"/>
      <c r="V44" s="471"/>
      <c r="Y44" s="382"/>
      <c r="Z44" s="382"/>
    </row>
    <row r="45" spans="1:30" s="404" customFormat="1" x14ac:dyDescent="0.2">
      <c r="B45" s="490" t="s">
        <v>344</v>
      </c>
      <c r="C45" s="486"/>
      <c r="D45" s="486"/>
      <c r="E45" s="486"/>
      <c r="F45" s="405"/>
      <c r="G45" s="555">
        <f>ROUND(G32+G44,-3)</f>
        <v>159000</v>
      </c>
      <c r="H45" s="556"/>
      <c r="I45" s="556"/>
      <c r="J45" s="556"/>
      <c r="K45" s="481">
        <f>ROUND(K32+K44,-4)</f>
        <v>11800000</v>
      </c>
      <c r="L45" s="462" t="s">
        <v>212</v>
      </c>
      <c r="M45" s="407"/>
      <c r="N45" s="407"/>
      <c r="O45" s="407"/>
      <c r="P45" s="429"/>
      <c r="Q45" s="429"/>
      <c r="R45" s="454"/>
      <c r="S45" s="432"/>
      <c r="T45" s="433"/>
      <c r="U45" s="482"/>
      <c r="V45" s="481"/>
      <c r="Y45" s="382"/>
      <c r="Z45" s="382"/>
    </row>
    <row r="46" spans="1:30" ht="15.75" customHeight="1" x14ac:dyDescent="0.2">
      <c r="A46" s="404"/>
      <c r="B46" s="491" t="s">
        <v>345</v>
      </c>
      <c r="C46" s="486"/>
      <c r="D46" s="486"/>
      <c r="E46" s="486"/>
      <c r="F46" s="405"/>
      <c r="G46" s="482"/>
      <c r="H46" s="482"/>
      <c r="I46" s="482"/>
      <c r="J46" s="479"/>
      <c r="K46" s="481">
        <f>ROUND(T44,-3)</f>
        <v>732000</v>
      </c>
      <c r="L46" s="462" t="s">
        <v>212</v>
      </c>
      <c r="M46" s="407"/>
      <c r="AC46" s="404"/>
      <c r="AD46" s="404"/>
    </row>
    <row r="47" spans="1:30" ht="12.75" customHeight="1" x14ac:dyDescent="0.2">
      <c r="A47" s="404"/>
      <c r="B47" s="491" t="s">
        <v>346</v>
      </c>
      <c r="C47" s="486"/>
      <c r="D47" s="486"/>
      <c r="E47" s="486"/>
      <c r="F47" s="405"/>
      <c r="G47" s="482"/>
      <c r="H47" s="482"/>
      <c r="I47" s="482"/>
      <c r="J47" s="479"/>
      <c r="K47" s="431">
        <f>ROUND(K45+K46,-4)</f>
        <v>12530000</v>
      </c>
      <c r="L47" s="462" t="s">
        <v>212</v>
      </c>
      <c r="M47" s="407"/>
      <c r="N47" s="409"/>
      <c r="O47" s="409"/>
      <c r="P47" s="409"/>
      <c r="Q47" s="409"/>
      <c r="R47" s="409"/>
      <c r="S47" s="409"/>
      <c r="T47" s="409"/>
      <c r="U47" s="409"/>
      <c r="V47" s="409"/>
      <c r="W47" s="409"/>
      <c r="X47" s="409"/>
      <c r="Y47" s="409"/>
    </row>
    <row r="48" spans="1:30" s="410" customFormat="1" ht="29.25" customHeight="1" x14ac:dyDescent="0.2">
      <c r="A48" s="382"/>
      <c r="B48" s="382"/>
      <c r="C48" s="396"/>
      <c r="D48" s="396"/>
      <c r="E48" s="396"/>
      <c r="F48" s="396"/>
      <c r="G48" s="396"/>
      <c r="H48" s="396"/>
      <c r="I48" s="396"/>
      <c r="J48" s="414"/>
      <c r="K48" s="396"/>
      <c r="L48" s="396"/>
      <c r="M48" s="396"/>
      <c r="N48" s="478"/>
      <c r="O48" s="478"/>
    </row>
    <row r="49" spans="1:27" s="410" customFormat="1" ht="16.5" customHeight="1" x14ac:dyDescent="0.2">
      <c r="A49" s="550" t="s">
        <v>347</v>
      </c>
      <c r="B49" s="550"/>
      <c r="C49" s="550"/>
      <c r="D49" s="550"/>
      <c r="E49" s="550"/>
      <c r="F49" s="550"/>
      <c r="G49" s="550"/>
      <c r="H49" s="550"/>
      <c r="I49" s="550"/>
      <c r="J49" s="550"/>
      <c r="K49" s="550"/>
      <c r="L49" s="409"/>
      <c r="M49" s="409"/>
      <c r="N49" s="478"/>
      <c r="O49" s="478"/>
      <c r="P49" s="411"/>
      <c r="Q49" s="411"/>
      <c r="R49" s="411"/>
      <c r="S49" s="411"/>
      <c r="T49" s="411"/>
      <c r="U49" s="411"/>
      <c r="V49" s="411"/>
      <c r="W49" s="411"/>
      <c r="X49" s="411"/>
      <c r="Y49" s="411"/>
      <c r="Z49" s="411"/>
    </row>
    <row r="50" spans="1:27" s="410" customFormat="1" ht="30.75" customHeight="1" x14ac:dyDescent="0.2">
      <c r="A50" s="453" t="s">
        <v>235</v>
      </c>
      <c r="B50" s="548" t="s">
        <v>1446</v>
      </c>
      <c r="C50" s="548"/>
      <c r="D50" s="548"/>
      <c r="E50" s="548"/>
      <c r="F50" s="548"/>
      <c r="G50" s="548"/>
      <c r="H50" s="548"/>
      <c r="I50" s="548"/>
      <c r="J50" s="548"/>
      <c r="K50" s="548"/>
      <c r="L50" s="478"/>
      <c r="M50" s="478"/>
      <c r="N50" s="478"/>
      <c r="O50" s="478"/>
    </row>
    <row r="51" spans="1:27" s="410" customFormat="1" ht="57" customHeight="1" x14ac:dyDescent="0.2">
      <c r="A51" s="453" t="s">
        <v>237</v>
      </c>
      <c r="B51" s="548" t="s">
        <v>1441</v>
      </c>
      <c r="C51" s="548"/>
      <c r="D51" s="548"/>
      <c r="E51" s="548"/>
      <c r="F51" s="548"/>
      <c r="G51" s="548"/>
      <c r="H51" s="548"/>
      <c r="I51" s="548"/>
      <c r="J51" s="548"/>
      <c r="K51" s="548"/>
      <c r="L51" s="478"/>
      <c r="M51" s="478"/>
      <c r="N51" s="478"/>
      <c r="O51" s="478"/>
      <c r="P51" s="411"/>
      <c r="Q51" s="411"/>
      <c r="R51" s="411"/>
      <c r="S51" s="411"/>
      <c r="T51" s="411"/>
      <c r="U51" s="411"/>
      <c r="V51" s="411"/>
      <c r="W51" s="411"/>
      <c r="X51" s="411"/>
      <c r="Y51" s="411"/>
      <c r="Z51" s="411"/>
    </row>
    <row r="52" spans="1:27" s="410" customFormat="1" ht="45.75" customHeight="1" x14ac:dyDescent="0.2">
      <c r="A52" s="453" t="s">
        <v>239</v>
      </c>
      <c r="B52" s="548" t="s">
        <v>1447</v>
      </c>
      <c r="C52" s="548"/>
      <c r="D52" s="548"/>
      <c r="E52" s="548"/>
      <c r="F52" s="548"/>
      <c r="G52" s="548"/>
      <c r="H52" s="548"/>
      <c r="I52" s="548"/>
      <c r="J52" s="548"/>
      <c r="K52" s="548"/>
      <c r="L52" s="478"/>
      <c r="M52" s="478"/>
      <c r="N52" s="478"/>
      <c r="O52" s="478"/>
      <c r="P52" s="411"/>
      <c r="Q52" s="411"/>
      <c r="S52" s="411"/>
      <c r="T52" s="411"/>
      <c r="U52" s="411"/>
      <c r="V52" s="411"/>
      <c r="W52" s="411"/>
      <c r="X52" s="411"/>
      <c r="Y52" s="411"/>
      <c r="Z52" s="411"/>
      <c r="AA52" s="411"/>
    </row>
    <row r="53" spans="1:27" s="410" customFormat="1" ht="41.25" customHeight="1" x14ac:dyDescent="0.2">
      <c r="A53" s="453" t="s">
        <v>179</v>
      </c>
      <c r="B53" s="548" t="s">
        <v>348</v>
      </c>
      <c r="C53" s="548"/>
      <c r="D53" s="548"/>
      <c r="E53" s="548"/>
      <c r="F53" s="548"/>
      <c r="G53" s="548"/>
      <c r="H53" s="548"/>
      <c r="I53" s="548"/>
      <c r="J53" s="548"/>
      <c r="K53" s="548"/>
      <c r="L53" s="478"/>
      <c r="M53" s="478"/>
      <c r="N53" s="478"/>
      <c r="O53" s="478"/>
      <c r="P53" s="411"/>
      <c r="Q53" s="411"/>
    </row>
    <row r="54" spans="1:27" s="410" customFormat="1" ht="74.25" customHeight="1" x14ac:dyDescent="0.2">
      <c r="A54" s="453" t="s">
        <v>242</v>
      </c>
      <c r="B54" s="548" t="s">
        <v>1448</v>
      </c>
      <c r="C54" s="548"/>
      <c r="D54" s="548"/>
      <c r="E54" s="548"/>
      <c r="F54" s="548"/>
      <c r="G54" s="548"/>
      <c r="H54" s="548"/>
      <c r="I54" s="548"/>
      <c r="J54" s="548"/>
      <c r="K54" s="548"/>
      <c r="L54" s="478"/>
      <c r="M54" s="478"/>
      <c r="N54" s="478"/>
      <c r="O54" s="478"/>
      <c r="P54" s="411"/>
      <c r="Q54" s="411"/>
      <c r="R54" s="386"/>
      <c r="S54" s="386"/>
      <c r="T54" s="386"/>
      <c r="U54" s="386"/>
      <c r="V54" s="386"/>
      <c r="W54" s="386"/>
      <c r="X54" s="386"/>
      <c r="Y54" s="386"/>
      <c r="Z54" s="386"/>
      <c r="AA54" s="411"/>
    </row>
    <row r="55" spans="1:27" s="410" customFormat="1" ht="42" customHeight="1" x14ac:dyDescent="0.2">
      <c r="A55" s="453" t="s">
        <v>204</v>
      </c>
      <c r="B55" s="548" t="s">
        <v>349</v>
      </c>
      <c r="C55" s="548"/>
      <c r="D55" s="548"/>
      <c r="E55" s="548"/>
      <c r="F55" s="548"/>
      <c r="G55" s="548"/>
      <c r="H55" s="548"/>
      <c r="I55" s="548"/>
      <c r="J55" s="548"/>
      <c r="K55" s="548"/>
      <c r="L55" s="478"/>
      <c r="M55" s="478"/>
      <c r="N55" s="478"/>
      <c r="O55" s="478"/>
      <c r="P55" s="411"/>
      <c r="Q55" s="411"/>
      <c r="R55" s="411"/>
      <c r="S55" s="411"/>
      <c r="T55" s="411"/>
      <c r="U55" s="411"/>
      <c r="V55" s="411"/>
      <c r="W55" s="411"/>
      <c r="X55" s="411"/>
      <c r="Y55" s="411"/>
      <c r="Z55" s="411"/>
    </row>
    <row r="56" spans="1:27" s="410" customFormat="1" ht="21.75" customHeight="1" x14ac:dyDescent="0.2">
      <c r="A56" s="453" t="s">
        <v>245</v>
      </c>
      <c r="B56" s="548" t="s">
        <v>350</v>
      </c>
      <c r="C56" s="548"/>
      <c r="D56" s="548"/>
      <c r="E56" s="548"/>
      <c r="F56" s="548"/>
      <c r="G56" s="548"/>
      <c r="H56" s="548"/>
      <c r="I56" s="548"/>
      <c r="J56" s="548"/>
      <c r="K56" s="548"/>
      <c r="L56" s="478"/>
      <c r="M56" s="478"/>
      <c r="N56" s="478"/>
      <c r="O56" s="478"/>
      <c r="P56" s="411"/>
      <c r="Q56" s="411"/>
      <c r="S56" s="411"/>
      <c r="T56" s="411"/>
      <c r="U56" s="411"/>
      <c r="V56" s="411"/>
      <c r="X56" s="440"/>
      <c r="Y56" s="440"/>
    </row>
    <row r="57" spans="1:27" s="410" customFormat="1" ht="48.75" customHeight="1" x14ac:dyDescent="0.2">
      <c r="A57" s="453" t="s">
        <v>192</v>
      </c>
      <c r="B57" s="548" t="s">
        <v>351</v>
      </c>
      <c r="C57" s="548"/>
      <c r="D57" s="548"/>
      <c r="E57" s="548"/>
      <c r="F57" s="548"/>
      <c r="G57" s="548"/>
      <c r="H57" s="548"/>
      <c r="I57" s="548"/>
      <c r="J57" s="548"/>
      <c r="K57" s="548"/>
      <c r="L57" s="478"/>
      <c r="M57" s="478"/>
      <c r="P57" s="411"/>
      <c r="Q57" s="411"/>
      <c r="X57" s="440"/>
      <c r="Y57" s="440"/>
    </row>
    <row r="58" spans="1:27" s="410" customFormat="1" ht="33" customHeight="1" x14ac:dyDescent="0.2">
      <c r="A58" s="453" t="s">
        <v>194</v>
      </c>
      <c r="B58" s="548" t="s">
        <v>352</v>
      </c>
      <c r="C58" s="548"/>
      <c r="D58" s="548"/>
      <c r="E58" s="548"/>
      <c r="F58" s="548"/>
      <c r="G58" s="548"/>
      <c r="H58" s="548"/>
      <c r="I58" s="548"/>
      <c r="J58" s="548"/>
      <c r="K58" s="548"/>
      <c r="L58" s="478"/>
      <c r="M58" s="478"/>
      <c r="N58" s="478"/>
      <c r="O58" s="478"/>
      <c r="X58" s="440"/>
      <c r="Y58" s="440"/>
    </row>
    <row r="59" spans="1:27" s="410" customFormat="1" ht="18.75" customHeight="1" x14ac:dyDescent="0.2">
      <c r="A59" s="453" t="s">
        <v>196</v>
      </c>
      <c r="B59" s="547" t="s">
        <v>254</v>
      </c>
      <c r="C59" s="547"/>
      <c r="D59" s="547"/>
      <c r="E59" s="547"/>
      <c r="F59" s="547"/>
      <c r="G59" s="547"/>
      <c r="H59" s="547"/>
      <c r="I59" s="547"/>
      <c r="J59" s="547"/>
      <c r="K59" s="547"/>
      <c r="N59" s="478"/>
      <c r="O59" s="478"/>
      <c r="X59" s="440"/>
      <c r="Y59" s="440"/>
    </row>
    <row r="60" spans="1:27" s="410" customFormat="1" ht="43.5" customHeight="1" x14ac:dyDescent="0.2">
      <c r="A60" s="453" t="s">
        <v>250</v>
      </c>
      <c r="B60" s="548" t="s">
        <v>353</v>
      </c>
      <c r="C60" s="548"/>
      <c r="D60" s="548"/>
      <c r="E60" s="548"/>
      <c r="F60" s="548"/>
      <c r="G60" s="548"/>
      <c r="H60" s="548"/>
      <c r="I60" s="548"/>
      <c r="J60" s="548"/>
      <c r="K60" s="548"/>
      <c r="L60" s="478"/>
      <c r="M60" s="478"/>
      <c r="N60" s="478"/>
      <c r="O60" s="478"/>
      <c r="X60" s="440"/>
      <c r="Y60" s="440"/>
    </row>
    <row r="61" spans="1:27" s="410" customFormat="1" ht="41.25" customHeight="1" x14ac:dyDescent="0.2">
      <c r="A61" s="453" t="s">
        <v>200</v>
      </c>
      <c r="B61" s="548" t="s">
        <v>354</v>
      </c>
      <c r="C61" s="548"/>
      <c r="D61" s="548"/>
      <c r="E61" s="548"/>
      <c r="F61" s="548"/>
      <c r="G61" s="548"/>
      <c r="H61" s="548"/>
      <c r="I61" s="548"/>
      <c r="J61" s="548"/>
      <c r="K61" s="548"/>
      <c r="L61" s="478"/>
      <c r="M61" s="478"/>
      <c r="N61" s="478"/>
      <c r="O61" s="478"/>
      <c r="X61" s="440"/>
      <c r="Y61" s="440"/>
    </row>
    <row r="62" spans="1:27" s="410" customFormat="1" ht="47.25" customHeight="1" x14ac:dyDescent="0.2">
      <c r="A62" s="453" t="s">
        <v>253</v>
      </c>
      <c r="B62" s="548" t="s">
        <v>1449</v>
      </c>
      <c r="C62" s="548"/>
      <c r="D62" s="548"/>
      <c r="E62" s="548"/>
      <c r="F62" s="548"/>
      <c r="G62" s="548"/>
      <c r="H62" s="548"/>
      <c r="I62" s="548"/>
      <c r="J62" s="548"/>
      <c r="K62" s="548"/>
      <c r="L62" s="478"/>
      <c r="M62" s="478"/>
      <c r="N62" s="478"/>
      <c r="O62" s="478"/>
      <c r="P62" s="411"/>
      <c r="Q62" s="411"/>
      <c r="R62" s="411"/>
      <c r="S62" s="411"/>
      <c r="T62" s="411"/>
      <c r="U62" s="411"/>
      <c r="V62" s="411"/>
      <c r="W62" s="411"/>
      <c r="X62" s="411"/>
      <c r="Y62" s="411"/>
      <c r="Z62" s="411"/>
    </row>
    <row r="63" spans="1:27" s="410" customFormat="1" ht="70.5" customHeight="1" x14ac:dyDescent="0.2">
      <c r="A63" s="453" t="s">
        <v>206</v>
      </c>
      <c r="B63" s="548" t="s">
        <v>355</v>
      </c>
      <c r="C63" s="548"/>
      <c r="D63" s="548"/>
      <c r="E63" s="548"/>
      <c r="F63" s="548"/>
      <c r="G63" s="548"/>
      <c r="H63" s="548"/>
      <c r="I63" s="548"/>
      <c r="J63" s="548"/>
      <c r="K63" s="548"/>
      <c r="L63" s="478"/>
      <c r="M63" s="478"/>
      <c r="N63" s="478"/>
      <c r="O63" s="478"/>
      <c r="P63" s="411"/>
      <c r="Q63" s="411"/>
      <c r="R63" s="411"/>
      <c r="S63" s="411"/>
      <c r="T63" s="411"/>
      <c r="U63" s="411"/>
      <c r="V63" s="411"/>
      <c r="W63" s="411"/>
      <c r="X63" s="411"/>
      <c r="Y63" s="411"/>
      <c r="Z63" s="411"/>
    </row>
    <row r="64" spans="1:27" s="410" customFormat="1" ht="39" customHeight="1" x14ac:dyDescent="0.2">
      <c r="A64" s="453" t="s">
        <v>210</v>
      </c>
      <c r="B64" s="548" t="s">
        <v>1450</v>
      </c>
      <c r="C64" s="548"/>
      <c r="D64" s="548"/>
      <c r="E64" s="548"/>
      <c r="F64" s="548"/>
      <c r="G64" s="548"/>
      <c r="H64" s="548"/>
      <c r="I64" s="548"/>
      <c r="J64" s="548"/>
      <c r="K64" s="548"/>
      <c r="L64" s="478"/>
      <c r="M64" s="478"/>
      <c r="N64" s="478"/>
      <c r="O64" s="478"/>
      <c r="P64" s="411"/>
      <c r="Q64" s="411"/>
      <c r="R64" s="411"/>
      <c r="S64" s="411"/>
      <c r="T64" s="411"/>
      <c r="U64" s="411"/>
      <c r="V64" s="411"/>
      <c r="W64" s="411"/>
      <c r="X64" s="411"/>
      <c r="Y64" s="411"/>
      <c r="Z64" s="411"/>
    </row>
    <row r="65" spans="1:26" s="410" customFormat="1" ht="45" customHeight="1" x14ac:dyDescent="0.2">
      <c r="A65" s="453" t="s">
        <v>226</v>
      </c>
      <c r="B65" s="548" t="s">
        <v>1451</v>
      </c>
      <c r="C65" s="548"/>
      <c r="D65" s="548"/>
      <c r="E65" s="548"/>
      <c r="F65" s="548"/>
      <c r="G65" s="548"/>
      <c r="H65" s="548"/>
      <c r="I65" s="548"/>
      <c r="J65" s="548"/>
      <c r="K65" s="548"/>
      <c r="L65" s="478"/>
      <c r="M65" s="478"/>
      <c r="N65" s="478"/>
      <c r="O65" s="478"/>
      <c r="P65" s="411"/>
      <c r="Q65" s="411"/>
      <c r="R65" s="411"/>
      <c r="S65" s="411"/>
      <c r="T65" s="411"/>
      <c r="U65" s="411"/>
      <c r="V65" s="411"/>
      <c r="W65" s="411"/>
      <c r="X65" s="411"/>
      <c r="Y65" s="411"/>
      <c r="Z65" s="411"/>
    </row>
    <row r="66" spans="1:26" ht="15.75" x14ac:dyDescent="0.2">
      <c r="A66" s="453" t="s">
        <v>229</v>
      </c>
      <c r="B66" s="548" t="s">
        <v>356</v>
      </c>
      <c r="C66" s="548"/>
      <c r="D66" s="548"/>
      <c r="E66" s="548"/>
      <c r="F66" s="548"/>
      <c r="G66" s="548"/>
      <c r="H66" s="548"/>
      <c r="I66" s="548"/>
      <c r="J66" s="548"/>
      <c r="K66" s="548"/>
      <c r="L66" s="478"/>
      <c r="M66" s="478"/>
      <c r="P66" s="386"/>
      <c r="Q66" s="386"/>
      <c r="R66" s="386"/>
      <c r="S66" s="386"/>
      <c r="T66" s="386"/>
      <c r="U66" s="386"/>
      <c r="V66" s="386"/>
      <c r="W66" s="386"/>
      <c r="X66" s="386"/>
      <c r="Y66" s="386"/>
      <c r="Z66" s="386"/>
    </row>
    <row r="67" spans="1:26" ht="15.75" x14ac:dyDescent="0.2">
      <c r="A67" s="453" t="s">
        <v>212</v>
      </c>
      <c r="B67" s="548" t="s">
        <v>357</v>
      </c>
      <c r="C67" s="548"/>
      <c r="D67" s="548"/>
      <c r="E67" s="548"/>
      <c r="F67" s="548"/>
      <c r="G67" s="548"/>
      <c r="H67" s="548"/>
      <c r="I67" s="548"/>
      <c r="J67" s="548"/>
      <c r="K67" s="548"/>
      <c r="L67" s="478"/>
      <c r="M67" s="478"/>
    </row>
    <row r="68" spans="1:26" x14ac:dyDescent="0.2">
      <c r="A68" s="415"/>
    </row>
  </sheetData>
  <mergeCells count="24">
    <mergeCell ref="B1:K1"/>
    <mergeCell ref="B52:K52"/>
    <mergeCell ref="B53:K53"/>
    <mergeCell ref="B54:K54"/>
    <mergeCell ref="G44:J44"/>
    <mergeCell ref="G32:J32"/>
    <mergeCell ref="G45:J45"/>
    <mergeCell ref="B50:K50"/>
    <mergeCell ref="B59:K59"/>
    <mergeCell ref="B67:K67"/>
    <mergeCell ref="N4:P4"/>
    <mergeCell ref="B56:K56"/>
    <mergeCell ref="B57:K57"/>
    <mergeCell ref="B58:K58"/>
    <mergeCell ref="B60:K60"/>
    <mergeCell ref="B61:K61"/>
    <mergeCell ref="B62:K62"/>
    <mergeCell ref="B63:K63"/>
    <mergeCell ref="B64:K64"/>
    <mergeCell ref="B65:K65"/>
    <mergeCell ref="B66:K66"/>
    <mergeCell ref="B55:K55"/>
    <mergeCell ref="B51:K51"/>
    <mergeCell ref="A49:K49"/>
  </mergeCells>
  <pageMargins left="0.25" right="0.25" top="0.5" bottom="0.5" header="0.5" footer="0.5"/>
  <pageSetup scale="4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AA732-6811-4959-85ED-1F94C0B505C8}">
  <sheetPr>
    <pageSetUpPr fitToPage="1"/>
  </sheetPr>
  <dimension ref="A1:AA66"/>
  <sheetViews>
    <sheetView topLeftCell="A43" zoomScaleNormal="100" zoomScaleSheetLayoutView="100" workbookViewId="0">
      <selection activeCell="R48" sqref="R48"/>
    </sheetView>
  </sheetViews>
  <sheetFormatPr defaultColWidth="9.140625" defaultRowHeight="12.75" x14ac:dyDescent="0.2"/>
  <cols>
    <col min="1" max="1" width="2" style="382" customWidth="1"/>
    <col min="2" max="2" width="36.7109375" style="382" customWidth="1"/>
    <col min="3" max="3" width="10.140625" style="396" customWidth="1"/>
    <col min="4" max="4" width="9.140625" style="396" customWidth="1"/>
    <col min="5" max="5" width="13.7109375" style="396" customWidth="1"/>
    <col min="6" max="8" width="12.28515625" style="396" customWidth="1"/>
    <col min="9" max="9" width="10.5703125" style="396" customWidth="1"/>
    <col min="10" max="10" width="9.42578125" style="396" customWidth="1"/>
    <col min="11" max="11" width="11.28515625" style="396" customWidth="1"/>
    <col min="12" max="12" width="4.140625" style="396" customWidth="1"/>
    <col min="13" max="13" width="2.42578125" style="396" customWidth="1"/>
    <col min="14" max="14" width="32.5703125" style="396" customWidth="1"/>
    <col min="15" max="15" width="12.7109375" style="396" customWidth="1"/>
    <col min="16" max="16" width="18.28515625" style="396" customWidth="1"/>
    <col min="17" max="17" width="8.7109375" style="396" customWidth="1"/>
    <col min="18" max="18" width="18.7109375" style="396" customWidth="1"/>
    <col min="19" max="19" width="12.7109375" style="396" customWidth="1"/>
    <col min="20" max="20" width="9.42578125" style="396" hidden="1" customWidth="1"/>
    <col min="21" max="21" width="9.7109375" style="396" hidden="1" customWidth="1"/>
    <col min="22" max="22" width="15.28515625" style="396" hidden="1" customWidth="1"/>
    <col min="23" max="23" width="12" style="396" hidden="1" customWidth="1"/>
    <col min="24" max="24" width="13.42578125" style="412" hidden="1" customWidth="1"/>
    <col min="25" max="25" width="10.7109375" style="396" customWidth="1"/>
    <col min="26" max="27" width="10.7109375" style="382" customWidth="1"/>
    <col min="28" max="28" width="10.85546875" style="382" customWidth="1"/>
    <col min="29" max="29" width="9.140625" style="382"/>
    <col min="30" max="30" width="13.140625" style="382" customWidth="1"/>
    <col min="31" max="16384" width="9.140625" style="382"/>
  </cols>
  <sheetData>
    <row r="1" spans="2:27" ht="29.25" customHeight="1" x14ac:dyDescent="0.2">
      <c r="B1" s="551" t="s">
        <v>358</v>
      </c>
      <c r="C1" s="551"/>
      <c r="D1" s="551"/>
      <c r="E1" s="551"/>
      <c r="F1" s="551"/>
      <c r="G1" s="551"/>
      <c r="H1" s="551"/>
      <c r="I1" s="551"/>
      <c r="J1" s="551"/>
      <c r="K1" s="551"/>
      <c r="L1" s="449"/>
      <c r="M1" s="449"/>
      <c r="N1" s="449"/>
      <c r="O1" s="449"/>
      <c r="P1" s="449"/>
      <c r="Q1" s="449"/>
      <c r="R1" s="449"/>
      <c r="S1" s="430"/>
      <c r="T1" s="430"/>
      <c r="U1" s="430"/>
      <c r="V1" s="430"/>
      <c r="W1" s="430"/>
      <c r="X1" s="430"/>
      <c r="Y1" s="430"/>
    </row>
    <row r="2" spans="2:27" x14ac:dyDescent="0.2">
      <c r="B2" s="450"/>
      <c r="C2" s="450"/>
      <c r="D2" s="450"/>
      <c r="E2" s="450"/>
      <c r="F2" s="450"/>
      <c r="G2" s="450"/>
      <c r="H2" s="450"/>
      <c r="I2" s="450"/>
      <c r="J2" s="450"/>
      <c r="K2" s="450"/>
      <c r="L2" s="450"/>
      <c r="M2" s="404"/>
      <c r="N2" s="404"/>
      <c r="O2" s="404"/>
      <c r="P2" s="404"/>
      <c r="Q2" s="404"/>
      <c r="R2" s="404"/>
      <c r="S2" s="404"/>
      <c r="T2" s="450"/>
      <c r="U2" s="450"/>
      <c r="V2" s="450"/>
      <c r="W2" s="450"/>
      <c r="X2" s="450"/>
      <c r="Y2" s="404"/>
    </row>
    <row r="3" spans="2:27" s="386" customFormat="1" ht="79.5" customHeight="1" x14ac:dyDescent="0.2">
      <c r="B3" s="437" t="s">
        <v>156</v>
      </c>
      <c r="C3" s="463" t="s">
        <v>295</v>
      </c>
      <c r="D3" s="463" t="s">
        <v>296</v>
      </c>
      <c r="E3" s="463" t="s">
        <v>297</v>
      </c>
      <c r="F3" s="464" t="s">
        <v>359</v>
      </c>
      <c r="G3" s="465" t="s">
        <v>299</v>
      </c>
      <c r="H3" s="465" t="s">
        <v>300</v>
      </c>
      <c r="I3" s="465" t="s">
        <v>301</v>
      </c>
      <c r="J3" s="465" t="s">
        <v>302</v>
      </c>
      <c r="K3" s="463" t="s">
        <v>303</v>
      </c>
      <c r="L3" s="438" t="s">
        <v>172</v>
      </c>
      <c r="M3" s="451"/>
      <c r="N3" s="451"/>
      <c r="O3" s="451"/>
      <c r="P3" s="451"/>
      <c r="Q3" s="451"/>
      <c r="R3" s="451"/>
      <c r="S3" s="418"/>
      <c r="T3" s="480" t="s">
        <v>304</v>
      </c>
      <c r="U3" s="480" t="s">
        <v>305</v>
      </c>
      <c r="V3" s="384" t="s">
        <v>306</v>
      </c>
      <c r="W3" s="384" t="s">
        <v>360</v>
      </c>
      <c r="X3" s="384" t="s">
        <v>308</v>
      </c>
    </row>
    <row r="4" spans="2:27" ht="12.75" customHeight="1" x14ac:dyDescent="0.2">
      <c r="B4" s="390" t="s">
        <v>174</v>
      </c>
      <c r="C4" s="480" t="s">
        <v>309</v>
      </c>
      <c r="D4" s="388"/>
      <c r="E4" s="388"/>
      <c r="F4" s="389"/>
      <c r="G4" s="389"/>
      <c r="H4" s="389"/>
      <c r="I4" s="389"/>
      <c r="J4" s="389"/>
      <c r="K4" s="462"/>
      <c r="L4" s="462"/>
      <c r="M4" s="420"/>
      <c r="N4" s="558" t="s">
        <v>310</v>
      </c>
      <c r="O4" s="559"/>
      <c r="P4" s="560"/>
      <c r="S4" s="420"/>
      <c r="T4" s="387"/>
      <c r="U4" s="388"/>
      <c r="V4" s="462"/>
      <c r="W4" s="462"/>
      <c r="X4" s="462"/>
      <c r="Y4" s="382"/>
    </row>
    <row r="5" spans="2:27" x14ac:dyDescent="0.2">
      <c r="B5" s="390" t="s">
        <v>176</v>
      </c>
      <c r="C5" s="480" t="s">
        <v>309</v>
      </c>
      <c r="D5" s="388"/>
      <c r="E5" s="388"/>
      <c r="F5" s="389"/>
      <c r="G5" s="389"/>
      <c r="H5" s="389"/>
      <c r="I5" s="389"/>
      <c r="J5" s="389"/>
      <c r="K5" s="462"/>
      <c r="L5" s="462"/>
      <c r="M5" s="420"/>
      <c r="N5" s="462" t="s">
        <v>311</v>
      </c>
      <c r="O5" s="462" t="s">
        <v>312</v>
      </c>
      <c r="P5" s="462" t="s">
        <v>313</v>
      </c>
      <c r="S5" s="420"/>
      <c r="T5" s="387"/>
      <c r="U5" s="388"/>
      <c r="V5" s="462"/>
      <c r="W5" s="462"/>
      <c r="X5" s="462"/>
      <c r="Y5" s="382"/>
    </row>
    <row r="6" spans="2:27" x14ac:dyDescent="0.2">
      <c r="B6" s="390" t="s">
        <v>177</v>
      </c>
      <c r="C6" s="480"/>
      <c r="D6" s="388"/>
      <c r="E6" s="388"/>
      <c r="F6" s="389"/>
      <c r="G6" s="389"/>
      <c r="H6" s="389"/>
      <c r="I6" s="389"/>
      <c r="J6" s="389"/>
      <c r="K6" s="462"/>
      <c r="L6" s="462"/>
      <c r="M6" s="420"/>
      <c r="N6" s="360" t="s">
        <v>314</v>
      </c>
      <c r="O6" s="489">
        <f>70.35+(70.35*1.1)</f>
        <v>147.73500000000001</v>
      </c>
      <c r="P6" s="413" t="s">
        <v>558</v>
      </c>
      <c r="S6" s="420"/>
      <c r="T6" s="462"/>
      <c r="U6" s="462"/>
      <c r="V6" s="462"/>
      <c r="W6" s="462"/>
      <c r="X6" s="462"/>
      <c r="Y6" s="382"/>
    </row>
    <row r="7" spans="2:27" ht="14.25" customHeight="1" x14ac:dyDescent="0.2">
      <c r="B7" s="441" t="s">
        <v>315</v>
      </c>
      <c r="C7" s="480"/>
      <c r="D7" s="388"/>
      <c r="E7" s="388"/>
      <c r="F7" s="391"/>
      <c r="G7" s="391"/>
      <c r="H7" s="389"/>
      <c r="I7" s="391"/>
      <c r="J7" s="389"/>
      <c r="K7" s="462"/>
      <c r="L7" s="462"/>
      <c r="M7" s="420"/>
      <c r="N7" s="360" t="s">
        <v>316</v>
      </c>
      <c r="O7" s="489">
        <f>48.64+(48.64*1.1)</f>
        <v>102.14400000000001</v>
      </c>
      <c r="P7" s="413" t="s">
        <v>317</v>
      </c>
      <c r="S7" s="420"/>
      <c r="T7" s="462">
        <v>0</v>
      </c>
      <c r="U7" s="462"/>
      <c r="V7" s="462">
        <f>T7*D7*F7</f>
        <v>0</v>
      </c>
      <c r="W7" s="389">
        <v>0</v>
      </c>
      <c r="X7" s="389"/>
      <c r="Y7" s="382"/>
    </row>
    <row r="8" spans="2:27" x14ac:dyDescent="0.2">
      <c r="B8" s="394" t="s">
        <v>318</v>
      </c>
      <c r="C8" s="480">
        <v>4</v>
      </c>
      <c r="D8" s="388">
        <v>1</v>
      </c>
      <c r="E8" s="388">
        <f t="shared" ref="E8:E9" si="0">C8*D8</f>
        <v>4</v>
      </c>
      <c r="F8" s="391">
        <f>'Table 1C'!I11</f>
        <v>127</v>
      </c>
      <c r="G8" s="391">
        <v>0</v>
      </c>
      <c r="H8" s="389">
        <f t="shared" ref="H8:H9" si="1">E8*F8</f>
        <v>508</v>
      </c>
      <c r="I8" s="391">
        <f t="shared" ref="I8:I9" si="2">H8*0.05</f>
        <v>25.400000000000002</v>
      </c>
      <c r="J8" s="389">
        <f t="shared" ref="J8:J9" si="3">H8*0.1</f>
        <v>50.800000000000004</v>
      </c>
      <c r="K8" s="462">
        <f>(H8*O$7)+(I8*O$6)+(J8*O$9)</f>
        <v>57875.500200000002</v>
      </c>
      <c r="L8" s="462" t="s">
        <v>239</v>
      </c>
      <c r="M8" s="420"/>
      <c r="N8" s="387" t="s">
        <v>319</v>
      </c>
      <c r="O8" s="489">
        <f>30.66+(30.66*1.1)</f>
        <v>64.38600000000001</v>
      </c>
      <c r="P8" s="413" t="s">
        <v>320</v>
      </c>
      <c r="S8" s="420"/>
      <c r="T8" s="462"/>
      <c r="U8" s="462"/>
      <c r="V8" s="462"/>
      <c r="W8" s="462"/>
      <c r="X8" s="462"/>
      <c r="Y8" s="392"/>
      <c r="Z8" s="362"/>
      <c r="AA8" s="492"/>
    </row>
    <row r="9" spans="2:27" x14ac:dyDescent="0.2">
      <c r="B9" s="394" t="s">
        <v>321</v>
      </c>
      <c r="C9" s="480">
        <v>40</v>
      </c>
      <c r="D9" s="388">
        <v>1</v>
      </c>
      <c r="E9" s="388">
        <f t="shared" si="0"/>
        <v>40</v>
      </c>
      <c r="F9" s="391">
        <f>'Table 1C'!I12</f>
        <v>1</v>
      </c>
      <c r="G9" s="391">
        <v>0</v>
      </c>
      <c r="H9" s="389">
        <f t="shared" si="1"/>
        <v>40</v>
      </c>
      <c r="I9" s="391">
        <f t="shared" si="2"/>
        <v>2</v>
      </c>
      <c r="J9" s="389">
        <f t="shared" si="3"/>
        <v>4</v>
      </c>
      <c r="K9" s="462">
        <f>(H9*O$7)+(I9*O$6)+(J9*O$9)</f>
        <v>4557.1260000000002</v>
      </c>
      <c r="L9" s="462" t="s">
        <v>239</v>
      </c>
      <c r="M9" s="420"/>
      <c r="N9" s="360" t="s">
        <v>322</v>
      </c>
      <c r="O9" s="489">
        <f>20.94+(20.94*1.1)</f>
        <v>43.974000000000004</v>
      </c>
      <c r="P9" s="413" t="s">
        <v>323</v>
      </c>
      <c r="S9" s="420"/>
      <c r="T9" s="462">
        <f>'Other Cost Basis'!D2+'Other Cost Basis'!D17+'Other Cost Basis'!D18+'Other Cost Basis'!D19</f>
        <v>1983.6594844730848</v>
      </c>
      <c r="U9" s="462"/>
      <c r="V9" s="462">
        <f>(T9+U9)*D11*F11</f>
        <v>5950.9784534192549</v>
      </c>
      <c r="W9" s="389">
        <f>D11*F11</f>
        <v>3</v>
      </c>
      <c r="X9" s="389">
        <f>'Other Cost Basis'!B2+'Other Cost Basis'!B17+'Other Cost Basis'!B18+'Other Cost Basis'!B19</f>
        <v>18067</v>
      </c>
      <c r="Y9" s="392"/>
    </row>
    <row r="10" spans="2:27" ht="13.5" customHeight="1" x14ac:dyDescent="0.2">
      <c r="B10" s="441" t="s">
        <v>324</v>
      </c>
      <c r="C10" s="480"/>
      <c r="D10" s="388"/>
      <c r="E10" s="388"/>
      <c r="F10" s="389"/>
      <c r="G10" s="389"/>
      <c r="H10" s="389"/>
      <c r="I10" s="389"/>
      <c r="J10" s="389"/>
      <c r="K10" s="462"/>
      <c r="L10" s="462"/>
      <c r="M10" s="420"/>
      <c r="N10" s="360" t="s">
        <v>1440</v>
      </c>
      <c r="O10" s="360"/>
      <c r="P10" s="360"/>
      <c r="T10" s="462">
        <f>'Other Cost Basis'!B9+'Other Cost Basis'!F13+'Other Cost Basis'!F14</f>
        <v>703.5</v>
      </c>
      <c r="U10" s="462">
        <f>'Other Cost Basis'!D20</f>
        <v>1000</v>
      </c>
      <c r="V10" s="462">
        <f>T10*D12*F12+F12*U10</f>
        <v>373772</v>
      </c>
      <c r="W10" s="389">
        <v>0</v>
      </c>
      <c r="X10" s="389"/>
      <c r="Y10" s="392"/>
    </row>
    <row r="11" spans="2:27" x14ac:dyDescent="0.2">
      <c r="B11" s="394" t="s">
        <v>325</v>
      </c>
      <c r="C11" s="480">
        <v>12</v>
      </c>
      <c r="D11" s="388">
        <v>1</v>
      </c>
      <c r="E11" s="388">
        <f>C11*D11</f>
        <v>12</v>
      </c>
      <c r="F11" s="391">
        <f>'Table 1C'!I14</f>
        <v>3</v>
      </c>
      <c r="G11" s="391"/>
      <c r="H11" s="389">
        <f>E11*F11</f>
        <v>36</v>
      </c>
      <c r="I11" s="389">
        <f>H11*0.05</f>
        <v>1.8</v>
      </c>
      <c r="J11" s="389">
        <f>H11*0.1</f>
        <v>3.6</v>
      </c>
      <c r="K11" s="462">
        <f>(H11*O$7)+(I11*O$6)+(J11*O$9)</f>
        <v>4101.4134000000004</v>
      </c>
      <c r="L11" s="462" t="s">
        <v>179</v>
      </c>
      <c r="M11" s="420"/>
      <c r="P11" s="420"/>
      <c r="Q11" s="420"/>
      <c r="R11" s="420"/>
      <c r="T11" s="462">
        <f>'Other Cost Basis'!F15</f>
        <v>17</v>
      </c>
      <c r="U11" s="462"/>
      <c r="V11" s="462">
        <f>T11*D13*F13</f>
        <v>19992</v>
      </c>
      <c r="W11" s="389">
        <v>1</v>
      </c>
      <c r="X11" s="389"/>
      <c r="Y11" s="392"/>
    </row>
    <row r="12" spans="2:27" x14ac:dyDescent="0.2">
      <c r="B12" s="394" t="s">
        <v>326</v>
      </c>
      <c r="C12" s="383">
        <f>ROUND('Controllers NSPS acreage'!V3,0)</f>
        <v>44</v>
      </c>
      <c r="D12" s="388">
        <v>4</v>
      </c>
      <c r="E12" s="393">
        <f>C12*D12</f>
        <v>176</v>
      </c>
      <c r="F12" s="391">
        <f>'Table 1C'!I15</f>
        <v>98</v>
      </c>
      <c r="G12" s="389">
        <f>E12*F12</f>
        <v>17248</v>
      </c>
      <c r="H12" s="388">
        <v>0</v>
      </c>
      <c r="I12" s="389">
        <v>0</v>
      </c>
      <c r="J12" s="389">
        <v>0</v>
      </c>
      <c r="K12" s="462">
        <f>(G12*O$8)+(I12*O$6)+(J12*O$9)</f>
        <v>1110529.7280000001</v>
      </c>
      <c r="L12" s="462" t="s">
        <v>242</v>
      </c>
      <c r="M12" s="420"/>
      <c r="P12" s="420"/>
      <c r="Q12" s="420"/>
      <c r="R12" s="420"/>
      <c r="T12" s="387"/>
      <c r="U12" s="388"/>
      <c r="V12" s="462"/>
      <c r="W12" s="462"/>
      <c r="X12" s="462"/>
      <c r="Y12" s="392"/>
    </row>
    <row r="13" spans="2:27" x14ac:dyDescent="0.2">
      <c r="B13" s="394" t="s">
        <v>327</v>
      </c>
      <c r="C13" s="383">
        <f>ROUND(2000/49.85,0)</f>
        <v>40</v>
      </c>
      <c r="D13" s="388">
        <v>12</v>
      </c>
      <c r="E13" s="393">
        <f>C13*D13</f>
        <v>480</v>
      </c>
      <c r="F13" s="391">
        <f>'Table 1C'!I16</f>
        <v>98</v>
      </c>
      <c r="G13" s="389">
        <f>E13*F13</f>
        <v>47040</v>
      </c>
      <c r="H13" s="388">
        <v>0</v>
      </c>
      <c r="I13" s="389">
        <v>0</v>
      </c>
      <c r="J13" s="389">
        <v>0</v>
      </c>
      <c r="K13" s="462">
        <f>(G13*O$8)+(I13*O$6)+(J13*O$9)</f>
        <v>3028717.4400000004</v>
      </c>
      <c r="L13" s="462" t="s">
        <v>242</v>
      </c>
      <c r="M13" s="420"/>
      <c r="P13" s="420"/>
      <c r="Q13" s="420"/>
      <c r="R13" s="420"/>
      <c r="T13" s="387"/>
      <c r="U13" s="388"/>
      <c r="V13" s="462"/>
      <c r="W13" s="462"/>
      <c r="X13" s="462"/>
      <c r="Y13" s="382"/>
    </row>
    <row r="14" spans="2:27" ht="25.5" x14ac:dyDescent="0.2">
      <c r="B14" s="441" t="s">
        <v>328</v>
      </c>
      <c r="C14" s="480" t="s">
        <v>188</v>
      </c>
      <c r="D14" s="388"/>
      <c r="E14" s="388"/>
      <c r="F14" s="389"/>
      <c r="G14" s="389"/>
      <c r="H14" s="389"/>
      <c r="I14" s="389"/>
      <c r="J14" s="389"/>
      <c r="K14" s="462"/>
      <c r="L14" s="462"/>
      <c r="M14" s="420"/>
      <c r="P14" s="420"/>
      <c r="Q14" s="420"/>
      <c r="R14" s="420"/>
      <c r="T14" s="462"/>
      <c r="U14" s="462"/>
      <c r="V14" s="462"/>
      <c r="W14" s="462"/>
      <c r="X14" s="462"/>
      <c r="Y14" s="382"/>
    </row>
    <row r="15" spans="2:27" ht="25.5" x14ac:dyDescent="0.2">
      <c r="B15" s="441" t="s">
        <v>329</v>
      </c>
      <c r="C15" s="480" t="s">
        <v>188</v>
      </c>
      <c r="D15" s="388"/>
      <c r="E15" s="388"/>
      <c r="F15" s="389"/>
      <c r="G15" s="389"/>
      <c r="H15" s="389"/>
      <c r="I15" s="389"/>
      <c r="J15" s="389"/>
      <c r="K15" s="462"/>
      <c r="L15" s="462"/>
      <c r="M15" s="420"/>
      <c r="P15" s="420"/>
      <c r="Q15" s="420"/>
      <c r="R15" s="420"/>
      <c r="S15" s="420"/>
      <c r="T15" s="462">
        <v>0</v>
      </c>
      <c r="U15" s="462"/>
      <c r="V15" s="462">
        <f t="shared" ref="V15:V22" si="4">T15*D17*F17</f>
        <v>0</v>
      </c>
      <c r="W15" s="389">
        <f t="shared" ref="W15:W22" si="5">D17*F17</f>
        <v>0</v>
      </c>
      <c r="X15" s="389"/>
      <c r="Y15" s="382"/>
    </row>
    <row r="16" spans="2:27" x14ac:dyDescent="0.2">
      <c r="B16" s="441" t="s">
        <v>330</v>
      </c>
      <c r="C16" s="480"/>
      <c r="D16" s="388"/>
      <c r="E16" s="388"/>
      <c r="F16" s="389"/>
      <c r="G16" s="389"/>
      <c r="H16" s="389"/>
      <c r="I16" s="389"/>
      <c r="J16" s="389"/>
      <c r="K16" s="462"/>
      <c r="L16" s="462"/>
      <c r="M16" s="420"/>
      <c r="N16" s="363"/>
      <c r="O16" s="420"/>
      <c r="P16" s="420"/>
      <c r="Q16" s="420"/>
      <c r="R16" s="420"/>
      <c r="S16" s="420"/>
      <c r="T16" s="462">
        <v>0</v>
      </c>
      <c r="U16" s="462"/>
      <c r="V16" s="462">
        <f t="shared" si="4"/>
        <v>0</v>
      </c>
      <c r="W16" s="389">
        <f t="shared" si="5"/>
        <v>0</v>
      </c>
      <c r="X16" s="389"/>
      <c r="Y16" s="382"/>
    </row>
    <row r="17" spans="2:25" x14ac:dyDescent="0.2">
      <c r="B17" s="394" t="s">
        <v>191</v>
      </c>
      <c r="C17" s="480">
        <v>2</v>
      </c>
      <c r="D17" s="388">
        <v>1</v>
      </c>
      <c r="E17" s="388">
        <f t="shared" ref="E17:E24" si="6">C17*D17</f>
        <v>2</v>
      </c>
      <c r="F17" s="391">
        <f>'Table 1C'!I20</f>
        <v>0</v>
      </c>
      <c r="G17" s="391">
        <v>0</v>
      </c>
      <c r="H17" s="389">
        <f t="shared" ref="H17:H24" si="7">E17*F17</f>
        <v>0</v>
      </c>
      <c r="I17" s="389">
        <f t="shared" ref="I17:I24" si="8">H17*0.05</f>
        <v>0</v>
      </c>
      <c r="J17" s="389">
        <f t="shared" ref="J17:J24" si="9">H17*0.1</f>
        <v>0</v>
      </c>
      <c r="K17" s="462">
        <f t="shared" ref="K17:K24" si="10">(H17*O$7)+(I17*O$6)+(J17*O$9)</f>
        <v>0</v>
      </c>
      <c r="L17" s="462" t="s">
        <v>204</v>
      </c>
      <c r="M17" s="420"/>
      <c r="N17" s="420"/>
      <c r="O17" s="420"/>
      <c r="P17" s="420"/>
      <c r="Q17" s="420"/>
      <c r="R17" s="420"/>
      <c r="S17" s="420"/>
      <c r="T17" s="462">
        <v>0</v>
      </c>
      <c r="U17" s="462"/>
      <c r="V17" s="462">
        <f t="shared" si="4"/>
        <v>0</v>
      </c>
      <c r="W17" s="389">
        <f t="shared" si="5"/>
        <v>19</v>
      </c>
      <c r="X17" s="389"/>
      <c r="Y17" s="382"/>
    </row>
    <row r="18" spans="2:25" x14ac:dyDescent="0.2">
      <c r="B18" s="394" t="s">
        <v>193</v>
      </c>
      <c r="C18" s="480">
        <v>2</v>
      </c>
      <c r="D18" s="388">
        <v>1</v>
      </c>
      <c r="E18" s="388">
        <f t="shared" si="6"/>
        <v>2</v>
      </c>
      <c r="F18" s="391">
        <f>'Table 1C'!I21</f>
        <v>0</v>
      </c>
      <c r="G18" s="391">
        <v>0</v>
      </c>
      <c r="H18" s="389">
        <f t="shared" si="7"/>
        <v>0</v>
      </c>
      <c r="I18" s="389">
        <f t="shared" si="8"/>
        <v>0</v>
      </c>
      <c r="J18" s="389">
        <f t="shared" si="9"/>
        <v>0</v>
      </c>
      <c r="K18" s="462">
        <f t="shared" si="10"/>
        <v>0</v>
      </c>
      <c r="L18" s="462" t="s">
        <v>245</v>
      </c>
      <c r="M18" s="420"/>
      <c r="N18" s="420"/>
      <c r="O18" s="420"/>
      <c r="P18" s="420"/>
      <c r="Q18" s="420"/>
      <c r="R18" s="420"/>
      <c r="S18" s="420"/>
      <c r="T18" s="462">
        <f>'Other Cost Basis'!D4</f>
        <v>2708.280314173127</v>
      </c>
      <c r="U18" s="462"/>
      <c r="V18" s="462">
        <f t="shared" si="4"/>
        <v>51457.325969289413</v>
      </c>
      <c r="W18" s="389">
        <f t="shared" si="5"/>
        <v>19</v>
      </c>
      <c r="X18" s="389">
        <f>'Other Cost Basis'!B2</f>
        <v>10067</v>
      </c>
      <c r="Y18" s="382"/>
    </row>
    <row r="19" spans="2:25" ht="13.5" customHeight="1" x14ac:dyDescent="0.2">
      <c r="B19" s="394" t="s">
        <v>195</v>
      </c>
      <c r="C19" s="480">
        <v>8</v>
      </c>
      <c r="D19" s="388">
        <v>1</v>
      </c>
      <c r="E19" s="388">
        <f t="shared" si="6"/>
        <v>8</v>
      </c>
      <c r="F19" s="391">
        <f>'Table 1C'!I22</f>
        <v>19</v>
      </c>
      <c r="G19" s="391">
        <v>0</v>
      </c>
      <c r="H19" s="389">
        <f t="shared" si="7"/>
        <v>152</v>
      </c>
      <c r="I19" s="389">
        <f t="shared" si="8"/>
        <v>7.6000000000000005</v>
      </c>
      <c r="J19" s="389">
        <f t="shared" si="9"/>
        <v>15.200000000000001</v>
      </c>
      <c r="K19" s="462">
        <f t="shared" si="10"/>
        <v>17317.078800000003</v>
      </c>
      <c r="L19" s="462" t="s">
        <v>192</v>
      </c>
      <c r="M19" s="420"/>
      <c r="N19" s="420"/>
      <c r="O19" s="420"/>
      <c r="P19" s="420"/>
      <c r="Q19" s="420"/>
      <c r="R19" s="420"/>
      <c r="S19" s="420"/>
      <c r="T19" s="462">
        <v>0</v>
      </c>
      <c r="U19" s="462"/>
      <c r="V19" s="462">
        <f t="shared" si="4"/>
        <v>0</v>
      </c>
      <c r="W19" s="389">
        <f t="shared" si="5"/>
        <v>0</v>
      </c>
      <c r="X19" s="389"/>
      <c r="Y19" s="382"/>
    </row>
    <row r="20" spans="2:25" x14ac:dyDescent="0.2">
      <c r="B20" s="394" t="s">
        <v>197</v>
      </c>
      <c r="C20" s="383">
        <v>12</v>
      </c>
      <c r="D20" s="388">
        <v>1</v>
      </c>
      <c r="E20" s="393">
        <f t="shared" si="6"/>
        <v>12</v>
      </c>
      <c r="F20" s="391">
        <f>'Table 1C'!I23</f>
        <v>19</v>
      </c>
      <c r="G20" s="391">
        <v>0</v>
      </c>
      <c r="H20" s="389">
        <f t="shared" si="7"/>
        <v>228</v>
      </c>
      <c r="I20" s="389">
        <f t="shared" si="8"/>
        <v>11.4</v>
      </c>
      <c r="J20" s="389">
        <f t="shared" si="9"/>
        <v>22.8</v>
      </c>
      <c r="K20" s="462">
        <f t="shared" si="10"/>
        <v>25975.618200000001</v>
      </c>
      <c r="L20" s="462" t="s">
        <v>192</v>
      </c>
      <c r="M20" s="420"/>
      <c r="N20" s="420"/>
      <c r="O20" s="420"/>
      <c r="P20" s="420"/>
      <c r="Q20" s="420"/>
      <c r="R20" s="420"/>
      <c r="S20" s="420"/>
      <c r="T20" s="462">
        <v>0</v>
      </c>
      <c r="U20" s="462"/>
      <c r="V20" s="462">
        <f t="shared" si="4"/>
        <v>0</v>
      </c>
      <c r="W20" s="389">
        <f t="shared" si="5"/>
        <v>0</v>
      </c>
      <c r="X20" s="389"/>
      <c r="Y20" s="382"/>
    </row>
    <row r="21" spans="2:25" x14ac:dyDescent="0.2">
      <c r="B21" s="394" t="s">
        <v>199</v>
      </c>
      <c r="C21" s="480">
        <v>1</v>
      </c>
      <c r="D21" s="388">
        <v>1</v>
      </c>
      <c r="E21" s="388">
        <f t="shared" si="6"/>
        <v>1</v>
      </c>
      <c r="F21" s="391">
        <f>'Table 1C'!I24</f>
        <v>0</v>
      </c>
      <c r="G21" s="391">
        <v>0</v>
      </c>
      <c r="H21" s="389">
        <f t="shared" si="7"/>
        <v>0</v>
      </c>
      <c r="I21" s="389">
        <f t="shared" si="8"/>
        <v>0</v>
      </c>
      <c r="J21" s="389">
        <f t="shared" si="9"/>
        <v>0</v>
      </c>
      <c r="K21" s="462">
        <f t="shared" si="10"/>
        <v>0</v>
      </c>
      <c r="L21" s="462" t="s">
        <v>194</v>
      </c>
      <c r="M21" s="420"/>
      <c r="N21" s="420"/>
      <c r="O21" s="420"/>
      <c r="P21" s="420"/>
      <c r="Q21" s="420"/>
      <c r="R21" s="420"/>
      <c r="S21" s="420"/>
      <c r="T21" s="462">
        <v>0</v>
      </c>
      <c r="U21" s="462"/>
      <c r="V21" s="462">
        <f t="shared" si="4"/>
        <v>0</v>
      </c>
      <c r="W21" s="389">
        <f t="shared" si="5"/>
        <v>3</v>
      </c>
      <c r="X21" s="389"/>
      <c r="Y21" s="382"/>
    </row>
    <row r="22" spans="2:25" x14ac:dyDescent="0.2">
      <c r="B22" s="394" t="s">
        <v>201</v>
      </c>
      <c r="C22" s="480">
        <f>3*C20</f>
        <v>36</v>
      </c>
      <c r="D22" s="388">
        <v>1</v>
      </c>
      <c r="E22" s="388">
        <f t="shared" si="6"/>
        <v>36</v>
      </c>
      <c r="F22" s="391">
        <f>'Table 1C'!I25</f>
        <v>0</v>
      </c>
      <c r="G22" s="391">
        <v>0</v>
      </c>
      <c r="H22" s="389">
        <f t="shared" si="7"/>
        <v>0</v>
      </c>
      <c r="I22" s="389">
        <f t="shared" si="8"/>
        <v>0</v>
      </c>
      <c r="J22" s="389">
        <f t="shared" si="9"/>
        <v>0</v>
      </c>
      <c r="K22" s="462">
        <f t="shared" si="10"/>
        <v>0</v>
      </c>
      <c r="L22" s="462" t="s">
        <v>331</v>
      </c>
      <c r="M22" s="420"/>
      <c r="N22" s="420"/>
      <c r="O22" s="420"/>
      <c r="P22" s="420"/>
      <c r="Q22" s="420"/>
      <c r="R22" s="420"/>
      <c r="S22" s="420"/>
      <c r="T22" s="462">
        <v>0</v>
      </c>
      <c r="U22" s="462"/>
      <c r="V22" s="462">
        <f t="shared" si="4"/>
        <v>0</v>
      </c>
      <c r="W22" s="389">
        <f t="shared" si="5"/>
        <v>0.28799999999999998</v>
      </c>
      <c r="X22" s="389"/>
      <c r="Y22" s="382"/>
    </row>
    <row r="23" spans="2:25" ht="25.5" x14ac:dyDescent="0.2">
      <c r="B23" s="394" t="s">
        <v>203</v>
      </c>
      <c r="C23" s="480">
        <v>80</v>
      </c>
      <c r="D23" s="388">
        <v>1</v>
      </c>
      <c r="E23" s="388">
        <f t="shared" si="6"/>
        <v>80</v>
      </c>
      <c r="F23" s="391">
        <f>'Table 1C'!I26</f>
        <v>3</v>
      </c>
      <c r="G23" s="391">
        <v>0</v>
      </c>
      <c r="H23" s="389">
        <f t="shared" si="7"/>
        <v>240</v>
      </c>
      <c r="I23" s="389">
        <f t="shared" si="8"/>
        <v>12</v>
      </c>
      <c r="J23" s="389">
        <f t="shared" si="9"/>
        <v>24</v>
      </c>
      <c r="K23" s="462">
        <f t="shared" si="10"/>
        <v>27342.756000000001</v>
      </c>
      <c r="L23" s="462" t="s">
        <v>332</v>
      </c>
      <c r="M23" s="420"/>
      <c r="N23" s="420"/>
      <c r="O23" s="420"/>
      <c r="P23" s="420"/>
      <c r="Q23" s="420"/>
      <c r="R23" s="420"/>
      <c r="S23" s="420"/>
      <c r="T23" s="387"/>
      <c r="U23" s="388"/>
      <c r="V23" s="462"/>
      <c r="W23" s="389"/>
      <c r="X23" s="389"/>
      <c r="Y23" s="382"/>
    </row>
    <row r="24" spans="2:25" x14ac:dyDescent="0.2">
      <c r="B24" s="394" t="s">
        <v>333</v>
      </c>
      <c r="C24" s="480">
        <v>20</v>
      </c>
      <c r="D24" s="388">
        <v>1</v>
      </c>
      <c r="E24" s="388">
        <f t="shared" si="6"/>
        <v>20</v>
      </c>
      <c r="F24" s="435">
        <f>'Table 1C'!I27</f>
        <v>0.28799999999999998</v>
      </c>
      <c r="G24" s="391">
        <v>0</v>
      </c>
      <c r="H24" s="389">
        <f t="shared" si="7"/>
        <v>5.76</v>
      </c>
      <c r="I24" s="389">
        <f t="shared" si="8"/>
        <v>0.28799999999999998</v>
      </c>
      <c r="J24" s="389">
        <f t="shared" si="9"/>
        <v>0.57599999999999996</v>
      </c>
      <c r="K24" s="462">
        <f t="shared" si="10"/>
        <v>656.22614399999998</v>
      </c>
      <c r="L24" s="462" t="s">
        <v>200</v>
      </c>
      <c r="M24" s="420"/>
      <c r="N24" s="420"/>
      <c r="O24" s="420"/>
      <c r="P24" s="420"/>
      <c r="Q24" s="420"/>
      <c r="R24" s="420"/>
      <c r="S24" s="420"/>
      <c r="T24" s="387"/>
      <c r="U24" s="388"/>
      <c r="V24" s="462"/>
      <c r="W24" s="389"/>
      <c r="X24" s="389"/>
      <c r="Y24" s="382"/>
    </row>
    <row r="25" spans="2:25" ht="25.5" x14ac:dyDescent="0.2">
      <c r="B25" s="394" t="s">
        <v>207</v>
      </c>
      <c r="C25" s="480" t="s">
        <v>188</v>
      </c>
      <c r="D25" s="388"/>
      <c r="E25" s="388"/>
      <c r="F25" s="391"/>
      <c r="G25" s="391"/>
      <c r="H25" s="389"/>
      <c r="I25" s="389"/>
      <c r="J25" s="389"/>
      <c r="K25" s="462"/>
      <c r="L25" s="462"/>
      <c r="M25" s="420"/>
      <c r="N25" s="420"/>
      <c r="O25" s="420"/>
      <c r="P25" s="420"/>
      <c r="Q25" s="420"/>
      <c r="R25" s="420"/>
      <c r="S25" s="420"/>
      <c r="T25" s="462">
        <v>0</v>
      </c>
      <c r="U25" s="462"/>
      <c r="V25" s="462">
        <f>T25*D27*F27</f>
        <v>0</v>
      </c>
      <c r="W25" s="389">
        <f>D27*F27</f>
        <v>98</v>
      </c>
      <c r="X25" s="389"/>
      <c r="Y25" s="382"/>
    </row>
    <row r="26" spans="2:25" ht="25.5" x14ac:dyDescent="0.2">
      <c r="B26" s="394" t="s">
        <v>208</v>
      </c>
      <c r="C26" s="480" t="s">
        <v>188</v>
      </c>
      <c r="D26" s="388"/>
      <c r="E26" s="388"/>
      <c r="F26" s="391"/>
      <c r="G26" s="391"/>
      <c r="H26" s="389"/>
      <c r="I26" s="389"/>
      <c r="J26" s="389"/>
      <c r="K26" s="462"/>
      <c r="L26" s="462"/>
      <c r="M26" s="420"/>
      <c r="N26" s="420"/>
      <c r="O26" s="420"/>
      <c r="P26" s="420"/>
      <c r="Q26" s="420"/>
      <c r="R26" s="420"/>
      <c r="S26" s="420"/>
      <c r="T26" s="462">
        <v>0</v>
      </c>
      <c r="U26" s="462"/>
      <c r="V26" s="462">
        <f>T26*D28*F28</f>
        <v>0</v>
      </c>
      <c r="W26" s="389">
        <f>D28*F28</f>
        <v>1</v>
      </c>
      <c r="X26" s="389"/>
      <c r="Y26" s="382"/>
    </row>
    <row r="27" spans="2:25" x14ac:dyDescent="0.2">
      <c r="B27" s="394" t="s">
        <v>209</v>
      </c>
      <c r="C27" s="480">
        <v>27</v>
      </c>
      <c r="D27" s="388">
        <v>1</v>
      </c>
      <c r="E27" s="388">
        <f>C27*D27</f>
        <v>27</v>
      </c>
      <c r="F27" s="391">
        <f>'Table 1C'!I30</f>
        <v>98</v>
      </c>
      <c r="G27" s="391">
        <v>0</v>
      </c>
      <c r="H27" s="389">
        <f>E27*F27</f>
        <v>2646</v>
      </c>
      <c r="I27" s="389">
        <f>H27*0.05</f>
        <v>132.30000000000001</v>
      </c>
      <c r="J27" s="389">
        <f>H27*0.1</f>
        <v>264.60000000000002</v>
      </c>
      <c r="K27" s="462">
        <f>(H27*O$7)+(I27*O$6)+(J27*O$9)</f>
        <v>301453.8849</v>
      </c>
      <c r="L27" s="462" t="s">
        <v>253</v>
      </c>
      <c r="M27" s="420"/>
      <c r="N27" s="420"/>
      <c r="O27" s="420"/>
      <c r="P27" s="420"/>
      <c r="Q27" s="420"/>
      <c r="R27" s="420"/>
      <c r="S27" s="420"/>
      <c r="T27" s="462">
        <v>0</v>
      </c>
      <c r="U27" s="462"/>
      <c r="V27" s="462">
        <f>T27*D29*F29</f>
        <v>0</v>
      </c>
      <c r="W27" s="389">
        <f>D29*F29</f>
        <v>1</v>
      </c>
      <c r="X27" s="389"/>
      <c r="Y27" s="382"/>
    </row>
    <row r="28" spans="2:25" x14ac:dyDescent="0.2">
      <c r="B28" s="394" t="s">
        <v>211</v>
      </c>
      <c r="C28" s="480">
        <v>15</v>
      </c>
      <c r="D28" s="388">
        <v>1</v>
      </c>
      <c r="E28" s="388">
        <f>C28*D28</f>
        <v>15</v>
      </c>
      <c r="F28" s="391">
        <f>'Table 1C'!I31</f>
        <v>1</v>
      </c>
      <c r="G28" s="391">
        <v>0</v>
      </c>
      <c r="H28" s="389">
        <f>E28*F28</f>
        <v>15</v>
      </c>
      <c r="I28" s="389">
        <f>H28*0.05</f>
        <v>0.75</v>
      </c>
      <c r="J28" s="389">
        <f t="shared" ref="J28:J31" si="11">H28*0.1</f>
        <v>1.5</v>
      </c>
      <c r="K28" s="462">
        <f>(H28*O$7)+(I28*O$6)+(J28*O$9)</f>
        <v>1708.9222500000001</v>
      </c>
      <c r="L28" s="462" t="s">
        <v>206</v>
      </c>
      <c r="M28" s="420"/>
      <c r="N28" s="420"/>
      <c r="O28" s="420"/>
      <c r="P28" s="420"/>
      <c r="Q28" s="420"/>
      <c r="R28" s="420"/>
      <c r="S28" s="420"/>
      <c r="T28" s="462">
        <v>0</v>
      </c>
      <c r="U28" s="462"/>
      <c r="V28" s="462">
        <f>T28*D30*F30</f>
        <v>0</v>
      </c>
      <c r="W28" s="389">
        <f>D30*F30</f>
        <v>1</v>
      </c>
      <c r="X28" s="389"/>
      <c r="Y28" s="382"/>
    </row>
    <row r="29" spans="2:25" x14ac:dyDescent="0.2">
      <c r="B29" s="394" t="s">
        <v>213</v>
      </c>
      <c r="C29" s="480">
        <v>15</v>
      </c>
      <c r="D29" s="388">
        <v>1</v>
      </c>
      <c r="E29" s="388">
        <f>C29*D29</f>
        <v>15</v>
      </c>
      <c r="F29" s="391">
        <f>'Table 1C'!I32</f>
        <v>1</v>
      </c>
      <c r="G29" s="391">
        <v>0</v>
      </c>
      <c r="H29" s="389">
        <f>E29*F29</f>
        <v>15</v>
      </c>
      <c r="I29" s="389">
        <f>H29*0.05</f>
        <v>0.75</v>
      </c>
      <c r="J29" s="389">
        <f t="shared" si="11"/>
        <v>1.5</v>
      </c>
      <c r="K29" s="462">
        <f>(H29*O$7)+(I29*O$6)+(J29*O$9)</f>
        <v>1708.9222500000001</v>
      </c>
      <c r="L29" s="462" t="s">
        <v>206</v>
      </c>
      <c r="M29" s="420"/>
      <c r="N29" s="420"/>
      <c r="O29" s="420"/>
      <c r="P29" s="420"/>
      <c r="Q29" s="420"/>
      <c r="R29" s="420"/>
      <c r="S29" s="420"/>
      <c r="T29" s="462">
        <v>0</v>
      </c>
      <c r="U29" s="462"/>
      <c r="V29" s="462">
        <f>T29*D31*F31</f>
        <v>0</v>
      </c>
      <c r="W29" s="389">
        <f>D31*F31</f>
        <v>17</v>
      </c>
      <c r="X29" s="389"/>
      <c r="Y29" s="382"/>
    </row>
    <row r="30" spans="2:25" ht="15" customHeight="1" x14ac:dyDescent="0.25">
      <c r="B30" s="394" t="s">
        <v>214</v>
      </c>
      <c r="C30" s="480">
        <v>15</v>
      </c>
      <c r="D30" s="388">
        <v>1</v>
      </c>
      <c r="E30" s="388">
        <f>C30*D30</f>
        <v>15</v>
      </c>
      <c r="F30" s="391">
        <f>'Table 1C'!I33</f>
        <v>1</v>
      </c>
      <c r="G30" s="391">
        <v>0</v>
      </c>
      <c r="H30" s="389">
        <f>E30*F30</f>
        <v>15</v>
      </c>
      <c r="I30" s="389">
        <f>H30*0.05</f>
        <v>0.75</v>
      </c>
      <c r="J30" s="389">
        <f t="shared" si="11"/>
        <v>1.5</v>
      </c>
      <c r="K30" s="462">
        <f>(H30*O$7)+(I30*O$6)+(J30*O$9)</f>
        <v>1708.9222500000001</v>
      </c>
      <c r="L30" s="462" t="s">
        <v>206</v>
      </c>
      <c r="M30" s="420"/>
      <c r="N30" s="452"/>
      <c r="O30" s="452"/>
      <c r="P30" s="452"/>
      <c r="Q30" s="452"/>
      <c r="R30" s="452"/>
      <c r="S30" s="427"/>
      <c r="T30" s="400"/>
      <c r="U30" s="400"/>
      <c r="V30" s="400">
        <f>SUM(V7:V29)</f>
        <v>451172.30442270864</v>
      </c>
      <c r="W30" s="403">
        <f>SUM(W15:W29)+W9</f>
        <v>162.28800000000001</v>
      </c>
      <c r="X30" s="400">
        <f>SUM(X7:X29)</f>
        <v>28134</v>
      </c>
      <c r="Y30" s="382"/>
    </row>
    <row r="31" spans="2:25" x14ac:dyDescent="0.2">
      <c r="B31" s="394" t="s">
        <v>215</v>
      </c>
      <c r="C31" s="480">
        <v>15</v>
      </c>
      <c r="D31" s="388">
        <v>1</v>
      </c>
      <c r="E31" s="388">
        <f>C31*D31</f>
        <v>15</v>
      </c>
      <c r="F31" s="391">
        <f>'Table 1C'!I34</f>
        <v>17</v>
      </c>
      <c r="G31" s="391">
        <v>0</v>
      </c>
      <c r="H31" s="389">
        <f>E31*F31</f>
        <v>255</v>
      </c>
      <c r="I31" s="389">
        <f>H31*0.05</f>
        <v>12.75</v>
      </c>
      <c r="J31" s="389">
        <f t="shared" si="11"/>
        <v>25.5</v>
      </c>
      <c r="K31" s="462">
        <f>(H31*O$7)+(I31*O$6)+(J31*O$9)</f>
        <v>29051.678250000001</v>
      </c>
      <c r="L31" s="462" t="s">
        <v>210</v>
      </c>
      <c r="M31" s="420"/>
      <c r="N31" s="420"/>
      <c r="O31" s="420"/>
      <c r="P31" s="420"/>
      <c r="Q31" s="420"/>
      <c r="R31" s="420"/>
      <c r="S31" s="420"/>
      <c r="T31" s="462"/>
      <c r="U31" s="462"/>
      <c r="V31" s="462"/>
      <c r="W31" s="462"/>
      <c r="X31" s="462"/>
      <c r="Y31" s="382"/>
    </row>
    <row r="32" spans="2:25" ht="15" customHeight="1" x14ac:dyDescent="0.25">
      <c r="B32" s="436" t="s">
        <v>334</v>
      </c>
      <c r="C32" s="397"/>
      <c r="D32" s="398"/>
      <c r="E32" s="398"/>
      <c r="F32" s="399"/>
      <c r="G32" s="552">
        <f>SUM(G7:J31)</f>
        <v>69067.124000000011</v>
      </c>
      <c r="H32" s="553"/>
      <c r="I32" s="553"/>
      <c r="J32" s="554"/>
      <c r="K32" s="400">
        <f>SUM(K7:K31)</f>
        <v>4612705.2166440003</v>
      </c>
      <c r="L32" s="439"/>
      <c r="M32" s="452"/>
      <c r="N32" s="420"/>
      <c r="O32" s="420"/>
      <c r="P32" s="420"/>
      <c r="Q32" s="420"/>
      <c r="R32" s="420"/>
      <c r="S32" s="420"/>
      <c r="T32" s="387"/>
      <c r="U32" s="388"/>
      <c r="V32" s="462"/>
      <c r="W32" s="462"/>
      <c r="X32" s="462"/>
      <c r="Y32" s="382"/>
    </row>
    <row r="33" spans="1:27" x14ac:dyDescent="0.2">
      <c r="B33" s="390" t="s">
        <v>218</v>
      </c>
      <c r="C33" s="480"/>
      <c r="D33" s="388"/>
      <c r="E33" s="388"/>
      <c r="F33" s="389"/>
      <c r="G33" s="389"/>
      <c r="H33" s="389"/>
      <c r="I33" s="389"/>
      <c r="J33" s="389"/>
      <c r="K33" s="462"/>
      <c r="L33" s="462"/>
      <c r="M33" s="420"/>
      <c r="N33" s="420"/>
      <c r="O33" s="420"/>
      <c r="P33" s="420"/>
      <c r="Q33" s="420"/>
      <c r="R33" s="420"/>
      <c r="S33" s="420"/>
      <c r="T33" s="387"/>
      <c r="U33" s="388"/>
      <c r="V33" s="462"/>
      <c r="W33" s="462"/>
      <c r="X33" s="462"/>
      <c r="Y33" s="382"/>
    </row>
    <row r="34" spans="1:27" ht="25.5" x14ac:dyDescent="0.2">
      <c r="B34" s="441" t="s">
        <v>335</v>
      </c>
      <c r="C34" s="480" t="s">
        <v>336</v>
      </c>
      <c r="D34" s="388"/>
      <c r="E34" s="388"/>
      <c r="F34" s="389"/>
      <c r="G34" s="389"/>
      <c r="H34" s="389"/>
      <c r="I34" s="389"/>
      <c r="J34" s="389"/>
      <c r="K34" s="462"/>
      <c r="L34" s="462"/>
      <c r="M34" s="420"/>
      <c r="N34" s="420"/>
      <c r="O34" s="420"/>
      <c r="P34" s="420"/>
      <c r="Q34" s="420"/>
      <c r="R34" s="420"/>
      <c r="S34" s="420"/>
      <c r="T34" s="387"/>
      <c r="U34" s="388"/>
      <c r="V34" s="462"/>
      <c r="W34" s="462"/>
      <c r="X34" s="462"/>
      <c r="Y34" s="382"/>
    </row>
    <row r="35" spans="1:27" x14ac:dyDescent="0.2">
      <c r="B35" s="441" t="s">
        <v>337</v>
      </c>
      <c r="C35" s="480" t="s">
        <v>309</v>
      </c>
      <c r="D35" s="388"/>
      <c r="E35" s="388"/>
      <c r="F35" s="389"/>
      <c r="G35" s="389"/>
      <c r="H35" s="389"/>
      <c r="I35" s="389"/>
      <c r="J35" s="389"/>
      <c r="K35" s="462"/>
      <c r="L35" s="462"/>
      <c r="M35" s="420"/>
      <c r="N35" s="420"/>
      <c r="O35" s="420"/>
      <c r="P35" s="420"/>
      <c r="Q35" s="420"/>
      <c r="R35" s="420"/>
      <c r="S35" s="420"/>
      <c r="T35" s="387"/>
      <c r="U35" s="388"/>
      <c r="V35" s="462"/>
      <c r="W35" s="462"/>
      <c r="X35" s="462"/>
      <c r="Y35" s="382"/>
    </row>
    <row r="36" spans="1:27" ht="13.5" customHeight="1" x14ac:dyDescent="0.2">
      <c r="B36" s="441" t="s">
        <v>338</v>
      </c>
      <c r="C36" s="480" t="s">
        <v>309</v>
      </c>
      <c r="D36" s="388"/>
      <c r="E36" s="388"/>
      <c r="F36" s="389"/>
      <c r="G36" s="389"/>
      <c r="H36" s="389"/>
      <c r="I36" s="389"/>
      <c r="J36" s="389"/>
      <c r="K36" s="462"/>
      <c r="L36" s="462"/>
      <c r="M36" s="420"/>
      <c r="N36" s="420"/>
      <c r="O36" s="420"/>
      <c r="P36" s="420"/>
      <c r="Q36" s="420"/>
      <c r="R36" s="420"/>
      <c r="S36" s="420"/>
      <c r="T36" s="462"/>
      <c r="U36" s="462"/>
      <c r="V36" s="462"/>
      <c r="W36" s="462"/>
      <c r="X36" s="462"/>
      <c r="Y36" s="382"/>
    </row>
    <row r="37" spans="1:27" ht="15.75" customHeight="1" x14ac:dyDescent="0.2">
      <c r="B37" s="441" t="s">
        <v>339</v>
      </c>
      <c r="C37" s="480" t="s">
        <v>309</v>
      </c>
      <c r="D37" s="388"/>
      <c r="E37" s="388"/>
      <c r="F37" s="389"/>
      <c r="G37" s="389"/>
      <c r="H37" s="389"/>
      <c r="I37" s="389"/>
      <c r="J37" s="389"/>
      <c r="K37" s="462"/>
      <c r="L37" s="462"/>
      <c r="M37" s="420"/>
      <c r="N37" s="420"/>
      <c r="S37" s="420"/>
      <c r="T37" s="462">
        <v>0</v>
      </c>
      <c r="U37" s="462"/>
      <c r="V37" s="462">
        <f>T37*D39*F39</f>
        <v>0</v>
      </c>
      <c r="W37" s="389">
        <v>0</v>
      </c>
      <c r="X37" s="389"/>
      <c r="Y37" s="382"/>
    </row>
    <row r="38" spans="1:27" ht="15" customHeight="1" x14ac:dyDescent="0.2">
      <c r="B38" s="441" t="s">
        <v>340</v>
      </c>
      <c r="C38" s="480"/>
      <c r="D38" s="388"/>
      <c r="E38" s="388"/>
      <c r="F38" s="389"/>
      <c r="G38" s="389"/>
      <c r="H38" s="389"/>
      <c r="I38" s="389"/>
      <c r="J38" s="389"/>
      <c r="K38" s="462"/>
      <c r="L38" s="462"/>
      <c r="M38" s="420"/>
      <c r="N38" s="420"/>
      <c r="S38" s="420"/>
      <c r="T38" s="462">
        <v>0</v>
      </c>
      <c r="U38" s="462"/>
      <c r="V38" s="462">
        <f>T38*D40*F40</f>
        <v>0</v>
      </c>
      <c r="W38" s="389">
        <v>0</v>
      </c>
      <c r="X38" s="389"/>
      <c r="Y38" s="382"/>
    </row>
    <row r="39" spans="1:27" ht="13.5" customHeight="1" x14ac:dyDescent="0.2">
      <c r="B39" s="394" t="s">
        <v>225</v>
      </c>
      <c r="C39" s="480">
        <v>5</v>
      </c>
      <c r="D39" s="388">
        <v>12</v>
      </c>
      <c r="E39" s="388">
        <f>C39*D39</f>
        <v>60</v>
      </c>
      <c r="F39" s="391">
        <f>'Table 1C'!I42</f>
        <v>98</v>
      </c>
      <c r="G39" s="391">
        <v>0</v>
      </c>
      <c r="H39" s="389">
        <f>E39*F39</f>
        <v>5880</v>
      </c>
      <c r="I39" s="389">
        <f>H39*0.05</f>
        <v>294</v>
      </c>
      <c r="J39" s="389">
        <f>H39*0.1</f>
        <v>588</v>
      </c>
      <c r="K39" s="462">
        <f>(H39*O$7)+(I39*O$6)+(J39*O$9)</f>
        <v>669897.52200000011</v>
      </c>
      <c r="L39" s="462" t="s">
        <v>226</v>
      </c>
      <c r="M39" s="420"/>
      <c r="N39" s="420"/>
      <c r="O39" s="420"/>
      <c r="P39" s="420"/>
      <c r="Q39" s="420"/>
      <c r="R39" s="420"/>
      <c r="S39" s="420"/>
      <c r="T39" s="462">
        <v>0</v>
      </c>
      <c r="U39" s="462"/>
      <c r="V39" s="462">
        <f>T39*D41*F41</f>
        <v>0</v>
      </c>
      <c r="W39" s="389">
        <v>0</v>
      </c>
      <c r="X39" s="389"/>
      <c r="Y39" s="382"/>
    </row>
    <row r="40" spans="1:27" ht="13.5" customHeight="1" x14ac:dyDescent="0.2">
      <c r="B40" s="394" t="s">
        <v>227</v>
      </c>
      <c r="C40" s="480">
        <v>11</v>
      </c>
      <c r="D40" s="388">
        <v>12</v>
      </c>
      <c r="E40" s="388">
        <f>C40*D40</f>
        <v>132</v>
      </c>
      <c r="F40" s="391">
        <f>'Table 1C'!I43</f>
        <v>98</v>
      </c>
      <c r="G40" s="391">
        <v>0</v>
      </c>
      <c r="H40" s="389">
        <f>E40*F40</f>
        <v>12936</v>
      </c>
      <c r="I40" s="389">
        <f>H40*0.05</f>
        <v>646.80000000000007</v>
      </c>
      <c r="J40" s="389">
        <f>H40*0.1</f>
        <v>1293.6000000000001</v>
      </c>
      <c r="K40" s="462">
        <f>(H40*O$7)+(I40*O$6)+(J40*O$9)</f>
        <v>1473774.5484000002</v>
      </c>
      <c r="L40" s="462" t="s">
        <v>226</v>
      </c>
      <c r="M40" s="420"/>
      <c r="N40" s="420"/>
      <c r="O40" s="420"/>
      <c r="P40" s="420"/>
      <c r="Q40" s="420"/>
      <c r="R40" s="420"/>
      <c r="S40" s="420"/>
      <c r="T40" s="387"/>
      <c r="U40" s="388"/>
      <c r="V40" s="462"/>
      <c r="W40" s="389"/>
      <c r="X40" s="389"/>
      <c r="Y40" s="382"/>
    </row>
    <row r="41" spans="1:27" ht="16.5" customHeight="1" x14ac:dyDescent="0.25">
      <c r="B41" s="394" t="s">
        <v>228</v>
      </c>
      <c r="C41" s="480">
        <v>4</v>
      </c>
      <c r="D41" s="388">
        <v>1</v>
      </c>
      <c r="E41" s="388">
        <f>C41*D41</f>
        <v>4</v>
      </c>
      <c r="F41" s="391">
        <f>'Table 1C'!I44</f>
        <v>0</v>
      </c>
      <c r="G41" s="391">
        <v>0</v>
      </c>
      <c r="H41" s="389">
        <f>E41*F41</f>
        <v>0</v>
      </c>
      <c r="I41" s="389">
        <f>H41*0.05</f>
        <v>0</v>
      </c>
      <c r="J41" s="389">
        <f>H41*0.1</f>
        <v>0</v>
      </c>
      <c r="K41" s="462">
        <f>(H41*O$7)+(I41*O$6)+(J41*O$9)</f>
        <v>0</v>
      </c>
      <c r="L41" s="462" t="s">
        <v>229</v>
      </c>
      <c r="M41" s="420"/>
      <c r="N41" s="557" t="s">
        <v>361</v>
      </c>
      <c r="O41" s="557"/>
      <c r="P41" s="420"/>
      <c r="Q41" s="420"/>
      <c r="R41" s="420"/>
      <c r="S41" s="420"/>
      <c r="T41" s="400"/>
      <c r="U41" s="400"/>
      <c r="V41" s="400">
        <f>SUM(V32:V40)</f>
        <v>0</v>
      </c>
      <c r="W41" s="403">
        <f>SUM(W32:W40)</f>
        <v>0</v>
      </c>
      <c r="X41" s="400">
        <f>SUM(X32:X40)</f>
        <v>0</v>
      </c>
      <c r="Y41" s="382"/>
    </row>
    <row r="42" spans="1:27" ht="13.5" x14ac:dyDescent="0.25">
      <c r="B42" s="441" t="s">
        <v>341</v>
      </c>
      <c r="C42" s="480" t="s">
        <v>309</v>
      </c>
      <c r="D42" s="388"/>
      <c r="E42" s="388"/>
      <c r="F42" s="391"/>
      <c r="G42" s="391"/>
      <c r="H42" s="387"/>
      <c r="I42" s="387"/>
      <c r="J42" s="387"/>
      <c r="K42" s="462"/>
      <c r="L42" s="462"/>
      <c r="M42" s="420"/>
      <c r="N42" s="389">
        <f>ROUND((G32+G44+'Table 1A'!G32+'Table 1A'!G44),-3)</f>
        <v>250000</v>
      </c>
      <c r="O42" s="439" t="s">
        <v>264</v>
      </c>
      <c r="P42" s="452"/>
      <c r="Q42" s="452"/>
      <c r="R42" s="452"/>
      <c r="S42" s="493"/>
      <c r="T42" s="486" t="s">
        <v>233</v>
      </c>
      <c r="U42" s="481"/>
      <c r="V42" s="406"/>
      <c r="W42" s="482">
        <f>W30+W41</f>
        <v>162.28800000000001</v>
      </c>
      <c r="X42" s="481">
        <f>X30+X41</f>
        <v>28134</v>
      </c>
      <c r="Y42" s="382"/>
    </row>
    <row r="43" spans="1:27" s="404" customFormat="1" x14ac:dyDescent="0.2">
      <c r="A43" s="382"/>
      <c r="B43" s="441" t="s">
        <v>342</v>
      </c>
      <c r="C43" s="480" t="s">
        <v>309</v>
      </c>
      <c r="D43" s="388"/>
      <c r="E43" s="388"/>
      <c r="F43" s="391"/>
      <c r="G43" s="391"/>
      <c r="H43" s="389"/>
      <c r="I43" s="389"/>
      <c r="J43" s="389"/>
      <c r="K43" s="462"/>
      <c r="L43" s="462"/>
      <c r="M43" s="420"/>
      <c r="N43" s="462">
        <f>ROUND((K32+K44+'Table 1A'!K32+'Table 1A'!K44),-5)</f>
        <v>18600000</v>
      </c>
      <c r="O43" s="462" t="s">
        <v>362</v>
      </c>
      <c r="P43" s="420"/>
      <c r="Q43" s="420"/>
      <c r="R43" s="420"/>
      <c r="S43" s="407"/>
      <c r="T43" s="481"/>
      <c r="U43" s="481"/>
      <c r="V43" s="481"/>
      <c r="W43" s="482"/>
      <c r="X43" s="481"/>
      <c r="Z43" s="382"/>
      <c r="AA43" s="382"/>
    </row>
    <row r="44" spans="1:27" s="404" customFormat="1" ht="15" customHeight="1" x14ac:dyDescent="0.25">
      <c r="A44" s="382"/>
      <c r="B44" s="402" t="s">
        <v>343</v>
      </c>
      <c r="C44" s="397"/>
      <c r="D44" s="398"/>
      <c r="E44" s="398"/>
      <c r="F44" s="403"/>
      <c r="G44" s="552">
        <f>SUM(G39:J41)</f>
        <v>21638.399999999998</v>
      </c>
      <c r="H44" s="553"/>
      <c r="I44" s="553"/>
      <c r="J44" s="554"/>
      <c r="K44" s="400">
        <f t="shared" ref="K44" si="12">SUM(K34:K43)</f>
        <v>2143672.0704000005</v>
      </c>
      <c r="L44" s="439"/>
      <c r="M44" s="452"/>
      <c r="N44" s="462">
        <f>ROUND('Capital O&amp;M'!E13+'Capital O&amp;M'!H13,-4)</f>
        <v>1180000</v>
      </c>
      <c r="O44" s="461" t="s">
        <v>363</v>
      </c>
      <c r="P44" s="466"/>
      <c r="Q44" s="466"/>
      <c r="R44" s="466"/>
      <c r="S44" s="407"/>
      <c r="T44" s="481"/>
      <c r="U44" s="481"/>
      <c r="V44" s="481">
        <f>V30+V41</f>
        <v>451172.30442270864</v>
      </c>
      <c r="W44" s="482"/>
      <c r="X44" s="481"/>
      <c r="Z44" s="382"/>
      <c r="AA44" s="382"/>
    </row>
    <row r="45" spans="1:27" s="404" customFormat="1" x14ac:dyDescent="0.2">
      <c r="B45" s="494" t="s">
        <v>344</v>
      </c>
      <c r="C45" s="485"/>
      <c r="D45" s="486"/>
      <c r="E45" s="486"/>
      <c r="F45" s="405"/>
      <c r="G45" s="405"/>
      <c r="H45" s="561">
        <f>ROUND(SUM(G32,G44),-2)</f>
        <v>90700</v>
      </c>
      <c r="I45" s="561"/>
      <c r="J45" s="561"/>
      <c r="K45" s="481">
        <f>ROUND(K32+K44,-4)</f>
        <v>6760000</v>
      </c>
      <c r="L45" s="462" t="s">
        <v>212</v>
      </c>
      <c r="M45" s="420"/>
      <c r="N45" s="462">
        <f>ROUND(N43+N44,-5)</f>
        <v>19800000</v>
      </c>
      <c r="O45" s="462" t="s">
        <v>364</v>
      </c>
      <c r="P45" s="420"/>
      <c r="Q45" s="420"/>
      <c r="R45" s="420"/>
      <c r="S45" s="429"/>
      <c r="T45" s="431"/>
      <c r="U45" s="431"/>
      <c r="V45" s="431"/>
      <c r="W45" s="482"/>
      <c r="X45" s="481"/>
      <c r="Z45" s="382"/>
      <c r="AA45" s="382"/>
    </row>
    <row r="46" spans="1:27" ht="12.75" customHeight="1" x14ac:dyDescent="0.2">
      <c r="A46" s="404"/>
      <c r="B46" s="495" t="s">
        <v>345</v>
      </c>
      <c r="C46" s="485"/>
      <c r="D46" s="486"/>
      <c r="E46" s="486"/>
      <c r="F46" s="405"/>
      <c r="G46" s="405"/>
      <c r="H46" s="482"/>
      <c r="I46" s="482"/>
      <c r="J46" s="482"/>
      <c r="K46" s="481">
        <f>ROUND(V44,-3)</f>
        <v>451000</v>
      </c>
      <c r="L46" s="462" t="s">
        <v>212</v>
      </c>
      <c r="M46" s="420"/>
      <c r="N46" s="409"/>
      <c r="O46" s="409"/>
      <c r="P46" s="409"/>
      <c r="Q46" s="409"/>
      <c r="R46" s="409"/>
      <c r="S46" s="409"/>
      <c r="T46" s="409"/>
      <c r="U46" s="409"/>
      <c r="V46" s="409"/>
      <c r="W46" s="409"/>
      <c r="X46" s="409"/>
    </row>
    <row r="47" spans="1:27" s="443" customFormat="1" ht="29.25" customHeight="1" x14ac:dyDescent="0.2">
      <c r="A47" s="404"/>
      <c r="B47" s="495" t="s">
        <v>346</v>
      </c>
      <c r="C47" s="485"/>
      <c r="D47" s="486"/>
      <c r="E47" s="486"/>
      <c r="F47" s="405"/>
      <c r="G47" s="405"/>
      <c r="H47" s="482"/>
      <c r="I47" s="482"/>
      <c r="J47" s="482"/>
      <c r="K47" s="431">
        <f>ROUND(K45+K46,-4)</f>
        <v>7210000</v>
      </c>
      <c r="L47" s="462" t="s">
        <v>212</v>
      </c>
      <c r="M47" s="420"/>
      <c r="N47" s="478"/>
      <c r="O47" s="478"/>
      <c r="P47" s="478"/>
      <c r="Q47" s="478"/>
      <c r="R47" s="478"/>
    </row>
    <row r="48" spans="1:27" s="443" customFormat="1" ht="44.25" customHeight="1" x14ac:dyDescent="0.2">
      <c r="A48" s="408" t="s">
        <v>347</v>
      </c>
      <c r="B48" s="409"/>
      <c r="C48" s="409"/>
      <c r="D48" s="409"/>
      <c r="E48" s="409"/>
      <c r="F48" s="409"/>
      <c r="G48" s="409"/>
      <c r="H48" s="409"/>
      <c r="I48" s="409"/>
      <c r="J48" s="409"/>
      <c r="K48" s="409"/>
      <c r="L48" s="409"/>
      <c r="M48" s="409"/>
      <c r="N48" s="478"/>
      <c r="O48" s="478"/>
      <c r="P48" s="478"/>
      <c r="Q48" s="478"/>
      <c r="R48" s="478"/>
      <c r="S48" s="478"/>
      <c r="T48" s="478"/>
      <c r="U48" s="478"/>
      <c r="V48" s="478"/>
      <c r="W48" s="478"/>
      <c r="X48" s="478"/>
      <c r="Y48" s="478"/>
    </row>
    <row r="49" spans="1:11" ht="26.25" customHeight="1" x14ac:dyDescent="0.2">
      <c r="A49" s="453" t="s">
        <v>235</v>
      </c>
      <c r="B49" s="548" t="s">
        <v>1446</v>
      </c>
      <c r="C49" s="548"/>
      <c r="D49" s="548"/>
      <c r="E49" s="548"/>
      <c r="F49" s="548"/>
      <c r="G49" s="548"/>
      <c r="H49" s="548"/>
      <c r="I49" s="548"/>
      <c r="J49" s="548"/>
      <c r="K49" s="548"/>
    </row>
    <row r="50" spans="1:11" ht="73.5" customHeight="1" x14ac:dyDescent="0.2">
      <c r="A50" s="453" t="s">
        <v>237</v>
      </c>
      <c r="B50" s="548" t="s">
        <v>1457</v>
      </c>
      <c r="C50" s="548"/>
      <c r="D50" s="548"/>
      <c r="E50" s="548"/>
      <c r="F50" s="548"/>
      <c r="G50" s="548"/>
      <c r="H50" s="548"/>
      <c r="I50" s="548"/>
      <c r="J50" s="548"/>
      <c r="K50" s="548"/>
    </row>
    <row r="51" spans="1:11" ht="45" customHeight="1" x14ac:dyDescent="0.2">
      <c r="A51" s="453" t="s">
        <v>239</v>
      </c>
      <c r="B51" s="548" t="s">
        <v>1447</v>
      </c>
      <c r="C51" s="548"/>
      <c r="D51" s="548"/>
      <c r="E51" s="548"/>
      <c r="F51" s="548"/>
      <c r="G51" s="548"/>
      <c r="H51" s="548"/>
      <c r="I51" s="548"/>
      <c r="J51" s="548"/>
      <c r="K51" s="548"/>
    </row>
    <row r="52" spans="1:11" ht="42.75" customHeight="1" x14ac:dyDescent="0.2">
      <c r="A52" s="453" t="s">
        <v>179</v>
      </c>
      <c r="B52" s="548" t="s">
        <v>348</v>
      </c>
      <c r="C52" s="548"/>
      <c r="D52" s="548"/>
      <c r="E52" s="548"/>
      <c r="F52" s="548"/>
      <c r="G52" s="548"/>
      <c r="H52" s="548"/>
      <c r="I52" s="548"/>
      <c r="J52" s="548"/>
      <c r="K52" s="548"/>
    </row>
    <row r="53" spans="1:11" ht="71.25" customHeight="1" x14ac:dyDescent="0.2">
      <c r="A53" s="453" t="s">
        <v>242</v>
      </c>
      <c r="B53" s="548" t="s">
        <v>1448</v>
      </c>
      <c r="C53" s="548"/>
      <c r="D53" s="548"/>
      <c r="E53" s="548"/>
      <c r="F53" s="548"/>
      <c r="G53" s="548"/>
      <c r="H53" s="548"/>
      <c r="I53" s="548"/>
      <c r="J53" s="548"/>
      <c r="K53" s="548"/>
    </row>
    <row r="54" spans="1:11" ht="43.5" customHeight="1" x14ac:dyDescent="0.2">
      <c r="A54" s="453" t="s">
        <v>204</v>
      </c>
      <c r="B54" s="548" t="s">
        <v>349</v>
      </c>
      <c r="C54" s="548"/>
      <c r="D54" s="548"/>
      <c r="E54" s="548"/>
      <c r="F54" s="548"/>
      <c r="G54" s="548"/>
      <c r="H54" s="548"/>
      <c r="I54" s="548"/>
      <c r="J54" s="548"/>
      <c r="K54" s="548"/>
    </row>
    <row r="55" spans="1:11" ht="24" customHeight="1" x14ac:dyDescent="0.2">
      <c r="A55" s="453" t="s">
        <v>245</v>
      </c>
      <c r="B55" s="548" t="s">
        <v>350</v>
      </c>
      <c r="C55" s="548"/>
      <c r="D55" s="548"/>
      <c r="E55" s="548"/>
      <c r="F55" s="548"/>
      <c r="G55" s="548"/>
      <c r="H55" s="548"/>
      <c r="I55" s="548"/>
      <c r="J55" s="548"/>
      <c r="K55" s="548"/>
    </row>
    <row r="56" spans="1:11" ht="48" customHeight="1" x14ac:dyDescent="0.2">
      <c r="A56" s="453" t="s">
        <v>192</v>
      </c>
      <c r="B56" s="548" t="s">
        <v>351</v>
      </c>
      <c r="C56" s="548"/>
      <c r="D56" s="548"/>
      <c r="E56" s="548"/>
      <c r="F56" s="548"/>
      <c r="G56" s="548"/>
      <c r="H56" s="548"/>
      <c r="I56" s="548"/>
      <c r="J56" s="548"/>
      <c r="K56" s="548"/>
    </row>
    <row r="57" spans="1:11" ht="30" customHeight="1" x14ac:dyDescent="0.2">
      <c r="A57" s="453" t="s">
        <v>194</v>
      </c>
      <c r="B57" s="548" t="s">
        <v>352</v>
      </c>
      <c r="C57" s="548"/>
      <c r="D57" s="548"/>
      <c r="E57" s="548"/>
      <c r="F57" s="548"/>
      <c r="G57" s="548"/>
      <c r="H57" s="548"/>
      <c r="I57" s="548"/>
      <c r="J57" s="548"/>
      <c r="K57" s="548"/>
    </row>
    <row r="58" spans="1:11" ht="15.75" customHeight="1" x14ac:dyDescent="0.2">
      <c r="A58" s="453" t="s">
        <v>196</v>
      </c>
      <c r="B58" s="547" t="s">
        <v>254</v>
      </c>
      <c r="C58" s="547"/>
      <c r="D58" s="547"/>
      <c r="E58" s="547"/>
      <c r="F58" s="547"/>
      <c r="G58" s="547"/>
      <c r="H58" s="547"/>
      <c r="I58" s="547"/>
      <c r="J58" s="547"/>
      <c r="K58" s="547"/>
    </row>
    <row r="59" spans="1:11" ht="48" customHeight="1" x14ac:dyDescent="0.2">
      <c r="A59" s="453" t="s">
        <v>250</v>
      </c>
      <c r="B59" s="548" t="s">
        <v>353</v>
      </c>
      <c r="C59" s="548"/>
      <c r="D59" s="548"/>
      <c r="E59" s="548"/>
      <c r="F59" s="548"/>
      <c r="G59" s="548"/>
      <c r="H59" s="548"/>
      <c r="I59" s="548"/>
      <c r="J59" s="548"/>
      <c r="K59" s="548"/>
    </row>
    <row r="60" spans="1:11" ht="47.25" customHeight="1" x14ac:dyDescent="0.2">
      <c r="A60" s="453" t="s">
        <v>200</v>
      </c>
      <c r="B60" s="548" t="s">
        <v>354</v>
      </c>
      <c r="C60" s="548"/>
      <c r="D60" s="548"/>
      <c r="E60" s="548"/>
      <c r="F60" s="548"/>
      <c r="G60" s="548"/>
      <c r="H60" s="548"/>
      <c r="I60" s="548"/>
      <c r="J60" s="548"/>
      <c r="K60" s="548"/>
    </row>
    <row r="61" spans="1:11" ht="58.5" customHeight="1" x14ac:dyDescent="0.2">
      <c r="A61" s="453" t="s">
        <v>253</v>
      </c>
      <c r="B61" s="548" t="s">
        <v>1449</v>
      </c>
      <c r="C61" s="548"/>
      <c r="D61" s="548"/>
      <c r="E61" s="548"/>
      <c r="F61" s="548"/>
      <c r="G61" s="548"/>
      <c r="H61" s="548"/>
      <c r="I61" s="548"/>
      <c r="J61" s="548"/>
      <c r="K61" s="548"/>
    </row>
    <row r="62" spans="1:11" ht="66.75" customHeight="1" x14ac:dyDescent="0.2">
      <c r="A62" s="453" t="s">
        <v>206</v>
      </c>
      <c r="B62" s="548" t="s">
        <v>355</v>
      </c>
      <c r="C62" s="548"/>
      <c r="D62" s="548"/>
      <c r="E62" s="548"/>
      <c r="F62" s="548"/>
      <c r="G62" s="548"/>
      <c r="H62" s="548"/>
      <c r="I62" s="548"/>
      <c r="J62" s="548"/>
      <c r="K62" s="548"/>
    </row>
    <row r="63" spans="1:11" ht="36" customHeight="1" x14ac:dyDescent="0.2">
      <c r="A63" s="453" t="s">
        <v>210</v>
      </c>
      <c r="B63" s="548" t="s">
        <v>1450</v>
      </c>
      <c r="C63" s="548"/>
      <c r="D63" s="548"/>
      <c r="E63" s="548"/>
      <c r="F63" s="548"/>
      <c r="G63" s="548"/>
      <c r="H63" s="548"/>
      <c r="I63" s="548"/>
      <c r="J63" s="548"/>
      <c r="K63" s="548"/>
    </row>
    <row r="64" spans="1:11" ht="49.5" customHeight="1" x14ac:dyDescent="0.2">
      <c r="A64" s="453" t="s">
        <v>226</v>
      </c>
      <c r="B64" s="548" t="s">
        <v>1451</v>
      </c>
      <c r="C64" s="548"/>
      <c r="D64" s="548"/>
      <c r="E64" s="548"/>
      <c r="F64" s="548"/>
      <c r="G64" s="548"/>
      <c r="H64" s="548"/>
      <c r="I64" s="548"/>
      <c r="J64" s="548"/>
      <c r="K64" s="548"/>
    </row>
    <row r="65" spans="1:11" ht="24" customHeight="1" x14ac:dyDescent="0.2">
      <c r="A65" s="453" t="s">
        <v>229</v>
      </c>
      <c r="B65" s="548" t="s">
        <v>356</v>
      </c>
      <c r="C65" s="548"/>
      <c r="D65" s="548"/>
      <c r="E65" s="548"/>
      <c r="F65" s="548"/>
      <c r="G65" s="548"/>
      <c r="H65" s="548"/>
      <c r="I65" s="548"/>
      <c r="J65" s="548"/>
      <c r="K65" s="548"/>
    </row>
    <row r="66" spans="1:11" ht="15.75" x14ac:dyDescent="0.2">
      <c r="A66" s="453" t="s">
        <v>212</v>
      </c>
      <c r="B66" s="548" t="s">
        <v>357</v>
      </c>
      <c r="C66" s="548"/>
      <c r="D66" s="548"/>
      <c r="E66" s="548"/>
      <c r="F66" s="548"/>
      <c r="G66" s="548"/>
      <c r="H66" s="548"/>
      <c r="I66" s="548"/>
      <c r="J66" s="548"/>
      <c r="K66" s="548"/>
    </row>
  </sheetData>
  <mergeCells count="24">
    <mergeCell ref="H45:J45"/>
    <mergeCell ref="B1:K1"/>
    <mergeCell ref="N41:O41"/>
    <mergeCell ref="G32:J32"/>
    <mergeCell ref="G44:J44"/>
    <mergeCell ref="N4:P4"/>
    <mergeCell ref="B49:K49"/>
    <mergeCell ref="B50:K50"/>
    <mergeCell ref="B51:K51"/>
    <mergeCell ref="B52:K52"/>
    <mergeCell ref="B53:K53"/>
    <mergeCell ref="B65:K65"/>
    <mergeCell ref="B66:K66"/>
    <mergeCell ref="B54:K54"/>
    <mergeCell ref="B55:K55"/>
    <mergeCell ref="B56:K56"/>
    <mergeCell ref="B57:K57"/>
    <mergeCell ref="B58:K58"/>
    <mergeCell ref="B59:K59"/>
    <mergeCell ref="B60:K60"/>
    <mergeCell ref="B61:K61"/>
    <mergeCell ref="B62:K62"/>
    <mergeCell ref="B63:K63"/>
    <mergeCell ref="B64:K64"/>
  </mergeCells>
  <pageMargins left="0.25" right="0.25" top="0.5" bottom="0.5" header="0.5" footer="0.5"/>
  <pageSetup scale="43"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895CD-913B-4834-A497-147A806C7D64}">
  <sheetPr>
    <pageSetUpPr fitToPage="1"/>
  </sheetPr>
  <dimension ref="A1:M64"/>
  <sheetViews>
    <sheetView zoomScale="115" zoomScaleNormal="115" zoomScaleSheetLayoutView="100" workbookViewId="0">
      <selection activeCell="M14" sqref="M14"/>
    </sheetView>
  </sheetViews>
  <sheetFormatPr defaultColWidth="9.140625" defaultRowHeight="12.75" x14ac:dyDescent="0.2"/>
  <cols>
    <col min="1" max="1" width="2" style="382" customWidth="1"/>
    <col min="2" max="2" width="36.7109375" style="382" customWidth="1"/>
    <col min="3" max="3" width="11.5703125" style="396" customWidth="1"/>
    <col min="4" max="5" width="10.140625" style="396" customWidth="1"/>
    <col min="6" max="6" width="11.140625" style="396" customWidth="1"/>
    <col min="7" max="7" width="14.7109375" style="396" customWidth="1"/>
    <col min="8" max="8" width="11.5703125" style="396" customWidth="1"/>
    <col min="9" max="9" width="13.7109375" style="396" customWidth="1"/>
    <col min="10" max="10" width="5.42578125" style="396" customWidth="1"/>
    <col min="11" max="11" width="8.42578125" style="396" customWidth="1"/>
    <col min="12" max="16384" width="9.140625" style="382"/>
  </cols>
  <sheetData>
    <row r="1" spans="2:13" x14ac:dyDescent="0.2">
      <c r="B1" s="562" t="s">
        <v>365</v>
      </c>
      <c r="C1" s="562"/>
      <c r="D1" s="562"/>
      <c r="E1" s="562"/>
      <c r="F1" s="562"/>
      <c r="G1" s="562"/>
      <c r="H1" s="562"/>
      <c r="I1" s="562"/>
      <c r="J1" s="562"/>
      <c r="K1" s="562"/>
    </row>
    <row r="2" spans="2:13" x14ac:dyDescent="0.2">
      <c r="B2" s="564"/>
      <c r="C2" s="565"/>
      <c r="D2" s="565"/>
      <c r="E2" s="565"/>
      <c r="F2" s="565"/>
      <c r="G2" s="565"/>
      <c r="H2" s="565"/>
      <c r="I2" s="565"/>
      <c r="J2" s="565"/>
      <c r="K2" s="565"/>
    </row>
    <row r="3" spans="2:13" x14ac:dyDescent="0.2">
      <c r="B3" s="483"/>
      <c r="C3" s="568" t="s">
        <v>366</v>
      </c>
      <c r="D3" s="568"/>
      <c r="E3" s="568"/>
      <c r="F3" s="568"/>
      <c r="G3" s="568"/>
      <c r="H3" s="568"/>
      <c r="I3" s="568"/>
      <c r="J3" s="573" t="s">
        <v>172</v>
      </c>
      <c r="K3" s="484"/>
    </row>
    <row r="4" spans="2:13" x14ac:dyDescent="0.2">
      <c r="B4" s="569" t="s">
        <v>156</v>
      </c>
      <c r="C4" s="572" t="s">
        <v>367</v>
      </c>
      <c r="D4" s="572"/>
      <c r="E4" s="572"/>
      <c r="F4" s="568" t="s">
        <v>368</v>
      </c>
      <c r="G4" s="568"/>
      <c r="H4" s="568"/>
      <c r="I4" s="568"/>
      <c r="J4" s="573"/>
      <c r="K4" s="484"/>
    </row>
    <row r="5" spans="2:13" x14ac:dyDescent="0.2">
      <c r="B5" s="570"/>
      <c r="C5" s="572"/>
      <c r="D5" s="572"/>
      <c r="E5" s="572"/>
      <c r="F5" s="566" t="s">
        <v>151</v>
      </c>
      <c r="G5" s="566"/>
      <c r="H5" s="567" t="s">
        <v>150</v>
      </c>
      <c r="I5" s="567"/>
      <c r="J5" s="573"/>
      <c r="K5" s="484"/>
    </row>
    <row r="6" spans="2:13" s="386" customFormat="1" ht="38.25" x14ac:dyDescent="0.2">
      <c r="B6" s="571"/>
      <c r="C6" s="416" t="s">
        <v>1442</v>
      </c>
      <c r="D6" s="416" t="s">
        <v>1443</v>
      </c>
      <c r="E6" s="416" t="s">
        <v>1444</v>
      </c>
      <c r="F6" s="416" t="s">
        <v>369</v>
      </c>
      <c r="G6" s="416" t="s">
        <v>370</v>
      </c>
      <c r="H6" s="416" t="s">
        <v>369</v>
      </c>
      <c r="I6" s="416" t="s">
        <v>370</v>
      </c>
      <c r="J6" s="573"/>
      <c r="K6" s="417"/>
    </row>
    <row r="7" spans="2:13" x14ac:dyDescent="0.2">
      <c r="B7" s="390" t="s">
        <v>174</v>
      </c>
      <c r="C7" s="387"/>
      <c r="D7" s="387"/>
      <c r="E7" s="388"/>
      <c r="F7" s="388"/>
      <c r="G7" s="388"/>
      <c r="H7" s="389"/>
      <c r="I7" s="389"/>
      <c r="J7" s="389"/>
      <c r="K7" s="412"/>
    </row>
    <row r="8" spans="2:13" x14ac:dyDescent="0.2">
      <c r="B8" s="390" t="s">
        <v>176</v>
      </c>
      <c r="C8" s="387"/>
      <c r="D8" s="387"/>
      <c r="E8" s="388"/>
      <c r="F8" s="388"/>
      <c r="G8" s="388"/>
      <c r="H8" s="389"/>
      <c r="I8" s="389"/>
      <c r="J8" s="389"/>
      <c r="K8" s="412"/>
    </row>
    <row r="9" spans="2:13" x14ac:dyDescent="0.2">
      <c r="B9" s="390" t="s">
        <v>177</v>
      </c>
      <c r="C9" s="388"/>
      <c r="D9" s="462"/>
      <c r="E9" s="462"/>
      <c r="F9" s="388"/>
      <c r="G9" s="388"/>
      <c r="H9" s="389"/>
      <c r="I9" s="389"/>
      <c r="J9" s="389"/>
      <c r="K9" s="412"/>
    </row>
    <row r="10" spans="2:13" ht="15" customHeight="1" x14ac:dyDescent="0.2">
      <c r="B10" s="441" t="s">
        <v>315</v>
      </c>
      <c r="C10" s="393"/>
      <c r="D10" s="393"/>
      <c r="E10" s="393"/>
      <c r="F10" s="422"/>
      <c r="G10" s="423"/>
      <c r="H10" s="422"/>
      <c r="I10" s="423"/>
      <c r="J10" s="423"/>
      <c r="K10" s="440"/>
    </row>
    <row r="11" spans="2:13" ht="15" customHeight="1" x14ac:dyDescent="0.2">
      <c r="B11" s="394" t="s">
        <v>318</v>
      </c>
      <c r="C11" s="393">
        <f>Respondents!C5</f>
        <v>244</v>
      </c>
      <c r="D11" s="393">
        <f>Respondents!C6</f>
        <v>271</v>
      </c>
      <c r="E11" s="393">
        <f>Respondents!C7</f>
        <v>298</v>
      </c>
      <c r="F11" s="422">
        <v>0.53</v>
      </c>
      <c r="G11" s="423">
        <f>ROUND(AVERAGE(C11,D11,E11)*F11,0)</f>
        <v>144</v>
      </c>
      <c r="H11" s="422">
        <v>0.47</v>
      </c>
      <c r="I11" s="423">
        <f>ROUND(AVERAGE(C11,D11,E11)*H11,0)</f>
        <v>127</v>
      </c>
      <c r="J11" s="423" t="s">
        <v>235</v>
      </c>
      <c r="K11" s="440"/>
      <c r="M11" s="517">
        <f>298*F11</f>
        <v>157.94</v>
      </c>
    </row>
    <row r="12" spans="2:13" ht="15" customHeight="1" x14ac:dyDescent="0.2">
      <c r="B12" s="394" t="s">
        <v>321</v>
      </c>
      <c r="C12" s="393">
        <v>2</v>
      </c>
      <c r="D12" s="393">
        <v>2</v>
      </c>
      <c r="E12" s="393">
        <v>2</v>
      </c>
      <c r="F12" s="422">
        <v>0.53</v>
      </c>
      <c r="G12" s="423">
        <f>ROUND(AVERAGE(C12,D12,E12)*F12,0)</f>
        <v>1</v>
      </c>
      <c r="H12" s="422">
        <v>0.47</v>
      </c>
      <c r="I12" s="423">
        <f>ROUND(AVERAGE(C12,D12,E12)*H12,0)</f>
        <v>1</v>
      </c>
      <c r="J12" s="423" t="s">
        <v>235</v>
      </c>
      <c r="K12" s="440"/>
      <c r="M12" s="517"/>
    </row>
    <row r="13" spans="2:13" x14ac:dyDescent="0.2">
      <c r="B13" s="441" t="s">
        <v>324</v>
      </c>
      <c r="C13" s="393"/>
      <c r="D13" s="393"/>
      <c r="E13" s="393"/>
      <c r="F13" s="422"/>
      <c r="G13" s="422"/>
      <c r="H13" s="422"/>
      <c r="I13" s="422"/>
      <c r="J13" s="422"/>
      <c r="K13" s="412"/>
      <c r="M13" s="382">
        <f>298*H11</f>
        <v>140.06</v>
      </c>
    </row>
    <row r="14" spans="2:13" x14ac:dyDescent="0.2">
      <c r="B14" s="394" t="s">
        <v>325</v>
      </c>
      <c r="C14" s="393">
        <v>20</v>
      </c>
      <c r="D14" s="393">
        <v>0</v>
      </c>
      <c r="E14" s="393">
        <v>4</v>
      </c>
      <c r="F14" s="422">
        <v>0.64</v>
      </c>
      <c r="G14" s="423">
        <f>ROUND(AVERAGE(C14,D14,E14)*F14,0)</f>
        <v>5</v>
      </c>
      <c r="H14" s="422">
        <v>0.36</v>
      </c>
      <c r="I14" s="423">
        <f t="shared" ref="I14:I16" si="0">ROUND(AVERAGE(C14,D14,E14)*H14,0)</f>
        <v>3</v>
      </c>
      <c r="J14" s="423" t="s">
        <v>237</v>
      </c>
      <c r="K14" s="440"/>
    </row>
    <row r="15" spans="2:13" x14ac:dyDescent="0.2">
      <c r="B15" s="394" t="s">
        <v>326</v>
      </c>
      <c r="C15" s="393">
        <f>$C$11</f>
        <v>244</v>
      </c>
      <c r="D15" s="393">
        <f>$D$11</f>
        <v>271</v>
      </c>
      <c r="E15" s="393">
        <f>$E$11</f>
        <v>298</v>
      </c>
      <c r="F15" s="422">
        <v>0.64</v>
      </c>
      <c r="G15" s="423">
        <f t="shared" ref="G15:G16" si="1">ROUND(AVERAGE(C15,D15,E15)*F15,0)</f>
        <v>173</v>
      </c>
      <c r="H15" s="422">
        <v>0.36</v>
      </c>
      <c r="I15" s="423">
        <f t="shared" si="0"/>
        <v>98</v>
      </c>
      <c r="J15" s="423" t="s">
        <v>239</v>
      </c>
      <c r="K15" s="412"/>
    </row>
    <row r="16" spans="2:13" x14ac:dyDescent="0.2">
      <c r="B16" s="394" t="s">
        <v>327</v>
      </c>
      <c r="C16" s="393">
        <f>$C$11</f>
        <v>244</v>
      </c>
      <c r="D16" s="393">
        <f>$D$11</f>
        <v>271</v>
      </c>
      <c r="E16" s="393">
        <f>$E$11</f>
        <v>298</v>
      </c>
      <c r="F16" s="422">
        <v>0.64</v>
      </c>
      <c r="G16" s="423">
        <f t="shared" si="1"/>
        <v>173</v>
      </c>
      <c r="H16" s="422">
        <v>0.36</v>
      </c>
      <c r="I16" s="423">
        <f t="shared" si="0"/>
        <v>98</v>
      </c>
      <c r="J16" s="423" t="s">
        <v>179</v>
      </c>
      <c r="K16" s="412"/>
    </row>
    <row r="17" spans="2:11" x14ac:dyDescent="0.2">
      <c r="B17" s="441" t="s">
        <v>328</v>
      </c>
      <c r="C17" s="424"/>
      <c r="D17" s="424"/>
      <c r="E17" s="393"/>
      <c r="F17" s="422"/>
      <c r="G17" s="422"/>
      <c r="H17" s="422"/>
      <c r="I17" s="422"/>
      <c r="J17" s="422"/>
      <c r="K17" s="412"/>
    </row>
    <row r="18" spans="2:11" x14ac:dyDescent="0.2">
      <c r="B18" s="441" t="s">
        <v>329</v>
      </c>
      <c r="C18" s="424"/>
      <c r="D18" s="424"/>
      <c r="E18" s="393"/>
      <c r="F18" s="422"/>
      <c r="G18" s="422"/>
      <c r="H18" s="422"/>
      <c r="I18" s="422"/>
      <c r="J18" s="422"/>
      <c r="K18" s="412"/>
    </row>
    <row r="19" spans="2:11" x14ac:dyDescent="0.2">
      <c r="B19" s="441" t="s">
        <v>330</v>
      </c>
      <c r="C19" s="393"/>
      <c r="D19" s="393"/>
      <c r="E19" s="393"/>
      <c r="F19" s="422"/>
      <c r="G19" s="422"/>
      <c r="H19" s="422"/>
      <c r="I19" s="422"/>
      <c r="J19" s="422"/>
      <c r="K19" s="412"/>
    </row>
    <row r="20" spans="2:11" x14ac:dyDescent="0.2">
      <c r="B20" s="394" t="s">
        <v>191</v>
      </c>
      <c r="C20" s="393">
        <v>0</v>
      </c>
      <c r="D20" s="393">
        <v>0</v>
      </c>
      <c r="E20" s="393">
        <v>0</v>
      </c>
      <c r="F20" s="422">
        <v>0.36</v>
      </c>
      <c r="G20" s="423">
        <f>ROUND(AVERAGE(C20,D20,E20)*F20,0)</f>
        <v>0</v>
      </c>
      <c r="H20" s="422">
        <v>0.64</v>
      </c>
      <c r="I20" s="423">
        <f>ROUND(AVERAGE(C20,D20,E20)*H20,0)</f>
        <v>0</v>
      </c>
      <c r="J20" s="423" t="s">
        <v>242</v>
      </c>
      <c r="K20" s="412"/>
    </row>
    <row r="21" spans="2:11" x14ac:dyDescent="0.2">
      <c r="B21" s="394" t="s">
        <v>193</v>
      </c>
      <c r="C21" s="393">
        <v>0</v>
      </c>
      <c r="D21" s="393">
        <v>0</v>
      </c>
      <c r="E21" s="393">
        <v>0</v>
      </c>
      <c r="F21" s="422"/>
      <c r="G21" s="423">
        <f>ROUND(AVERAGE(C21,D21,E21)*F21,0)</f>
        <v>0</v>
      </c>
      <c r="H21" s="422"/>
      <c r="I21" s="423">
        <f>ROUND(AVERAGE(C21,D21,E21)*H21,0)</f>
        <v>0</v>
      </c>
      <c r="J21" s="422" t="s">
        <v>204</v>
      </c>
      <c r="K21" s="412"/>
    </row>
    <row r="22" spans="2:11" x14ac:dyDescent="0.2">
      <c r="B22" s="394" t="s">
        <v>195</v>
      </c>
      <c r="C22" s="393">
        <v>29</v>
      </c>
      <c r="D22" s="393">
        <v>30</v>
      </c>
      <c r="E22" s="393">
        <v>28</v>
      </c>
      <c r="F22" s="422">
        <v>0.36</v>
      </c>
      <c r="G22" s="423">
        <f t="shared" ref="G22:G23" si="2">ROUND(AVERAGE(C22,D22,E22)*F22,0)</f>
        <v>10</v>
      </c>
      <c r="H22" s="422">
        <v>0.64</v>
      </c>
      <c r="I22" s="423">
        <f t="shared" ref="I22:I23" si="3">ROUND(AVERAGE(C22,D22,E22)*H22,0)</f>
        <v>19</v>
      </c>
      <c r="J22" s="423" t="s">
        <v>245</v>
      </c>
      <c r="K22" s="412"/>
    </row>
    <row r="23" spans="2:11" x14ac:dyDescent="0.2">
      <c r="B23" s="394" t="s">
        <v>197</v>
      </c>
      <c r="C23" s="393">
        <v>29</v>
      </c>
      <c r="D23" s="393">
        <v>30</v>
      </c>
      <c r="E23" s="393">
        <v>28</v>
      </c>
      <c r="F23" s="422">
        <v>0.36</v>
      </c>
      <c r="G23" s="423">
        <f t="shared" si="2"/>
        <v>10</v>
      </c>
      <c r="H23" s="422">
        <v>0.64</v>
      </c>
      <c r="I23" s="423">
        <f t="shared" si="3"/>
        <v>19</v>
      </c>
      <c r="J23" s="423"/>
      <c r="K23" s="412"/>
    </row>
    <row r="24" spans="2:11" x14ac:dyDescent="0.2">
      <c r="B24" s="394" t="s">
        <v>199</v>
      </c>
      <c r="C24" s="393">
        <v>0</v>
      </c>
      <c r="D24" s="393">
        <v>0</v>
      </c>
      <c r="E24" s="393">
        <v>0</v>
      </c>
      <c r="F24" s="422"/>
      <c r="G24" s="422"/>
      <c r="H24" s="422"/>
      <c r="I24" s="422"/>
      <c r="J24" s="422" t="s">
        <v>192</v>
      </c>
      <c r="K24" s="412"/>
    </row>
    <row r="25" spans="2:11" x14ac:dyDescent="0.2">
      <c r="B25" s="394" t="s">
        <v>201</v>
      </c>
      <c r="C25" s="393">
        <v>0</v>
      </c>
      <c r="D25" s="393">
        <v>0</v>
      </c>
      <c r="E25" s="393">
        <v>0</v>
      </c>
      <c r="F25" s="422"/>
      <c r="G25" s="422"/>
      <c r="H25" s="422"/>
      <c r="I25" s="422"/>
      <c r="J25" s="422" t="s">
        <v>194</v>
      </c>
      <c r="K25" s="412"/>
    </row>
    <row r="26" spans="2:11" ht="25.5" x14ac:dyDescent="0.2">
      <c r="B26" s="394" t="s">
        <v>203</v>
      </c>
      <c r="C26" s="393">
        <f>C14</f>
        <v>20</v>
      </c>
      <c r="D26" s="393">
        <f>D14</f>
        <v>0</v>
      </c>
      <c r="E26" s="393">
        <f>E14</f>
        <v>4</v>
      </c>
      <c r="F26" s="422">
        <v>0.64</v>
      </c>
      <c r="G26" s="423">
        <f t="shared" ref="G26" si="4">ROUND(AVERAGE(C26,D26,E26)*F26,0)</f>
        <v>5</v>
      </c>
      <c r="H26" s="422">
        <v>0.36</v>
      </c>
      <c r="I26" s="423">
        <f t="shared" ref="I26" si="5">ROUND(AVERAGE(C26,D26,E26)*H26,0)</f>
        <v>3</v>
      </c>
      <c r="J26" s="423" t="s">
        <v>196</v>
      </c>
      <c r="K26" s="440"/>
    </row>
    <row r="27" spans="2:11" x14ac:dyDescent="0.2">
      <c r="B27" s="394" t="s">
        <v>333</v>
      </c>
      <c r="C27" s="518">
        <f>C26*0.1</f>
        <v>2</v>
      </c>
      <c r="D27" s="518">
        <f t="shared" ref="D27:E27" si="6">D26*0.1</f>
        <v>0</v>
      </c>
      <c r="E27" s="518">
        <f t="shared" si="6"/>
        <v>0.4</v>
      </c>
      <c r="F27" s="422">
        <v>0.64</v>
      </c>
      <c r="G27" s="434">
        <f>(AVERAGE(C27,D27,E27)*F27)</f>
        <v>0.51200000000000001</v>
      </c>
      <c r="H27" s="422">
        <v>0.36</v>
      </c>
      <c r="I27" s="434">
        <f>(AVERAGE(C27,D27,E27)*H27)</f>
        <v>0.28799999999999998</v>
      </c>
      <c r="J27" s="434" t="s">
        <v>250</v>
      </c>
      <c r="K27" s="412"/>
    </row>
    <row r="28" spans="2:11" x14ac:dyDescent="0.2">
      <c r="B28" s="394" t="s">
        <v>207</v>
      </c>
      <c r="C28" s="393" t="s">
        <v>188</v>
      </c>
      <c r="D28" s="424"/>
      <c r="E28" s="393"/>
      <c r="F28" s="422"/>
      <c r="G28" s="422"/>
      <c r="H28" s="422"/>
      <c r="I28" s="422"/>
      <c r="J28" s="422"/>
      <c r="K28" s="412"/>
    </row>
    <row r="29" spans="2:11" x14ac:dyDescent="0.2">
      <c r="B29" s="394" t="s">
        <v>208</v>
      </c>
      <c r="C29" s="393" t="s">
        <v>188</v>
      </c>
      <c r="D29" s="424"/>
      <c r="E29" s="393"/>
      <c r="F29" s="422"/>
      <c r="G29" s="422"/>
      <c r="H29" s="422"/>
      <c r="I29" s="422"/>
      <c r="J29" s="422"/>
      <c r="K29" s="412"/>
    </row>
    <row r="30" spans="2:11" x14ac:dyDescent="0.2">
      <c r="B30" s="394" t="s">
        <v>209</v>
      </c>
      <c r="C30" s="393">
        <f>$C$11</f>
        <v>244</v>
      </c>
      <c r="D30" s="393">
        <f>$D$11</f>
        <v>271</v>
      </c>
      <c r="E30" s="393">
        <f>$E$11</f>
        <v>298</v>
      </c>
      <c r="F30" s="422">
        <v>0.64</v>
      </c>
      <c r="G30" s="423">
        <f t="shared" ref="G30:G33" si="7">ROUND(AVERAGE(C30,D30,E30)*F30,0)</f>
        <v>173</v>
      </c>
      <c r="H30" s="422">
        <v>0.36</v>
      </c>
      <c r="I30" s="423">
        <f t="shared" ref="I30:I33" si="8">ROUND(AVERAGE(C30,D30,E30)*H30,0)</f>
        <v>98</v>
      </c>
      <c r="J30" s="423" t="s">
        <v>200</v>
      </c>
      <c r="K30" s="412"/>
    </row>
    <row r="31" spans="2:11" x14ac:dyDescent="0.2">
      <c r="B31" s="394" t="s">
        <v>211</v>
      </c>
      <c r="C31" s="393">
        <v>2</v>
      </c>
      <c r="D31" s="393">
        <v>2</v>
      </c>
      <c r="E31" s="393">
        <v>2</v>
      </c>
      <c r="F31" s="422">
        <v>0.5</v>
      </c>
      <c r="G31" s="423">
        <f t="shared" si="7"/>
        <v>1</v>
      </c>
      <c r="H31" s="422">
        <v>0.5</v>
      </c>
      <c r="I31" s="423">
        <f t="shared" si="8"/>
        <v>1</v>
      </c>
      <c r="J31" s="423" t="s">
        <v>253</v>
      </c>
      <c r="K31" s="412"/>
    </row>
    <row r="32" spans="2:11" x14ac:dyDescent="0.2">
      <c r="B32" s="394" t="s">
        <v>213</v>
      </c>
      <c r="C32" s="393">
        <v>2</v>
      </c>
      <c r="D32" s="393">
        <v>2</v>
      </c>
      <c r="E32" s="393">
        <v>2</v>
      </c>
      <c r="F32" s="422">
        <v>0.5</v>
      </c>
      <c r="G32" s="423">
        <f t="shared" si="7"/>
        <v>1</v>
      </c>
      <c r="H32" s="422">
        <v>0.5</v>
      </c>
      <c r="I32" s="423">
        <f t="shared" si="8"/>
        <v>1</v>
      </c>
      <c r="J32" s="423" t="s">
        <v>253</v>
      </c>
      <c r="K32" s="412"/>
    </row>
    <row r="33" spans="1:11" x14ac:dyDescent="0.2">
      <c r="B33" s="394" t="s">
        <v>214</v>
      </c>
      <c r="C33" s="393">
        <v>2</v>
      </c>
      <c r="D33" s="393">
        <v>2</v>
      </c>
      <c r="E33" s="393">
        <v>2</v>
      </c>
      <c r="F33" s="422">
        <v>0.5</v>
      </c>
      <c r="G33" s="423">
        <f t="shared" si="7"/>
        <v>1</v>
      </c>
      <c r="H33" s="422">
        <v>0.5</v>
      </c>
      <c r="I33" s="423">
        <f t="shared" si="8"/>
        <v>1</v>
      </c>
      <c r="J33" s="423" t="s">
        <v>253</v>
      </c>
      <c r="K33" s="412"/>
    </row>
    <row r="34" spans="1:11" x14ac:dyDescent="0.2">
      <c r="B34" s="394" t="s">
        <v>215</v>
      </c>
      <c r="C34" s="393">
        <f>G34+I34</f>
        <v>32</v>
      </c>
      <c r="D34" s="393">
        <f>C34</f>
        <v>32</v>
      </c>
      <c r="E34" s="393">
        <f>C34</f>
        <v>32</v>
      </c>
      <c r="F34" s="476">
        <f>G34/C34</f>
        <v>0.46875</v>
      </c>
      <c r="G34" s="388">
        <v>15</v>
      </c>
      <c r="H34" s="477">
        <f>I34/C34</f>
        <v>0.53125</v>
      </c>
      <c r="I34" s="391">
        <v>17</v>
      </c>
      <c r="J34" s="391" t="s">
        <v>206</v>
      </c>
      <c r="K34" s="440"/>
    </row>
    <row r="35" spans="1:11" ht="13.5" x14ac:dyDescent="0.25">
      <c r="B35" s="425"/>
      <c r="C35" s="519"/>
      <c r="D35" s="519"/>
      <c r="E35" s="519"/>
      <c r="F35" s="398"/>
      <c r="G35" s="398"/>
      <c r="H35" s="399"/>
      <c r="I35" s="399"/>
      <c r="J35" s="399"/>
      <c r="K35" s="426"/>
    </row>
    <row r="36" spans="1:11" x14ac:dyDescent="0.2">
      <c r="B36" s="390" t="s">
        <v>218</v>
      </c>
      <c r="C36" s="393"/>
      <c r="D36" s="393"/>
      <c r="E36" s="393"/>
      <c r="F36" s="388"/>
      <c r="G36" s="388"/>
      <c r="H36" s="389"/>
      <c r="I36" s="389"/>
      <c r="J36" s="389"/>
      <c r="K36" s="412"/>
    </row>
    <row r="37" spans="1:11" x14ac:dyDescent="0.2">
      <c r="B37" s="441" t="s">
        <v>335</v>
      </c>
      <c r="C37" s="393" t="s">
        <v>336</v>
      </c>
      <c r="D37" s="424"/>
      <c r="E37" s="393"/>
      <c r="F37" s="388"/>
      <c r="G37" s="388"/>
      <c r="H37" s="389"/>
      <c r="I37" s="389"/>
      <c r="J37" s="389"/>
      <c r="K37" s="412"/>
    </row>
    <row r="38" spans="1:11" x14ac:dyDescent="0.2">
      <c r="B38" s="441" t="s">
        <v>337</v>
      </c>
      <c r="C38" s="393" t="s">
        <v>309</v>
      </c>
      <c r="D38" s="424"/>
      <c r="E38" s="393"/>
      <c r="F38" s="388"/>
      <c r="G38" s="388"/>
      <c r="H38" s="389"/>
      <c r="I38" s="389"/>
      <c r="J38" s="389"/>
      <c r="K38" s="412"/>
    </row>
    <row r="39" spans="1:11" x14ac:dyDescent="0.2">
      <c r="B39" s="441" t="s">
        <v>338</v>
      </c>
      <c r="C39" s="393" t="s">
        <v>309</v>
      </c>
      <c r="D39" s="424"/>
      <c r="E39" s="393"/>
      <c r="F39" s="388"/>
      <c r="G39" s="388"/>
      <c r="H39" s="389"/>
      <c r="I39" s="389"/>
      <c r="J39" s="389"/>
      <c r="K39" s="412"/>
    </row>
    <row r="40" spans="1:11" x14ac:dyDescent="0.2">
      <c r="B40" s="441" t="s">
        <v>339</v>
      </c>
      <c r="C40" s="393" t="s">
        <v>309</v>
      </c>
      <c r="D40" s="424"/>
      <c r="E40" s="393"/>
      <c r="F40" s="388"/>
      <c r="G40" s="388"/>
      <c r="H40" s="389"/>
      <c r="I40" s="389"/>
      <c r="J40" s="389"/>
      <c r="K40" s="412"/>
    </row>
    <row r="41" spans="1:11" x14ac:dyDescent="0.2">
      <c r="B41" s="441" t="s">
        <v>340</v>
      </c>
      <c r="C41" s="393"/>
      <c r="D41" s="393"/>
      <c r="E41" s="393"/>
      <c r="F41" s="388"/>
      <c r="G41" s="388"/>
      <c r="H41" s="389"/>
      <c r="I41" s="389"/>
      <c r="J41" s="389"/>
      <c r="K41" s="412"/>
    </row>
    <row r="42" spans="1:11" ht="12.75" customHeight="1" x14ac:dyDescent="0.2">
      <c r="B42" s="394" t="s">
        <v>225</v>
      </c>
      <c r="C42" s="393">
        <f>$C$11</f>
        <v>244</v>
      </c>
      <c r="D42" s="393">
        <f>$D$11</f>
        <v>271</v>
      </c>
      <c r="E42" s="393">
        <f>$E$11</f>
        <v>298</v>
      </c>
      <c r="F42" s="422">
        <v>0.64</v>
      </c>
      <c r="G42" s="423">
        <f t="shared" ref="G42:G44" si="9">ROUND(AVERAGE(C42,D42,E42)*F42,0)</f>
        <v>173</v>
      </c>
      <c r="H42" s="422">
        <v>0.36</v>
      </c>
      <c r="I42" s="423">
        <f t="shared" ref="I42:I44" si="10">ROUND(AVERAGE(C42,D42,E42)*H42,0)</f>
        <v>98</v>
      </c>
      <c r="J42" s="423" t="s">
        <v>210</v>
      </c>
      <c r="K42" s="412"/>
    </row>
    <row r="43" spans="1:11" ht="25.5" x14ac:dyDescent="0.2">
      <c r="B43" s="394" t="s">
        <v>227</v>
      </c>
      <c r="C43" s="393">
        <f>$C$11</f>
        <v>244</v>
      </c>
      <c r="D43" s="393">
        <f>$D$11</f>
        <v>271</v>
      </c>
      <c r="E43" s="393">
        <f>$E$11</f>
        <v>298</v>
      </c>
      <c r="F43" s="422">
        <v>0.64</v>
      </c>
      <c r="G43" s="423">
        <f t="shared" si="9"/>
        <v>173</v>
      </c>
      <c r="H43" s="422">
        <v>0.36</v>
      </c>
      <c r="I43" s="423">
        <f t="shared" si="10"/>
        <v>98</v>
      </c>
      <c r="J43" s="423" t="s">
        <v>210</v>
      </c>
      <c r="K43" s="412"/>
    </row>
    <row r="44" spans="1:11" ht="15.75" customHeight="1" x14ac:dyDescent="0.2">
      <c r="B44" s="394" t="s">
        <v>228</v>
      </c>
      <c r="C44" s="393">
        <v>0</v>
      </c>
      <c r="D44" s="393">
        <v>0</v>
      </c>
      <c r="E44" s="393">
        <v>0</v>
      </c>
      <c r="F44" s="422">
        <v>0.36</v>
      </c>
      <c r="G44" s="423">
        <f t="shared" si="9"/>
        <v>0</v>
      </c>
      <c r="H44" s="422">
        <v>0.64</v>
      </c>
      <c r="I44" s="423">
        <f t="shared" si="10"/>
        <v>0</v>
      </c>
      <c r="J44" s="423" t="s">
        <v>226</v>
      </c>
      <c r="K44" s="440"/>
    </row>
    <row r="45" spans="1:11" x14ac:dyDescent="0.2">
      <c r="B45" s="441" t="s">
        <v>341</v>
      </c>
      <c r="C45" s="393" t="s">
        <v>309</v>
      </c>
      <c r="D45" s="424"/>
      <c r="E45" s="393"/>
      <c r="F45" s="388"/>
      <c r="G45" s="388"/>
      <c r="H45" s="391"/>
      <c r="I45" s="391"/>
      <c r="J45" s="391"/>
      <c r="K45" s="412"/>
    </row>
    <row r="46" spans="1:11" x14ac:dyDescent="0.2">
      <c r="B46" s="441" t="s">
        <v>342</v>
      </c>
      <c r="C46" s="393" t="s">
        <v>309</v>
      </c>
      <c r="D46" s="424"/>
      <c r="E46" s="393"/>
      <c r="F46" s="388"/>
      <c r="G46" s="388"/>
      <c r="H46" s="391"/>
      <c r="I46" s="391"/>
      <c r="J46" s="391"/>
      <c r="K46" s="412"/>
    </row>
    <row r="47" spans="1:11" s="404" customFormat="1" x14ac:dyDescent="0.2">
      <c r="B47" s="484"/>
      <c r="C47" s="484"/>
      <c r="D47" s="407"/>
      <c r="E47" s="407"/>
      <c r="F47" s="484"/>
      <c r="G47" s="484"/>
      <c r="H47" s="428"/>
      <c r="I47" s="428"/>
      <c r="J47" s="428"/>
    </row>
    <row r="48" spans="1:11" s="404" customFormat="1" ht="15" customHeight="1" x14ac:dyDescent="0.2">
      <c r="A48" s="562" t="s">
        <v>347</v>
      </c>
      <c r="B48" s="562"/>
      <c r="C48" s="484"/>
      <c r="D48" s="407"/>
      <c r="E48" s="407"/>
      <c r="F48" s="484"/>
      <c r="G48" s="484"/>
      <c r="H48" s="428"/>
      <c r="I48" s="428"/>
      <c r="J48" s="428"/>
    </row>
    <row r="49" spans="1:11" s="409" customFormat="1" ht="31.5" customHeight="1" x14ac:dyDescent="0.2">
      <c r="A49" s="520" t="s">
        <v>235</v>
      </c>
      <c r="B49" s="563" t="s">
        <v>371</v>
      </c>
      <c r="C49" s="563"/>
      <c r="D49" s="563"/>
      <c r="E49" s="563"/>
      <c r="F49" s="563"/>
      <c r="G49" s="563"/>
      <c r="H49" s="563"/>
      <c r="I49" s="563"/>
      <c r="J49" s="444"/>
      <c r="K49" s="445"/>
    </row>
    <row r="50" spans="1:11" s="409" customFormat="1" ht="40.5" customHeight="1" x14ac:dyDescent="0.2">
      <c r="A50" s="520" t="s">
        <v>237</v>
      </c>
      <c r="B50" s="563" t="s">
        <v>372</v>
      </c>
      <c r="C50" s="563"/>
      <c r="D50" s="563"/>
      <c r="E50" s="563"/>
      <c r="F50" s="563"/>
      <c r="G50" s="563"/>
      <c r="H50" s="563"/>
      <c r="I50" s="563"/>
      <c r="J50" s="442"/>
      <c r="K50" s="446"/>
    </row>
    <row r="51" spans="1:11" s="386" customFormat="1" ht="18" customHeight="1" x14ac:dyDescent="0.2">
      <c r="A51" s="520" t="s">
        <v>239</v>
      </c>
      <c r="B51" s="548" t="s">
        <v>373</v>
      </c>
      <c r="C51" s="548"/>
      <c r="D51" s="548"/>
      <c r="E51" s="548"/>
      <c r="F51" s="548"/>
      <c r="G51" s="548"/>
      <c r="H51" s="548"/>
      <c r="I51" s="548"/>
      <c r="J51" s="418"/>
      <c r="K51" s="418"/>
    </row>
    <row r="52" spans="1:11" s="386" customFormat="1" ht="15.75" x14ac:dyDescent="0.2">
      <c r="A52" s="521" t="s">
        <v>179</v>
      </c>
      <c r="B52" s="548" t="s">
        <v>374</v>
      </c>
      <c r="C52" s="548"/>
      <c r="D52" s="548"/>
      <c r="E52" s="548"/>
      <c r="F52" s="548"/>
      <c r="G52" s="548"/>
      <c r="H52" s="548"/>
      <c r="I52" s="548"/>
      <c r="J52" s="409"/>
      <c r="K52" s="409"/>
    </row>
    <row r="53" spans="1:11" s="386" customFormat="1" ht="30.75" customHeight="1" x14ac:dyDescent="0.2">
      <c r="A53" s="521" t="s">
        <v>242</v>
      </c>
      <c r="B53" s="548" t="s">
        <v>375</v>
      </c>
      <c r="C53" s="548"/>
      <c r="D53" s="548"/>
      <c r="E53" s="548"/>
      <c r="F53" s="548"/>
      <c r="G53" s="548"/>
      <c r="H53" s="548"/>
      <c r="I53" s="548"/>
      <c r="J53" s="411"/>
      <c r="K53" s="411"/>
    </row>
    <row r="54" spans="1:11" s="386" customFormat="1" ht="15.75" x14ac:dyDescent="0.2">
      <c r="A54" s="521" t="s">
        <v>204</v>
      </c>
      <c r="B54" s="548" t="s">
        <v>376</v>
      </c>
      <c r="C54" s="548"/>
      <c r="D54" s="548"/>
      <c r="E54" s="548"/>
      <c r="F54" s="548"/>
      <c r="G54" s="548"/>
      <c r="H54" s="548"/>
      <c r="I54" s="548"/>
    </row>
    <row r="55" spans="1:11" s="386" customFormat="1" ht="25.5" customHeight="1" x14ac:dyDescent="0.2">
      <c r="A55" s="521" t="s">
        <v>245</v>
      </c>
      <c r="B55" s="548" t="s">
        <v>377</v>
      </c>
      <c r="C55" s="548"/>
      <c r="D55" s="548"/>
      <c r="E55" s="548"/>
      <c r="F55" s="548"/>
      <c r="G55" s="548"/>
      <c r="H55" s="548"/>
      <c r="I55" s="548"/>
    </row>
    <row r="56" spans="1:11" s="386" customFormat="1" ht="15.75" x14ac:dyDescent="0.2">
      <c r="A56" s="521" t="s">
        <v>192</v>
      </c>
      <c r="B56" s="548" t="s">
        <v>378</v>
      </c>
      <c r="C56" s="548"/>
      <c r="D56" s="548"/>
      <c r="E56" s="548"/>
      <c r="F56" s="548"/>
      <c r="G56" s="548"/>
      <c r="H56" s="548"/>
      <c r="I56" s="548"/>
    </row>
    <row r="57" spans="1:11" s="386" customFormat="1" ht="15.75" x14ac:dyDescent="0.2">
      <c r="A57" s="521" t="s">
        <v>194</v>
      </c>
      <c r="B57" s="548" t="s">
        <v>379</v>
      </c>
      <c r="C57" s="548"/>
      <c r="D57" s="548"/>
      <c r="E57" s="548"/>
      <c r="F57" s="548"/>
      <c r="G57" s="548"/>
      <c r="H57" s="548"/>
      <c r="I57" s="548"/>
    </row>
    <row r="58" spans="1:11" s="386" customFormat="1" ht="39.950000000000003" customHeight="1" x14ac:dyDescent="0.2">
      <c r="A58" s="521" t="s">
        <v>196</v>
      </c>
      <c r="B58" s="548" t="s">
        <v>380</v>
      </c>
      <c r="C58" s="548"/>
      <c r="D58" s="548"/>
      <c r="E58" s="548"/>
      <c r="F58" s="548"/>
      <c r="G58" s="548"/>
      <c r="H58" s="548"/>
      <c r="I58" s="548"/>
      <c r="J58" s="418"/>
      <c r="K58" s="418"/>
    </row>
    <row r="59" spans="1:11" s="386" customFormat="1" ht="15.75" x14ac:dyDescent="0.2">
      <c r="A59" s="521" t="s">
        <v>250</v>
      </c>
      <c r="B59" s="548" t="s">
        <v>381</v>
      </c>
      <c r="C59" s="548"/>
      <c r="D59" s="548"/>
      <c r="E59" s="548"/>
      <c r="F59" s="548"/>
      <c r="G59" s="548"/>
      <c r="H59" s="548"/>
      <c r="I59" s="548"/>
      <c r="J59" s="418"/>
      <c r="K59" s="418"/>
    </row>
    <row r="60" spans="1:11" s="386" customFormat="1" ht="15.75" x14ac:dyDescent="0.2">
      <c r="A60" s="521" t="s">
        <v>200</v>
      </c>
      <c r="B60" s="548" t="s">
        <v>382</v>
      </c>
      <c r="C60" s="548"/>
      <c r="D60" s="548"/>
      <c r="E60" s="548"/>
      <c r="F60" s="548"/>
      <c r="G60" s="548"/>
      <c r="H60" s="548"/>
      <c r="I60" s="548"/>
    </row>
    <row r="61" spans="1:11" s="386" customFormat="1" ht="83.25" customHeight="1" x14ac:dyDescent="0.2">
      <c r="A61" s="521" t="s">
        <v>253</v>
      </c>
      <c r="B61" s="548" t="s">
        <v>259</v>
      </c>
      <c r="C61" s="548"/>
      <c r="D61" s="548"/>
      <c r="E61" s="548"/>
      <c r="F61" s="548"/>
      <c r="G61" s="548"/>
      <c r="H61" s="548"/>
      <c r="I61" s="548"/>
    </row>
    <row r="62" spans="1:11" s="386" customFormat="1" ht="16.5" customHeight="1" x14ac:dyDescent="0.2">
      <c r="A62" s="520" t="s">
        <v>206</v>
      </c>
      <c r="B62" s="548" t="s">
        <v>383</v>
      </c>
      <c r="C62" s="548"/>
      <c r="D62" s="548"/>
      <c r="E62" s="548"/>
      <c r="F62" s="548"/>
      <c r="G62" s="548"/>
      <c r="H62" s="548"/>
      <c r="I62" s="548"/>
    </row>
    <row r="63" spans="1:11" s="386" customFormat="1" ht="15.75" x14ac:dyDescent="0.2">
      <c r="A63" s="520" t="s">
        <v>210</v>
      </c>
      <c r="B63" s="548" t="s">
        <v>382</v>
      </c>
      <c r="C63" s="548"/>
      <c r="D63" s="548"/>
      <c r="E63" s="548"/>
      <c r="F63" s="548"/>
      <c r="G63" s="548"/>
      <c r="H63" s="548"/>
      <c r="I63" s="548"/>
      <c r="J63" s="418"/>
      <c r="K63" s="418"/>
    </row>
    <row r="64" spans="1:11" s="386" customFormat="1" ht="15.75" x14ac:dyDescent="0.2">
      <c r="A64" s="520" t="s">
        <v>226</v>
      </c>
      <c r="B64" s="548" t="s">
        <v>384</v>
      </c>
      <c r="C64" s="548"/>
      <c r="D64" s="548"/>
      <c r="E64" s="548"/>
      <c r="F64" s="548"/>
      <c r="G64" s="548"/>
      <c r="H64" s="548"/>
      <c r="I64" s="548"/>
      <c r="J64" s="418"/>
      <c r="K64" s="418"/>
    </row>
  </sheetData>
  <mergeCells count="26">
    <mergeCell ref="B53:I53"/>
    <mergeCell ref="B1:K1"/>
    <mergeCell ref="B2:K2"/>
    <mergeCell ref="F5:G5"/>
    <mergeCell ref="H5:I5"/>
    <mergeCell ref="F4:I4"/>
    <mergeCell ref="B4:B6"/>
    <mergeCell ref="C3:I3"/>
    <mergeCell ref="C4:E5"/>
    <mergeCell ref="J3:J6"/>
    <mergeCell ref="B62:I62"/>
    <mergeCell ref="B63:I63"/>
    <mergeCell ref="B64:I64"/>
    <mergeCell ref="A48:B48"/>
    <mergeCell ref="B59:I59"/>
    <mergeCell ref="B60:I60"/>
    <mergeCell ref="B61:I61"/>
    <mergeCell ref="B54:I54"/>
    <mergeCell ref="B55:I55"/>
    <mergeCell ref="B56:I56"/>
    <mergeCell ref="B57:I57"/>
    <mergeCell ref="B58:I58"/>
    <mergeCell ref="B49:I49"/>
    <mergeCell ref="B50:I50"/>
    <mergeCell ref="B51:I51"/>
    <mergeCell ref="B52:I52"/>
  </mergeCells>
  <pageMargins left="0.25" right="0.25" top="0.5" bottom="0.5" header="0.5" footer="0.5"/>
  <pageSetup scale="3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12E72-22C0-4138-BE60-018C8583C670}">
  <sheetPr>
    <pageSetUpPr fitToPage="1"/>
  </sheetPr>
  <dimension ref="A1:S55"/>
  <sheetViews>
    <sheetView zoomScaleNormal="100" zoomScaleSheetLayoutView="85" workbookViewId="0">
      <selection activeCell="G27" sqref="G27:I27"/>
    </sheetView>
  </sheetViews>
  <sheetFormatPr defaultColWidth="9.140625" defaultRowHeight="12.75" x14ac:dyDescent="0.2"/>
  <cols>
    <col min="1" max="1" width="2.28515625" style="363" customWidth="1"/>
    <col min="2" max="2" width="2.42578125" style="363" customWidth="1"/>
    <col min="3" max="3" width="2.140625" style="363" customWidth="1"/>
    <col min="4" max="4" width="1.42578125" style="363" customWidth="1"/>
    <col min="5" max="5" width="2.42578125" style="363" customWidth="1"/>
    <col min="6" max="6" width="44.7109375" style="363" customWidth="1"/>
    <col min="7" max="7" width="12" style="364" customWidth="1"/>
    <col min="8" max="8" width="13" style="364" customWidth="1"/>
    <col min="9" max="10" width="14.28515625" style="364" customWidth="1"/>
    <col min="11" max="11" width="10.5703125" style="364" customWidth="1"/>
    <col min="12" max="12" width="12.7109375" style="364" customWidth="1"/>
    <col min="13" max="13" width="14" style="364" customWidth="1"/>
    <col min="14" max="14" width="13" style="365" customWidth="1"/>
    <col min="15" max="15" width="6.7109375" style="366" customWidth="1"/>
    <col min="16" max="16" width="3.42578125" style="363" customWidth="1"/>
    <col min="17" max="17" width="13" style="363" customWidth="1"/>
    <col min="18" max="16384" width="9.140625" style="363"/>
  </cols>
  <sheetData>
    <row r="1" spans="1:18" x14ac:dyDescent="0.2">
      <c r="A1" s="594" t="s">
        <v>385</v>
      </c>
      <c r="B1" s="594"/>
      <c r="C1" s="594"/>
      <c r="D1" s="594"/>
      <c r="E1" s="594"/>
      <c r="F1" s="594"/>
      <c r="G1" s="594"/>
      <c r="H1" s="594"/>
      <c r="I1" s="594"/>
      <c r="J1" s="594"/>
      <c r="K1" s="594"/>
      <c r="L1" s="594"/>
      <c r="M1" s="594"/>
      <c r="N1" s="594"/>
      <c r="O1" s="594"/>
    </row>
    <row r="2" spans="1:18" ht="15" customHeight="1" x14ac:dyDescent="0.2">
      <c r="A2" s="597"/>
      <c r="B2" s="597"/>
      <c r="C2" s="597"/>
      <c r="D2" s="597"/>
      <c r="E2" s="597"/>
      <c r="F2" s="597"/>
      <c r="G2" s="597"/>
      <c r="H2" s="597"/>
      <c r="I2" s="597"/>
      <c r="J2" s="597"/>
      <c r="K2" s="597"/>
      <c r="L2" s="597"/>
      <c r="M2" s="597"/>
      <c r="N2" s="597"/>
      <c r="O2" s="597"/>
    </row>
    <row r="3" spans="1:18" s="369" customFormat="1" ht="68.25" customHeight="1" x14ac:dyDescent="0.2">
      <c r="A3" s="583" t="s">
        <v>156</v>
      </c>
      <c r="B3" s="583"/>
      <c r="C3" s="583"/>
      <c r="D3" s="583"/>
      <c r="E3" s="583"/>
      <c r="F3" s="583"/>
      <c r="G3" s="367" t="s">
        <v>386</v>
      </c>
      <c r="H3" s="367" t="s">
        <v>387</v>
      </c>
      <c r="I3" s="367" t="s">
        <v>388</v>
      </c>
      <c r="J3" s="367" t="s">
        <v>389</v>
      </c>
      <c r="K3" s="367" t="s">
        <v>390</v>
      </c>
      <c r="L3" s="367" t="s">
        <v>391</v>
      </c>
      <c r="M3" s="367" t="s">
        <v>392</v>
      </c>
      <c r="N3" s="459" t="s">
        <v>393</v>
      </c>
      <c r="O3" s="368" t="s">
        <v>172</v>
      </c>
      <c r="P3" s="460"/>
    </row>
    <row r="4" spans="1:18" x14ac:dyDescent="0.2">
      <c r="A4" s="447" t="s">
        <v>394</v>
      </c>
      <c r="B4" s="590" t="s">
        <v>395</v>
      </c>
      <c r="C4" s="590"/>
      <c r="D4" s="590"/>
      <c r="E4" s="590"/>
      <c r="F4" s="591"/>
      <c r="G4" s="370">
        <v>4</v>
      </c>
      <c r="H4" s="370">
        <v>1</v>
      </c>
      <c r="I4" s="371">
        <f>G4*H4</f>
        <v>4</v>
      </c>
      <c r="J4" s="371">
        <v>10</v>
      </c>
      <c r="K4" s="371">
        <f>I4*J4</f>
        <v>40</v>
      </c>
      <c r="L4" s="371">
        <f>K4*0.05</f>
        <v>2</v>
      </c>
      <c r="M4" s="371">
        <f>K4*0.1</f>
        <v>4</v>
      </c>
      <c r="N4" s="372">
        <f>(K4*R$6)+(L4*R$5)+(M4*R$7)</f>
        <v>2560.2240000000002</v>
      </c>
      <c r="O4" s="373" t="s">
        <v>239</v>
      </c>
      <c r="Q4" s="581" t="s">
        <v>396</v>
      </c>
      <c r="R4" s="582"/>
    </row>
    <row r="5" spans="1:18" ht="18" customHeight="1" x14ac:dyDescent="0.2">
      <c r="A5" s="448" t="s">
        <v>397</v>
      </c>
      <c r="B5" s="595" t="s">
        <v>398</v>
      </c>
      <c r="C5" s="595"/>
      <c r="D5" s="595"/>
      <c r="E5" s="595"/>
      <c r="F5" s="596"/>
      <c r="G5" s="370">
        <v>2</v>
      </c>
      <c r="H5" s="371">
        <v>1</v>
      </c>
      <c r="I5" s="371">
        <f>G5*H5</f>
        <v>2</v>
      </c>
      <c r="J5" s="371">
        <f>'Table 1C'!G30+'Table 1C'!I30</f>
        <v>271</v>
      </c>
      <c r="K5" s="371">
        <f>I5*J5</f>
        <v>542</v>
      </c>
      <c r="L5" s="371">
        <f>K5*0.05</f>
        <v>27.1</v>
      </c>
      <c r="M5" s="371">
        <f>K5*0.1</f>
        <v>54.2</v>
      </c>
      <c r="N5" s="372">
        <f t="shared" ref="N5:N26" si="0">(K5*R$6)+(L5*R$5)+(M5*R$7)</f>
        <v>34691.035200000006</v>
      </c>
      <c r="O5" s="373" t="s">
        <v>179</v>
      </c>
      <c r="Q5" s="360" t="s">
        <v>314</v>
      </c>
      <c r="R5" s="489">
        <v>76.912000000000006</v>
      </c>
    </row>
    <row r="6" spans="1:18" ht="15" customHeight="1" x14ac:dyDescent="0.2">
      <c r="A6" s="448" t="s">
        <v>399</v>
      </c>
      <c r="B6" s="578" t="s">
        <v>400</v>
      </c>
      <c r="C6" s="578"/>
      <c r="D6" s="578"/>
      <c r="E6" s="578"/>
      <c r="F6" s="579"/>
      <c r="G6" s="370"/>
      <c r="H6" s="370"/>
      <c r="I6" s="371"/>
      <c r="J6" s="371"/>
      <c r="K6" s="371"/>
      <c r="L6" s="371"/>
      <c r="M6" s="371"/>
      <c r="N6" s="372">
        <f t="shared" si="0"/>
        <v>0</v>
      </c>
      <c r="O6" s="373"/>
      <c r="Q6" s="361" t="s">
        <v>401</v>
      </c>
      <c r="R6" s="489">
        <v>57.072000000000003</v>
      </c>
    </row>
    <row r="7" spans="1:18" ht="15" customHeight="1" x14ac:dyDescent="0.2">
      <c r="A7" s="448"/>
      <c r="B7" s="448" t="s">
        <v>402</v>
      </c>
      <c r="C7" s="578" t="s">
        <v>403</v>
      </c>
      <c r="D7" s="578"/>
      <c r="E7" s="578"/>
      <c r="F7" s="579"/>
      <c r="G7" s="370">
        <v>12</v>
      </c>
      <c r="H7" s="374">
        <f>'Table 1B'!D11*0.2</f>
        <v>0.2</v>
      </c>
      <c r="I7" s="371">
        <f t="shared" ref="I7:I12" si="1">G7*H7</f>
        <v>2.4000000000000004</v>
      </c>
      <c r="J7" s="371">
        <f>'Table 1C'!G14+'Table 1C'!I14</f>
        <v>8</v>
      </c>
      <c r="K7" s="371">
        <f t="shared" ref="K7:K12" si="2">I7*J7</f>
        <v>19.200000000000003</v>
      </c>
      <c r="L7" s="371">
        <f t="shared" ref="L7:L12" si="3">K7*0.05</f>
        <v>0.96000000000000019</v>
      </c>
      <c r="M7" s="371">
        <f t="shared" ref="M7:M12" si="4">K7*0.1</f>
        <v>1.9200000000000004</v>
      </c>
      <c r="N7" s="372">
        <f t="shared" si="0"/>
        <v>1228.9075200000004</v>
      </c>
      <c r="O7" s="373" t="s">
        <v>242</v>
      </c>
      <c r="Q7" s="360" t="s">
        <v>322</v>
      </c>
      <c r="R7" s="489">
        <v>30.880000000000003</v>
      </c>
    </row>
    <row r="8" spans="1:18" ht="15" customHeight="1" x14ac:dyDescent="0.2">
      <c r="A8" s="448"/>
      <c r="B8" s="448" t="s">
        <v>404</v>
      </c>
      <c r="C8" s="578" t="s">
        <v>405</v>
      </c>
      <c r="D8" s="578"/>
      <c r="E8" s="578"/>
      <c r="F8" s="579"/>
      <c r="G8" s="370">
        <v>20</v>
      </c>
      <c r="H8" s="374">
        <v>0.2</v>
      </c>
      <c r="I8" s="371">
        <f t="shared" si="1"/>
        <v>4</v>
      </c>
      <c r="J8" s="371">
        <f>'Table 1C'!G15+'Table 1C'!I15</f>
        <v>271</v>
      </c>
      <c r="K8" s="371">
        <f t="shared" si="2"/>
        <v>1084</v>
      </c>
      <c r="L8" s="371">
        <f t="shared" si="3"/>
        <v>54.2</v>
      </c>
      <c r="M8" s="371">
        <f t="shared" si="4"/>
        <v>108.4</v>
      </c>
      <c r="N8" s="372">
        <f t="shared" si="0"/>
        <v>69382.070400000011</v>
      </c>
      <c r="O8" s="373" t="s">
        <v>242</v>
      </c>
    </row>
    <row r="9" spans="1:18" ht="15" customHeight="1" x14ac:dyDescent="0.2">
      <c r="A9" s="448"/>
      <c r="B9" s="448" t="s">
        <v>406</v>
      </c>
      <c r="C9" s="578" t="s">
        <v>407</v>
      </c>
      <c r="D9" s="578"/>
      <c r="E9" s="578"/>
      <c r="F9" s="579"/>
      <c r="G9" s="370">
        <v>1</v>
      </c>
      <c r="H9" s="371">
        <v>1</v>
      </c>
      <c r="I9" s="371">
        <f t="shared" si="1"/>
        <v>1</v>
      </c>
      <c r="J9" s="371">
        <f>J7</f>
        <v>8</v>
      </c>
      <c r="K9" s="371">
        <f t="shared" si="2"/>
        <v>8</v>
      </c>
      <c r="L9" s="371">
        <f t="shared" si="3"/>
        <v>0.4</v>
      </c>
      <c r="M9" s="371">
        <f t="shared" si="4"/>
        <v>0.8</v>
      </c>
      <c r="N9" s="372">
        <f t="shared" si="0"/>
        <v>512.04480000000001</v>
      </c>
      <c r="O9" s="373" t="s">
        <v>204</v>
      </c>
    </row>
    <row r="10" spans="1:18" ht="15" customHeight="1" x14ac:dyDescent="0.2">
      <c r="A10" s="448"/>
      <c r="B10" s="448" t="s">
        <v>408</v>
      </c>
      <c r="C10" s="578" t="s">
        <v>409</v>
      </c>
      <c r="D10" s="578"/>
      <c r="E10" s="578"/>
      <c r="F10" s="579"/>
      <c r="G10" s="370">
        <v>1</v>
      </c>
      <c r="H10" s="371">
        <v>1</v>
      </c>
      <c r="I10" s="371">
        <f t="shared" si="1"/>
        <v>1</v>
      </c>
      <c r="J10" s="371">
        <f>J7</f>
        <v>8</v>
      </c>
      <c r="K10" s="371">
        <f t="shared" si="2"/>
        <v>8</v>
      </c>
      <c r="L10" s="371">
        <f t="shared" si="3"/>
        <v>0.4</v>
      </c>
      <c r="M10" s="371">
        <f t="shared" si="4"/>
        <v>0.8</v>
      </c>
      <c r="N10" s="372">
        <f t="shared" si="0"/>
        <v>512.04480000000001</v>
      </c>
      <c r="O10" s="373" t="s">
        <v>204</v>
      </c>
    </row>
    <row r="11" spans="1:18" ht="15" customHeight="1" x14ac:dyDescent="0.2">
      <c r="A11" s="448"/>
      <c r="B11" s="448" t="s">
        <v>410</v>
      </c>
      <c r="C11" s="578" t="s">
        <v>411</v>
      </c>
      <c r="D11" s="578"/>
      <c r="E11" s="578"/>
      <c r="F11" s="579"/>
      <c r="G11" s="370">
        <v>2</v>
      </c>
      <c r="H11" s="371">
        <v>1</v>
      </c>
      <c r="I11" s="371">
        <f t="shared" si="1"/>
        <v>2</v>
      </c>
      <c r="J11" s="371">
        <f>J7</f>
        <v>8</v>
      </c>
      <c r="K11" s="371">
        <f t="shared" si="2"/>
        <v>16</v>
      </c>
      <c r="L11" s="371">
        <f t="shared" si="3"/>
        <v>0.8</v>
      </c>
      <c r="M11" s="371">
        <f t="shared" si="4"/>
        <v>1.6</v>
      </c>
      <c r="N11" s="372">
        <f t="shared" si="0"/>
        <v>1024.0896</v>
      </c>
      <c r="O11" s="373" t="s">
        <v>204</v>
      </c>
    </row>
    <row r="12" spans="1:18" ht="15" customHeight="1" x14ac:dyDescent="0.2">
      <c r="A12" s="448" t="s">
        <v>412</v>
      </c>
      <c r="B12" s="578" t="s">
        <v>413</v>
      </c>
      <c r="C12" s="578"/>
      <c r="D12" s="578"/>
      <c r="E12" s="578"/>
      <c r="F12" s="579"/>
      <c r="G12" s="370">
        <v>24</v>
      </c>
      <c r="H12" s="374">
        <f>H11*0.1</f>
        <v>0.1</v>
      </c>
      <c r="I12" s="371">
        <f t="shared" si="1"/>
        <v>2.4000000000000004</v>
      </c>
      <c r="J12" s="371">
        <f>J7</f>
        <v>8</v>
      </c>
      <c r="K12" s="371">
        <f t="shared" si="2"/>
        <v>19.200000000000003</v>
      </c>
      <c r="L12" s="371">
        <f t="shared" si="3"/>
        <v>0.96000000000000019</v>
      </c>
      <c r="M12" s="371">
        <f t="shared" si="4"/>
        <v>1.9200000000000004</v>
      </c>
      <c r="N12" s="372">
        <f t="shared" si="0"/>
        <v>1228.9075200000004</v>
      </c>
      <c r="O12" s="373" t="s">
        <v>245</v>
      </c>
    </row>
    <row r="13" spans="1:18" ht="15" customHeight="1" x14ac:dyDescent="0.2">
      <c r="A13" s="448" t="s">
        <v>414</v>
      </c>
      <c r="B13" s="578" t="s">
        <v>415</v>
      </c>
      <c r="C13" s="578"/>
      <c r="D13" s="578"/>
      <c r="E13" s="578"/>
      <c r="F13" s="579"/>
      <c r="G13" s="370"/>
      <c r="H13" s="371"/>
      <c r="I13" s="371"/>
      <c r="J13" s="371"/>
      <c r="K13" s="371"/>
      <c r="L13" s="371"/>
      <c r="M13" s="371"/>
      <c r="N13" s="372">
        <f t="shared" si="0"/>
        <v>0</v>
      </c>
      <c r="O13" s="373"/>
    </row>
    <row r="14" spans="1:18" ht="15" customHeight="1" x14ac:dyDescent="0.2">
      <c r="A14" s="448"/>
      <c r="B14" s="448" t="s">
        <v>402</v>
      </c>
      <c r="C14" s="578" t="s">
        <v>416</v>
      </c>
      <c r="D14" s="578"/>
      <c r="E14" s="578"/>
      <c r="F14" s="579"/>
      <c r="G14" s="370">
        <v>1</v>
      </c>
      <c r="H14" s="371">
        <f>'Table 1B'!D17</f>
        <v>1</v>
      </c>
      <c r="I14" s="371">
        <f t="shared" ref="I14:I18" si="5">G14*H14</f>
        <v>1</v>
      </c>
      <c r="J14" s="371">
        <f>'Table 1C'!G20+'Table 1C'!I20</f>
        <v>0</v>
      </c>
      <c r="K14" s="371">
        <f t="shared" ref="K14:K26" si="6">I14*J14</f>
        <v>0</v>
      </c>
      <c r="L14" s="371">
        <f t="shared" ref="L14:L18" si="7">K14*0.05</f>
        <v>0</v>
      </c>
      <c r="M14" s="371">
        <f t="shared" ref="M14:M18" si="8">K14*0.1</f>
        <v>0</v>
      </c>
      <c r="N14" s="372">
        <f t="shared" si="0"/>
        <v>0</v>
      </c>
      <c r="O14" s="373" t="s">
        <v>192</v>
      </c>
    </row>
    <row r="15" spans="1:18" ht="15" customHeight="1" x14ac:dyDescent="0.2">
      <c r="A15" s="448"/>
      <c r="B15" s="448" t="s">
        <v>404</v>
      </c>
      <c r="C15" s="578" t="s">
        <v>417</v>
      </c>
      <c r="D15" s="578"/>
      <c r="E15" s="578"/>
      <c r="F15" s="579"/>
      <c r="G15" s="370">
        <v>2</v>
      </c>
      <c r="H15" s="371">
        <v>0</v>
      </c>
      <c r="I15" s="371">
        <f t="shared" si="5"/>
        <v>0</v>
      </c>
      <c r="J15" s="371">
        <f>'Table 1C'!G21+'Table 1C'!I21</f>
        <v>0</v>
      </c>
      <c r="K15" s="371">
        <f t="shared" ref="K15" si="9">I15*J15</f>
        <v>0</v>
      </c>
      <c r="L15" s="371">
        <f t="shared" ref="L15" si="10">K15*0.05</f>
        <v>0</v>
      </c>
      <c r="M15" s="371">
        <f t="shared" ref="M15" si="11">K15*0.1</f>
        <v>0</v>
      </c>
      <c r="N15" s="372">
        <f t="shared" ref="N15" si="12">(K15*R$6)+(L15*R$5)+(M15*R$7)</f>
        <v>0</v>
      </c>
      <c r="O15" s="373" t="s">
        <v>194</v>
      </c>
    </row>
    <row r="16" spans="1:18" ht="15" customHeight="1" x14ac:dyDescent="0.2">
      <c r="A16" s="448"/>
      <c r="B16" s="448" t="s">
        <v>406</v>
      </c>
      <c r="C16" s="578" t="s">
        <v>418</v>
      </c>
      <c r="D16" s="578"/>
      <c r="E16" s="578"/>
      <c r="F16" s="579"/>
      <c r="G16" s="370">
        <v>2</v>
      </c>
      <c r="H16" s="371">
        <f>'Table 1B'!D18</f>
        <v>1</v>
      </c>
      <c r="I16" s="371">
        <f t="shared" si="5"/>
        <v>2</v>
      </c>
      <c r="J16" s="371">
        <f>'Table 1C'!G22+'Table 1C'!G23+'Table 1C'!I22+'Table 1C'!I23</f>
        <v>58</v>
      </c>
      <c r="K16" s="371">
        <f t="shared" si="6"/>
        <v>116</v>
      </c>
      <c r="L16" s="371">
        <f t="shared" si="7"/>
        <v>5.8000000000000007</v>
      </c>
      <c r="M16" s="371">
        <f t="shared" si="8"/>
        <v>11.600000000000001</v>
      </c>
      <c r="N16" s="372">
        <f t="shared" si="0"/>
        <v>7424.6496000000006</v>
      </c>
      <c r="O16" s="373" t="s">
        <v>196</v>
      </c>
    </row>
    <row r="17" spans="1:19" ht="15" customHeight="1" x14ac:dyDescent="0.2">
      <c r="A17" s="448"/>
      <c r="B17" s="448" t="s">
        <v>408</v>
      </c>
      <c r="C17" s="578" t="s">
        <v>419</v>
      </c>
      <c r="D17" s="578"/>
      <c r="E17" s="578"/>
      <c r="F17" s="579"/>
      <c r="G17" s="370">
        <v>1</v>
      </c>
      <c r="H17" s="371">
        <v>1</v>
      </c>
      <c r="I17" s="371">
        <f t="shared" si="5"/>
        <v>1</v>
      </c>
      <c r="J17" s="371">
        <f>'Table 1C'!G24+'Table 1C'!I24</f>
        <v>0</v>
      </c>
      <c r="K17" s="371">
        <f t="shared" si="6"/>
        <v>0</v>
      </c>
      <c r="L17" s="371">
        <f t="shared" si="7"/>
        <v>0</v>
      </c>
      <c r="M17" s="371">
        <f t="shared" si="8"/>
        <v>0</v>
      </c>
      <c r="N17" s="372">
        <f t="shared" si="0"/>
        <v>0</v>
      </c>
      <c r="O17" s="373" t="s">
        <v>250</v>
      </c>
    </row>
    <row r="18" spans="1:19" ht="15" customHeight="1" x14ac:dyDescent="0.2">
      <c r="A18" s="448"/>
      <c r="B18" s="448" t="s">
        <v>410</v>
      </c>
      <c r="C18" s="578" t="s">
        <v>420</v>
      </c>
      <c r="D18" s="578"/>
      <c r="E18" s="578"/>
      <c r="F18" s="579"/>
      <c r="G18" s="370">
        <v>1</v>
      </c>
      <c r="H18" s="371">
        <v>1</v>
      </c>
      <c r="I18" s="371">
        <f t="shared" si="5"/>
        <v>1</v>
      </c>
      <c r="J18" s="371">
        <f>'Table 1C'!G25+'Table 1C'!I25</f>
        <v>0</v>
      </c>
      <c r="K18" s="371">
        <f t="shared" si="6"/>
        <v>0</v>
      </c>
      <c r="L18" s="371">
        <f t="shared" si="7"/>
        <v>0</v>
      </c>
      <c r="M18" s="371">
        <f t="shared" si="8"/>
        <v>0</v>
      </c>
      <c r="N18" s="372">
        <f t="shared" si="0"/>
        <v>0</v>
      </c>
      <c r="O18" s="373" t="s">
        <v>250</v>
      </c>
    </row>
    <row r="19" spans="1:19" ht="15" customHeight="1" x14ac:dyDescent="0.2">
      <c r="A19" s="448"/>
      <c r="B19" s="448" t="s">
        <v>421</v>
      </c>
      <c r="C19" s="578" t="s">
        <v>422</v>
      </c>
      <c r="D19" s="578"/>
      <c r="E19" s="578"/>
      <c r="F19" s="579"/>
      <c r="G19" s="370">
        <v>15</v>
      </c>
      <c r="H19" s="371">
        <v>1</v>
      </c>
      <c r="I19" s="371">
        <f>G19*H19</f>
        <v>15</v>
      </c>
      <c r="J19" s="371">
        <f>'Table 1C'!G26+'Table 1C'!I26</f>
        <v>8</v>
      </c>
      <c r="K19" s="371">
        <f t="shared" si="6"/>
        <v>120</v>
      </c>
      <c r="L19" s="371">
        <f>K19*0.05</f>
        <v>6</v>
      </c>
      <c r="M19" s="371">
        <f>K19*0.1</f>
        <v>12</v>
      </c>
      <c r="N19" s="372">
        <f t="shared" si="0"/>
        <v>7680.6720000000005</v>
      </c>
      <c r="O19" s="373" t="s">
        <v>423</v>
      </c>
    </row>
    <row r="20" spans="1:19" ht="15" customHeight="1" x14ac:dyDescent="0.2">
      <c r="A20" s="448"/>
      <c r="B20" s="448" t="s">
        <v>424</v>
      </c>
      <c r="C20" s="578" t="s">
        <v>425</v>
      </c>
      <c r="D20" s="578"/>
      <c r="E20" s="578"/>
      <c r="F20" s="579"/>
      <c r="G20" s="370">
        <v>5</v>
      </c>
      <c r="H20" s="374">
        <v>0.1</v>
      </c>
      <c r="I20" s="371">
        <f>G20*H20</f>
        <v>0.5</v>
      </c>
      <c r="J20" s="371">
        <f>'Table 1C'!G27+'Table 1C'!I27</f>
        <v>0.8</v>
      </c>
      <c r="K20" s="371">
        <f t="shared" si="6"/>
        <v>0.4</v>
      </c>
      <c r="L20" s="371">
        <f>K20*0.05</f>
        <v>2.0000000000000004E-2</v>
      </c>
      <c r="M20" s="371">
        <f>K20*0.1</f>
        <v>4.0000000000000008E-2</v>
      </c>
      <c r="N20" s="372">
        <f t="shared" si="0"/>
        <v>25.602240000000002</v>
      </c>
      <c r="O20" s="373" t="s">
        <v>253</v>
      </c>
    </row>
    <row r="21" spans="1:19" ht="15" customHeight="1" x14ac:dyDescent="0.2">
      <c r="A21" s="448"/>
      <c r="B21" s="448" t="s">
        <v>426</v>
      </c>
      <c r="C21" s="578" t="s">
        <v>427</v>
      </c>
      <c r="D21" s="578"/>
      <c r="E21" s="578"/>
      <c r="F21" s="579"/>
      <c r="G21" s="370">
        <v>12</v>
      </c>
      <c r="H21" s="371">
        <v>1</v>
      </c>
      <c r="I21" s="371">
        <f>G21*H21</f>
        <v>12</v>
      </c>
      <c r="J21" s="371">
        <f>J7</f>
        <v>8</v>
      </c>
      <c r="K21" s="371">
        <f t="shared" si="6"/>
        <v>96</v>
      </c>
      <c r="L21" s="371">
        <f>K21*0.05</f>
        <v>4.8000000000000007</v>
      </c>
      <c r="M21" s="371">
        <f>K21*0.1</f>
        <v>9.6000000000000014</v>
      </c>
      <c r="N21" s="372">
        <f t="shared" si="0"/>
        <v>6144.5376000000006</v>
      </c>
      <c r="O21" s="373" t="s">
        <v>242</v>
      </c>
    </row>
    <row r="22" spans="1:19" ht="15" customHeight="1" x14ac:dyDescent="0.2">
      <c r="A22" s="448"/>
      <c r="B22" s="448" t="s">
        <v>428</v>
      </c>
      <c r="C22" s="578" t="s">
        <v>429</v>
      </c>
      <c r="D22" s="578"/>
      <c r="E22" s="578"/>
      <c r="F22" s="579"/>
      <c r="G22" s="370">
        <v>2</v>
      </c>
      <c r="H22" s="371">
        <v>1</v>
      </c>
      <c r="I22" s="371">
        <f>G22*H22</f>
        <v>2</v>
      </c>
      <c r="J22" s="371">
        <f>'Table 1C'!G30+'Table 1C'!I30</f>
        <v>271</v>
      </c>
      <c r="K22" s="371">
        <f t="shared" si="6"/>
        <v>542</v>
      </c>
      <c r="L22" s="371">
        <f>K22*0.05</f>
        <v>27.1</v>
      </c>
      <c r="M22" s="371">
        <f>K22*0.1</f>
        <v>54.2</v>
      </c>
      <c r="N22" s="372">
        <f t="shared" si="0"/>
        <v>34691.035200000006</v>
      </c>
      <c r="O22" s="373" t="s">
        <v>206</v>
      </c>
    </row>
    <row r="23" spans="1:19" ht="15" customHeight="1" x14ac:dyDescent="0.2">
      <c r="A23" s="448"/>
      <c r="B23" s="448" t="s">
        <v>430</v>
      </c>
      <c r="C23" s="578" t="s">
        <v>431</v>
      </c>
      <c r="D23" s="578"/>
      <c r="E23" s="578"/>
      <c r="F23" s="579"/>
      <c r="G23" s="370">
        <f>15*0.25</f>
        <v>3.75</v>
      </c>
      <c r="H23" s="371">
        <v>1</v>
      </c>
      <c r="I23" s="371">
        <f t="shared" ref="I23:I25" si="13">G23*H23</f>
        <v>3.75</v>
      </c>
      <c r="J23" s="371">
        <f>'Table 1C'!G31+'Table 1C'!I31</f>
        <v>2</v>
      </c>
      <c r="K23" s="371">
        <f t="shared" si="6"/>
        <v>7.5</v>
      </c>
      <c r="L23" s="371">
        <f t="shared" ref="L23:L25" si="14">K23*0.05</f>
        <v>0.375</v>
      </c>
      <c r="M23" s="371">
        <f t="shared" ref="M23:M25" si="15">K23*0.1</f>
        <v>0.75</v>
      </c>
      <c r="N23" s="372">
        <f t="shared" si="0"/>
        <v>480.04200000000003</v>
      </c>
      <c r="O23" s="373" t="s">
        <v>210</v>
      </c>
    </row>
    <row r="24" spans="1:19" ht="15" customHeight="1" x14ac:dyDescent="0.2">
      <c r="A24" s="448"/>
      <c r="B24" s="448" t="s">
        <v>432</v>
      </c>
      <c r="C24" s="578" t="s">
        <v>433</v>
      </c>
      <c r="D24" s="578"/>
      <c r="E24" s="578"/>
      <c r="F24" s="579"/>
      <c r="G24" s="370">
        <f t="shared" ref="G24:G25" si="16">15*0.25</f>
        <v>3.75</v>
      </c>
      <c r="H24" s="371">
        <v>1</v>
      </c>
      <c r="I24" s="371">
        <f t="shared" si="13"/>
        <v>3.75</v>
      </c>
      <c r="J24" s="371">
        <f>'Table 1C'!G32+'Table 1C'!I32</f>
        <v>2</v>
      </c>
      <c r="K24" s="371">
        <f t="shared" si="6"/>
        <v>7.5</v>
      </c>
      <c r="L24" s="371">
        <f t="shared" si="14"/>
        <v>0.375</v>
      </c>
      <c r="M24" s="371">
        <f t="shared" si="15"/>
        <v>0.75</v>
      </c>
      <c r="N24" s="372">
        <f t="shared" si="0"/>
        <v>480.04200000000003</v>
      </c>
      <c r="O24" s="373" t="s">
        <v>210</v>
      </c>
    </row>
    <row r="25" spans="1:19" ht="15" customHeight="1" x14ac:dyDescent="0.2">
      <c r="A25" s="448"/>
      <c r="B25" s="448" t="s">
        <v>434</v>
      </c>
      <c r="C25" s="578" t="s">
        <v>435</v>
      </c>
      <c r="D25" s="578"/>
      <c r="E25" s="578"/>
      <c r="F25" s="579"/>
      <c r="G25" s="370">
        <f t="shared" si="16"/>
        <v>3.75</v>
      </c>
      <c r="H25" s="371">
        <v>1</v>
      </c>
      <c r="I25" s="371">
        <f t="shared" si="13"/>
        <v>3.75</v>
      </c>
      <c r="J25" s="371">
        <f>'Table 1C'!G33+'Table 1C'!I33</f>
        <v>2</v>
      </c>
      <c r="K25" s="371">
        <f t="shared" si="6"/>
        <v>7.5</v>
      </c>
      <c r="L25" s="371">
        <f t="shared" si="14"/>
        <v>0.375</v>
      </c>
      <c r="M25" s="371">
        <f t="shared" si="15"/>
        <v>0.75</v>
      </c>
      <c r="N25" s="372">
        <f t="shared" si="0"/>
        <v>480.04200000000003</v>
      </c>
      <c r="O25" s="373" t="s">
        <v>210</v>
      </c>
    </row>
    <row r="26" spans="1:19" ht="15" customHeight="1" x14ac:dyDescent="0.2">
      <c r="A26" s="448"/>
      <c r="B26" s="363" t="s">
        <v>436</v>
      </c>
      <c r="C26" s="578" t="s">
        <v>437</v>
      </c>
      <c r="D26" s="578"/>
      <c r="E26" s="578"/>
      <c r="F26" s="579"/>
      <c r="G26" s="370">
        <v>2</v>
      </c>
      <c r="H26" s="371">
        <v>1</v>
      </c>
      <c r="I26" s="371">
        <f>G26*H26</f>
        <v>2</v>
      </c>
      <c r="J26" s="371">
        <f>'Table 1C'!G34+'Table 1C'!I34</f>
        <v>32</v>
      </c>
      <c r="K26" s="371">
        <f t="shared" si="6"/>
        <v>64</v>
      </c>
      <c r="L26" s="371">
        <f>K26*0.05</f>
        <v>3.2</v>
      </c>
      <c r="M26" s="371">
        <f>K26*0.1</f>
        <v>6.4</v>
      </c>
      <c r="N26" s="372">
        <f t="shared" si="0"/>
        <v>4096.3584000000001</v>
      </c>
      <c r="O26" s="373" t="s">
        <v>226</v>
      </c>
    </row>
    <row r="27" spans="1:19" ht="24.75" customHeight="1" x14ac:dyDescent="0.2">
      <c r="A27" s="448" t="s">
        <v>438</v>
      </c>
      <c r="B27" s="592" t="s">
        <v>439</v>
      </c>
      <c r="C27" s="592"/>
      <c r="D27" s="592"/>
      <c r="E27" s="592"/>
      <c r="F27" s="593"/>
      <c r="G27" s="587" t="s">
        <v>1455</v>
      </c>
      <c r="H27" s="588"/>
      <c r="I27" s="589"/>
      <c r="J27" s="371">
        <f>(J7+J8)*0.2</f>
        <v>55.800000000000004</v>
      </c>
      <c r="K27" s="375"/>
      <c r="L27" s="376"/>
      <c r="M27" s="377"/>
      <c r="N27" s="372">
        <f>J27*(3*164+3*81+600)</f>
        <v>74493</v>
      </c>
      <c r="O27" s="373" t="s">
        <v>229</v>
      </c>
    </row>
    <row r="28" spans="1:19" x14ac:dyDescent="0.2">
      <c r="A28" s="574" t="s">
        <v>441</v>
      </c>
      <c r="B28" s="575"/>
      <c r="C28" s="575"/>
      <c r="D28" s="575"/>
      <c r="E28" s="575"/>
      <c r="F28" s="576"/>
      <c r="G28" s="370"/>
      <c r="H28" s="370"/>
      <c r="I28" s="370"/>
      <c r="J28" s="378"/>
      <c r="K28" s="584">
        <f>ROUND(SUM(K4:M26),-1)</f>
        <v>3100</v>
      </c>
      <c r="L28" s="585"/>
      <c r="M28" s="586"/>
      <c r="N28" s="379">
        <f>ROUND(SUM(N4:N27),-3)</f>
        <v>247000</v>
      </c>
      <c r="O28" s="373" t="s">
        <v>212</v>
      </c>
    </row>
    <row r="29" spans="1:19" ht="17.25" customHeight="1" x14ac:dyDescent="0.2">
      <c r="A29" s="577" t="s">
        <v>347</v>
      </c>
      <c r="B29" s="577"/>
      <c r="C29" s="577"/>
      <c r="D29" s="577"/>
      <c r="E29" s="577"/>
      <c r="F29" s="577"/>
      <c r="G29" s="577"/>
      <c r="H29" s="577"/>
      <c r="I29" s="577"/>
      <c r="J29" s="577"/>
      <c r="K29" s="577"/>
      <c r="L29" s="577"/>
      <c r="M29" s="577"/>
      <c r="N29" s="577"/>
    </row>
    <row r="30" spans="1:19" ht="17.25" customHeight="1" x14ac:dyDescent="0.2">
      <c r="A30" s="456" t="s">
        <v>235</v>
      </c>
      <c r="B30" s="580" t="s">
        <v>1446</v>
      </c>
      <c r="C30" s="580"/>
      <c r="D30" s="580"/>
      <c r="E30" s="580"/>
      <c r="F30" s="580"/>
      <c r="G30" s="580"/>
      <c r="H30" s="580"/>
      <c r="I30" s="580"/>
      <c r="J30" s="580"/>
      <c r="K30" s="580"/>
      <c r="L30" s="580"/>
      <c r="M30" s="580"/>
      <c r="N30" s="580"/>
      <c r="R30" s="455"/>
      <c r="S30" s="455"/>
    </row>
    <row r="31" spans="1:19" ht="50.25" customHeight="1" x14ac:dyDescent="0.2">
      <c r="A31" s="456" t="s">
        <v>237</v>
      </c>
      <c r="B31" s="580" t="s">
        <v>1452</v>
      </c>
      <c r="C31" s="580"/>
      <c r="D31" s="580"/>
      <c r="E31" s="580"/>
      <c r="F31" s="580"/>
      <c r="G31" s="580"/>
      <c r="H31" s="580"/>
      <c r="I31" s="580"/>
      <c r="J31" s="580"/>
      <c r="K31" s="580"/>
      <c r="L31" s="580"/>
      <c r="M31" s="580"/>
      <c r="N31" s="580"/>
      <c r="R31" s="455"/>
      <c r="S31" s="455"/>
    </row>
    <row r="32" spans="1:19" ht="15.75" x14ac:dyDescent="0.2">
      <c r="A32" s="456" t="s">
        <v>239</v>
      </c>
      <c r="B32" s="580" t="s">
        <v>442</v>
      </c>
      <c r="C32" s="580"/>
      <c r="D32" s="580"/>
      <c r="E32" s="580"/>
      <c r="F32" s="580"/>
      <c r="G32" s="580"/>
      <c r="H32" s="580"/>
      <c r="I32" s="580"/>
      <c r="J32" s="580"/>
      <c r="K32" s="580"/>
      <c r="L32" s="580"/>
      <c r="M32" s="580"/>
      <c r="N32" s="580"/>
      <c r="O32" s="380"/>
      <c r="R32" s="455"/>
      <c r="S32" s="455"/>
    </row>
    <row r="33" spans="1:19" ht="25.5" customHeight="1" x14ac:dyDescent="0.2">
      <c r="A33" s="456" t="s">
        <v>179</v>
      </c>
      <c r="B33" s="580" t="s">
        <v>443</v>
      </c>
      <c r="C33" s="580"/>
      <c r="D33" s="580"/>
      <c r="E33" s="580"/>
      <c r="F33" s="580"/>
      <c r="G33" s="580"/>
      <c r="H33" s="580"/>
      <c r="I33" s="580"/>
      <c r="J33" s="580"/>
      <c r="K33" s="580"/>
      <c r="L33" s="580"/>
      <c r="M33" s="580"/>
      <c r="N33" s="580"/>
      <c r="O33" s="380"/>
      <c r="R33" s="455"/>
      <c r="S33" s="455"/>
    </row>
    <row r="34" spans="1:19" ht="33" customHeight="1" x14ac:dyDescent="0.2">
      <c r="A34" s="458" t="s">
        <v>242</v>
      </c>
      <c r="B34" s="580" t="s">
        <v>1453</v>
      </c>
      <c r="C34" s="580"/>
      <c r="D34" s="580"/>
      <c r="E34" s="580"/>
      <c r="F34" s="580"/>
      <c r="G34" s="580"/>
      <c r="H34" s="580"/>
      <c r="I34" s="580"/>
      <c r="J34" s="580"/>
      <c r="K34" s="580"/>
      <c r="L34" s="580"/>
      <c r="M34" s="580"/>
      <c r="N34" s="580"/>
      <c r="O34" s="380"/>
      <c r="R34" s="455"/>
      <c r="S34" s="455"/>
    </row>
    <row r="35" spans="1:19" ht="30" customHeight="1" x14ac:dyDescent="0.2">
      <c r="A35" s="458" t="s">
        <v>204</v>
      </c>
      <c r="B35" s="580" t="s">
        <v>444</v>
      </c>
      <c r="C35" s="580"/>
      <c r="D35" s="580"/>
      <c r="E35" s="580"/>
      <c r="F35" s="580"/>
      <c r="G35" s="580"/>
      <c r="H35" s="580"/>
      <c r="I35" s="580"/>
      <c r="J35" s="580"/>
      <c r="K35" s="580"/>
      <c r="L35" s="580"/>
      <c r="M35" s="580"/>
      <c r="N35" s="580"/>
      <c r="O35" s="380"/>
      <c r="R35" s="455"/>
      <c r="S35" s="455"/>
    </row>
    <row r="36" spans="1:19" ht="12.75" customHeight="1" x14ac:dyDescent="0.2">
      <c r="A36" s="456" t="s">
        <v>245</v>
      </c>
      <c r="B36" s="580" t="s">
        <v>445</v>
      </c>
      <c r="C36" s="580"/>
      <c r="D36" s="580"/>
      <c r="E36" s="580"/>
      <c r="F36" s="580"/>
      <c r="G36" s="580"/>
      <c r="H36" s="580"/>
      <c r="I36" s="580"/>
      <c r="J36" s="580"/>
      <c r="K36" s="580"/>
      <c r="L36" s="580"/>
      <c r="M36" s="580"/>
      <c r="N36" s="580"/>
      <c r="O36" s="363"/>
      <c r="R36" s="455"/>
      <c r="S36" s="455"/>
    </row>
    <row r="37" spans="1:19" ht="47.25" customHeight="1" x14ac:dyDescent="0.2">
      <c r="A37" s="458" t="s">
        <v>192</v>
      </c>
      <c r="B37" s="580" t="s">
        <v>349</v>
      </c>
      <c r="C37" s="580"/>
      <c r="D37" s="580"/>
      <c r="E37" s="580"/>
      <c r="F37" s="580"/>
      <c r="G37" s="580"/>
      <c r="H37" s="580"/>
      <c r="I37" s="580"/>
      <c r="J37" s="580"/>
      <c r="K37" s="580"/>
      <c r="L37" s="580"/>
      <c r="M37" s="580"/>
      <c r="N37" s="580"/>
      <c r="O37" s="380"/>
      <c r="R37" s="455"/>
      <c r="S37" s="455"/>
    </row>
    <row r="38" spans="1:19" ht="19.5" customHeight="1" x14ac:dyDescent="0.2">
      <c r="A38" s="456" t="s">
        <v>194</v>
      </c>
      <c r="B38" s="580" t="s">
        <v>446</v>
      </c>
      <c r="C38" s="580"/>
      <c r="D38" s="580"/>
      <c r="E38" s="580"/>
      <c r="F38" s="580"/>
      <c r="G38" s="580"/>
      <c r="H38" s="580"/>
      <c r="I38" s="580"/>
      <c r="J38" s="580"/>
      <c r="K38" s="580"/>
      <c r="L38" s="580"/>
      <c r="M38" s="580"/>
      <c r="N38" s="580"/>
      <c r="O38" s="380"/>
      <c r="R38" s="455"/>
      <c r="S38" s="455"/>
    </row>
    <row r="39" spans="1:19" ht="33" customHeight="1" x14ac:dyDescent="0.2">
      <c r="A39" s="456" t="s">
        <v>196</v>
      </c>
      <c r="B39" s="580" t="s">
        <v>447</v>
      </c>
      <c r="C39" s="580"/>
      <c r="D39" s="580"/>
      <c r="E39" s="580"/>
      <c r="F39" s="580"/>
      <c r="G39" s="580"/>
      <c r="H39" s="580"/>
      <c r="I39" s="580"/>
      <c r="J39" s="580"/>
      <c r="K39" s="580"/>
      <c r="L39" s="580"/>
      <c r="M39" s="580"/>
      <c r="N39" s="580"/>
      <c r="R39" s="455"/>
      <c r="S39" s="455"/>
    </row>
    <row r="40" spans="1:19" ht="15.75" x14ac:dyDescent="0.2">
      <c r="A40" s="456" t="s">
        <v>250</v>
      </c>
      <c r="B40" s="580" t="s">
        <v>448</v>
      </c>
      <c r="C40" s="580"/>
      <c r="D40" s="580"/>
      <c r="E40" s="580"/>
      <c r="F40" s="580"/>
      <c r="G40" s="580"/>
      <c r="H40" s="580"/>
      <c r="I40" s="580"/>
      <c r="J40" s="580"/>
      <c r="K40" s="580"/>
      <c r="L40" s="580"/>
      <c r="M40" s="580"/>
      <c r="N40" s="580"/>
      <c r="R40" s="455"/>
      <c r="S40" s="455"/>
    </row>
    <row r="41" spans="1:19" ht="45" customHeight="1" x14ac:dyDescent="0.2">
      <c r="A41" s="456" t="s">
        <v>200</v>
      </c>
      <c r="B41" s="580" t="s">
        <v>449</v>
      </c>
      <c r="C41" s="580"/>
      <c r="D41" s="580"/>
      <c r="E41" s="580"/>
      <c r="F41" s="580"/>
      <c r="G41" s="580"/>
      <c r="H41" s="580"/>
      <c r="I41" s="580"/>
      <c r="J41" s="580"/>
      <c r="K41" s="580"/>
      <c r="L41" s="580"/>
      <c r="M41" s="580"/>
      <c r="N41" s="580"/>
      <c r="R41" s="455"/>
      <c r="S41" s="455"/>
    </row>
    <row r="42" spans="1:19" ht="34.5" customHeight="1" x14ac:dyDescent="0.2">
      <c r="A42" s="456" t="s">
        <v>253</v>
      </c>
      <c r="B42" s="580" t="s">
        <v>450</v>
      </c>
      <c r="C42" s="580"/>
      <c r="D42" s="580"/>
      <c r="E42" s="580"/>
      <c r="F42" s="580"/>
      <c r="G42" s="580"/>
      <c r="H42" s="580"/>
      <c r="I42" s="580"/>
      <c r="J42" s="580"/>
      <c r="K42" s="580"/>
      <c r="L42" s="580"/>
      <c r="M42" s="580"/>
      <c r="N42" s="580"/>
      <c r="O42" s="380"/>
      <c r="R42" s="455"/>
      <c r="S42" s="455"/>
    </row>
    <row r="43" spans="1:19" ht="28.5" customHeight="1" x14ac:dyDescent="0.2">
      <c r="A43" s="456" t="s">
        <v>206</v>
      </c>
      <c r="B43" s="580" t="s">
        <v>1454</v>
      </c>
      <c r="C43" s="580"/>
      <c r="D43" s="580"/>
      <c r="E43" s="580"/>
      <c r="F43" s="580"/>
      <c r="G43" s="580"/>
      <c r="H43" s="580"/>
      <c r="I43" s="580"/>
      <c r="J43" s="580"/>
      <c r="K43" s="580"/>
      <c r="L43" s="580"/>
      <c r="M43" s="580"/>
      <c r="N43" s="580"/>
      <c r="O43" s="380"/>
      <c r="R43" s="455"/>
      <c r="S43" s="455"/>
    </row>
    <row r="44" spans="1:19" ht="15.75" x14ac:dyDescent="0.2">
      <c r="A44" s="457" t="s">
        <v>210</v>
      </c>
      <c r="B44" s="580" t="s">
        <v>451</v>
      </c>
      <c r="C44" s="580"/>
      <c r="D44" s="580"/>
      <c r="E44" s="580"/>
      <c r="F44" s="580"/>
      <c r="G44" s="580"/>
      <c r="H44" s="580"/>
      <c r="I44" s="580"/>
      <c r="J44" s="580"/>
      <c r="K44" s="580"/>
      <c r="L44" s="580"/>
      <c r="M44" s="580"/>
      <c r="N44" s="580"/>
      <c r="O44" s="380"/>
      <c r="R44" s="487"/>
      <c r="S44" s="487"/>
    </row>
    <row r="45" spans="1:19" ht="24" customHeight="1" x14ac:dyDescent="0.2">
      <c r="A45" s="456" t="s">
        <v>226</v>
      </c>
      <c r="B45" s="580" t="s">
        <v>452</v>
      </c>
      <c r="C45" s="580"/>
      <c r="D45" s="580"/>
      <c r="E45" s="580"/>
      <c r="F45" s="580"/>
      <c r="G45" s="580"/>
      <c r="H45" s="580"/>
      <c r="I45" s="580"/>
      <c r="J45" s="580"/>
      <c r="K45" s="580"/>
      <c r="L45" s="580"/>
      <c r="M45" s="580"/>
      <c r="N45" s="580"/>
      <c r="O45" s="380"/>
      <c r="R45" s="455"/>
      <c r="S45" s="455"/>
    </row>
    <row r="46" spans="1:19" ht="47.25" customHeight="1" x14ac:dyDescent="0.2">
      <c r="A46" s="456" t="s">
        <v>229</v>
      </c>
      <c r="B46" s="580" t="s">
        <v>1456</v>
      </c>
      <c r="C46" s="580"/>
      <c r="D46" s="580"/>
      <c r="E46" s="580"/>
      <c r="F46" s="580"/>
      <c r="G46" s="580"/>
      <c r="H46" s="580"/>
      <c r="I46" s="580"/>
      <c r="J46" s="580"/>
      <c r="K46" s="580"/>
      <c r="L46" s="580"/>
      <c r="M46" s="580"/>
      <c r="N46" s="580"/>
      <c r="R46" s="455"/>
      <c r="S46" s="455"/>
    </row>
    <row r="47" spans="1:19" s="364" customFormat="1" ht="15.75" x14ac:dyDescent="0.2">
      <c r="A47" s="457" t="s">
        <v>212</v>
      </c>
      <c r="B47" s="580" t="s">
        <v>357</v>
      </c>
      <c r="C47" s="580"/>
      <c r="D47" s="580"/>
      <c r="E47" s="580"/>
      <c r="F47" s="580"/>
      <c r="G47" s="580"/>
      <c r="H47" s="580"/>
      <c r="I47" s="580"/>
      <c r="J47" s="580"/>
      <c r="K47" s="580"/>
      <c r="L47" s="580"/>
      <c r="M47" s="580"/>
      <c r="N47" s="580"/>
      <c r="O47" s="366"/>
      <c r="R47" s="487"/>
      <c r="S47" s="487"/>
    </row>
    <row r="48" spans="1:19" s="364" customFormat="1" ht="15.75" x14ac:dyDescent="0.2">
      <c r="A48" s="363"/>
      <c r="B48" s="363"/>
      <c r="C48" s="363"/>
      <c r="D48" s="363"/>
      <c r="E48" s="363"/>
      <c r="F48" s="363"/>
      <c r="N48" s="365"/>
      <c r="O48" s="366"/>
      <c r="P48" s="457"/>
      <c r="Q48" s="487"/>
      <c r="R48" s="487"/>
      <c r="S48" s="487"/>
    </row>
    <row r="49" spans="1:19" ht="15.75" x14ac:dyDescent="0.2">
      <c r="P49" s="456"/>
      <c r="Q49" s="455"/>
      <c r="R49" s="455"/>
      <c r="S49" s="455"/>
    </row>
    <row r="50" spans="1:19" s="364" customFormat="1" x14ac:dyDescent="0.2">
      <c r="A50" s="363"/>
      <c r="B50" s="363"/>
      <c r="C50" s="363"/>
      <c r="D50" s="363"/>
      <c r="E50" s="363"/>
      <c r="F50" s="363"/>
      <c r="K50" s="365"/>
      <c r="N50" s="365"/>
      <c r="O50" s="366"/>
    </row>
    <row r="52" spans="1:19" s="364" customFormat="1" x14ac:dyDescent="0.2">
      <c r="A52" s="363"/>
      <c r="B52" s="363"/>
      <c r="C52" s="363"/>
      <c r="D52" s="363"/>
      <c r="E52" s="363"/>
      <c r="F52" s="363"/>
      <c r="G52" s="381"/>
      <c r="H52" s="381"/>
      <c r="K52" s="365"/>
      <c r="N52" s="365"/>
      <c r="O52" s="366"/>
    </row>
    <row r="53" spans="1:19" s="364" customFormat="1" x14ac:dyDescent="0.2">
      <c r="A53" s="363"/>
      <c r="B53" s="363"/>
      <c r="C53" s="363"/>
      <c r="D53" s="363"/>
      <c r="E53" s="363"/>
      <c r="F53" s="363"/>
      <c r="G53" s="381"/>
      <c r="H53" s="381"/>
      <c r="N53" s="365"/>
      <c r="O53" s="366"/>
    </row>
    <row r="54" spans="1:19" s="364" customFormat="1" x14ac:dyDescent="0.2">
      <c r="A54" s="363"/>
      <c r="B54" s="363"/>
      <c r="C54" s="363"/>
      <c r="D54" s="363"/>
      <c r="E54" s="363"/>
      <c r="F54" s="363"/>
      <c r="G54" s="381"/>
      <c r="H54" s="381"/>
      <c r="N54" s="365"/>
      <c r="O54" s="366"/>
    </row>
    <row r="55" spans="1:19" s="364" customFormat="1" x14ac:dyDescent="0.2">
      <c r="A55" s="363"/>
      <c r="B55" s="363"/>
      <c r="C55" s="363"/>
      <c r="D55" s="363"/>
      <c r="E55" s="363"/>
      <c r="F55" s="363"/>
      <c r="G55" s="381"/>
      <c r="H55" s="381"/>
      <c r="N55" s="365"/>
      <c r="O55" s="366"/>
    </row>
  </sheetData>
  <mergeCells count="50">
    <mergeCell ref="A1:O1"/>
    <mergeCell ref="B5:F5"/>
    <mergeCell ref="A2:O2"/>
    <mergeCell ref="C26:F26"/>
    <mergeCell ref="C25:F25"/>
    <mergeCell ref="C24:F24"/>
    <mergeCell ref="C23:F23"/>
    <mergeCell ref="C22:F22"/>
    <mergeCell ref="C21:F21"/>
    <mergeCell ref="C20:F20"/>
    <mergeCell ref="C19:F19"/>
    <mergeCell ref="C18:F18"/>
    <mergeCell ref="C16:F16"/>
    <mergeCell ref="C14:F14"/>
    <mergeCell ref="Q4:R4"/>
    <mergeCell ref="A3:F3"/>
    <mergeCell ref="K28:M28"/>
    <mergeCell ref="G27:I27"/>
    <mergeCell ref="B30:N30"/>
    <mergeCell ref="B6:F6"/>
    <mergeCell ref="B4:F4"/>
    <mergeCell ref="C11:F11"/>
    <mergeCell ref="C10:F10"/>
    <mergeCell ref="C9:F9"/>
    <mergeCell ref="C8:F8"/>
    <mergeCell ref="C7:F7"/>
    <mergeCell ref="B27:F27"/>
    <mergeCell ref="B13:F13"/>
    <mergeCell ref="B12:F12"/>
    <mergeCell ref="C17:F17"/>
    <mergeCell ref="B46:N46"/>
    <mergeCell ref="B47:N47"/>
    <mergeCell ref="B34:N34"/>
    <mergeCell ref="B35:N35"/>
    <mergeCell ref="B36:N36"/>
    <mergeCell ref="B38:N38"/>
    <mergeCell ref="B37:N37"/>
    <mergeCell ref="B39:N39"/>
    <mergeCell ref="B40:N40"/>
    <mergeCell ref="B41:N41"/>
    <mergeCell ref="B42:N42"/>
    <mergeCell ref="B43:N43"/>
    <mergeCell ref="B44:N44"/>
    <mergeCell ref="A28:F28"/>
    <mergeCell ref="A29:N29"/>
    <mergeCell ref="C15:F15"/>
    <mergeCell ref="B45:N45"/>
    <mergeCell ref="B31:N31"/>
    <mergeCell ref="B32:N32"/>
    <mergeCell ref="B33:N33"/>
  </mergeCells>
  <pageMargins left="0.25" right="0.25" top="0.5" bottom="0.5" header="0.5" footer="0.5"/>
  <pageSetup scale="73" orientation="landscape" r:id="rId1"/>
  <headerFooter alignWithMargins="0"/>
  <ignoredErrors>
    <ignoredError sqref="A4:A6 A16:A27 A12 A14"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P36"/>
  <sheetViews>
    <sheetView tabSelected="1" topLeftCell="A5" workbookViewId="0">
      <selection activeCell="J15" sqref="J15"/>
    </sheetView>
  </sheetViews>
  <sheetFormatPr defaultColWidth="9.140625" defaultRowHeight="12.75" x14ac:dyDescent="0.2"/>
  <cols>
    <col min="1" max="1" width="25.5703125" style="362" customWidth="1"/>
    <col min="2" max="3" width="8.5703125" style="362" customWidth="1"/>
    <col min="4" max="4" width="11.85546875" style="362" customWidth="1"/>
    <col min="5" max="5" width="15.85546875" style="362" customWidth="1"/>
    <col min="6" max="6" width="12.28515625" style="362" customWidth="1"/>
    <col min="7" max="7" width="11.28515625" style="362" customWidth="1"/>
    <col min="8" max="8" width="12.5703125" style="362" customWidth="1"/>
    <col min="9" max="9" width="9.140625" style="362"/>
    <col min="10" max="10" width="21.140625" style="362" customWidth="1"/>
    <col min="11" max="11" width="14.42578125" style="362" customWidth="1"/>
    <col min="12" max="16384" width="9.140625" style="362"/>
  </cols>
  <sheetData>
    <row r="3" spans="1:16" ht="15.75" x14ac:dyDescent="0.25">
      <c r="A3" s="600" t="s">
        <v>453</v>
      </c>
      <c r="B3" s="600"/>
      <c r="C3" s="600"/>
      <c r="D3" s="600"/>
      <c r="E3" s="600"/>
      <c r="F3" s="600"/>
      <c r="G3" s="600"/>
      <c r="H3" s="600"/>
      <c r="J3" s="496"/>
      <c r="K3" s="496"/>
      <c r="L3" s="496"/>
      <c r="M3" s="496"/>
      <c r="N3" s="496"/>
      <c r="O3" s="496"/>
      <c r="P3" s="496"/>
    </row>
    <row r="4" spans="1:16" x14ac:dyDescent="0.2">
      <c r="A4" s="475" t="s">
        <v>454</v>
      </c>
      <c r="B4" s="475" t="s">
        <v>455</v>
      </c>
      <c r="C4" s="475" t="s">
        <v>456</v>
      </c>
      <c r="D4" s="475" t="s">
        <v>457</v>
      </c>
      <c r="E4" s="475" t="s">
        <v>458</v>
      </c>
      <c r="F4" s="475" t="s">
        <v>459</v>
      </c>
      <c r="G4" s="475" t="s">
        <v>460</v>
      </c>
      <c r="H4" s="475" t="s">
        <v>461</v>
      </c>
      <c r="J4" s="497"/>
      <c r="K4" s="497"/>
      <c r="L4" s="497"/>
      <c r="M4" s="497"/>
      <c r="N4" s="497"/>
      <c r="O4" s="497"/>
      <c r="P4" s="497"/>
    </row>
    <row r="5" spans="1:16" ht="102" x14ac:dyDescent="0.2">
      <c r="A5" s="475" t="s">
        <v>462</v>
      </c>
      <c r="B5" s="475" t="s">
        <v>463</v>
      </c>
      <c r="C5" s="475" t="s">
        <v>464</v>
      </c>
      <c r="D5" s="475" t="s">
        <v>465</v>
      </c>
      <c r="E5" s="475" t="s">
        <v>466</v>
      </c>
      <c r="F5" s="475" t="s">
        <v>467</v>
      </c>
      <c r="G5" s="475" t="s">
        <v>468</v>
      </c>
      <c r="H5" s="475" t="s">
        <v>469</v>
      </c>
      <c r="J5" s="498"/>
      <c r="K5" s="498"/>
      <c r="L5" s="498"/>
      <c r="M5" s="498"/>
      <c r="N5" s="498"/>
      <c r="O5" s="498"/>
      <c r="P5" s="497"/>
    </row>
    <row r="6" spans="1:16" ht="28.5" x14ac:dyDescent="0.2">
      <c r="A6" s="499" t="s">
        <v>470</v>
      </c>
      <c r="B6" s="500">
        <v>10067</v>
      </c>
      <c r="C6" s="500">
        <v>1105.3</v>
      </c>
      <c r="D6" s="501">
        <f>ROUND('Table 1C'!G14+'Table 1C'!I14,0)</f>
        <v>8</v>
      </c>
      <c r="E6" s="500">
        <f>D6*C6</f>
        <v>8842.4</v>
      </c>
      <c r="F6" s="500">
        <v>0</v>
      </c>
      <c r="G6" s="475">
        <v>0</v>
      </c>
      <c r="H6" s="500">
        <f t="shared" ref="H6:H7" si="0">F6*G6</f>
        <v>0</v>
      </c>
      <c r="J6" s="502"/>
      <c r="K6" s="503"/>
    </row>
    <row r="7" spans="1:16" ht="41.25" x14ac:dyDescent="0.2">
      <c r="A7" s="499" t="s">
        <v>471</v>
      </c>
      <c r="B7" s="500">
        <v>11104</v>
      </c>
      <c r="C7" s="500">
        <v>2708.28</v>
      </c>
      <c r="D7" s="504">
        <f>'Table 1C'!G23+'Table 1C'!I23</f>
        <v>29</v>
      </c>
      <c r="E7" s="500">
        <f>D7*C7</f>
        <v>78540.12000000001</v>
      </c>
      <c r="F7" s="500">
        <v>0</v>
      </c>
      <c r="G7" s="475">
        <v>0</v>
      </c>
      <c r="H7" s="500">
        <f t="shared" si="0"/>
        <v>0</v>
      </c>
      <c r="J7" s="502"/>
    </row>
    <row r="8" spans="1:16" ht="28.5" x14ac:dyDescent="0.2">
      <c r="A8" s="499" t="s">
        <v>472</v>
      </c>
      <c r="B8" s="475">
        <v>0</v>
      </c>
      <c r="C8" s="475">
        <v>0</v>
      </c>
      <c r="D8" s="475">
        <v>0</v>
      </c>
      <c r="E8" s="500">
        <f>D8*C8</f>
        <v>0</v>
      </c>
      <c r="F8" s="505">
        <f>703.5*4</f>
        <v>2814</v>
      </c>
      <c r="G8" s="501">
        <f>'Table 1C'!G15+'Table 1C'!I15</f>
        <v>271</v>
      </c>
      <c r="H8" s="500">
        <f>F8*G8</f>
        <v>762594</v>
      </c>
    </row>
    <row r="9" spans="1:16" ht="15.75" x14ac:dyDescent="0.2">
      <c r="A9" s="499" t="s">
        <v>473</v>
      </c>
      <c r="B9" s="475">
        <v>0</v>
      </c>
      <c r="C9" s="475">
        <v>0</v>
      </c>
      <c r="D9" s="475">
        <v>0</v>
      </c>
      <c r="E9" s="500">
        <f>D9*C9</f>
        <v>0</v>
      </c>
      <c r="F9" s="500">
        <f>17*12</f>
        <v>204</v>
      </c>
      <c r="G9" s="501">
        <f>'Table 1C'!G16+'Table 1C'!I16</f>
        <v>271</v>
      </c>
      <c r="H9" s="500">
        <f>F9*G9</f>
        <v>55284</v>
      </c>
    </row>
    <row r="10" spans="1:16" ht="15.75" x14ac:dyDescent="0.2">
      <c r="A10" s="499" t="s">
        <v>474</v>
      </c>
      <c r="B10" s="500">
        <v>3000</v>
      </c>
      <c r="C10" s="500">
        <v>329.38</v>
      </c>
      <c r="D10" s="504">
        <f>D6</f>
        <v>8</v>
      </c>
      <c r="E10" s="500">
        <f>D10*C10</f>
        <v>2635.04</v>
      </c>
      <c r="F10" s="598">
        <v>1000</v>
      </c>
      <c r="G10" s="599">
        <f>G8</f>
        <v>271</v>
      </c>
      <c r="H10" s="598">
        <f>G10*F10</f>
        <v>271000</v>
      </c>
    </row>
    <row r="11" spans="1:16" ht="15.75" x14ac:dyDescent="0.2">
      <c r="A11" s="499" t="s">
        <v>475</v>
      </c>
      <c r="B11" s="500">
        <v>500</v>
      </c>
      <c r="C11" s="500">
        <v>54.9</v>
      </c>
      <c r="D11" s="504">
        <f>D6</f>
        <v>8</v>
      </c>
      <c r="E11" s="500">
        <f t="shared" ref="E11:E12" si="1">D11*C11</f>
        <v>439.2</v>
      </c>
      <c r="F11" s="598"/>
      <c r="G11" s="599"/>
      <c r="H11" s="598"/>
    </row>
    <row r="12" spans="1:16" ht="15.75" x14ac:dyDescent="0.2">
      <c r="A12" s="499" t="s">
        <v>476</v>
      </c>
      <c r="B12" s="500">
        <v>4500</v>
      </c>
      <c r="C12" s="500">
        <v>494.08</v>
      </c>
      <c r="D12" s="504">
        <f>D6</f>
        <v>8</v>
      </c>
      <c r="E12" s="500">
        <f t="shared" si="1"/>
        <v>3952.64</v>
      </c>
      <c r="F12" s="598"/>
      <c r="G12" s="599"/>
      <c r="H12" s="598"/>
    </row>
    <row r="13" spans="1:16" x14ac:dyDescent="0.2">
      <c r="A13" s="506" t="s">
        <v>1458</v>
      </c>
      <c r="B13" s="494"/>
      <c r="C13" s="494"/>
      <c r="D13" s="494"/>
      <c r="E13" s="507">
        <f>ROUND(SUM(E6:E12),-2)</f>
        <v>94400</v>
      </c>
      <c r="F13" s="494"/>
      <c r="G13" s="494"/>
      <c r="H13" s="507">
        <f>ROUND(SUM(H6:H12),-4)</f>
        <v>1090000</v>
      </c>
      <c r="J13" s="503"/>
    </row>
    <row r="14" spans="1:16" x14ac:dyDescent="0.2">
      <c r="A14" s="506" t="s">
        <v>1459</v>
      </c>
      <c r="B14" s="360"/>
      <c r="C14" s="360"/>
      <c r="D14" s="360"/>
      <c r="E14" s="360"/>
      <c r="F14" s="360"/>
      <c r="G14" s="360"/>
      <c r="H14" s="508">
        <f>ROUND(E13+H13,-4)</f>
        <v>1180000</v>
      </c>
    </row>
    <row r="15" spans="1:16" ht="57.75" customHeight="1" x14ac:dyDescent="0.2">
      <c r="A15" s="601" t="s">
        <v>477</v>
      </c>
      <c r="B15" s="601"/>
      <c r="C15" s="601"/>
      <c r="D15" s="601"/>
      <c r="E15" s="601"/>
      <c r="F15" s="601"/>
      <c r="G15" s="601"/>
      <c r="H15" s="601"/>
    </row>
    <row r="16" spans="1:16" ht="48.75" customHeight="1" x14ac:dyDescent="0.2">
      <c r="A16" s="563" t="s">
        <v>478</v>
      </c>
      <c r="B16" s="563"/>
      <c r="C16" s="563"/>
      <c r="D16" s="563"/>
      <c r="E16" s="563"/>
      <c r="F16" s="563"/>
      <c r="G16" s="563"/>
      <c r="H16" s="563"/>
    </row>
    <row r="17" spans="1:8" ht="48.75" customHeight="1" x14ac:dyDescent="0.2">
      <c r="A17" s="563" t="s">
        <v>479</v>
      </c>
      <c r="B17" s="563"/>
      <c r="C17" s="563"/>
      <c r="D17" s="563"/>
      <c r="E17" s="563"/>
      <c r="F17" s="563"/>
      <c r="G17" s="563"/>
      <c r="H17" s="563"/>
    </row>
    <row r="18" spans="1:8" ht="15.75" x14ac:dyDescent="0.2">
      <c r="A18" s="602" t="s">
        <v>480</v>
      </c>
      <c r="B18" s="602"/>
      <c r="C18" s="602"/>
      <c r="D18" s="602"/>
      <c r="E18" s="602"/>
      <c r="F18" s="602"/>
      <c r="G18" s="602"/>
      <c r="H18" s="602"/>
    </row>
    <row r="19" spans="1:8" ht="33.75" customHeight="1" x14ac:dyDescent="0.2">
      <c r="A19" s="563" t="s">
        <v>481</v>
      </c>
      <c r="B19" s="563"/>
      <c r="C19" s="563"/>
      <c r="D19" s="563"/>
      <c r="E19" s="563"/>
      <c r="F19" s="563"/>
      <c r="G19" s="563"/>
      <c r="H19" s="563"/>
    </row>
    <row r="20" spans="1:8" ht="18.75" customHeight="1" x14ac:dyDescent="0.2">
      <c r="A20" s="563" t="s">
        <v>482</v>
      </c>
      <c r="B20" s="563"/>
      <c r="C20" s="563"/>
      <c r="D20" s="563"/>
      <c r="E20" s="563"/>
      <c r="F20" s="563"/>
      <c r="G20" s="563"/>
      <c r="H20" s="563"/>
    </row>
    <row r="32" spans="1:8" ht="49.5" customHeight="1" x14ac:dyDescent="0.2"/>
    <row r="33" spans="1:6" ht="63" customHeight="1" x14ac:dyDescent="0.2"/>
    <row r="34" spans="1:6" ht="48" customHeight="1" x14ac:dyDescent="0.2">
      <c r="A34" s="488"/>
      <c r="B34" s="488"/>
      <c r="C34" s="488"/>
      <c r="D34" s="488"/>
      <c r="E34" s="488"/>
      <c r="F34" s="488"/>
    </row>
    <row r="36" spans="1:6" ht="95.25" customHeight="1" x14ac:dyDescent="0.2"/>
  </sheetData>
  <mergeCells count="10">
    <mergeCell ref="A16:H16"/>
    <mergeCell ref="A17:H17"/>
    <mergeCell ref="A18:H18"/>
    <mergeCell ref="A19:H19"/>
    <mergeCell ref="A20:H20"/>
    <mergeCell ref="F10:F12"/>
    <mergeCell ref="G10:G12"/>
    <mergeCell ref="H10:H12"/>
    <mergeCell ref="A3:H3"/>
    <mergeCell ref="A15:H1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2025-01-14T21:38:03+00:00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6" ma:contentTypeDescription="Create a new document." ma:contentTypeScope="" ma:versionID="d513bca65c16c20fa6621e38b2352de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96de173cb04a30135a30bb001169eca"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B78CD36C-0712-49A8-B729-A0FAEDEC964B}">
  <ds:schemaRefs>
    <ds:schemaRef ds:uri="4d6aed1e-57d3-46e3-9aba-f706adbce63b"/>
    <ds:schemaRef ds:uri="http://purl.org/dc/terms/"/>
    <ds:schemaRef ds:uri="http://www.w3.org/XML/1998/namespace"/>
    <ds:schemaRef ds:uri="http://schemas.microsoft.com/office/2006/documentManagement/types"/>
    <ds:schemaRef ds:uri="http://schemas.microsoft.com/office/infopath/2007/PartnerControls"/>
    <ds:schemaRef ds:uri="1891fcec-84c2-4840-9468-b51a784ab0d1"/>
    <ds:schemaRef ds:uri="http://purl.org/dc/dcmitype/"/>
    <ds:schemaRef ds:uri="http://schemas.openxmlformats.org/package/2006/metadata/core-properti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749E43A3-4B26-40E3-9CA3-BE3263F0D604}"/>
</file>

<file path=customXml/itemProps3.xml><?xml version="1.0" encoding="utf-8"?>
<ds:datastoreItem xmlns:ds="http://schemas.openxmlformats.org/officeDocument/2006/customXml" ds:itemID="{459288D8-D7FC-4D2C-A54C-34CF1F6FDFFB}">
  <ds:schemaRefs>
    <ds:schemaRef ds:uri="http://schemas.microsoft.com/sharepoint/v3/contenttype/forms"/>
  </ds:schemaRefs>
</ds:datastoreItem>
</file>

<file path=customXml/itemProps4.xml><?xml version="1.0" encoding="utf-8"?>
<ds:datastoreItem xmlns:ds="http://schemas.openxmlformats.org/officeDocument/2006/customXml" ds:itemID="{453251D5-8756-4978-9788-10565E9504B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24</vt:i4>
      </vt:variant>
    </vt:vector>
  </HeadingPairs>
  <TitlesOfParts>
    <vt:vector size="49" baseType="lpstr">
      <vt:lpstr>Controllers NSPS acreage</vt:lpstr>
      <vt:lpstr># of Responses</vt:lpstr>
      <vt:lpstr>BURDEN SUMMARY</vt:lpstr>
      <vt:lpstr>Summary</vt:lpstr>
      <vt:lpstr>Table 1A</vt:lpstr>
      <vt:lpstr>Table 1B</vt:lpstr>
      <vt:lpstr>Table 1C</vt:lpstr>
      <vt:lpstr>Table 2</vt:lpstr>
      <vt:lpstr>Capital O&amp;M</vt:lpstr>
      <vt:lpstr>Respondents</vt:lpstr>
      <vt:lpstr>Responses</vt:lpstr>
      <vt:lpstr>Annual # of Respondents</vt:lpstr>
      <vt:lpstr>Labor Data</vt:lpstr>
      <vt:lpstr>FY15 GSA Rate</vt:lpstr>
      <vt:lpstr>Agency Base Data</vt:lpstr>
      <vt:lpstr>Other Cost Basis</vt:lpstr>
      <vt:lpstr>1.A-Public</vt:lpstr>
      <vt:lpstr>2.A-Public</vt:lpstr>
      <vt:lpstr>3.A-Public</vt:lpstr>
      <vt:lpstr>1.B-Priv</vt:lpstr>
      <vt:lpstr>2.B-Priv</vt:lpstr>
      <vt:lpstr>3.B-Priv</vt:lpstr>
      <vt:lpstr>1.C-Fed</vt:lpstr>
      <vt:lpstr>2.C-Fed</vt:lpstr>
      <vt:lpstr>3.C-Fed</vt:lpstr>
      <vt:lpstr>'Labor Data'!_ftnref1</vt:lpstr>
      <vt:lpstr>'Labor Data'!_Ref354565577</vt:lpstr>
      <vt:lpstr>'1.A-Public'!Print_Area</vt:lpstr>
      <vt:lpstr>'1.B-Priv'!Print_Area</vt:lpstr>
      <vt:lpstr>'1.C-Fed'!Print_Area</vt:lpstr>
      <vt:lpstr>'2.A-Public'!Print_Area</vt:lpstr>
      <vt:lpstr>'2.B-Priv'!Print_Area</vt:lpstr>
      <vt:lpstr>'2.C-Fed'!Print_Area</vt:lpstr>
      <vt:lpstr>'3.A-Public'!Print_Area</vt:lpstr>
      <vt:lpstr>'3.B-Priv'!Print_Area</vt:lpstr>
      <vt:lpstr>'3.C-Fed'!Print_Area</vt:lpstr>
      <vt:lpstr>'Table 1A'!Print_Area</vt:lpstr>
      <vt:lpstr>'Table 1B'!Print_Area</vt:lpstr>
      <vt:lpstr>'Table 1C'!Print_Area</vt:lpstr>
      <vt:lpstr>'Table 2'!Print_Area</vt:lpstr>
      <vt:lpstr>'1.A-Public'!Print_Titles</vt:lpstr>
      <vt:lpstr>'1.B-Priv'!Print_Titles</vt:lpstr>
      <vt:lpstr>'2.A-Public'!Print_Titles</vt:lpstr>
      <vt:lpstr>'2.B-Priv'!Print_Titles</vt:lpstr>
      <vt:lpstr>'3.A-Public'!Print_Titles</vt:lpstr>
      <vt:lpstr>'3.B-Priv'!Print_Titles</vt:lpstr>
      <vt:lpstr>'Table 1A'!Print_Titles</vt:lpstr>
      <vt:lpstr>'Table 1B'!Print_Titles</vt:lpstr>
      <vt:lpstr>'Table 1C'!Print_Titles</vt:lpstr>
    </vt:vector>
  </TitlesOfParts>
  <Manager/>
  <Company>Eastern Research Group,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ASingleton</dc:creator>
  <cp:keywords/>
  <dc:description/>
  <cp:lastModifiedBy>Stacie Enoch</cp:lastModifiedBy>
  <cp:revision/>
  <dcterms:created xsi:type="dcterms:W3CDTF">2014-03-24T13:25:26Z</dcterms:created>
  <dcterms:modified xsi:type="dcterms:W3CDTF">2024-12-12T15:43:49Z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y fmtid="{D5CDD505-2E9C-101B-9397-08002B2CF9AE}" pid="3" name="TaxKeyword">
    <vt:lpwstr/>
  </property>
  <property fmtid="{D5CDD505-2E9C-101B-9397-08002B2CF9AE}" pid="4" name="MediaServiceImageTags">
    <vt:lpwstr/>
  </property>
</Properties>
</file>