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easternresearchgroup.sharepoint.com/sites/CAAICRRenewals/Shared Documents/General/FY25_Drafts/2568.04 NESHAP from Manufacturing of Nutritional Yeast/"/>
    </mc:Choice>
  </mc:AlternateContent>
  <xr:revisionPtr revIDLastSave="70" documentId="13_ncr:1_{669EEDA5-A5D2-47CA-8C65-51D5D075FA5F}" xr6:coauthVersionLast="47" xr6:coauthVersionMax="47" xr10:uidLastSave="{4FA967CB-7F7C-4080-9080-3072D46A6848}"/>
  <bookViews>
    <workbookView xWindow="-120" yWindow="-120" windowWidth="29040" windowHeight="1572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9" i="1" l="1"/>
  <c r="I8" i="3"/>
  <c r="E10" i="5"/>
  <c r="E4" i="5"/>
  <c r="B9" i="5"/>
  <c r="B8" i="5"/>
  <c r="B7" i="5"/>
  <c r="B6" i="5"/>
  <c r="B5" i="5"/>
  <c r="B4" i="5"/>
  <c r="I11" i="2" l="1"/>
  <c r="F11" i="2"/>
  <c r="I10" i="2"/>
  <c r="G10" i="2"/>
  <c r="H10" i="2"/>
  <c r="F10" i="2"/>
  <c r="D10" i="2"/>
  <c r="I39" i="1"/>
  <c r="I22" i="1"/>
  <c r="I5" i="1"/>
  <c r="E7" i="5" l="1"/>
  <c r="D6" i="2"/>
  <c r="F6" i="2" s="1"/>
  <c r="D5" i="2"/>
  <c r="F5" i="2" s="1"/>
  <c r="H5" i="2" s="1"/>
  <c r="H6" i="2" l="1"/>
  <c r="G6" i="2"/>
  <c r="I6" i="2" s="1"/>
  <c r="G5" i="2"/>
  <c r="I5" i="2" s="1"/>
  <c r="D7" i="2" l="1"/>
  <c r="F7" i="2" s="1"/>
  <c r="G7" i="2" s="1"/>
  <c r="D8" i="2"/>
  <c r="F8" i="2" s="1"/>
  <c r="D9" i="2"/>
  <c r="H7" i="2" l="1"/>
  <c r="I7" i="2" s="1"/>
  <c r="G8" i="2"/>
  <c r="H8" i="2"/>
  <c r="I8" i="2" l="1"/>
  <c r="E37" i="1"/>
  <c r="D37" i="1"/>
  <c r="D38" i="1"/>
  <c r="D36" i="1"/>
  <c r="D34" i="1"/>
  <c r="D33" i="1"/>
  <c r="D31" i="1"/>
  <c r="D30" i="1"/>
  <c r="F30" i="1" s="1"/>
  <c r="D29" i="1"/>
  <c r="D27" i="1"/>
  <c r="F27" i="1" s="1"/>
  <c r="E38" i="1"/>
  <c r="E36" i="1"/>
  <c r="E34" i="1"/>
  <c r="E33" i="1"/>
  <c r="E31" i="1"/>
  <c r="E30" i="1"/>
  <c r="F34" i="1" l="1"/>
  <c r="F37" i="1"/>
  <c r="G37" i="1"/>
  <c r="H37" i="1"/>
  <c r="I37" i="1"/>
  <c r="F38" i="1"/>
  <c r="H38" i="1" s="1"/>
  <c r="F36" i="1"/>
  <c r="H36" i="1" s="1"/>
  <c r="F33" i="1"/>
  <c r="H33" i="1" s="1"/>
  <c r="F31" i="1"/>
  <c r="H31" i="1" s="1"/>
  <c r="H30" i="1"/>
  <c r="G30" i="1"/>
  <c r="F29" i="1"/>
  <c r="H29" i="1" s="1"/>
  <c r="G34" i="1"/>
  <c r="H34" i="1"/>
  <c r="H27" i="1"/>
  <c r="G27" i="1"/>
  <c r="E21" i="1"/>
  <c r="F20" i="1"/>
  <c r="E9" i="1"/>
  <c r="D21" i="1"/>
  <c r="D20" i="1"/>
  <c r="D19" i="1"/>
  <c r="F19" i="1" s="1"/>
  <c r="H19" i="1" s="1"/>
  <c r="D18" i="1"/>
  <c r="D17" i="1"/>
  <c r="D16" i="1"/>
  <c r="F16" i="1" s="1"/>
  <c r="D12" i="1"/>
  <c r="D11" i="1"/>
  <c r="D10" i="1"/>
  <c r="D9" i="1"/>
  <c r="D8" i="1"/>
  <c r="D5" i="1"/>
  <c r="E5" i="1"/>
  <c r="G7" i="3"/>
  <c r="G5" i="3"/>
  <c r="B7" i="3"/>
  <c r="F17" i="1" l="1"/>
  <c r="H17" i="1" s="1"/>
  <c r="F18" i="1"/>
  <c r="H18" i="1" s="1"/>
  <c r="I30" i="1"/>
  <c r="G33" i="1"/>
  <c r="I33" i="1" s="1"/>
  <c r="I27" i="1"/>
  <c r="I34" i="1"/>
  <c r="G38" i="1"/>
  <c r="I38" i="1" s="1"/>
  <c r="G36" i="1"/>
  <c r="I36" i="1" s="1"/>
  <c r="G31" i="1"/>
  <c r="I31" i="1" s="1"/>
  <c r="G29" i="1"/>
  <c r="I29" i="1" s="1"/>
  <c r="G19" i="1"/>
  <c r="I19" i="1" s="1"/>
  <c r="G16" i="1"/>
  <c r="G20" i="1"/>
  <c r="H20" i="1"/>
  <c r="H16" i="1"/>
  <c r="G18" i="1" l="1"/>
  <c r="G17" i="1"/>
  <c r="I17" i="1" s="1"/>
  <c r="I20" i="1"/>
  <c r="I18" i="1"/>
  <c r="I16" i="1"/>
  <c r="E9" i="5" l="1"/>
  <c r="E8" i="5"/>
  <c r="E6" i="5"/>
  <c r="E5" i="5"/>
  <c r="C8" i="4"/>
  <c r="B8" i="4"/>
  <c r="F7" i="4"/>
  <c r="F6" i="4"/>
  <c r="F5" i="4"/>
  <c r="D5" i="3"/>
  <c r="D7" i="3"/>
  <c r="F8" i="4" l="1"/>
  <c r="B3" i="6" s="1"/>
  <c r="F21" i="1"/>
  <c r="H21" i="1" s="1"/>
  <c r="G21" i="1" l="1"/>
  <c r="I21" i="1" s="1"/>
  <c r="F9" i="2" l="1"/>
  <c r="G9" i="2" l="1"/>
  <c r="H9" i="2"/>
  <c r="I9" i="2" l="1"/>
  <c r="G6" i="3"/>
  <c r="G8" i="3" s="1"/>
  <c r="D6" i="3"/>
  <c r="D8" i="3" s="1"/>
  <c r="B6" i="6" l="1"/>
  <c r="F12" i="1" l="1"/>
  <c r="G12" i="1" s="1"/>
  <c r="I41" i="1"/>
  <c r="H12" i="1" l="1"/>
  <c r="I12" i="1" s="1"/>
  <c r="F11" i="1"/>
  <c r="F10" i="1"/>
  <c r="H10" i="1" s="1"/>
  <c r="F9" i="1"/>
  <c r="H11" i="1" l="1"/>
  <c r="G9" i="1"/>
  <c r="G11" i="1"/>
  <c r="H9" i="1"/>
  <c r="G10" i="1"/>
  <c r="I10" i="1" s="1"/>
  <c r="F5" i="1"/>
  <c r="H5" i="1" l="1"/>
  <c r="I11" i="1"/>
  <c r="I9" i="1"/>
  <c r="G5" i="1"/>
  <c r="F39" i="1" l="1"/>
  <c r="F8" i="1" l="1"/>
  <c r="G8" i="1" l="1"/>
  <c r="H8" i="1"/>
  <c r="F22" i="1" l="1"/>
  <c r="I8" i="1"/>
  <c r="I40" i="1" l="1"/>
  <c r="I42" i="1" s="1"/>
  <c r="B5" i="6" s="1"/>
  <c r="F40" i="1"/>
  <c r="B4" i="6" s="1"/>
  <c r="B2" i="6" l="1"/>
</calcChain>
</file>

<file path=xl/sharedStrings.xml><?xml version="1.0" encoding="utf-8"?>
<sst xmlns="http://schemas.openxmlformats.org/spreadsheetml/2006/main" count="161" uniqueCount="143">
  <si>
    <t>ICR Summary Information</t>
  </si>
  <si>
    <t>Number of Respondents</t>
  </si>
  <si>
    <t>Total Estimated Burden Hours</t>
  </si>
  <si>
    <t>Total Estimated Costs</t>
  </si>
  <si>
    <t>Annualized Capital O&amp;M</t>
  </si>
  <si>
    <t>Total Annual Responses</t>
  </si>
  <si>
    <t>Form Number</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</si>
  <si>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</si>
  <si>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</si>
  <si>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</si>
  <si>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</si>
  <si>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</si>
  <si>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</si>
  <si>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</si>
  <si>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</si>
  <si>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</si>
  <si>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1.  Reporting requirements</t>
  </si>
  <si>
    <t>Labor Rates</t>
  </si>
  <si>
    <t>Management</t>
  </si>
  <si>
    <t>Technical</t>
  </si>
  <si>
    <t>Clerical</t>
  </si>
  <si>
    <t>Subtotal for Reporting Requirements</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</si>
  <si>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</si>
  <si>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</si>
  <si>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</si>
  <si>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</si>
  <si>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</si>
  <si>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</si>
  <si>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</si>
  <si>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</si>
  <si>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</si>
  <si>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</si>
  <si>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</si>
  <si>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</si>
  <si>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</si>
  <si>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</si>
  <si>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</si>
  <si>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</si>
  <si>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</si>
  <si>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</si>
  <si>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</si>
  <si>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</si>
  <si>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</si>
  <si>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</si>
  <si>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</si>
  <si>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</si>
  <si>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</si>
  <si>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</si>
  <si>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</si>
  <si>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</si>
  <si>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</si>
  <si>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</si>
  <si>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</si>
  <si>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</si>
  <si>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</si>
  <si>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</si>
  <si>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</si>
  <si>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</si>
  <si>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</si>
  <si>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</si>
  <si>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</si>
  <si>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Not Applicable</t>
  </si>
  <si>
    <r>
      <t>b</t>
    </r>
    <r>
      <rPr>
        <sz val="10"/>
        <rFont val="Times New Roman"/>
        <family val="1"/>
      </rPr>
      <t xml:space="preserve">  This cost is based on the average hourly labor rate as follows: Managerial $76.92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</si>
  <si>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t>Number of Respondents with O&amp;M</t>
    </r>
    <r>
      <rPr>
        <b/>
        <vertAlign val="superscript"/>
        <sz val="10"/>
        <color theme="1"/>
        <rFont val="Times New Roman"/>
        <family val="1"/>
      </rPr>
      <t xml:space="preserve"> </t>
    </r>
  </si>
  <si>
    <t xml:space="preserve">Number of New  Respondents </t>
  </si>
  <si>
    <r>
      <t>VOC CEMs</t>
    </r>
    <r>
      <rPr>
        <vertAlign val="superscript"/>
        <sz val="10"/>
        <color rgb="FF000000"/>
        <rFont val="Times New Roman"/>
        <family val="1"/>
      </rPr>
      <t>a</t>
    </r>
  </si>
  <si>
    <r>
      <t>CEMS RATA</t>
    </r>
    <r>
      <rPr>
        <vertAlign val="superscript"/>
        <sz val="10"/>
        <color rgb="FF000000"/>
        <rFont val="Times New Roman"/>
        <family val="1"/>
      </rPr>
      <t>b</t>
    </r>
  </si>
  <si>
    <r>
      <t>Brew Ethanol Correlation</t>
    </r>
    <r>
      <rPr>
        <vertAlign val="superscript"/>
        <sz val="10"/>
        <color rgb="FF000000"/>
        <rFont val="Times New Roman"/>
        <family val="1"/>
      </rPr>
      <t>c</t>
    </r>
  </si>
  <si>
    <r>
      <rPr>
        <vertAlign val="superscript"/>
        <sz val="10"/>
        <color rgb="FF000000"/>
        <rFont val="Times New Roman"/>
        <family val="1"/>
      </rPr>
      <t>a</t>
    </r>
    <r>
      <rPr>
        <sz val="10"/>
        <color rgb="FF000000"/>
        <rFont val="Times New Roman"/>
        <family val="1"/>
      </rPr>
      <t xml:space="preserve"> Assumes all facilities have installed CEMS to comply with the rule. Annual costs include operation, maintenance, and repair of CEMS.</t>
    </r>
  </si>
  <si>
    <r>
      <rPr>
        <vertAlign val="superscript"/>
        <sz val="10"/>
        <color rgb="FF000000"/>
        <rFont val="Times New Roman"/>
        <family val="1"/>
      </rPr>
      <t>b</t>
    </r>
    <r>
      <rPr>
        <sz val="10"/>
        <color rgb="FF000000"/>
        <rFont val="Times New Roman"/>
        <family val="1"/>
      </rPr>
      <t xml:space="preserve"> Assumes an annual O&amp;M cost of $3,624 to conduct RATA per CEMS and an average of 6.5 CEMs per facility. Assumes 4 respondents will complete over 12 quarters or 3 years for average of 1.33 respondents/year.</t>
    </r>
  </si>
  <si>
    <r>
      <rPr>
        <vertAlign val="superscript"/>
        <sz val="10"/>
        <color rgb="FF000000"/>
        <rFont val="Times New Roman"/>
        <family val="1"/>
      </rPr>
      <t>c</t>
    </r>
    <r>
      <rPr>
        <sz val="10"/>
        <color rgb="FF000000"/>
        <rFont val="Times New Roman"/>
        <family val="1"/>
      </rPr>
      <t xml:space="preserve"> Assumes no facilities will conduct brew ethanol correlation.</t>
    </r>
  </si>
  <si>
    <r>
      <t>a</t>
    </r>
    <r>
      <rPr>
        <sz val="10"/>
        <rFont val="Times New Roman"/>
        <family val="1"/>
      </rPr>
      <t xml:space="preserve">  We assume that an average of 4 respondents will be subject to this rule, and that no new source will become subject to the rule each year over the three-year period of the ICR.</t>
    </r>
  </si>
  <si>
    <t>Notification of Performance Evaluation</t>
  </si>
  <si>
    <t>Performance Evaluation Report</t>
  </si>
  <si>
    <t>Notification of Performance Test</t>
  </si>
  <si>
    <t>Notification of Compliance Status</t>
  </si>
  <si>
    <t>Semiannual Report</t>
  </si>
  <si>
    <t>B.  Required Activities</t>
  </si>
  <si>
    <t>a.  Capital Cost</t>
  </si>
  <si>
    <t>3.  Brew Ethanol Correlation</t>
  </si>
  <si>
    <t>C.  Create Information</t>
  </si>
  <si>
    <t>D.  Gather Information</t>
  </si>
  <si>
    <t>E.  Report Preparation</t>
  </si>
  <si>
    <t>See 3B</t>
  </si>
  <si>
    <t>See 3E</t>
  </si>
  <si>
    <t>A.  Read Instructions</t>
  </si>
  <si>
    <t>B.  Implement Activities</t>
  </si>
  <si>
    <t>C.  Develop Record System</t>
  </si>
  <si>
    <t>D.  Record information</t>
  </si>
  <si>
    <t>E.  Personnel Training</t>
  </si>
  <si>
    <t>F.  Time for Audits</t>
  </si>
  <si>
    <t>2.  Recordkeeping Requirements</t>
  </si>
  <si>
    <t>i.  Develop Performance Evaluation Plan</t>
  </si>
  <si>
    <t>ii.  Notification of Performance Evaluation</t>
  </si>
  <si>
    <t>iii.  Performance Evaluation Report</t>
  </si>
  <si>
    <t>iv.  Notification of Performance Test</t>
  </si>
  <si>
    <t>v.  Notification of Compliance Status</t>
  </si>
  <si>
    <t>vi.  Semiannual Compliance Report</t>
  </si>
  <si>
    <t>i.  Compliance Calculation Tracking</t>
  </si>
  <si>
    <t>i.  Performance Evaluations</t>
  </si>
  <si>
    <t>ii.  CEMS Measurements</t>
  </si>
  <si>
    <t>iii.  Compliance Calculation</t>
  </si>
  <si>
    <t>iv.  CEMS Calibration and Maintenance</t>
  </si>
  <si>
    <t>v.  Store, File, and Maintain Records</t>
  </si>
  <si>
    <t>vi.  Retrieve Records/Reports</t>
  </si>
  <si>
    <t>i.  Acquisition, Installation, &amp; Training</t>
  </si>
  <si>
    <t>ii.  CEMS Inspection and Monitoring</t>
  </si>
  <si>
    <t>See 3A</t>
  </si>
  <si>
    <t>NA</t>
  </si>
  <si>
    <r>
      <rPr>
        <vertAlign val="superscript"/>
        <sz val="10"/>
        <rFont val="Times New Roman"/>
        <family val="1"/>
      </rPr>
      <t xml:space="preserve">c </t>
    </r>
    <r>
      <rPr>
        <sz val="10"/>
        <rFont val="Times New Roman"/>
        <family val="1"/>
      </rPr>
      <t>We assume that all of the respondents will have to familiarize with the regulatory requirements each year.</t>
    </r>
  </si>
  <si>
    <r>
      <t xml:space="preserve">A.  Familiarization with regulatory requirements </t>
    </r>
    <r>
      <rPr>
        <vertAlign val="superscript"/>
        <sz val="10"/>
        <color theme="1"/>
        <rFont val="Times New Roman"/>
        <family val="1"/>
      </rPr>
      <t>c</t>
    </r>
  </si>
  <si>
    <r>
      <t xml:space="preserve">i.  VOC CEMS </t>
    </r>
    <r>
      <rPr>
        <vertAlign val="superscript"/>
        <sz val="8"/>
        <rFont val="Arial"/>
        <family val="2"/>
      </rPr>
      <t>d</t>
    </r>
  </si>
  <si>
    <r>
      <t>b.  Annualized Cost</t>
    </r>
    <r>
      <rPr>
        <vertAlign val="superscript"/>
        <sz val="8"/>
        <rFont val="Arial"/>
        <family val="2"/>
      </rPr>
      <t xml:space="preserve"> e</t>
    </r>
  </si>
  <si>
    <r>
      <t xml:space="preserve">ii.  Performance evaluation </t>
    </r>
    <r>
      <rPr>
        <vertAlign val="superscript"/>
        <sz val="8"/>
        <rFont val="Arial"/>
        <family val="2"/>
      </rPr>
      <t>f</t>
    </r>
  </si>
  <si>
    <r>
      <t xml:space="preserve">a.  CEMS RATA </t>
    </r>
    <r>
      <rPr>
        <vertAlign val="superscript"/>
        <sz val="8"/>
        <rFont val="Arial"/>
        <family val="2"/>
      </rPr>
      <t>g</t>
    </r>
  </si>
  <si>
    <r>
      <t xml:space="preserve">Total Labor Burden and Costs (rounded) </t>
    </r>
    <r>
      <rPr>
        <b/>
        <vertAlign val="superscript"/>
        <sz val="10"/>
        <rFont val="Times New Roman"/>
        <family val="1"/>
      </rPr>
      <t>h</t>
    </r>
  </si>
  <si>
    <r>
      <t>Total Capital and O&amp;M Cost (rounded)</t>
    </r>
    <r>
      <rPr>
        <b/>
        <vertAlign val="superscript"/>
        <sz val="10"/>
        <rFont val="Times New Roman"/>
        <family val="1"/>
      </rPr>
      <t xml:space="preserve"> h</t>
    </r>
  </si>
  <si>
    <r>
      <t xml:space="preserve">GRAND TOTAL (rounded) </t>
    </r>
    <r>
      <rPr>
        <b/>
        <vertAlign val="superscript"/>
        <sz val="10"/>
        <rFont val="Times New Roman"/>
        <family val="1"/>
      </rPr>
      <t>h</t>
    </r>
  </si>
  <si>
    <r>
      <t>d</t>
    </r>
    <r>
      <rPr>
        <sz val="8"/>
        <rFont val="Arial"/>
        <family val="2"/>
      </rPr>
      <t xml:space="preserve"> </t>
    </r>
    <r>
      <rPr>
        <sz val="10"/>
        <rFont val="Times New Roman"/>
        <family val="1"/>
      </rPr>
      <t>All facilities must use VOC CEMS.</t>
    </r>
  </si>
  <si>
    <r>
      <rPr>
        <vertAlign val="superscript"/>
        <sz val="10"/>
        <rFont val="Times New Roman"/>
        <family val="1"/>
      </rPr>
      <t>e</t>
    </r>
    <r>
      <rPr>
        <sz val="10"/>
        <rFont val="Times New Roman"/>
        <family val="1"/>
      </rPr>
      <t xml:space="preserve"> Annualized cost equals the average of all facility annualized costs (based on number of fermenters). Includes operation, maintenance, and repairs of CEMS.</t>
    </r>
  </si>
  <si>
    <r>
      <rPr>
        <vertAlign val="superscript"/>
        <sz val="10"/>
        <rFont val="Times New Roman"/>
        <family val="1"/>
      </rPr>
      <t>f</t>
    </r>
    <r>
      <rPr>
        <sz val="10"/>
        <rFont val="Times New Roman"/>
        <family val="1"/>
      </rPr>
      <t xml:space="preserve"> Labor hours to conduct performance evaluation of CEMS. Assumes 4 respondents will complete over 12 quarters or 3 years for average of 1.33/year.</t>
    </r>
  </si>
  <si>
    <r>
      <t xml:space="preserve">g </t>
    </r>
    <r>
      <rPr>
        <sz val="10"/>
        <rFont val="Times New Roman"/>
        <family val="1"/>
      </rPr>
      <t>Line item for annual non-labor cost to conduct RATA. Number of occurrences per respondent equals the average number of CEMS (i.e., fermenters) per facility. Assumes 4 sources will complete over 12 quarters or 3 years for average of 1.33/year.</t>
    </r>
  </si>
  <si>
    <r>
      <rPr>
        <vertAlign val="superscript"/>
        <sz val="10"/>
        <rFont val="Times New Roman"/>
        <family val="1"/>
      </rPr>
      <t xml:space="preserve">h </t>
    </r>
    <r>
      <rPr>
        <sz val="10"/>
        <rFont val="Times New Roman"/>
        <family val="1"/>
      </rPr>
      <t xml:space="preserve"> Totals have been rounded to 3 significant figures. Figures may not add exactly due to rounding.</t>
    </r>
  </si>
  <si>
    <r>
      <t xml:space="preserve">c  </t>
    </r>
    <r>
      <rPr>
        <sz val="10"/>
        <rFont val="Times New Roman"/>
        <family val="1"/>
      </rPr>
      <t>Totals have been rounded to 3 significant figures. Figures may not add exactly due to rounding.</t>
    </r>
  </si>
  <si>
    <t>Report review</t>
  </si>
  <si>
    <t>Review Notification of Performance Evaluation</t>
  </si>
  <si>
    <t>Review Performance Evaluation Report</t>
  </si>
  <si>
    <t>Review Notification of Performance Test</t>
  </si>
  <si>
    <t>Review Semiannual Compliance Report</t>
  </si>
  <si>
    <t>Managerial</t>
  </si>
  <si>
    <t>Review Performance Test Report</t>
  </si>
  <si>
    <r>
      <t xml:space="preserve">TOTAL (rounded) </t>
    </r>
    <r>
      <rPr>
        <b/>
        <vertAlign val="superscript"/>
        <sz val="10"/>
        <rFont val="Times New Roman"/>
        <family val="1"/>
      </rPr>
      <t>c</t>
    </r>
  </si>
  <si>
    <r>
      <t>a</t>
    </r>
    <r>
      <rPr>
        <sz val="10"/>
        <rFont val="Times New Roman"/>
        <family val="1"/>
      </rPr>
      <t xml:space="preserve">  We assume that an average of 4 respondents will be subject to this rule, and that no new sources will become subject to the rule each year over the three-year period of the ICR.</t>
    </r>
  </si>
  <si>
    <t>Performance Test Report</t>
  </si>
  <si>
    <r>
      <t>b</t>
    </r>
    <r>
      <rPr>
        <sz val="10"/>
        <rFont val="Times New Roman"/>
        <family val="1"/>
      </rPr>
      <t xml:space="preserve">  This ICR uses the following labor rates: Managerial $172.41 ($82.10 + 110%);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</si>
  <si>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t>Prepare annual summary report</t>
  </si>
  <si>
    <r>
      <t xml:space="preserve">Annual O&amp;M Costs for One Respondent </t>
    </r>
    <r>
      <rPr>
        <b/>
        <vertAlign val="superscript"/>
        <sz val="10"/>
        <color theme="1"/>
        <rFont val="Times New Roman"/>
        <family val="1"/>
      </rPr>
      <t>d</t>
    </r>
  </si>
  <si>
    <r>
      <rPr>
        <vertAlign val="superscript"/>
        <sz val="10"/>
        <rFont val="Calibri"/>
        <family val="2"/>
        <scheme val="minor"/>
      </rPr>
      <t xml:space="preserve">d </t>
    </r>
    <r>
      <rPr>
        <sz val="10"/>
        <rFont val="Calibri"/>
        <family val="2"/>
        <scheme val="minor"/>
      </rPr>
      <t>Annualized capital costs were calculated based on 2015 dollars using an equipment life of 10 years and a 7 percent discount rate.</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</si>
  <si>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e</t>
    </r>
  </si>
  <si>
    <r>
      <rPr>
        <vertAlign val="superscript"/>
        <sz val="10"/>
        <color theme="1"/>
        <rFont val="Calibri"/>
        <family val="2"/>
        <scheme val="minor"/>
      </rPr>
      <t xml:space="preserve">e </t>
    </r>
    <r>
      <rPr>
        <sz val="10"/>
        <color theme="1"/>
        <rFont val="Calibri"/>
        <family val="2"/>
        <scheme val="minor"/>
      </rPr>
      <t>Totals have been rounded to 3 significant figures. Figures may not add exactly due to rounding.</t>
    </r>
  </si>
  <si>
    <t>Hours per Response</t>
  </si>
  <si>
    <t>Table 1: Annual Respondent Burden and Cost –  NESHAP for Manufacturing of Nutritional Yeast (40 CFR Part 63, Subpart CCCC) (Renewal)</t>
  </si>
  <si>
    <t>Table 2: Average Annual EPA Burden and Cost –  NESHAP for Manufacturing of Nutritional Yeast (40 CFR Part 63, Subpart CCCC) (Renewal)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</si>
</sst>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5"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2"/>
      <color theme="1"/>
      <name val="Times New Roman"/>
      <family val="1"/>
    </font>
    <font>
      <sz val="12"/>
      <color rgb="FF000000"/>
      <name val="Times New Roman"/>
      <family val="1"/>
    </font>
    <font>
      <sz val="9"/>
      <color rgb="FF000000"/>
      <name val="Times New Roman"/>
      <family val="1"/>
    </font>
    <font>
      <sz val="9"/>
      <color theme="1"/>
      <name val="Times New Roman"/>
      <family val="1"/>
    </font>
    <font>
      <sz val="8"/>
      <name val="Arial"/>
      <family val="2"/>
    </font>
    <font>
      <vertAlign val="superscript"/>
      <sz val="8"/>
      <name val="Arial"/>
      <family val="2"/>
    </font>
    <font>
      <sz val="10"/>
      <name val="Calibri"/>
      <family val="2"/>
      <scheme val="minor"/>
    </font>
    <font>
      <vertAlign val="superscript"/>
      <sz val="10"/>
      <name val="Calibri"/>
      <family val="2"/>
      <scheme val="minor"/>
    </font>
    <font>
      <vertAlign val="superscript"/>
      <sz val="10"/>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1" fillId="0" borderId="0"/>
  </cellStyleXfs>
  <cellXfs count="131">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41" fontId="18" fillId="0" borderId="5" xfId="0" applyNumberFormat="1" applyFont="1" applyBorder="1"/>
    <xf numFmtId="164" fontId="13" fillId="0" borderId="0" xfId="1" applyFont="1" applyAlignment="1">
      <alignment wrapText="1"/>
    </xf>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65" fontId="10" fillId="0" borderId="1" xfId="0" applyNumberFormat="1" applyFont="1" applyBorder="1"/>
    <xf numFmtId="0" fontId="10"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2"/>
    </xf>
    <xf numFmtId="0" fontId="2" fillId="0" borderId="1" xfId="0" applyFont="1" applyBorder="1" applyAlignment="1">
      <alignment horizontal="right"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16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6" fontId="7" fillId="0" borderId="1" xfId="0" applyNumberFormat="1" applyFont="1" applyBorder="1" applyAlignment="1">
      <alignment horizontal="right" wrapText="1"/>
    </xf>
    <xf numFmtId="8" fontId="2" fillId="0" borderId="1" xfId="0" applyNumberFormat="1" applyFont="1" applyBorder="1" applyAlignment="1">
      <alignment horizontal="right" wrapText="1"/>
    </xf>
    <xf numFmtId="41" fontId="10" fillId="0" borderId="0" xfId="0" applyNumberFormat="1" applyFont="1"/>
    <xf numFmtId="0" fontId="10" fillId="0" borderId="1" xfId="0" applyFont="1" applyBorder="1" applyAlignment="1">
      <alignment horizontal="left" vertical="top" wrapText="1"/>
    </xf>
    <xf numFmtId="0" fontId="12" fillId="0" borderId="1" xfId="0" applyFont="1" applyBorder="1" applyAlignment="1">
      <alignment wrapText="1"/>
    </xf>
    <xf numFmtId="3" fontId="9" fillId="0" borderId="0" xfId="0" applyNumberFormat="1" applyFont="1"/>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21" fillId="0" borderId="1" xfId="0" applyFont="1" applyBorder="1" applyAlignment="1">
      <alignment vertical="top" wrapText="1"/>
    </xf>
    <xf numFmtId="167" fontId="10" fillId="0" borderId="1" xfId="0" applyNumberFormat="1" applyFont="1" applyBorder="1" applyAlignment="1">
      <alignment horizontal="center" wrapText="1"/>
    </xf>
    <xf numFmtId="3" fontId="2" fillId="0" borderId="1" xfId="0" applyNumberFormat="1" applyFont="1" applyBorder="1" applyAlignment="1">
      <alignment horizontal="center" vertical="center" wrapText="1"/>
    </xf>
    <xf numFmtId="3" fontId="10" fillId="0" borderId="1" xfId="0" applyNumberFormat="1" applyFont="1" applyBorder="1" applyAlignment="1">
      <alignment horizontal="center" wrapText="1"/>
    </xf>
    <xf numFmtId="164" fontId="9" fillId="0" borderId="0" xfId="1" applyFont="1" applyAlignment="1">
      <alignment vertical="center"/>
    </xf>
    <xf numFmtId="164" fontId="9" fillId="0" borderId="0" xfId="1" applyFont="1"/>
    <xf numFmtId="0" fontId="26" fillId="0" borderId="0" xfId="0" applyFont="1" applyAlignment="1">
      <alignment vertical="center" wrapText="1"/>
    </xf>
    <xf numFmtId="0" fontId="27" fillId="0" borderId="0" xfId="0" applyFont="1" applyAlignment="1">
      <alignment vertical="center" wrapText="1"/>
    </xf>
    <xf numFmtId="1" fontId="3" fillId="0" borderId="1" xfId="0" applyNumberFormat="1" applyFont="1" applyBorder="1" applyAlignment="1">
      <alignment horizontal="center" vertical="center" wrapText="1"/>
    </xf>
    <xf numFmtId="6" fontId="24" fillId="0" borderId="0" xfId="0" applyNumberFormat="1" applyFont="1"/>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6" fontId="0" fillId="0" borderId="0" xfId="0" applyNumberFormat="1"/>
    <xf numFmtId="8" fontId="2" fillId="0" borderId="0" xfId="0" applyNumberFormat="1" applyFont="1"/>
    <xf numFmtId="0" fontId="15"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wrapText="1"/>
    </xf>
    <xf numFmtId="0" fontId="15" fillId="0" borderId="7" xfId="0" applyFont="1" applyBorder="1" applyAlignment="1">
      <alignment horizontal="center" vertical="center" wrapText="1"/>
    </xf>
    <xf numFmtId="0" fontId="3" fillId="0" borderId="7" xfId="0" applyFont="1" applyBorder="1" applyAlignment="1">
      <alignment horizontal="center" vertical="center" wrapText="1"/>
    </xf>
    <xf numFmtId="0" fontId="16" fillId="0" borderId="7" xfId="0" applyFont="1" applyBorder="1" applyAlignment="1">
      <alignment vertical="center" wrapText="1"/>
    </xf>
    <xf numFmtId="0" fontId="1" fillId="0" borderId="0" xfId="0" applyFont="1"/>
    <xf numFmtId="0" fontId="2" fillId="0" borderId="1" xfId="0" applyFont="1" applyBorder="1" applyAlignment="1">
      <alignment horizontal="left" vertical="center" wrapText="1" indent="3"/>
    </xf>
    <xf numFmtId="0" fontId="15" fillId="0" borderId="0" xfId="0" applyFont="1" applyAlignment="1">
      <alignment vertical="top" wrapText="1"/>
    </xf>
    <xf numFmtId="0" fontId="30" fillId="0" borderId="0" xfId="0" applyFont="1"/>
    <xf numFmtId="0" fontId="10" fillId="0" borderId="0" xfId="0" applyFont="1" applyAlignment="1">
      <alignment horizontal="left" vertical="top" wrapText="1"/>
    </xf>
    <xf numFmtId="0" fontId="15" fillId="0" borderId="0" xfId="0" applyFont="1" applyAlignment="1">
      <alignment vertical="top"/>
    </xf>
    <xf numFmtId="0" fontId="10" fillId="0" borderId="0" xfId="0" applyFont="1" applyAlignment="1">
      <alignment vertical="top" wrapText="1"/>
    </xf>
    <xf numFmtId="0" fontId="0" fillId="0" borderId="0" xfId="0" applyAlignment="1">
      <alignment horizontal="center"/>
    </xf>
    <xf numFmtId="0" fontId="10" fillId="0" borderId="0" xfId="0" applyFont="1" applyAlignment="1">
      <alignment horizontal="left" vertical="top"/>
    </xf>
    <xf numFmtId="0" fontId="10" fillId="0" borderId="0" xfId="0" applyFont="1" applyAlignment="1">
      <alignment horizontal="left"/>
    </xf>
    <xf numFmtId="0" fontId="15" fillId="0" borderId="1" xfId="0" applyFont="1" applyBorder="1" applyAlignment="1">
      <alignment horizontal="center"/>
    </xf>
    <xf numFmtId="0" fontId="19" fillId="0" borderId="0" xfId="0" applyFont="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0" fontId="3" fillId="0" borderId="0" xfId="0" applyFont="1" applyAlignment="1">
      <alignment horizontal="left"/>
    </xf>
    <xf numFmtId="0" fontId="10" fillId="0" borderId="0" xfId="0" applyFont="1" applyAlignment="1">
      <alignment horizontal="left" vertical="top" wrapText="1"/>
    </xf>
    <xf numFmtId="0" fontId="31" fillId="0" borderId="0" xfId="0" applyFont="1" applyAlignment="1">
      <alignment horizontal="left" vertical="top" wrapText="1"/>
    </xf>
    <xf numFmtId="0" fontId="19" fillId="0" borderId="0" xfId="0" applyFont="1" applyAlignment="1">
      <alignment wrapText="1"/>
    </xf>
    <xf numFmtId="0" fontId="10" fillId="0" borderId="0" xfId="0" applyFont="1" applyAlignment="1">
      <alignment wrapText="1"/>
    </xf>
    <xf numFmtId="0" fontId="12" fillId="0" borderId="0" xfId="0" applyFont="1" applyAlignment="1">
      <alignment horizontal="left"/>
    </xf>
    <xf numFmtId="0" fontId="10" fillId="0" borderId="6" xfId="0" applyFont="1" applyBorder="1" applyAlignment="1">
      <alignment horizontal="left" vertical="top"/>
    </xf>
    <xf numFmtId="0" fontId="12" fillId="0" borderId="1" xfId="0" applyFont="1" applyBorder="1" applyAlignment="1">
      <alignment horizontal="center" wrapText="1"/>
    </xf>
    <xf numFmtId="3" fontId="12" fillId="0" borderId="1" xfId="0" applyNumberFormat="1" applyFont="1" applyBorder="1" applyAlignment="1">
      <alignment horizontal="center" wrapText="1"/>
    </xf>
    <xf numFmtId="0" fontId="19" fillId="0" borderId="0" xfId="0" applyFont="1" applyAlignment="1">
      <alignment horizontal="left" wrapText="1"/>
    </xf>
    <xf numFmtId="0" fontId="24" fillId="0" borderId="0" xfId="0" applyFont="1" applyAlignment="1">
      <alignment horizontal="left" wrapText="1"/>
    </xf>
    <xf numFmtId="0" fontId="15" fillId="0" borderId="0" xfId="0" applyFont="1" applyAlignment="1">
      <alignment vertical="center" wrapText="1"/>
    </xf>
    <xf numFmtId="0" fontId="0" fillId="0" borderId="0" xfId="0"/>
    <xf numFmtId="0" fontId="3" fillId="0" borderId="1" xfId="0" applyFont="1" applyBorder="1" applyAlignment="1">
      <alignment horizontal="center" vertical="center" wrapText="1"/>
    </xf>
    <xf numFmtId="0" fontId="15" fillId="0" borderId="6" xfId="0" applyFont="1" applyBorder="1" applyAlignment="1">
      <alignment vertical="center" wrapText="1"/>
    </xf>
    <xf numFmtId="0" fontId="0" fillId="0" borderId="6" xfId="0" applyBorder="1"/>
    <xf numFmtId="0" fontId="32" fillId="0" borderId="0" xfId="0" applyFont="1" applyAlignment="1">
      <alignment horizontal="left" vertical="top" wrapText="1"/>
    </xf>
    <xf numFmtId="0" fontId="14" fillId="0" borderId="1" xfId="0" applyFont="1" applyBorder="1" applyAlignment="1">
      <alignment horizontal="center" vertical="center" wrapText="1"/>
    </xf>
    <xf numFmtId="0" fontId="16" fillId="0" borderId="7"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A19" sqref="A19"/>
    </sheetView>
  </sheetViews>
  <sheetFormatPr defaultRowHeight="15" x14ac:dyDescent="0.25"/>
  <cols>
    <col min="1" max="1" width="27.85546875" bestFit="1" customWidth="1"/>
    <col min="2" max="2" width="14.28515625" bestFit="1" customWidth="1"/>
  </cols>
  <sheetData>
    <row r="1" spans="1:2" x14ac:dyDescent="0.25">
      <c r="A1" s="92" t="s">
        <v>0</v>
      </c>
      <c r="B1" s="92"/>
    </row>
    <row r="2" spans="1:2" x14ac:dyDescent="0.25">
      <c r="A2" t="s">
        <v>140</v>
      </c>
      <c r="B2" s="76">
        <f>'Table 1'!K39</f>
        <v>132.27016885553471</v>
      </c>
    </row>
    <row r="3" spans="1:2" x14ac:dyDescent="0.25">
      <c r="A3" t="s">
        <v>1</v>
      </c>
      <c r="B3" s="76">
        <f>Respondents!F8</f>
        <v>4</v>
      </c>
    </row>
    <row r="4" spans="1:2" x14ac:dyDescent="0.25">
      <c r="A4" t="s">
        <v>2</v>
      </c>
      <c r="B4" s="76">
        <f>'Table 1'!F40</f>
        <v>1410</v>
      </c>
    </row>
    <row r="5" spans="1:2" x14ac:dyDescent="0.25">
      <c r="A5" t="s">
        <v>3</v>
      </c>
      <c r="B5" s="77">
        <f>'Table 1'!I42</f>
        <v>969000</v>
      </c>
    </row>
    <row r="6" spans="1:2" x14ac:dyDescent="0.25">
      <c r="A6" t="s">
        <v>4</v>
      </c>
      <c r="B6" s="77">
        <f>'Capital O&amp;M'!D8+'Capital O&amp;M'!G8</f>
        <v>776000</v>
      </c>
    </row>
    <row r="7" spans="1:2" x14ac:dyDescent="0.25">
      <c r="A7" t="s">
        <v>6</v>
      </c>
      <c r="B7" t="s">
        <v>61</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0"/>
  <sheetViews>
    <sheetView topLeftCell="A38" zoomScaleNormal="100" workbookViewId="0">
      <selection activeCell="A52" sqref="A3:I52"/>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85" t="s">
        <v>141</v>
      </c>
      <c r="B1" s="1"/>
      <c r="C1" s="1"/>
      <c r="D1" s="1"/>
      <c r="E1" s="1"/>
      <c r="F1" s="1"/>
      <c r="G1" s="1"/>
      <c r="H1" s="1"/>
      <c r="I1" s="8"/>
      <c r="J1" s="1"/>
      <c r="K1" s="1"/>
      <c r="L1" s="1"/>
      <c r="M1" s="48"/>
      <c r="N1" s="13"/>
    </row>
    <row r="2" spans="1:21" s="1" customFormat="1" ht="12.75" x14ac:dyDescent="0.2">
      <c r="F2" s="7"/>
      <c r="G2" s="7"/>
      <c r="H2" s="7"/>
      <c r="I2" s="8"/>
      <c r="J2" s="3"/>
    </row>
    <row r="3" spans="1:21" s="1" customFormat="1" ht="76.5" x14ac:dyDescent="0.2">
      <c r="A3" s="20" t="s">
        <v>7</v>
      </c>
      <c r="B3" s="71" t="s">
        <v>8</v>
      </c>
      <c r="C3" s="71" t="s">
        <v>9</v>
      </c>
      <c r="D3" s="71" t="s">
        <v>10</v>
      </c>
      <c r="E3" s="71" t="s">
        <v>11</v>
      </c>
      <c r="F3" s="71" t="s">
        <v>12</v>
      </c>
      <c r="G3" s="71" t="s">
        <v>13</v>
      </c>
      <c r="H3" s="71" t="s">
        <v>14</v>
      </c>
      <c r="I3" s="71" t="s">
        <v>15</v>
      </c>
      <c r="J3" s="3"/>
      <c r="M3" s="49"/>
      <c r="N3" s="49"/>
      <c r="O3" s="49"/>
      <c r="P3" s="49"/>
      <c r="Q3" s="49"/>
      <c r="R3" s="49"/>
      <c r="S3" s="49"/>
      <c r="T3" s="49"/>
      <c r="U3" s="49"/>
    </row>
    <row r="4" spans="1:21" s="1" customFormat="1" ht="12.75" x14ac:dyDescent="0.2">
      <c r="A4" s="34" t="s">
        <v>16</v>
      </c>
      <c r="B4" s="2"/>
      <c r="C4" s="2"/>
      <c r="D4" s="2"/>
      <c r="E4" s="2"/>
      <c r="F4" s="2"/>
      <c r="G4" s="2"/>
      <c r="H4" s="2"/>
      <c r="I4" s="36"/>
      <c r="J4" s="3"/>
      <c r="K4" s="95" t="s">
        <v>17</v>
      </c>
      <c r="L4" s="95"/>
      <c r="O4" s="51"/>
      <c r="P4" s="51"/>
      <c r="Q4" s="51"/>
      <c r="R4" s="51"/>
      <c r="S4" s="51"/>
      <c r="T4" s="51"/>
      <c r="U4" s="52"/>
    </row>
    <row r="5" spans="1:21" s="1" customFormat="1" ht="15.75" x14ac:dyDescent="0.2">
      <c r="A5" s="37" t="s">
        <v>110</v>
      </c>
      <c r="B5" s="20">
        <v>15</v>
      </c>
      <c r="C5" s="20">
        <v>1</v>
      </c>
      <c r="D5" s="20">
        <f>+B5*C5</f>
        <v>15</v>
      </c>
      <c r="E5" s="20">
        <f>Respondents!$F$8</f>
        <v>4</v>
      </c>
      <c r="F5" s="63">
        <f>D5*E5</f>
        <v>60</v>
      </c>
      <c r="G5" s="41">
        <f>F5*0.05</f>
        <v>3</v>
      </c>
      <c r="H5" s="41">
        <f>F5*0.1</f>
        <v>6</v>
      </c>
      <c r="I5" s="38">
        <f>F5*$L$6+G5*$L$5+H5*$L$7</f>
        <v>9450.39</v>
      </c>
      <c r="J5" s="9"/>
      <c r="K5" s="14" t="s">
        <v>18</v>
      </c>
      <c r="L5" s="32">
        <v>172.41</v>
      </c>
      <c r="M5" s="50"/>
      <c r="N5" s="51"/>
      <c r="O5" s="51"/>
      <c r="P5" s="51"/>
      <c r="Q5" s="51"/>
      <c r="R5" s="53"/>
      <c r="S5" s="51"/>
      <c r="T5" s="51"/>
      <c r="U5" s="54"/>
    </row>
    <row r="6" spans="1:21" s="1" customFormat="1" ht="12.75" x14ac:dyDescent="0.2">
      <c r="A6" s="37" t="s">
        <v>77</v>
      </c>
      <c r="B6" s="20"/>
      <c r="C6" s="20"/>
      <c r="D6" s="20"/>
      <c r="E6" s="20"/>
      <c r="F6" s="20"/>
      <c r="G6" s="20"/>
      <c r="H6" s="20"/>
      <c r="I6" s="38"/>
      <c r="J6" s="3"/>
      <c r="K6" s="14" t="s">
        <v>19</v>
      </c>
      <c r="L6" s="32">
        <v>141.75</v>
      </c>
      <c r="M6" s="50"/>
      <c r="N6" s="51"/>
      <c r="O6" s="51"/>
      <c r="P6" s="51"/>
      <c r="Q6" s="51"/>
      <c r="R6" s="51"/>
      <c r="S6" s="51"/>
      <c r="T6" s="51"/>
      <c r="U6" s="54"/>
    </row>
    <row r="7" spans="1:21" s="1" customFormat="1" ht="12.75" x14ac:dyDescent="0.2">
      <c r="A7" s="35" t="s">
        <v>111</v>
      </c>
      <c r="B7" s="20"/>
      <c r="C7" s="20"/>
      <c r="D7" s="20"/>
      <c r="E7" s="20"/>
      <c r="F7" s="20"/>
      <c r="G7" s="20"/>
      <c r="H7" s="20"/>
      <c r="I7" s="39"/>
      <c r="J7" s="3"/>
      <c r="K7" s="14" t="s">
        <v>20</v>
      </c>
      <c r="L7" s="32">
        <v>71.36</v>
      </c>
      <c r="M7" s="50"/>
      <c r="N7" s="51"/>
      <c r="O7" s="51"/>
      <c r="P7" s="51"/>
      <c r="Q7" s="51"/>
      <c r="R7" s="51"/>
      <c r="S7" s="51"/>
      <c r="T7" s="51"/>
      <c r="U7" s="54"/>
    </row>
    <row r="8" spans="1:21" s="1" customFormat="1" ht="12.75" x14ac:dyDescent="0.2">
      <c r="A8" s="86" t="s">
        <v>78</v>
      </c>
      <c r="B8" s="20">
        <v>0</v>
      </c>
      <c r="C8" s="20">
        <v>1</v>
      </c>
      <c r="D8" s="20">
        <f t="shared" ref="D8:D12" si="0">+B8*C8</f>
        <v>0</v>
      </c>
      <c r="E8" s="20">
        <v>0</v>
      </c>
      <c r="F8" s="20">
        <f>D8*E8</f>
        <v>0</v>
      </c>
      <c r="G8" s="20">
        <f>F8*0.05</f>
        <v>0</v>
      </c>
      <c r="H8" s="20">
        <f>F8*0.1</f>
        <v>0</v>
      </c>
      <c r="I8" s="38">
        <f>F8*$L$6+G8*$L$5+H8*$L$7</f>
        <v>0</v>
      </c>
      <c r="J8" s="3"/>
      <c r="K8" s="66"/>
      <c r="L8" s="17"/>
      <c r="M8" s="50"/>
      <c r="N8" s="51"/>
      <c r="O8" s="51"/>
      <c r="P8" s="51"/>
      <c r="Q8" s="55"/>
      <c r="R8" s="55"/>
      <c r="S8" s="55"/>
      <c r="T8" s="55"/>
      <c r="U8" s="54"/>
    </row>
    <row r="9" spans="1:21" s="1" customFormat="1" ht="12.75" x14ac:dyDescent="0.2">
      <c r="A9" s="86" t="s">
        <v>112</v>
      </c>
      <c r="B9" s="20">
        <v>0</v>
      </c>
      <c r="C9" s="20">
        <v>1</v>
      </c>
      <c r="D9" s="20">
        <f t="shared" si="0"/>
        <v>0</v>
      </c>
      <c r="E9" s="20">
        <f>Respondents!$F$8</f>
        <v>4</v>
      </c>
      <c r="F9" s="20">
        <f>D9*E9</f>
        <v>0</v>
      </c>
      <c r="G9" s="20">
        <f>F9*0.05</f>
        <v>0</v>
      </c>
      <c r="H9" s="20">
        <f>F9*0.1</f>
        <v>0</v>
      </c>
      <c r="I9" s="38">
        <f>F9*$L$6+G9*$L$5+H9*$L$7</f>
        <v>0</v>
      </c>
      <c r="J9" s="3"/>
      <c r="K9" s="73"/>
      <c r="L9" s="4"/>
      <c r="M9" s="50"/>
      <c r="N9" s="51"/>
      <c r="O9" s="51"/>
      <c r="P9" s="51"/>
      <c r="Q9" s="55"/>
      <c r="R9" s="55"/>
      <c r="S9" s="55"/>
      <c r="T9" s="55"/>
      <c r="U9" s="54"/>
    </row>
    <row r="10" spans="1:21" s="1" customFormat="1" ht="12.75" x14ac:dyDescent="0.2">
      <c r="A10" s="35" t="s">
        <v>113</v>
      </c>
      <c r="B10" s="20">
        <v>8</v>
      </c>
      <c r="C10" s="20">
        <v>1</v>
      </c>
      <c r="D10" s="20">
        <f t="shared" si="0"/>
        <v>8</v>
      </c>
      <c r="E10" s="20">
        <v>1.33</v>
      </c>
      <c r="F10" s="40">
        <f>D10*E10</f>
        <v>10.64</v>
      </c>
      <c r="G10" s="40">
        <f>F10*0.05</f>
        <v>0.53200000000000003</v>
      </c>
      <c r="H10" s="40">
        <f>F10*0.1</f>
        <v>1.0640000000000001</v>
      </c>
      <c r="I10" s="38">
        <f>F10*$L$6+G10*$L$5+H10*$L$7</f>
        <v>1675.86916</v>
      </c>
      <c r="J10" s="3"/>
      <c r="K10" s="4"/>
      <c r="L10" s="4"/>
      <c r="M10" s="50"/>
      <c r="N10" s="51"/>
      <c r="O10" s="51"/>
      <c r="P10" s="51"/>
      <c r="Q10" s="55"/>
      <c r="R10" s="55"/>
      <c r="S10" s="55"/>
      <c r="T10" s="55"/>
      <c r="U10" s="54"/>
    </row>
    <row r="11" spans="1:21" s="1" customFormat="1" ht="12.75" x14ac:dyDescent="0.2">
      <c r="A11" s="86" t="s">
        <v>114</v>
      </c>
      <c r="B11" s="20">
        <v>0</v>
      </c>
      <c r="C11" s="20">
        <v>6.5</v>
      </c>
      <c r="D11" s="20">
        <f t="shared" si="0"/>
        <v>0</v>
      </c>
      <c r="E11" s="20">
        <v>1.33</v>
      </c>
      <c r="F11" s="20">
        <f>D11*E11</f>
        <v>0</v>
      </c>
      <c r="G11" s="20">
        <f>F11*0.05</f>
        <v>0</v>
      </c>
      <c r="H11" s="20">
        <f>F11*0.1</f>
        <v>0</v>
      </c>
      <c r="I11" s="38">
        <f>F11*$L$6+G11*$L$5+H11*$L$7</f>
        <v>0</v>
      </c>
      <c r="J11" s="3"/>
      <c r="K11" s="5"/>
      <c r="L11" s="6"/>
      <c r="M11" s="50"/>
      <c r="N11" s="51"/>
      <c r="O11" s="51"/>
      <c r="P11" s="51"/>
      <c r="Q11" s="55"/>
      <c r="R11" s="55"/>
      <c r="S11" s="56"/>
      <c r="T11" s="56"/>
      <c r="U11" s="54"/>
    </row>
    <row r="12" spans="1:21" s="1" customFormat="1" ht="12.75" x14ac:dyDescent="0.2">
      <c r="A12" s="35" t="s">
        <v>79</v>
      </c>
      <c r="B12" s="20">
        <v>10</v>
      </c>
      <c r="C12" s="20">
        <v>3</v>
      </c>
      <c r="D12" s="20">
        <f t="shared" si="0"/>
        <v>30</v>
      </c>
      <c r="E12" s="20">
        <v>0</v>
      </c>
      <c r="F12" s="20">
        <f>D12*E12</f>
        <v>0</v>
      </c>
      <c r="G12" s="20">
        <f>F12*0.05</f>
        <v>0</v>
      </c>
      <c r="H12" s="20">
        <f>F12*0.1</f>
        <v>0</v>
      </c>
      <c r="I12" s="38">
        <f>F12*$L$6+G12*$L$5+H12*$L$7</f>
        <v>0</v>
      </c>
      <c r="J12" s="3"/>
      <c r="K12" s="5"/>
      <c r="L12" s="6"/>
      <c r="M12" s="50"/>
      <c r="N12" s="51"/>
      <c r="O12" s="51"/>
      <c r="P12" s="51"/>
      <c r="Q12" s="55"/>
      <c r="R12" s="55"/>
      <c r="S12" s="56"/>
      <c r="T12" s="56"/>
      <c r="U12" s="54"/>
    </row>
    <row r="13" spans="1:21" s="1" customFormat="1" ht="12.75" x14ac:dyDescent="0.2">
      <c r="A13" s="37" t="s">
        <v>80</v>
      </c>
      <c r="B13" s="20" t="s">
        <v>83</v>
      </c>
      <c r="C13" s="20"/>
      <c r="D13" s="20"/>
      <c r="E13" s="20"/>
      <c r="F13" s="20"/>
      <c r="G13" s="20"/>
      <c r="H13" s="20"/>
      <c r="I13" s="38"/>
      <c r="J13" s="3"/>
      <c r="K13" s="5"/>
      <c r="L13" s="6"/>
      <c r="M13" s="50"/>
      <c r="N13" s="51"/>
      <c r="O13" s="51"/>
      <c r="P13" s="51"/>
      <c r="Q13" s="51"/>
      <c r="R13" s="51"/>
      <c r="S13" s="51"/>
      <c r="T13" s="51"/>
      <c r="U13" s="54"/>
    </row>
    <row r="14" spans="1:21" s="1" customFormat="1" ht="12.75" x14ac:dyDescent="0.2">
      <c r="A14" s="37" t="s">
        <v>81</v>
      </c>
      <c r="B14" s="20" t="s">
        <v>84</v>
      </c>
      <c r="C14" s="20"/>
      <c r="D14" s="20"/>
      <c r="E14" s="41"/>
      <c r="F14" s="41"/>
      <c r="G14" s="41"/>
      <c r="H14" s="41"/>
      <c r="I14" s="38"/>
      <c r="J14" s="9"/>
      <c r="K14" s="65"/>
      <c r="L14" s="6"/>
      <c r="M14" s="50"/>
      <c r="N14" s="51"/>
      <c r="O14" s="51"/>
      <c r="P14" s="51"/>
      <c r="Q14" s="51"/>
      <c r="R14" s="51"/>
      <c r="S14" s="51"/>
      <c r="T14" s="51"/>
      <c r="U14" s="54"/>
    </row>
    <row r="15" spans="1:21" s="1" customFormat="1" ht="12.75" x14ac:dyDescent="0.2">
      <c r="A15" s="37" t="s">
        <v>82</v>
      </c>
      <c r="B15" s="20"/>
      <c r="C15" s="20"/>
      <c r="D15" s="20"/>
      <c r="E15" s="41"/>
      <c r="F15" s="20"/>
      <c r="G15" s="20"/>
      <c r="H15" s="20"/>
      <c r="I15" s="38"/>
      <c r="J15" s="3"/>
      <c r="K15" s="65"/>
      <c r="M15" s="50"/>
      <c r="N15" s="51"/>
      <c r="O15" s="51"/>
      <c r="P15" s="51"/>
      <c r="Q15" s="51"/>
      <c r="R15" s="51"/>
      <c r="S15" s="51"/>
      <c r="T15" s="51"/>
      <c r="U15" s="54"/>
    </row>
    <row r="16" spans="1:21" s="1" customFormat="1" ht="12.75" x14ac:dyDescent="0.2">
      <c r="A16" s="35" t="s">
        <v>92</v>
      </c>
      <c r="B16" s="20">
        <v>15</v>
      </c>
      <c r="C16" s="20">
        <v>1</v>
      </c>
      <c r="D16" s="20">
        <f t="shared" ref="D16:D21" si="1">+B16*C16</f>
        <v>15</v>
      </c>
      <c r="E16" s="41">
        <v>0</v>
      </c>
      <c r="F16" s="20">
        <f t="shared" ref="F16:F20" si="2">D16*E16</f>
        <v>0</v>
      </c>
      <c r="G16" s="20">
        <f t="shared" ref="G16:G20" si="3">F16*0.05</f>
        <v>0</v>
      </c>
      <c r="H16" s="20">
        <f t="shared" ref="H16:H20" si="4">F16*0.1</f>
        <v>0</v>
      </c>
      <c r="I16" s="38">
        <f t="shared" ref="I16:I20" si="5">F16*$L$6+G16*$L$5+H16*$L$7</f>
        <v>0</v>
      </c>
      <c r="J16" s="3"/>
      <c r="K16" s="65"/>
      <c r="M16" s="50"/>
      <c r="N16" s="51"/>
      <c r="O16" s="51"/>
      <c r="P16" s="51"/>
      <c r="Q16" s="51"/>
      <c r="R16" s="51"/>
      <c r="S16" s="51"/>
      <c r="T16" s="51"/>
      <c r="U16" s="54"/>
    </row>
    <row r="17" spans="1:21" s="1" customFormat="1" ht="12.75" x14ac:dyDescent="0.2">
      <c r="A17" s="35" t="s">
        <v>93</v>
      </c>
      <c r="B17" s="20">
        <v>2</v>
      </c>
      <c r="C17" s="20">
        <v>1</v>
      </c>
      <c r="D17" s="20">
        <f t="shared" si="1"/>
        <v>2</v>
      </c>
      <c r="E17" s="20">
        <v>1.33</v>
      </c>
      <c r="F17" s="40">
        <f t="shared" si="2"/>
        <v>2.66</v>
      </c>
      <c r="G17" s="40">
        <f t="shared" si="3"/>
        <v>0.13300000000000001</v>
      </c>
      <c r="H17" s="40">
        <f t="shared" si="4"/>
        <v>0.26600000000000001</v>
      </c>
      <c r="I17" s="38">
        <f t="shared" si="5"/>
        <v>418.96728999999999</v>
      </c>
      <c r="J17" s="3"/>
      <c r="K17" s="65"/>
      <c r="M17" s="50"/>
      <c r="N17" s="51"/>
      <c r="O17" s="51"/>
      <c r="P17" s="51"/>
      <c r="Q17" s="51"/>
      <c r="R17" s="51"/>
      <c r="S17" s="51"/>
      <c r="T17" s="51"/>
      <c r="U17" s="54"/>
    </row>
    <row r="18" spans="1:21" s="1" customFormat="1" ht="12.75" x14ac:dyDescent="0.2">
      <c r="A18" s="35" t="s">
        <v>94</v>
      </c>
      <c r="B18" s="20">
        <v>2</v>
      </c>
      <c r="C18" s="20">
        <v>1</v>
      </c>
      <c r="D18" s="20">
        <f t="shared" si="1"/>
        <v>2</v>
      </c>
      <c r="E18" s="20">
        <v>1.33</v>
      </c>
      <c r="F18" s="40">
        <f t="shared" si="2"/>
        <v>2.66</v>
      </c>
      <c r="G18" s="40">
        <f t="shared" si="3"/>
        <v>0.13300000000000001</v>
      </c>
      <c r="H18" s="40">
        <f t="shared" si="4"/>
        <v>0.26600000000000001</v>
      </c>
      <c r="I18" s="38">
        <f t="shared" si="5"/>
        <v>418.96728999999999</v>
      </c>
      <c r="J18" s="3"/>
      <c r="K18" s="65"/>
      <c r="M18" s="50"/>
      <c r="N18" s="51"/>
      <c r="O18" s="51"/>
      <c r="P18" s="51"/>
      <c r="Q18" s="51"/>
      <c r="R18" s="51"/>
      <c r="S18" s="51"/>
      <c r="T18" s="51"/>
      <c r="U18" s="54"/>
    </row>
    <row r="19" spans="1:21" s="1" customFormat="1" ht="12.75" x14ac:dyDescent="0.2">
      <c r="A19" s="35" t="s">
        <v>95</v>
      </c>
      <c r="B19" s="20">
        <v>2</v>
      </c>
      <c r="C19" s="20">
        <v>1</v>
      </c>
      <c r="D19" s="20">
        <f t="shared" si="1"/>
        <v>2</v>
      </c>
      <c r="E19" s="41">
        <v>0</v>
      </c>
      <c r="F19" s="20">
        <f t="shared" si="2"/>
        <v>0</v>
      </c>
      <c r="G19" s="20">
        <f t="shared" si="3"/>
        <v>0</v>
      </c>
      <c r="H19" s="20">
        <f t="shared" si="4"/>
        <v>0</v>
      </c>
      <c r="I19" s="38">
        <f t="shared" si="5"/>
        <v>0</v>
      </c>
      <c r="J19" s="3"/>
      <c r="K19" s="65"/>
      <c r="M19" s="50"/>
      <c r="N19" s="51"/>
      <c r="O19" s="51"/>
      <c r="P19" s="51"/>
      <c r="Q19" s="51"/>
      <c r="R19" s="51"/>
      <c r="S19" s="51"/>
      <c r="T19" s="51"/>
      <c r="U19" s="54"/>
    </row>
    <row r="20" spans="1:21" s="1" customFormat="1" ht="12.75" x14ac:dyDescent="0.2">
      <c r="A20" s="35" t="s">
        <v>96</v>
      </c>
      <c r="B20" s="20">
        <v>4</v>
      </c>
      <c r="C20" s="20">
        <v>1</v>
      </c>
      <c r="D20" s="20">
        <f t="shared" si="1"/>
        <v>4</v>
      </c>
      <c r="E20" s="41">
        <v>0</v>
      </c>
      <c r="F20" s="20">
        <f t="shared" si="2"/>
        <v>0</v>
      </c>
      <c r="G20" s="20">
        <f t="shared" si="3"/>
        <v>0</v>
      </c>
      <c r="H20" s="20">
        <f t="shared" si="4"/>
        <v>0</v>
      </c>
      <c r="I20" s="38">
        <f t="shared" si="5"/>
        <v>0</v>
      </c>
      <c r="J20" s="3"/>
      <c r="K20" s="65"/>
      <c r="M20" s="50"/>
      <c r="N20" s="51"/>
      <c r="O20" s="51"/>
      <c r="P20" s="51"/>
      <c r="Q20" s="51"/>
      <c r="R20" s="51"/>
      <c r="S20" s="51"/>
      <c r="T20" s="51"/>
      <c r="U20" s="54"/>
    </row>
    <row r="21" spans="1:21" s="1" customFormat="1" ht="12.75" x14ac:dyDescent="0.2">
      <c r="A21" s="35" t="s">
        <v>97</v>
      </c>
      <c r="B21" s="20">
        <v>4</v>
      </c>
      <c r="C21" s="20">
        <v>2</v>
      </c>
      <c r="D21" s="20">
        <f t="shared" si="1"/>
        <v>8</v>
      </c>
      <c r="E21" s="20">
        <f>Respondents!$F$8</f>
        <v>4</v>
      </c>
      <c r="F21" s="41">
        <f t="shared" ref="F21" si="6">D21*E21</f>
        <v>32</v>
      </c>
      <c r="G21" s="20">
        <f t="shared" ref="G21" si="7">F21*0.05</f>
        <v>1.6</v>
      </c>
      <c r="H21" s="40">
        <f t="shared" ref="H21" si="8">F21*0.1</f>
        <v>3.2</v>
      </c>
      <c r="I21" s="38">
        <f t="shared" ref="I21" si="9">F21*$L$6+G21*$L$5+H21*$L$7</f>
        <v>5040.2079999999996</v>
      </c>
      <c r="J21" s="3"/>
      <c r="K21" s="65"/>
      <c r="M21" s="50"/>
      <c r="N21" s="51"/>
      <c r="O21" s="51"/>
      <c r="P21" s="51"/>
      <c r="Q21" s="51"/>
      <c r="R21" s="51"/>
      <c r="S21" s="51"/>
      <c r="T21" s="51"/>
      <c r="U21" s="54"/>
    </row>
    <row r="22" spans="1:21" s="1" customFormat="1" ht="13.5" x14ac:dyDescent="0.25">
      <c r="A22" s="97" t="s">
        <v>21</v>
      </c>
      <c r="B22" s="98"/>
      <c r="C22" s="98"/>
      <c r="D22" s="98"/>
      <c r="E22" s="99"/>
      <c r="F22" s="100">
        <f>SUM(F5:H21)</f>
        <v>124.15399999999998</v>
      </c>
      <c r="G22" s="101"/>
      <c r="H22" s="102"/>
      <c r="I22" s="42">
        <f>SUM(I5:I21)</f>
        <v>17004.401740000001</v>
      </c>
      <c r="J22" s="3"/>
      <c r="M22" s="50"/>
      <c r="N22" s="51"/>
      <c r="O22" s="51"/>
      <c r="P22" s="51"/>
      <c r="Q22" s="51"/>
      <c r="R22" s="51"/>
      <c r="S22" s="51"/>
      <c r="T22" s="51"/>
      <c r="U22" s="54"/>
    </row>
    <row r="23" spans="1:21" s="1" customFormat="1" ht="12.75" x14ac:dyDescent="0.2">
      <c r="A23" s="34" t="s">
        <v>91</v>
      </c>
      <c r="B23" s="2"/>
      <c r="C23" s="2"/>
      <c r="D23" s="2"/>
      <c r="E23" s="2"/>
      <c r="F23" s="2"/>
      <c r="G23" s="2"/>
      <c r="H23" s="2"/>
      <c r="I23" s="36"/>
      <c r="J23" s="3"/>
      <c r="M23" s="50"/>
      <c r="N23" s="51"/>
      <c r="O23" s="51"/>
      <c r="P23" s="51"/>
      <c r="Q23" s="51"/>
      <c r="R23" s="53"/>
      <c r="S23" s="51"/>
      <c r="T23" s="51"/>
      <c r="U23" s="54"/>
    </row>
    <row r="24" spans="1:21" s="1" customFormat="1" ht="13.5" x14ac:dyDescent="0.25">
      <c r="A24" s="37" t="s">
        <v>85</v>
      </c>
      <c r="B24" s="2" t="s">
        <v>107</v>
      </c>
      <c r="C24" s="2"/>
      <c r="D24" s="2"/>
      <c r="E24" s="2"/>
      <c r="F24" s="2"/>
      <c r="G24" s="2"/>
      <c r="H24" s="2"/>
      <c r="I24" s="43"/>
      <c r="J24" s="3"/>
      <c r="K24" s="3"/>
      <c r="M24" s="57"/>
      <c r="N24" s="57"/>
      <c r="O24" s="57"/>
      <c r="P24" s="57"/>
      <c r="Q24" s="57"/>
      <c r="R24" s="58"/>
      <c r="S24" s="58"/>
      <c r="T24" s="58"/>
      <c r="U24" s="59"/>
    </row>
    <row r="25" spans="1:21" s="1" customFormat="1" ht="12.75" x14ac:dyDescent="0.2">
      <c r="A25" s="37" t="s">
        <v>86</v>
      </c>
      <c r="B25" s="10" t="s">
        <v>108</v>
      </c>
      <c r="C25" s="10"/>
      <c r="D25" s="10"/>
      <c r="E25" s="10"/>
      <c r="F25" s="10"/>
      <c r="G25" s="10"/>
      <c r="H25" s="10"/>
      <c r="I25" s="11"/>
      <c r="J25" s="3"/>
      <c r="K25" s="3"/>
      <c r="M25" s="50"/>
      <c r="N25" s="51"/>
      <c r="O25" s="51"/>
      <c r="P25" s="51"/>
      <c r="Q25" s="51"/>
      <c r="R25" s="51"/>
      <c r="S25" s="51"/>
      <c r="T25" s="51"/>
      <c r="U25" s="52"/>
    </row>
    <row r="26" spans="1:21" s="1" customFormat="1" ht="12.75" x14ac:dyDescent="0.2">
      <c r="A26" s="37" t="s">
        <v>87</v>
      </c>
      <c r="B26" s="10" t="s">
        <v>108</v>
      </c>
      <c r="C26" s="10"/>
      <c r="D26" s="10"/>
      <c r="E26" s="10"/>
      <c r="F26" s="64"/>
      <c r="G26" s="10"/>
      <c r="H26" s="10"/>
      <c r="I26" s="11"/>
      <c r="J26" s="3"/>
      <c r="K26" s="3"/>
      <c r="M26" s="50"/>
      <c r="N26" s="51"/>
      <c r="O26" s="51"/>
      <c r="P26" s="51"/>
      <c r="Q26" s="51"/>
      <c r="R26" s="51"/>
      <c r="S26" s="51"/>
      <c r="T26" s="51"/>
      <c r="U26" s="54"/>
    </row>
    <row r="27" spans="1:21" s="1" customFormat="1" ht="12.75" x14ac:dyDescent="0.2">
      <c r="A27" s="35" t="s">
        <v>98</v>
      </c>
      <c r="B27" s="10">
        <v>20</v>
      </c>
      <c r="C27" s="10">
        <v>1</v>
      </c>
      <c r="D27" s="20">
        <f t="shared" ref="D27" si="10">+B27*C27</f>
        <v>20</v>
      </c>
      <c r="E27" s="20">
        <v>0</v>
      </c>
      <c r="F27" s="41">
        <f t="shared" ref="F27" si="11">D27*E27</f>
        <v>0</v>
      </c>
      <c r="G27" s="20">
        <f t="shared" ref="G27" si="12">F27*0.05</f>
        <v>0</v>
      </c>
      <c r="H27" s="40">
        <f t="shared" ref="H27" si="13">F27*0.1</f>
        <v>0</v>
      </c>
      <c r="I27" s="38">
        <f t="shared" ref="I27" si="14">F27*$L$6+G27*$L$5+H27*$L$7</f>
        <v>0</v>
      </c>
      <c r="J27" s="3"/>
      <c r="M27" s="50"/>
      <c r="N27" s="51"/>
      <c r="O27" s="51"/>
      <c r="P27" s="51"/>
      <c r="Q27" s="51"/>
      <c r="R27" s="51"/>
      <c r="S27" s="51"/>
      <c r="T27" s="51"/>
      <c r="U27" s="54"/>
    </row>
    <row r="28" spans="1:21" s="1" customFormat="1" ht="12.75" x14ac:dyDescent="0.2">
      <c r="A28" s="37" t="s">
        <v>88</v>
      </c>
      <c r="B28" s="10"/>
      <c r="C28" s="10"/>
      <c r="D28" s="10"/>
      <c r="E28" s="10"/>
      <c r="F28" s="10"/>
      <c r="G28" s="10"/>
      <c r="H28" s="10"/>
      <c r="I28" s="11"/>
      <c r="J28" s="3"/>
      <c r="K28" s="3"/>
      <c r="M28" s="50"/>
      <c r="N28" s="51"/>
      <c r="O28" s="51"/>
      <c r="P28" s="51"/>
      <c r="Q28" s="51"/>
      <c r="R28" s="53"/>
      <c r="S28" s="51"/>
      <c r="T28" s="51"/>
      <c r="U28" s="54"/>
    </row>
    <row r="29" spans="1:21" s="1" customFormat="1" ht="12.75" x14ac:dyDescent="0.2">
      <c r="A29" s="35" t="s">
        <v>99</v>
      </c>
      <c r="B29" s="10">
        <v>2</v>
      </c>
      <c r="C29" s="10">
        <v>1</v>
      </c>
      <c r="D29" s="20">
        <f t="shared" ref="D29:D31" si="15">+B29*C29</f>
        <v>2</v>
      </c>
      <c r="E29" s="20">
        <v>1.33</v>
      </c>
      <c r="F29" s="40">
        <f t="shared" ref="F29:F34" si="16">D29*E29</f>
        <v>2.66</v>
      </c>
      <c r="G29" s="40">
        <f t="shared" ref="G29:G34" si="17">F29*0.05</f>
        <v>0.13300000000000001</v>
      </c>
      <c r="H29" s="40">
        <f t="shared" ref="H29:H34" si="18">F29*0.1</f>
        <v>0.26600000000000001</v>
      </c>
      <c r="I29" s="38">
        <f t="shared" ref="I29:I34" si="19">F29*$L$6+G29*$L$5+H29*$L$7</f>
        <v>418.96728999999999</v>
      </c>
      <c r="J29" s="3"/>
      <c r="K29" s="3"/>
      <c r="M29" s="50"/>
      <c r="N29" s="51"/>
      <c r="O29" s="51"/>
      <c r="P29" s="51"/>
      <c r="Q29" s="51"/>
      <c r="R29" s="51"/>
      <c r="S29" s="51"/>
      <c r="T29" s="51"/>
      <c r="U29" s="54"/>
    </row>
    <row r="30" spans="1:21" s="1" customFormat="1" ht="12.75" x14ac:dyDescent="0.2">
      <c r="A30" s="35" t="s">
        <v>100</v>
      </c>
      <c r="B30" s="10">
        <v>0.5</v>
      </c>
      <c r="C30" s="10">
        <v>350</v>
      </c>
      <c r="D30" s="20">
        <f t="shared" si="15"/>
        <v>175</v>
      </c>
      <c r="E30" s="20">
        <f>Respondents!$F$8</f>
        <v>4</v>
      </c>
      <c r="F30" s="41">
        <f t="shared" si="16"/>
        <v>700</v>
      </c>
      <c r="G30" s="20">
        <f t="shared" si="17"/>
        <v>35</v>
      </c>
      <c r="H30" s="40">
        <f t="shared" si="18"/>
        <v>70</v>
      </c>
      <c r="I30" s="38">
        <f t="shared" si="19"/>
        <v>110254.55</v>
      </c>
      <c r="J30" s="3"/>
      <c r="K30" s="3"/>
      <c r="M30" s="50"/>
      <c r="N30" s="51"/>
      <c r="O30" s="51"/>
      <c r="P30" s="51"/>
      <c r="Q30" s="51"/>
      <c r="R30" s="51"/>
      <c r="S30" s="51"/>
      <c r="T30" s="51"/>
      <c r="U30" s="54"/>
    </row>
    <row r="31" spans="1:21" s="1" customFormat="1" ht="12.75" x14ac:dyDescent="0.2">
      <c r="A31" s="35" t="s">
        <v>101</v>
      </c>
      <c r="B31" s="10">
        <v>4</v>
      </c>
      <c r="C31" s="10">
        <v>12</v>
      </c>
      <c r="D31" s="20">
        <f t="shared" si="15"/>
        <v>48</v>
      </c>
      <c r="E31" s="20">
        <f>Respondents!$F$8</f>
        <v>4</v>
      </c>
      <c r="F31" s="41">
        <f t="shared" si="16"/>
        <v>192</v>
      </c>
      <c r="G31" s="20">
        <f t="shared" si="17"/>
        <v>9.6000000000000014</v>
      </c>
      <c r="H31" s="40">
        <f t="shared" si="18"/>
        <v>19.200000000000003</v>
      </c>
      <c r="I31" s="38">
        <f t="shared" si="19"/>
        <v>30241.248</v>
      </c>
      <c r="J31" s="3"/>
      <c r="K31" s="3"/>
      <c r="M31" s="50"/>
      <c r="N31" s="51"/>
      <c r="O31" s="51"/>
      <c r="P31" s="51"/>
      <c r="Q31" s="51"/>
      <c r="R31" s="51"/>
      <c r="S31" s="51"/>
      <c r="T31" s="51"/>
      <c r="U31" s="54"/>
    </row>
    <row r="32" spans="1:21" s="1" customFormat="1" ht="12.75" x14ac:dyDescent="0.2">
      <c r="A32" s="35" t="s">
        <v>102</v>
      </c>
      <c r="B32" s="10" t="s">
        <v>83</v>
      </c>
      <c r="C32" s="10"/>
      <c r="D32" s="10"/>
      <c r="E32" s="20"/>
      <c r="F32" s="41"/>
      <c r="G32" s="20"/>
      <c r="H32" s="40"/>
      <c r="I32" s="38"/>
      <c r="J32" s="3"/>
      <c r="K32" s="3"/>
      <c r="M32" s="50"/>
      <c r="N32" s="51"/>
      <c r="O32" s="51"/>
      <c r="P32" s="51"/>
      <c r="Q32" s="51"/>
      <c r="R32" s="51"/>
      <c r="S32" s="51"/>
      <c r="T32" s="51"/>
      <c r="U32" s="54"/>
    </row>
    <row r="33" spans="1:21" s="1" customFormat="1" ht="12.75" x14ac:dyDescent="0.2">
      <c r="A33" s="35" t="s">
        <v>103</v>
      </c>
      <c r="B33" s="10">
        <v>12</v>
      </c>
      <c r="C33" s="10">
        <v>1</v>
      </c>
      <c r="D33" s="20">
        <f t="shared" ref="D33:D34" si="20">+B33*C33</f>
        <v>12</v>
      </c>
      <c r="E33" s="20">
        <f>Respondents!$F$8</f>
        <v>4</v>
      </c>
      <c r="F33" s="41">
        <f t="shared" si="16"/>
        <v>48</v>
      </c>
      <c r="G33" s="20">
        <f t="shared" si="17"/>
        <v>2.4000000000000004</v>
      </c>
      <c r="H33" s="40">
        <f t="shared" si="18"/>
        <v>4.8000000000000007</v>
      </c>
      <c r="I33" s="38">
        <f t="shared" si="19"/>
        <v>7560.3119999999999</v>
      </c>
      <c r="J33" s="3"/>
      <c r="K33" s="3"/>
      <c r="M33" s="50"/>
      <c r="N33" s="51"/>
      <c r="O33" s="51"/>
      <c r="P33" s="51"/>
      <c r="Q33" s="51"/>
      <c r="R33" s="51"/>
      <c r="S33" s="51"/>
      <c r="T33" s="51"/>
      <c r="U33" s="54"/>
    </row>
    <row r="34" spans="1:21" s="1" customFormat="1" ht="12.75" x14ac:dyDescent="0.2">
      <c r="A34" s="35" t="s">
        <v>104</v>
      </c>
      <c r="B34" s="10">
        <v>20</v>
      </c>
      <c r="C34" s="10">
        <v>1</v>
      </c>
      <c r="D34" s="20">
        <f t="shared" si="20"/>
        <v>20</v>
      </c>
      <c r="E34" s="20">
        <f>Respondents!$F$8</f>
        <v>4</v>
      </c>
      <c r="F34" s="41">
        <f t="shared" si="16"/>
        <v>80</v>
      </c>
      <c r="G34" s="20">
        <f t="shared" si="17"/>
        <v>4</v>
      </c>
      <c r="H34" s="40">
        <f t="shared" si="18"/>
        <v>8</v>
      </c>
      <c r="I34" s="38">
        <f t="shared" si="19"/>
        <v>12600.519999999999</v>
      </c>
      <c r="J34" s="3"/>
      <c r="K34" s="3"/>
      <c r="M34" s="50"/>
      <c r="N34" s="51"/>
      <c r="O34" s="51"/>
      <c r="P34" s="51"/>
      <c r="Q34" s="51"/>
      <c r="R34" s="51"/>
      <c r="S34" s="51"/>
      <c r="T34" s="51"/>
      <c r="U34" s="54"/>
    </row>
    <row r="35" spans="1:21" s="1" customFormat="1" ht="12.75" x14ac:dyDescent="0.2">
      <c r="A35" s="37" t="s">
        <v>89</v>
      </c>
      <c r="B35" s="10"/>
      <c r="C35" s="10"/>
      <c r="D35" s="10"/>
      <c r="E35" s="10"/>
      <c r="F35" s="10"/>
      <c r="G35" s="10"/>
      <c r="H35" s="10"/>
      <c r="I35" s="11"/>
      <c r="J35" s="3"/>
      <c r="K35" s="3"/>
      <c r="M35" s="50"/>
      <c r="N35" s="51"/>
      <c r="O35" s="51"/>
      <c r="P35" s="51"/>
      <c r="Q35" s="51"/>
      <c r="R35" s="51"/>
      <c r="S35" s="51"/>
      <c r="T35" s="51"/>
      <c r="U35" s="54"/>
    </row>
    <row r="36" spans="1:21" s="1" customFormat="1" ht="12.75" x14ac:dyDescent="0.2">
      <c r="A36" s="35" t="s">
        <v>105</v>
      </c>
      <c r="B36" s="2">
        <v>20</v>
      </c>
      <c r="C36" s="2">
        <v>1</v>
      </c>
      <c r="D36" s="20">
        <f t="shared" ref="D36:D37" si="21">+B36*C36</f>
        <v>20</v>
      </c>
      <c r="E36" s="20">
        <f>Respondents!$F$8</f>
        <v>4</v>
      </c>
      <c r="F36" s="41">
        <f t="shared" ref="F36" si="22">D36*E36</f>
        <v>80</v>
      </c>
      <c r="G36" s="20">
        <f t="shared" ref="G36" si="23">F36*0.05</f>
        <v>4</v>
      </c>
      <c r="H36" s="40">
        <f t="shared" ref="H36" si="24">F36*0.1</f>
        <v>8</v>
      </c>
      <c r="I36" s="38">
        <f t="shared" ref="I36" si="25">F36*$L$6+G36*$L$5+H36*$L$7</f>
        <v>12600.519999999999</v>
      </c>
      <c r="J36" s="3"/>
      <c r="K36" s="3"/>
      <c r="M36" s="50"/>
      <c r="N36" s="51"/>
      <c r="O36" s="51"/>
      <c r="P36" s="51"/>
      <c r="Q36" s="51"/>
      <c r="R36" s="53"/>
      <c r="S36" s="51"/>
      <c r="T36" s="51"/>
      <c r="U36" s="54"/>
    </row>
    <row r="37" spans="1:21" s="1" customFormat="1" ht="12.75" x14ac:dyDescent="0.2">
      <c r="A37" s="35" t="s">
        <v>106</v>
      </c>
      <c r="B37" s="10">
        <v>4</v>
      </c>
      <c r="C37" s="10">
        <v>1</v>
      </c>
      <c r="D37" s="20">
        <f t="shared" si="21"/>
        <v>4</v>
      </c>
      <c r="E37" s="20">
        <f>Respondents!$F$8</f>
        <v>4</v>
      </c>
      <c r="F37" s="41">
        <f t="shared" ref="F37" si="26">D37*E37</f>
        <v>16</v>
      </c>
      <c r="G37" s="20">
        <f t="shared" ref="G37" si="27">F37*0.05</f>
        <v>0.8</v>
      </c>
      <c r="H37" s="40">
        <f t="shared" ref="H37" si="28">F37*0.1</f>
        <v>1.6</v>
      </c>
      <c r="I37" s="38">
        <f t="shared" ref="I37" si="29">F37*$L$6+G37*$L$5+H37*$L$7</f>
        <v>2520.1039999999998</v>
      </c>
      <c r="J37" s="3"/>
      <c r="K37" s="3"/>
      <c r="M37" s="50"/>
      <c r="N37" s="51"/>
      <c r="O37" s="51"/>
      <c r="P37" s="51"/>
      <c r="Q37" s="51"/>
      <c r="R37" s="51"/>
      <c r="S37" s="51"/>
      <c r="T37" s="51"/>
      <c r="U37" s="54"/>
    </row>
    <row r="38" spans="1:21" s="1" customFormat="1" ht="12.75" x14ac:dyDescent="0.2">
      <c r="A38" s="37" t="s">
        <v>90</v>
      </c>
      <c r="B38" s="10"/>
      <c r="C38" s="10"/>
      <c r="D38" s="20">
        <f t="shared" ref="D38" si="30">+B38*C38</f>
        <v>0</v>
      </c>
      <c r="E38" s="20">
        <f>Respondents!$F$8</f>
        <v>4</v>
      </c>
      <c r="F38" s="41">
        <f t="shared" ref="F38" si="31">D38*E38</f>
        <v>0</v>
      </c>
      <c r="G38" s="20">
        <f t="shared" ref="G38" si="32">F38*0.05</f>
        <v>0</v>
      </c>
      <c r="H38" s="40">
        <f t="shared" ref="H38" si="33">F38*0.1</f>
        <v>0</v>
      </c>
      <c r="I38" s="38">
        <f t="shared" ref="I38" si="34">F38*$L$6+G38*$L$5+H38*$L$7</f>
        <v>0</v>
      </c>
      <c r="J38" s="3"/>
      <c r="K38" s="3"/>
      <c r="M38" s="50"/>
      <c r="N38" s="51"/>
      <c r="O38" s="51"/>
      <c r="P38" s="51"/>
      <c r="Q38" s="51"/>
      <c r="R38" s="51"/>
      <c r="S38" s="51"/>
      <c r="T38" s="51"/>
      <c r="U38" s="54"/>
    </row>
    <row r="39" spans="1:21" s="1" customFormat="1" ht="13.5" x14ac:dyDescent="0.25">
      <c r="A39" s="61" t="s">
        <v>22</v>
      </c>
      <c r="B39" s="103"/>
      <c r="C39" s="104"/>
      <c r="D39" s="104"/>
      <c r="E39" s="105"/>
      <c r="F39" s="109">
        <f>SUM(F24:H38)</f>
        <v>1286.4589999999998</v>
      </c>
      <c r="G39" s="110"/>
      <c r="H39" s="111"/>
      <c r="I39" s="12">
        <f>SUM(I24:I38)</f>
        <v>176196.22128999999</v>
      </c>
      <c r="J39" s="16"/>
      <c r="K39" s="44">
        <f>F40/Responses!E10</f>
        <v>132.27016885553471</v>
      </c>
      <c r="L39" s="44" t="s">
        <v>23</v>
      </c>
      <c r="M39" s="50"/>
      <c r="N39" s="51"/>
      <c r="O39" s="51"/>
      <c r="P39" s="51"/>
      <c r="Q39" s="51"/>
      <c r="R39" s="51"/>
      <c r="S39" s="51"/>
      <c r="T39" s="51"/>
      <c r="U39" s="54"/>
    </row>
    <row r="40" spans="1:21" s="1" customFormat="1" ht="13.5" customHeight="1" x14ac:dyDescent="0.25">
      <c r="A40" s="46" t="s">
        <v>115</v>
      </c>
      <c r="B40" s="106"/>
      <c r="C40" s="107"/>
      <c r="D40" s="107"/>
      <c r="E40" s="108"/>
      <c r="F40" s="109">
        <f>ROUND(SUM(F22,F39), -1)</f>
        <v>1410</v>
      </c>
      <c r="G40" s="110"/>
      <c r="H40" s="111"/>
      <c r="I40" s="12">
        <f>ROUND(SUM(I39,I22), -3)</f>
        <v>193000</v>
      </c>
      <c r="J40" s="16"/>
      <c r="K40" s="15"/>
      <c r="L40" s="3"/>
      <c r="M40" s="50"/>
      <c r="N40" s="51"/>
      <c r="O40" s="51"/>
      <c r="P40" s="51"/>
      <c r="Q40" s="51"/>
      <c r="R40" s="51"/>
      <c r="S40" s="51"/>
      <c r="T40" s="51"/>
      <c r="U40" s="54"/>
    </row>
    <row r="41" spans="1:21" s="1" customFormat="1" ht="13.5" customHeight="1" x14ac:dyDescent="0.25">
      <c r="A41" s="46" t="s">
        <v>116</v>
      </c>
      <c r="B41" s="106"/>
      <c r="C41" s="107"/>
      <c r="D41" s="107"/>
      <c r="E41" s="107"/>
      <c r="F41" s="107"/>
      <c r="G41" s="107"/>
      <c r="H41" s="108"/>
      <c r="I41" s="74">
        <f>ROUND('Capital O&amp;M'!G8+'Capital O&amp;M'!D8,-3)</f>
        <v>776000</v>
      </c>
      <c r="J41" s="3"/>
      <c r="M41" s="57"/>
      <c r="N41" s="57"/>
      <c r="O41" s="57"/>
      <c r="P41" s="57"/>
      <c r="Q41" s="57"/>
      <c r="R41" s="58"/>
      <c r="S41" s="58"/>
      <c r="T41" s="58"/>
      <c r="U41" s="59"/>
    </row>
    <row r="42" spans="1:21" s="1" customFormat="1" ht="13.5" customHeight="1" x14ac:dyDescent="0.25">
      <c r="A42" s="46" t="s">
        <v>117</v>
      </c>
      <c r="B42" s="106"/>
      <c r="C42" s="107"/>
      <c r="D42" s="107"/>
      <c r="E42" s="107"/>
      <c r="F42" s="107"/>
      <c r="G42" s="107"/>
      <c r="H42" s="108"/>
      <c r="I42" s="74">
        <f>ROUND(SUM(I40:I41), -3)</f>
        <v>969000</v>
      </c>
      <c r="J42" s="3"/>
      <c r="M42" s="60"/>
      <c r="N42" s="60"/>
      <c r="O42" s="60"/>
      <c r="P42" s="60"/>
      <c r="Q42" s="60"/>
      <c r="R42" s="58"/>
      <c r="S42" s="58"/>
      <c r="T42" s="58"/>
      <c r="U42" s="59"/>
    </row>
    <row r="43" spans="1:21" s="1" customFormat="1" ht="13.5" x14ac:dyDescent="0.25">
      <c r="A43" s="112"/>
      <c r="B43" s="112"/>
      <c r="C43" s="112"/>
      <c r="D43" s="112"/>
      <c r="E43" s="112"/>
      <c r="F43" s="112"/>
      <c r="G43" s="112"/>
      <c r="H43" s="112"/>
      <c r="I43" s="112"/>
      <c r="J43" s="3"/>
      <c r="M43" s="60"/>
      <c r="N43" s="60"/>
      <c r="O43" s="60"/>
      <c r="P43" s="60"/>
      <c r="Q43" s="60"/>
      <c r="R43" s="60"/>
      <c r="S43" s="60"/>
      <c r="T43" s="60"/>
      <c r="U43" s="59"/>
    </row>
    <row r="44" spans="1:21" s="1" customFormat="1" ht="13.5" x14ac:dyDescent="0.25">
      <c r="A44" s="112" t="s">
        <v>24</v>
      </c>
      <c r="B44" s="112"/>
      <c r="C44" s="112"/>
      <c r="D44" s="112"/>
      <c r="E44" s="112"/>
      <c r="F44" s="112"/>
      <c r="G44" s="112"/>
      <c r="H44" s="112"/>
      <c r="I44" s="112"/>
      <c r="J44" s="3"/>
      <c r="M44" s="60"/>
      <c r="N44" s="60"/>
      <c r="O44" s="60"/>
      <c r="P44" s="60"/>
      <c r="Q44" s="60"/>
      <c r="R44" s="60"/>
      <c r="S44" s="60"/>
      <c r="T44" s="60"/>
      <c r="U44" s="59"/>
    </row>
    <row r="45" spans="1:21" s="1" customFormat="1" ht="15.75" x14ac:dyDescent="0.2">
      <c r="A45" s="96" t="s">
        <v>71</v>
      </c>
      <c r="B45" s="96"/>
      <c r="C45" s="96"/>
      <c r="D45" s="96"/>
      <c r="E45" s="96"/>
      <c r="F45" s="96"/>
      <c r="G45" s="96"/>
      <c r="H45" s="96"/>
      <c r="I45" s="96"/>
      <c r="J45" s="3"/>
      <c r="M45" s="87"/>
      <c r="N45" s="87"/>
      <c r="O45" s="87"/>
      <c r="P45" s="87"/>
      <c r="Q45" s="87"/>
      <c r="R45" s="87"/>
      <c r="S45" s="87"/>
      <c r="T45" s="87"/>
      <c r="U45" s="87"/>
    </row>
    <row r="46" spans="1:21" s="1" customFormat="1" ht="62.25" customHeight="1" x14ac:dyDescent="0.2">
      <c r="A46" s="96" t="s">
        <v>134</v>
      </c>
      <c r="B46" s="96"/>
      <c r="C46" s="96"/>
      <c r="D46" s="96"/>
      <c r="E46" s="96"/>
      <c r="F46" s="96"/>
      <c r="G46" s="96"/>
      <c r="H46" s="96"/>
      <c r="I46" s="96"/>
      <c r="J46" s="3"/>
      <c r="M46" s="87"/>
      <c r="N46" s="87"/>
      <c r="O46" s="87"/>
      <c r="P46" s="87"/>
      <c r="Q46" s="87"/>
      <c r="R46" s="87"/>
      <c r="S46" s="87"/>
      <c r="T46" s="87"/>
      <c r="U46" s="87"/>
    </row>
    <row r="47" spans="1:21" s="1" customFormat="1" ht="18.600000000000001" customHeight="1" x14ac:dyDescent="0.2">
      <c r="A47" s="113" t="s">
        <v>109</v>
      </c>
      <c r="B47" s="113"/>
      <c r="C47" s="113"/>
      <c r="D47" s="113"/>
      <c r="E47" s="113"/>
      <c r="F47" s="113"/>
      <c r="G47" s="113"/>
      <c r="H47" s="113"/>
      <c r="I47" s="113"/>
      <c r="J47" s="3"/>
      <c r="M47" s="87"/>
      <c r="N47" s="87"/>
      <c r="O47" s="87"/>
      <c r="P47" s="87"/>
      <c r="Q47" s="87"/>
      <c r="R47" s="87"/>
      <c r="S47" s="87"/>
      <c r="T47" s="87"/>
      <c r="U47" s="87"/>
    </row>
    <row r="48" spans="1:21" s="1" customFormat="1" ht="15.75" customHeight="1" x14ac:dyDescent="0.2">
      <c r="A48" s="114" t="s">
        <v>118</v>
      </c>
      <c r="B48" s="114"/>
      <c r="C48" s="114"/>
      <c r="D48" s="114"/>
      <c r="E48" s="114"/>
      <c r="F48" s="114"/>
      <c r="G48" s="114"/>
      <c r="H48" s="114"/>
      <c r="I48" s="114"/>
      <c r="J48" s="88"/>
      <c r="K48" s="88"/>
      <c r="L48" s="88"/>
      <c r="M48" s="88"/>
      <c r="N48" s="87"/>
      <c r="O48" s="87"/>
      <c r="P48" s="87"/>
      <c r="Q48" s="87"/>
      <c r="R48" s="87"/>
      <c r="S48" s="87"/>
      <c r="T48" s="87"/>
      <c r="U48" s="87"/>
    </row>
    <row r="49" spans="1:21" s="1" customFormat="1" ht="15.75" x14ac:dyDescent="0.2">
      <c r="A49" s="94" t="s">
        <v>119</v>
      </c>
      <c r="B49" s="94"/>
      <c r="C49" s="94"/>
      <c r="D49" s="94"/>
      <c r="E49" s="94"/>
      <c r="F49" s="94"/>
      <c r="G49" s="94"/>
      <c r="H49" s="94"/>
      <c r="I49" s="94"/>
      <c r="J49" s="7"/>
      <c r="K49" s="7"/>
      <c r="L49" s="7"/>
      <c r="M49" s="7"/>
      <c r="N49" s="87"/>
      <c r="O49" s="87"/>
      <c r="P49" s="87"/>
      <c r="Q49" s="87"/>
      <c r="R49" s="87"/>
      <c r="S49" s="87"/>
      <c r="T49" s="87"/>
      <c r="U49" s="87"/>
    </row>
    <row r="50" spans="1:21" s="1" customFormat="1" ht="20.25" customHeight="1" x14ac:dyDescent="0.2">
      <c r="A50" s="113" t="s">
        <v>120</v>
      </c>
      <c r="B50" s="113"/>
      <c r="C50" s="113"/>
      <c r="D50" s="113"/>
      <c r="E50" s="113"/>
      <c r="F50" s="113"/>
      <c r="G50" s="113"/>
      <c r="H50" s="113"/>
      <c r="I50" s="113"/>
      <c r="J50" s="91"/>
      <c r="K50" s="91"/>
      <c r="L50" s="91"/>
      <c r="M50" s="91"/>
      <c r="N50" s="87"/>
      <c r="O50" s="87"/>
      <c r="P50" s="87"/>
      <c r="Q50" s="87"/>
      <c r="R50" s="87"/>
      <c r="S50" s="87"/>
      <c r="T50" s="87"/>
      <c r="U50" s="87"/>
    </row>
    <row r="51" spans="1:21" s="1" customFormat="1" ht="33.6" customHeight="1" x14ac:dyDescent="0.2">
      <c r="A51" s="96" t="s">
        <v>121</v>
      </c>
      <c r="B51" s="96"/>
      <c r="C51" s="96"/>
      <c r="D51" s="96"/>
      <c r="E51" s="96"/>
      <c r="F51" s="96"/>
      <c r="G51" s="96"/>
      <c r="H51" s="96"/>
      <c r="I51" s="96"/>
      <c r="J51" s="96"/>
      <c r="K51" s="96"/>
      <c r="L51" s="96"/>
      <c r="M51" s="96"/>
      <c r="N51" s="87"/>
      <c r="O51" s="87"/>
      <c r="P51" s="87"/>
      <c r="Q51" s="87"/>
      <c r="R51" s="87"/>
      <c r="S51" s="87"/>
      <c r="T51" s="87"/>
      <c r="U51" s="87"/>
    </row>
    <row r="52" spans="1:21" s="1" customFormat="1" ht="15.75" x14ac:dyDescent="0.2">
      <c r="A52" s="93" t="s">
        <v>122</v>
      </c>
      <c r="B52" s="93"/>
      <c r="C52" s="93"/>
      <c r="D52" s="93"/>
      <c r="E52" s="93"/>
      <c r="F52" s="93"/>
      <c r="G52" s="93"/>
      <c r="H52" s="93"/>
      <c r="I52" s="93"/>
      <c r="J52" s="89"/>
      <c r="K52" s="89"/>
      <c r="L52" s="89"/>
      <c r="M52" s="89"/>
      <c r="N52" s="90"/>
      <c r="O52" s="90"/>
      <c r="P52" s="90"/>
      <c r="Q52" s="90"/>
      <c r="R52" s="90"/>
      <c r="S52" s="90"/>
      <c r="T52" s="90"/>
      <c r="U52" s="90"/>
    </row>
    <row r="56" spans="1:21" ht="15.75" x14ac:dyDescent="0.25">
      <c r="A56" s="67"/>
      <c r="B56" s="67"/>
      <c r="C56" s="67"/>
    </row>
    <row r="57" spans="1:21" ht="15.75" x14ac:dyDescent="0.25">
      <c r="A57" s="67"/>
      <c r="B57" s="67"/>
      <c r="C57" s="67"/>
    </row>
    <row r="58" spans="1:21" ht="15.75" x14ac:dyDescent="0.25">
      <c r="A58" s="67"/>
      <c r="B58" s="67"/>
      <c r="C58" s="67"/>
    </row>
    <row r="59" spans="1:21" ht="15.75" x14ac:dyDescent="0.25">
      <c r="A59" s="68"/>
      <c r="B59" s="68"/>
      <c r="C59" s="68"/>
    </row>
    <row r="60" spans="1:21" ht="15.75" x14ac:dyDescent="0.25">
      <c r="A60" s="67"/>
      <c r="B60" s="67"/>
      <c r="C60" s="67"/>
    </row>
    <row r="61" spans="1:21" ht="15.75" x14ac:dyDescent="0.25">
      <c r="A61" s="67"/>
      <c r="B61" s="67"/>
      <c r="C61" s="67"/>
    </row>
    <row r="62" spans="1:21" ht="15.75" x14ac:dyDescent="0.25">
      <c r="A62" s="68"/>
      <c r="B62" s="68"/>
      <c r="C62" s="68"/>
    </row>
    <row r="63" spans="1:21" ht="15.75" x14ac:dyDescent="0.25">
      <c r="A63" s="68"/>
      <c r="B63" s="68"/>
      <c r="C63" s="68"/>
    </row>
    <row r="64" spans="1:21" ht="15.75" customHeight="1" x14ac:dyDescent="0.25">
      <c r="A64" s="67"/>
      <c r="B64" s="67"/>
      <c r="C64" s="67"/>
    </row>
    <row r="65" spans="1:3" ht="15" customHeight="1" x14ac:dyDescent="0.25">
      <c r="A65" s="67"/>
      <c r="B65" s="67"/>
      <c r="C65" s="67"/>
    </row>
    <row r="66" spans="1:3" ht="15.75" x14ac:dyDescent="0.25">
      <c r="A66" s="67"/>
      <c r="B66" s="67"/>
      <c r="C66" s="67"/>
    </row>
    <row r="67" spans="1:3" ht="15.75" x14ac:dyDescent="0.25">
      <c r="A67" s="68"/>
      <c r="B67" s="68"/>
      <c r="C67" s="68"/>
    </row>
    <row r="68" spans="1:3" ht="15.75" x14ac:dyDescent="0.25">
      <c r="A68" s="68"/>
      <c r="B68" s="67"/>
      <c r="C68" s="67"/>
    </row>
    <row r="69" spans="1:3" ht="15.75" x14ac:dyDescent="0.25">
      <c r="A69" s="67"/>
      <c r="B69" s="67"/>
      <c r="C69" s="67"/>
    </row>
    <row r="70" spans="1:3" ht="15.75" x14ac:dyDescent="0.25">
      <c r="A70" s="68"/>
      <c r="B70" s="67"/>
      <c r="C70" s="67"/>
    </row>
  </sheetData>
  <sortState xmlns:xlrd2="http://schemas.microsoft.com/office/spreadsheetml/2017/richdata2" ref="A55:C70">
    <sortCondition ref="C55:C70"/>
  </sortState>
  <mergeCells count="20">
    <mergeCell ref="J51:M51"/>
    <mergeCell ref="A45:I45"/>
    <mergeCell ref="A50:I50"/>
    <mergeCell ref="A48:I48"/>
    <mergeCell ref="A52:I52"/>
    <mergeCell ref="A49:I49"/>
    <mergeCell ref="K4:L4"/>
    <mergeCell ref="A46:I46"/>
    <mergeCell ref="A22:E22"/>
    <mergeCell ref="F22:H22"/>
    <mergeCell ref="B39:E39"/>
    <mergeCell ref="B40:E40"/>
    <mergeCell ref="B41:H41"/>
    <mergeCell ref="B42:H42"/>
    <mergeCell ref="F39:H39"/>
    <mergeCell ref="F40:H40"/>
    <mergeCell ref="A44:I44"/>
    <mergeCell ref="A43:I43"/>
    <mergeCell ref="A47:I47"/>
    <mergeCell ref="A51:I51"/>
  </mergeCells>
  <phoneticPr fontId="25"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24"/>
  <sheetViews>
    <sheetView workbookViewId="0">
      <selection activeCell="A3" sqref="A3:I16"/>
    </sheetView>
  </sheetViews>
  <sheetFormatPr defaultRowHeight="15" x14ac:dyDescent="0.25"/>
  <cols>
    <col min="1" max="1" width="37.5703125" customWidth="1"/>
    <col min="2" max="9" width="11.7109375" customWidth="1"/>
    <col min="10" max="10" width="8.140625" customWidth="1"/>
    <col min="11" max="11" width="11.85546875" customWidth="1"/>
  </cols>
  <sheetData>
    <row r="1" spans="1:12" ht="15.75" x14ac:dyDescent="0.25">
      <c r="A1" s="85" t="s">
        <v>142</v>
      </c>
      <c r="B1" s="1"/>
      <c r="C1" s="1"/>
      <c r="D1" s="1"/>
      <c r="E1" s="1"/>
      <c r="F1" s="1"/>
      <c r="G1" s="1"/>
      <c r="H1" s="1"/>
      <c r="I1" s="1"/>
    </row>
    <row r="2" spans="1:12" x14ac:dyDescent="0.25">
      <c r="A2" s="1"/>
      <c r="B2" s="1"/>
      <c r="C2" s="1"/>
      <c r="D2" s="1"/>
      <c r="E2" s="1"/>
      <c r="F2" s="7"/>
      <c r="G2" s="7"/>
      <c r="H2" s="7"/>
      <c r="I2" s="7"/>
    </row>
    <row r="3" spans="1:12" ht="76.5" x14ac:dyDescent="0.25">
      <c r="A3" s="33" t="s">
        <v>25</v>
      </c>
      <c r="B3" s="72" t="s">
        <v>26</v>
      </c>
      <c r="C3" s="72" t="s">
        <v>27</v>
      </c>
      <c r="D3" s="72" t="s">
        <v>28</v>
      </c>
      <c r="E3" s="72" t="s">
        <v>29</v>
      </c>
      <c r="F3" s="72" t="s">
        <v>12</v>
      </c>
      <c r="G3" s="72" t="s">
        <v>30</v>
      </c>
      <c r="H3" s="72" t="s">
        <v>31</v>
      </c>
      <c r="I3" s="72" t="s">
        <v>32</v>
      </c>
      <c r="J3" s="1"/>
      <c r="K3" s="1"/>
      <c r="L3" s="1"/>
    </row>
    <row r="4" spans="1:12" x14ac:dyDescent="0.25">
      <c r="A4" s="45" t="s">
        <v>124</v>
      </c>
      <c r="B4" s="10"/>
      <c r="C4" s="10"/>
      <c r="D4" s="10"/>
      <c r="E4" s="10"/>
      <c r="F4" s="10"/>
      <c r="G4" s="10"/>
      <c r="H4" s="10"/>
      <c r="I4" s="11"/>
      <c r="J4" s="1"/>
      <c r="K4" s="95" t="s">
        <v>17</v>
      </c>
      <c r="L4" s="95"/>
    </row>
    <row r="5" spans="1:12" ht="26.25" customHeight="1" x14ac:dyDescent="0.25">
      <c r="A5" s="45" t="s">
        <v>125</v>
      </c>
      <c r="B5" s="10">
        <v>0.5</v>
      </c>
      <c r="C5" s="10">
        <v>1</v>
      </c>
      <c r="D5" s="10">
        <f t="shared" ref="D5:D10" si="0">B5*C5</f>
        <v>0.5</v>
      </c>
      <c r="E5" s="10">
        <v>1.33</v>
      </c>
      <c r="F5" s="62">
        <f t="shared" ref="F5" si="1">D5*E5</f>
        <v>0.66500000000000004</v>
      </c>
      <c r="G5" s="62">
        <f t="shared" ref="G5" si="2">F5*0.05</f>
        <v>3.3250000000000002E-2</v>
      </c>
      <c r="H5" s="62">
        <f t="shared" ref="H5" si="3">F5*0.1</f>
        <v>6.6500000000000004E-2</v>
      </c>
      <c r="I5" s="11">
        <f t="shared" ref="I5:I6" si="4">F5*$L$6+G5*$L$5+H5*$L$7</f>
        <v>42.562660000000001</v>
      </c>
      <c r="J5" s="1"/>
      <c r="K5" s="14" t="s">
        <v>129</v>
      </c>
      <c r="L5" s="32">
        <v>76.92</v>
      </c>
    </row>
    <row r="6" spans="1:12" x14ac:dyDescent="0.25">
      <c r="A6" s="45" t="s">
        <v>127</v>
      </c>
      <c r="B6" s="10">
        <v>0.5</v>
      </c>
      <c r="C6" s="10">
        <v>1</v>
      </c>
      <c r="D6" s="10">
        <f t="shared" si="0"/>
        <v>0.5</v>
      </c>
      <c r="E6" s="10">
        <v>0</v>
      </c>
      <c r="F6" s="62">
        <f t="shared" ref="F6" si="5">D6*E6</f>
        <v>0</v>
      </c>
      <c r="G6" s="62">
        <f t="shared" ref="G6" si="6">F6*0.05</f>
        <v>0</v>
      </c>
      <c r="H6" s="62">
        <f t="shared" ref="H6" si="7">F6*0.1</f>
        <v>0</v>
      </c>
      <c r="I6" s="11">
        <f t="shared" si="4"/>
        <v>0</v>
      </c>
      <c r="J6" s="13"/>
      <c r="K6" s="14" t="s">
        <v>19</v>
      </c>
      <c r="L6" s="32">
        <v>57.07</v>
      </c>
    </row>
    <row r="7" spans="1:12" x14ac:dyDescent="0.25">
      <c r="A7" s="45" t="s">
        <v>126</v>
      </c>
      <c r="B7" s="10">
        <v>5</v>
      </c>
      <c r="C7" s="10">
        <v>1</v>
      </c>
      <c r="D7" s="10">
        <f t="shared" si="0"/>
        <v>5</v>
      </c>
      <c r="E7" s="10">
        <v>1.33</v>
      </c>
      <c r="F7" s="62">
        <f t="shared" ref="F7:F8" si="8">D7*E7</f>
        <v>6.65</v>
      </c>
      <c r="G7" s="62">
        <f t="shared" ref="G7:G8" si="9">F7*0.05</f>
        <v>0.33250000000000002</v>
      </c>
      <c r="H7" s="62">
        <f t="shared" ref="H7:H8" si="10">F7*0.1</f>
        <v>0.66500000000000004</v>
      </c>
      <c r="I7" s="11">
        <f>F7*$L$6+G7*$L$5+H7*$L$7</f>
        <v>425.6266</v>
      </c>
      <c r="J7" s="13"/>
      <c r="K7" s="14" t="s">
        <v>20</v>
      </c>
      <c r="L7" s="32">
        <v>30.88</v>
      </c>
    </row>
    <row r="8" spans="1:12" x14ac:dyDescent="0.25">
      <c r="A8" s="45" t="s">
        <v>130</v>
      </c>
      <c r="B8" s="10">
        <v>5</v>
      </c>
      <c r="C8" s="10">
        <v>1</v>
      </c>
      <c r="D8" s="10">
        <f t="shared" si="0"/>
        <v>5</v>
      </c>
      <c r="E8" s="10">
        <v>0</v>
      </c>
      <c r="F8" s="10">
        <f t="shared" si="8"/>
        <v>0</v>
      </c>
      <c r="G8" s="10">
        <f t="shared" si="9"/>
        <v>0</v>
      </c>
      <c r="H8" s="10">
        <f t="shared" si="10"/>
        <v>0</v>
      </c>
      <c r="I8" s="11">
        <f t="shared" ref="I8:I9" si="11">F8*$L$6+G8*$L$5+H8*$L$7</f>
        <v>0</v>
      </c>
      <c r="J8" s="15"/>
      <c r="K8" s="15"/>
      <c r="L8" s="47"/>
    </row>
    <row r="9" spans="1:12" x14ac:dyDescent="0.25">
      <c r="A9" s="45" t="s">
        <v>128</v>
      </c>
      <c r="B9" s="10">
        <v>10</v>
      </c>
      <c r="C9" s="10">
        <v>2</v>
      </c>
      <c r="D9" s="10">
        <f t="shared" si="0"/>
        <v>20</v>
      </c>
      <c r="E9" s="10">
        <v>4</v>
      </c>
      <c r="F9" s="10">
        <f t="shared" ref="F9:F10" si="12">D9*E9</f>
        <v>80</v>
      </c>
      <c r="G9" s="10">
        <f t="shared" ref="G9" si="13">F9*0.05</f>
        <v>4</v>
      </c>
      <c r="H9" s="10">
        <f t="shared" ref="H9" si="14">F9*0.1</f>
        <v>8</v>
      </c>
      <c r="I9" s="11">
        <f t="shared" si="11"/>
        <v>5120.3200000000006</v>
      </c>
      <c r="J9" s="1"/>
      <c r="K9" s="1"/>
      <c r="L9" s="1"/>
    </row>
    <row r="10" spans="1:12" x14ac:dyDescent="0.25">
      <c r="A10" s="45" t="s">
        <v>135</v>
      </c>
      <c r="B10" s="10">
        <v>10</v>
      </c>
      <c r="C10" s="10">
        <v>1</v>
      </c>
      <c r="D10" s="10">
        <f t="shared" si="0"/>
        <v>10</v>
      </c>
      <c r="E10" s="10">
        <v>1</v>
      </c>
      <c r="F10" s="10">
        <f t="shared" si="12"/>
        <v>10</v>
      </c>
      <c r="G10" s="10">
        <f>F10*0.05</f>
        <v>0.5</v>
      </c>
      <c r="H10" s="10">
        <f>F10*0.1</f>
        <v>1</v>
      </c>
      <c r="I10" s="11">
        <f>F10*$L$6+G10*$L$5+H10*$L$7</f>
        <v>640.04000000000008</v>
      </c>
      <c r="J10" s="1"/>
      <c r="K10" s="1"/>
      <c r="L10" s="1"/>
    </row>
    <row r="11" spans="1:12" ht="16.5" x14ac:dyDescent="0.25">
      <c r="A11" s="46" t="s">
        <v>131</v>
      </c>
      <c r="B11" s="119"/>
      <c r="C11" s="119"/>
      <c r="D11" s="119"/>
      <c r="E11" s="119"/>
      <c r="F11" s="120">
        <f>ROUND(SUM(F4:H10),0)</f>
        <v>112</v>
      </c>
      <c r="G11" s="120"/>
      <c r="H11" s="120"/>
      <c r="I11" s="75">
        <f>ROUND(SUM(I4:I9), -1)</f>
        <v>5590</v>
      </c>
      <c r="J11" s="1"/>
      <c r="K11" s="1"/>
      <c r="L11" s="1"/>
    </row>
    <row r="12" spans="1:12" ht="15" customHeight="1" x14ac:dyDescent="0.25">
      <c r="A12" s="118"/>
      <c r="B12" s="118"/>
      <c r="C12" s="118"/>
      <c r="D12" s="118"/>
      <c r="E12" s="118"/>
      <c r="F12" s="118"/>
      <c r="G12" s="118"/>
      <c r="H12" s="118"/>
      <c r="I12" s="118"/>
      <c r="J12" s="1"/>
      <c r="K12" s="1"/>
      <c r="L12" s="1"/>
    </row>
    <row r="13" spans="1:12" ht="12" customHeight="1" x14ac:dyDescent="0.25">
      <c r="A13" s="117" t="s">
        <v>24</v>
      </c>
      <c r="B13" s="117"/>
      <c r="C13" s="117"/>
      <c r="D13" s="117"/>
      <c r="E13" s="117"/>
      <c r="F13" s="117"/>
      <c r="G13" s="117"/>
      <c r="H13" s="117"/>
      <c r="I13" s="117"/>
      <c r="J13" s="1"/>
      <c r="K13" s="1"/>
      <c r="L13" s="1"/>
    </row>
    <row r="14" spans="1:12" ht="33.75" customHeight="1" x14ac:dyDescent="0.25">
      <c r="A14" s="121" t="s">
        <v>132</v>
      </c>
      <c r="B14" s="121"/>
      <c r="C14" s="121"/>
      <c r="D14" s="121"/>
      <c r="E14" s="121"/>
      <c r="F14" s="121"/>
      <c r="G14" s="121"/>
      <c r="H14" s="121"/>
      <c r="I14" s="121"/>
      <c r="J14" s="1"/>
      <c r="K14" s="1"/>
      <c r="L14" s="1"/>
    </row>
    <row r="15" spans="1:12" ht="48.75" customHeight="1" x14ac:dyDescent="0.25">
      <c r="A15" s="121" t="s">
        <v>62</v>
      </c>
      <c r="B15" s="121"/>
      <c r="C15" s="121"/>
      <c r="D15" s="121"/>
      <c r="E15" s="121"/>
      <c r="F15" s="121"/>
      <c r="G15" s="121"/>
      <c r="H15" s="121"/>
      <c r="I15" s="121"/>
      <c r="J15" s="1"/>
      <c r="K15" s="1"/>
      <c r="L15" s="1"/>
    </row>
    <row r="16" spans="1:12" ht="18.75" customHeight="1" x14ac:dyDescent="0.25">
      <c r="A16" s="115" t="s">
        <v>123</v>
      </c>
      <c r="B16" s="116"/>
      <c r="C16" s="116"/>
      <c r="D16" s="116"/>
      <c r="E16" s="116"/>
      <c r="F16" s="116"/>
      <c r="G16" s="116"/>
      <c r="H16" s="116"/>
      <c r="I16" s="116"/>
      <c r="J16" s="1"/>
      <c r="K16" s="1"/>
      <c r="L16" s="1"/>
    </row>
    <row r="17" spans="1:12" x14ac:dyDescent="0.25">
      <c r="A17" s="1"/>
      <c r="B17" s="1"/>
      <c r="C17" s="1"/>
      <c r="D17" s="1"/>
      <c r="E17" s="1"/>
      <c r="F17" s="1"/>
      <c r="G17" s="1"/>
      <c r="H17" s="1"/>
      <c r="I17" s="1"/>
      <c r="J17" s="1"/>
      <c r="K17" s="1"/>
      <c r="L17" s="1"/>
    </row>
    <row r="18" spans="1:12" x14ac:dyDescent="0.25">
      <c r="A18" s="1"/>
      <c r="B18" s="78"/>
      <c r="C18" s="78"/>
      <c r="D18" s="1"/>
      <c r="E18" s="1"/>
      <c r="F18" s="1"/>
      <c r="G18" s="1"/>
      <c r="H18" s="1"/>
      <c r="I18" s="1"/>
      <c r="J18" s="1"/>
      <c r="K18" s="1"/>
      <c r="L18" s="1"/>
    </row>
    <row r="19" spans="1:12" x14ac:dyDescent="0.25">
      <c r="A19" s="1"/>
      <c r="B19" s="78"/>
      <c r="C19" s="78"/>
      <c r="D19" s="1"/>
      <c r="E19" s="1"/>
      <c r="F19" s="1"/>
      <c r="G19" s="1"/>
      <c r="H19" s="1"/>
      <c r="I19" s="1"/>
      <c r="J19" s="1"/>
      <c r="K19" s="1"/>
      <c r="L19" s="1"/>
    </row>
    <row r="20" spans="1:12" x14ac:dyDescent="0.25">
      <c r="A20" s="1"/>
      <c r="B20" s="78"/>
      <c r="C20" s="78"/>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row>
  </sheetData>
  <mergeCells count="8">
    <mergeCell ref="A16:I16"/>
    <mergeCell ref="A13:I13"/>
    <mergeCell ref="A12:I12"/>
    <mergeCell ref="K4:L4"/>
    <mergeCell ref="B11:E11"/>
    <mergeCell ref="F11:H11"/>
    <mergeCell ref="A14:I14"/>
    <mergeCell ref="A15:I15"/>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3"/>
  <sheetViews>
    <sheetView zoomScale="90" zoomScaleNormal="90" workbookViewId="0">
      <selection activeCell="K18" sqref="K18"/>
    </sheetView>
  </sheetViews>
  <sheetFormatPr defaultColWidth="22" defaultRowHeight="12.75" x14ac:dyDescent="0.2"/>
  <cols>
    <col min="1" max="1" width="15.140625" style="18" customWidth="1"/>
    <col min="2" max="2" width="13.85546875" style="18" customWidth="1"/>
    <col min="3" max="3" width="13.140625" style="18" customWidth="1"/>
    <col min="4" max="4" width="16.28515625" style="18" customWidth="1"/>
    <col min="5" max="5" width="16.42578125" style="18" customWidth="1"/>
    <col min="6" max="6" width="14" style="18" customWidth="1"/>
    <col min="7" max="7" width="13.42578125" style="18" customWidth="1"/>
    <col min="8" max="8" width="6" style="18" customWidth="1"/>
    <col min="9" max="16384" width="22" style="18"/>
  </cols>
  <sheetData>
    <row r="1" spans="1:9" x14ac:dyDescent="0.2">
      <c r="A1" s="5"/>
      <c r="B1" s="6"/>
      <c r="C1" s="6"/>
    </row>
    <row r="2" spans="1:9" x14ac:dyDescent="0.2">
      <c r="A2" s="125" t="s">
        <v>33</v>
      </c>
      <c r="B2" s="125"/>
      <c r="C2" s="125"/>
      <c r="D2" s="125"/>
      <c r="E2" s="125"/>
      <c r="F2" s="125"/>
      <c r="G2" s="125"/>
      <c r="H2" s="27"/>
    </row>
    <row r="3" spans="1:9" x14ac:dyDescent="0.2">
      <c r="A3" s="83" t="s">
        <v>34</v>
      </c>
      <c r="B3" s="83" t="s">
        <v>35</v>
      </c>
      <c r="C3" s="83" t="s">
        <v>36</v>
      </c>
      <c r="D3" s="83" t="s">
        <v>37</v>
      </c>
      <c r="E3" s="83" t="s">
        <v>38</v>
      </c>
      <c r="F3" s="83" t="s">
        <v>39</v>
      </c>
      <c r="G3" s="83" t="s">
        <v>40</v>
      </c>
      <c r="H3" s="27"/>
    </row>
    <row r="4" spans="1:9" ht="46.5" customHeight="1" x14ac:dyDescent="0.2">
      <c r="A4" s="23" t="s">
        <v>41</v>
      </c>
      <c r="B4" s="23" t="s">
        <v>42</v>
      </c>
      <c r="C4" s="23" t="s">
        <v>64</v>
      </c>
      <c r="D4" s="23" t="s">
        <v>43</v>
      </c>
      <c r="E4" s="23" t="s">
        <v>136</v>
      </c>
      <c r="F4" s="23" t="s">
        <v>63</v>
      </c>
      <c r="G4" s="23" t="s">
        <v>44</v>
      </c>
      <c r="H4" s="27"/>
    </row>
    <row r="5" spans="1:9" ht="36.75" customHeight="1" x14ac:dyDescent="0.2">
      <c r="A5" s="79" t="s">
        <v>65</v>
      </c>
      <c r="B5" s="24">
        <v>86770</v>
      </c>
      <c r="C5" s="33">
        <v>0</v>
      </c>
      <c r="D5" s="24">
        <f>B5*C5</f>
        <v>0</v>
      </c>
      <c r="E5" s="24">
        <v>186860</v>
      </c>
      <c r="F5" s="33">
        <v>4</v>
      </c>
      <c r="G5" s="24">
        <f>F5*E5</f>
        <v>747440</v>
      </c>
      <c r="H5" s="28"/>
    </row>
    <row r="6" spans="1:9" ht="36.75" customHeight="1" x14ac:dyDescent="0.2">
      <c r="A6" s="79" t="s">
        <v>66</v>
      </c>
      <c r="B6" s="24">
        <v>0</v>
      </c>
      <c r="C6" s="20">
        <v>0</v>
      </c>
      <c r="D6" s="24">
        <f>B6*C6</f>
        <v>0</v>
      </c>
      <c r="E6" s="24">
        <v>21216</v>
      </c>
      <c r="F6" s="20">
        <v>1.33</v>
      </c>
      <c r="G6" s="24">
        <f>F6*E6</f>
        <v>28217.280000000002</v>
      </c>
      <c r="H6" s="28"/>
    </row>
    <row r="7" spans="1:9" ht="36.75" customHeight="1" x14ac:dyDescent="0.2">
      <c r="A7" s="79" t="s">
        <v>67</v>
      </c>
      <c r="B7" s="24">
        <f>0</f>
        <v>0</v>
      </c>
      <c r="C7" s="20">
        <v>0</v>
      </c>
      <c r="D7" s="24">
        <f>B7*C7</f>
        <v>0</v>
      </c>
      <c r="E7" s="24">
        <v>19500</v>
      </c>
      <c r="F7" s="20">
        <v>0</v>
      </c>
      <c r="G7" s="24">
        <f>F7*E7</f>
        <v>0</v>
      </c>
      <c r="H7" s="29"/>
    </row>
    <row r="8" spans="1:9" ht="46.5" customHeight="1" x14ac:dyDescent="0.2">
      <c r="A8" s="25" t="s">
        <v>138</v>
      </c>
      <c r="B8" s="20"/>
      <c r="C8" s="20"/>
      <c r="D8" s="26">
        <f>ROUND(SUM(D5:D7), -3)</f>
        <v>0</v>
      </c>
      <c r="E8" s="20"/>
      <c r="F8" s="20"/>
      <c r="G8" s="26">
        <f>ROUND(SUM(G5:G7), -3)</f>
        <v>776000</v>
      </c>
      <c r="I8" s="70">
        <f>D8+G8</f>
        <v>776000</v>
      </c>
    </row>
    <row r="9" spans="1:9" ht="14.45" customHeight="1" x14ac:dyDescent="0.25">
      <c r="A9" s="126" t="s">
        <v>68</v>
      </c>
      <c r="B9" s="127"/>
      <c r="C9" s="127"/>
      <c r="D9" s="127"/>
      <c r="E9" s="127"/>
      <c r="F9" s="127"/>
      <c r="G9" s="127"/>
    </row>
    <row r="10" spans="1:9" ht="28.9" customHeight="1" x14ac:dyDescent="0.25">
      <c r="A10" s="123" t="s">
        <v>69</v>
      </c>
      <c r="B10" s="124"/>
      <c r="C10" s="124"/>
      <c r="D10" s="124"/>
      <c r="E10" s="124"/>
      <c r="F10" s="124"/>
      <c r="G10" s="124"/>
    </row>
    <row r="11" spans="1:9" ht="15" x14ac:dyDescent="0.25">
      <c r="A11" s="123" t="s">
        <v>70</v>
      </c>
      <c r="B11" s="124"/>
      <c r="C11" s="124"/>
      <c r="D11" s="124"/>
      <c r="E11" s="124"/>
      <c r="F11" s="124"/>
      <c r="G11" s="124"/>
    </row>
    <row r="12" spans="1:9" x14ac:dyDescent="0.2">
      <c r="A12" s="128" t="s">
        <v>137</v>
      </c>
      <c r="B12" s="128"/>
      <c r="C12" s="128"/>
      <c r="D12" s="128"/>
      <c r="E12" s="128"/>
      <c r="F12" s="128"/>
      <c r="G12" s="128"/>
    </row>
    <row r="13" spans="1:9" x14ac:dyDescent="0.2">
      <c r="A13" s="122" t="s">
        <v>139</v>
      </c>
      <c r="B13" s="122"/>
      <c r="C13" s="122"/>
      <c r="D13" s="122"/>
      <c r="E13" s="122"/>
      <c r="F13" s="122"/>
      <c r="G13" s="122"/>
    </row>
  </sheetData>
  <mergeCells count="6">
    <mergeCell ref="A13:G13"/>
    <mergeCell ref="A10:G10"/>
    <mergeCell ref="A2:G2"/>
    <mergeCell ref="A11:G11"/>
    <mergeCell ref="A9:G9"/>
    <mergeCell ref="A12:G12"/>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0"/>
  <sheetViews>
    <sheetView zoomScale="90" zoomScaleNormal="90" workbookViewId="0">
      <selection sqref="A1:E10"/>
    </sheetView>
  </sheetViews>
  <sheetFormatPr defaultRowHeight="15" x14ac:dyDescent="0.25"/>
  <cols>
    <col min="1" max="1" width="24.28515625" customWidth="1"/>
    <col min="2" max="2" width="11.85546875" customWidth="1"/>
    <col min="3" max="3" width="12.7109375" customWidth="1"/>
    <col min="4" max="4" width="17" customWidth="1"/>
    <col min="5" max="5" width="14.7109375" customWidth="1"/>
  </cols>
  <sheetData>
    <row r="1" spans="1:6" s="18" customFormat="1" ht="15.75" x14ac:dyDescent="0.2">
      <c r="A1" s="129" t="s">
        <v>5</v>
      </c>
      <c r="B1" s="129"/>
      <c r="C1" s="129"/>
      <c r="D1" s="129"/>
      <c r="E1" s="129"/>
    </row>
    <row r="2" spans="1:6" s="18" customFormat="1" ht="12.75" x14ac:dyDescent="0.2">
      <c r="A2" s="82" t="s">
        <v>34</v>
      </c>
      <c r="B2" s="82" t="s">
        <v>35</v>
      </c>
      <c r="C2" s="82" t="s">
        <v>36</v>
      </c>
      <c r="D2" s="82" t="s">
        <v>37</v>
      </c>
      <c r="E2" s="82" t="s">
        <v>38</v>
      </c>
    </row>
    <row r="3" spans="1:6" s="18" customFormat="1" ht="54" customHeight="1" x14ac:dyDescent="0.2">
      <c r="A3" s="19" t="s">
        <v>45</v>
      </c>
      <c r="B3" s="19" t="s">
        <v>46</v>
      </c>
      <c r="C3" s="19" t="s">
        <v>47</v>
      </c>
      <c r="D3" s="19" t="s">
        <v>48</v>
      </c>
      <c r="E3" s="19" t="s">
        <v>49</v>
      </c>
    </row>
    <row r="4" spans="1:6" s="18" customFormat="1" ht="28.15" customHeight="1" x14ac:dyDescent="0.2">
      <c r="A4" s="81" t="s">
        <v>72</v>
      </c>
      <c r="B4" s="20">
        <f>'Table 1'!E17</f>
        <v>1.33</v>
      </c>
      <c r="C4" s="20">
        <v>1</v>
      </c>
      <c r="D4" s="20">
        <v>0</v>
      </c>
      <c r="E4" s="20">
        <f>(B4*C4)+D4</f>
        <v>1.33</v>
      </c>
    </row>
    <row r="5" spans="1:6" s="18" customFormat="1" ht="12.75" x14ac:dyDescent="0.2">
      <c r="A5" s="81" t="s">
        <v>73</v>
      </c>
      <c r="B5" s="20">
        <f>'Table 1'!E18</f>
        <v>1.33</v>
      </c>
      <c r="C5" s="20">
        <v>1</v>
      </c>
      <c r="D5" s="20">
        <v>0</v>
      </c>
      <c r="E5" s="20">
        <f t="shared" ref="E5:E9" si="0">(B5*C5)+D5</f>
        <v>1.33</v>
      </c>
    </row>
    <row r="6" spans="1:6" s="18" customFormat="1" ht="12.75" x14ac:dyDescent="0.2">
      <c r="A6" s="81" t="s">
        <v>74</v>
      </c>
      <c r="B6" s="41">
        <f>'Table 1'!E19</f>
        <v>0</v>
      </c>
      <c r="C6" s="20">
        <v>1</v>
      </c>
      <c r="D6" s="20">
        <v>0</v>
      </c>
      <c r="E6" s="20">
        <f t="shared" si="0"/>
        <v>0</v>
      </c>
    </row>
    <row r="7" spans="1:6" s="18" customFormat="1" ht="12.75" x14ac:dyDescent="0.2">
      <c r="A7" s="81" t="s">
        <v>133</v>
      </c>
      <c r="B7" s="41">
        <f>B6</f>
        <v>0</v>
      </c>
      <c r="C7" s="20">
        <v>1</v>
      </c>
      <c r="D7" s="20">
        <v>0</v>
      </c>
      <c r="E7" s="20">
        <f t="shared" ref="E7" si="1">(B7*C7)+D7</f>
        <v>0</v>
      </c>
    </row>
    <row r="8" spans="1:6" s="18" customFormat="1" ht="24.6" customHeight="1" x14ac:dyDescent="0.2">
      <c r="A8" s="81" t="s">
        <v>75</v>
      </c>
      <c r="B8" s="41">
        <f>'Table 1'!E20</f>
        <v>0</v>
      </c>
      <c r="C8" s="20">
        <v>1</v>
      </c>
      <c r="D8" s="20">
        <v>0</v>
      </c>
      <c r="E8" s="20">
        <f t="shared" si="0"/>
        <v>0</v>
      </c>
    </row>
    <row r="9" spans="1:6" s="18" customFormat="1" ht="12.75" x14ac:dyDescent="0.2">
      <c r="A9" s="34" t="s">
        <v>76</v>
      </c>
      <c r="B9" s="20">
        <f>'Table 1'!E21</f>
        <v>4</v>
      </c>
      <c r="C9" s="20">
        <v>2</v>
      </c>
      <c r="D9" s="20">
        <v>0</v>
      </c>
      <c r="E9" s="20">
        <f t="shared" si="0"/>
        <v>8</v>
      </c>
      <c r="F9" s="3"/>
    </row>
    <row r="10" spans="1:6" s="18" customFormat="1" ht="12.75" x14ac:dyDescent="0.2">
      <c r="A10" s="22"/>
      <c r="B10" s="20"/>
      <c r="C10" s="20"/>
      <c r="D10" s="23" t="s">
        <v>50</v>
      </c>
      <c r="E10" s="69">
        <f>SUM(E4:E9)</f>
        <v>10.66</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80" zoomScaleNormal="80" workbookViewId="0">
      <selection sqref="A1:F9"/>
    </sheetView>
  </sheetViews>
  <sheetFormatPr defaultColWidth="17.7109375" defaultRowHeight="31.9" customHeight="1" x14ac:dyDescent="0.25"/>
  <sheetData>
    <row r="1" spans="1:6" s="18" customFormat="1" ht="31.9" customHeight="1" x14ac:dyDescent="0.2">
      <c r="A1" s="129" t="s">
        <v>1</v>
      </c>
      <c r="B1" s="129"/>
      <c r="C1" s="129"/>
      <c r="D1" s="129"/>
      <c r="E1" s="129"/>
      <c r="F1" s="129"/>
    </row>
    <row r="2" spans="1:6" s="18" customFormat="1" ht="42.6" customHeight="1" x14ac:dyDescent="0.2">
      <c r="A2" s="84"/>
      <c r="B2" s="130" t="s">
        <v>51</v>
      </c>
      <c r="C2" s="130"/>
      <c r="D2" s="84" t="s">
        <v>52</v>
      </c>
      <c r="E2" s="130"/>
      <c r="F2" s="130"/>
    </row>
    <row r="3" spans="1:6" s="18" customFormat="1" ht="31.9" customHeight="1" x14ac:dyDescent="0.2">
      <c r="A3" s="30"/>
      <c r="B3" s="31" t="s">
        <v>34</v>
      </c>
      <c r="C3" s="31" t="s">
        <v>35</v>
      </c>
      <c r="D3" s="31" t="s">
        <v>36</v>
      </c>
      <c r="E3" s="31" t="s">
        <v>37</v>
      </c>
      <c r="F3" s="31" t="s">
        <v>38</v>
      </c>
    </row>
    <row r="4" spans="1:6" s="18" customFormat="1" ht="70.900000000000006" customHeight="1" x14ac:dyDescent="0.2">
      <c r="A4" s="31" t="s">
        <v>53</v>
      </c>
      <c r="B4" s="30" t="s">
        <v>54</v>
      </c>
      <c r="C4" s="30" t="s">
        <v>55</v>
      </c>
      <c r="D4" s="30" t="s">
        <v>56</v>
      </c>
      <c r="E4" s="30" t="s">
        <v>57</v>
      </c>
      <c r="F4" s="30" t="s">
        <v>58</v>
      </c>
    </row>
    <row r="5" spans="1:6" s="18" customFormat="1" ht="31.9" customHeight="1" x14ac:dyDescent="0.2">
      <c r="A5" s="19">
        <v>1</v>
      </c>
      <c r="B5" s="80">
        <v>0</v>
      </c>
      <c r="C5" s="80">
        <v>4</v>
      </c>
      <c r="D5" s="80">
        <v>0</v>
      </c>
      <c r="E5" s="80">
        <v>0</v>
      </c>
      <c r="F5" s="20">
        <f>B5+C5+D5-E5</f>
        <v>4</v>
      </c>
    </row>
    <row r="6" spans="1:6" s="18" customFormat="1" ht="31.9" customHeight="1" x14ac:dyDescent="0.2">
      <c r="A6" s="19">
        <v>2</v>
      </c>
      <c r="B6" s="80">
        <v>0</v>
      </c>
      <c r="C6" s="80">
        <v>4</v>
      </c>
      <c r="D6" s="80">
        <v>0</v>
      </c>
      <c r="E6" s="80">
        <v>0</v>
      </c>
      <c r="F6" s="20">
        <f>B6+C6+D6-E6</f>
        <v>4</v>
      </c>
    </row>
    <row r="7" spans="1:6" s="18" customFormat="1" ht="31.9" customHeight="1" x14ac:dyDescent="0.2">
      <c r="A7" s="19">
        <v>3</v>
      </c>
      <c r="B7" s="80">
        <v>0</v>
      </c>
      <c r="C7" s="80">
        <v>4</v>
      </c>
      <c r="D7" s="80">
        <v>0</v>
      </c>
      <c r="E7" s="80">
        <v>0</v>
      </c>
      <c r="F7" s="20">
        <f>B7+C7+D7-E7</f>
        <v>4</v>
      </c>
    </row>
    <row r="8" spans="1:6" s="18" customFormat="1" ht="31.9" customHeight="1" x14ac:dyDescent="0.2">
      <c r="A8" s="19" t="s">
        <v>59</v>
      </c>
      <c r="B8" s="20">
        <f>AVERAGE(B5:B7)</f>
        <v>0</v>
      </c>
      <c r="C8" s="20">
        <f>AVERAGE(C5:C7)</f>
        <v>4</v>
      </c>
      <c r="D8" s="20">
        <v>0</v>
      </c>
      <c r="E8" s="20">
        <v>0</v>
      </c>
      <c r="F8" s="23">
        <f>AVERAGE(F5:F7)</f>
        <v>4</v>
      </c>
    </row>
    <row r="9" spans="1:6" s="18" customFormat="1" ht="20.45" customHeight="1" x14ac:dyDescent="0.2">
      <c r="A9" s="21" t="s">
        <v>60</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2024-10-22T20:11:36+00:00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788708A-52BB-4D0F-B232-80F9E123F193}">
  <ds:schemaRefs>
    <ds:schemaRef ds:uri="1891fcec-84c2-4840-9468-b51a784ab0d1"/>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4d6aed1e-57d3-46e3-9aba-f706adbce63b"/>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9E9B4BA-E953-4BE3-832D-9432A55D2E07}"/>
</file>

<file path=customXml/itemProps4.xml><?xml version="1.0" encoding="utf-8"?>
<ds:datastoreItem xmlns:ds="http://schemas.openxmlformats.org/officeDocument/2006/customXml" ds:itemID="{75BDFC1D-A4EE-486C-9210-4EA32DB8D0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Stacie Enoch</cp:lastModifiedBy>
  <cp:revision/>
  <dcterms:created xsi:type="dcterms:W3CDTF">2018-07-19T14:57:42Z</dcterms:created>
  <dcterms:modified xsi:type="dcterms:W3CDTF">2024-10-18T21:09:57Z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ies>
</file>