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COMP/"/>
    </mc:Choice>
  </mc:AlternateContent>
  <xr:revisionPtr revIDLastSave="0" documentId="8_{363D60FB-BB90-494F-974C-0FCA10A17A22}" xr6:coauthVersionLast="47" xr6:coauthVersionMax="47" xr10:uidLastSave="{00000000-0000-0000-0000-000000000000}"/>
  <bookViews>
    <workbookView xWindow="-7185" yWindow="-13545" windowWidth="19410" windowHeight="11295" tabRatio="584" activeTab="1" xr2:uid="{00000000-000D-0000-FFFF-FFFF00000000}"/>
  </bookViews>
  <sheets>
    <sheet name="O+M" sheetId="32" r:id="rId1"/>
    <sheet name="Table 1" sheetId="31" r:id="rId2"/>
    <sheet name="Table 2" sheetId="29" r:id="rId3"/>
    <sheet name="For Reference --&gt;" sheetId="33" r:id="rId4"/>
    <sheet name="Table 1 - Renewal" sheetId="30" r:id="rId5"/>
    <sheet name="Table 2 - Renewal" sheetId="34" r:id="rId6"/>
    <sheet name="T1 Compare to 2003.02" sheetId="19" state="hidden" r:id="rId7"/>
    <sheet name="T1 Compare to 2003.07" sheetId="20" state="hidden" r:id="rId8"/>
    <sheet name="T2 Compare to 2003.02" sheetId="21" state="hidden" r:id="rId9"/>
    <sheet name="T2 Compare to 2003.07" sheetId="22" state="hidden" r:id="rId10"/>
    <sheet name="units" sheetId="15" state="hidden" r:id="rId11"/>
  </sheets>
  <definedNames>
    <definedName name="_xlnm._FilterDatabase" localSheetId="6" hidden="1">'T1 Compare to 2003.02'!$A$3:$V$58</definedName>
    <definedName name="_xlnm._FilterDatabase" localSheetId="7" hidden="1">'T1 Compare to 2003.07'!$A$3:$V$58</definedName>
    <definedName name="_xlnm._FilterDatabase" localSheetId="1" hidden="1">'Table 1'!$A$4:$O$27</definedName>
    <definedName name="_xlnm._FilterDatabase" localSheetId="10" hidden="1">units!$A$1:$E$119</definedName>
    <definedName name="OLE_LINK1" localSheetId="6">'T1 Compare to 2003.02'!$A$1</definedName>
    <definedName name="OLE_LINK1" localSheetId="7">'T1 Compare to 2003.07'!$A$1</definedName>
    <definedName name="OLE_LINK1" localSheetId="1">'Table 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 i="31" l="1"/>
  <c r="G8" i="32"/>
  <c r="G9" i="32"/>
  <c r="K23" i="31"/>
  <c r="F66" i="31"/>
  <c r="F62" i="31"/>
  <c r="I65" i="31"/>
  <c r="I29" i="31"/>
  <c r="I62" i="31"/>
  <c r="F29" i="31"/>
  <c r="J12" i="29"/>
  <c r="I12" i="29"/>
  <c r="C26" i="31"/>
  <c r="C15" i="31" l="1"/>
  <c r="C8" i="29"/>
  <c r="C24" i="31"/>
  <c r="E7" i="32" l="1"/>
  <c r="E4" i="32"/>
  <c r="E5" i="32"/>
  <c r="C14" i="31"/>
  <c r="C16" i="31"/>
  <c r="D12" i="34"/>
  <c r="F12" i="34" s="1"/>
  <c r="D11" i="34"/>
  <c r="F11" i="34" s="1"/>
  <c r="F10" i="34"/>
  <c r="G10" i="34" s="1"/>
  <c r="D10" i="34"/>
  <c r="D9" i="34"/>
  <c r="F9" i="34" s="1"/>
  <c r="D8" i="34"/>
  <c r="F8" i="34" s="1"/>
  <c r="D7" i="34"/>
  <c r="F7" i="34" s="1"/>
  <c r="G7" i="34" l="1"/>
  <c r="F13" i="34" s="1"/>
  <c r="H7" i="34"/>
  <c r="G8" i="34"/>
  <c r="I8" i="34" s="1"/>
  <c r="H8" i="34"/>
  <c r="I9" i="34"/>
  <c r="G9" i="34"/>
  <c r="H9" i="34"/>
  <c r="H11" i="34"/>
  <c r="I11" i="34" s="1"/>
  <c r="G11" i="34"/>
  <c r="G12" i="34"/>
  <c r="H12" i="34"/>
  <c r="I12" i="34" s="1"/>
  <c r="H10" i="34"/>
  <c r="I10" i="34" s="1"/>
  <c r="I7" i="34" l="1"/>
  <c r="I13" i="34" s="1"/>
  <c r="D9" i="29" l="1"/>
  <c r="F9" i="29" s="1"/>
  <c r="J19" i="31"/>
  <c r="J18" i="31"/>
  <c r="J17" i="31"/>
  <c r="J16" i="31"/>
  <c r="J14" i="31"/>
  <c r="J15" i="31"/>
  <c r="D58" i="31" l="1"/>
  <c r="F58" i="31" s="1"/>
  <c r="H58" i="31" l="1"/>
  <c r="G58" i="31"/>
  <c r="I58" i="31" s="1"/>
  <c r="M58" i="31" s="1"/>
  <c r="M52" i="31"/>
  <c r="M57" i="31"/>
  <c r="D56" i="31"/>
  <c r="F56" i="31" s="1"/>
  <c r="D55" i="31"/>
  <c r="F55" i="31" s="1"/>
  <c r="D54" i="31"/>
  <c r="F54" i="31" s="1"/>
  <c r="H56" i="31" l="1"/>
  <c r="G56" i="31"/>
  <c r="I56" i="31" s="1"/>
  <c r="M56" i="31" s="1"/>
  <c r="I55" i="31"/>
  <c r="M55" i="31" s="1"/>
  <c r="H55" i="31"/>
  <c r="G55" i="31"/>
  <c r="H54" i="31"/>
  <c r="G54" i="31"/>
  <c r="I54" i="31" s="1"/>
  <c r="M54" i="31" s="1"/>
  <c r="C18" i="31" l="1"/>
  <c r="D15" i="31"/>
  <c r="F15" i="31" s="1"/>
  <c r="G15" i="31" s="1"/>
  <c r="E12" i="32"/>
  <c r="D53" i="31"/>
  <c r="F53" i="31" s="1"/>
  <c r="D51" i="31"/>
  <c r="F51" i="31" s="1"/>
  <c r="H15" i="31" l="1"/>
  <c r="I15" i="31" s="1"/>
  <c r="M15" i="31" s="1"/>
  <c r="H53" i="31"/>
  <c r="G53" i="31"/>
  <c r="H51" i="31"/>
  <c r="G51" i="31"/>
  <c r="G12" i="32"/>
  <c r="G6" i="32"/>
  <c r="G7" i="32"/>
  <c r="E8" i="32"/>
  <c r="E9" i="32"/>
  <c r="E10" i="32"/>
  <c r="G10" i="32" s="1"/>
  <c r="G11" i="32"/>
  <c r="G5" i="32"/>
  <c r="G4" i="32"/>
  <c r="G13" i="32" l="1"/>
  <c r="I64" i="31" s="1"/>
  <c r="I53" i="31"/>
  <c r="M53" i="31" s="1"/>
  <c r="I51" i="31"/>
  <c r="M51" i="31" s="1"/>
  <c r="D13" i="32"/>
  <c r="C19" i="31" l="1"/>
  <c r="D19" i="31" s="1"/>
  <c r="F19" i="31" s="1"/>
  <c r="D18" i="31"/>
  <c r="F18" i="31" s="1"/>
  <c r="D17" i="31"/>
  <c r="F17" i="31" s="1"/>
  <c r="D16" i="31"/>
  <c r="F16" i="31" s="1"/>
  <c r="D14" i="31"/>
  <c r="F14" i="31" s="1"/>
  <c r="G16" i="31" l="1"/>
  <c r="H16" i="31"/>
  <c r="H19" i="31"/>
  <c r="G19" i="31"/>
  <c r="H18" i="31"/>
  <c r="G18" i="31"/>
  <c r="H17" i="31"/>
  <c r="G17" i="31"/>
  <c r="G14" i="31"/>
  <c r="H14" i="31"/>
  <c r="D61" i="31"/>
  <c r="F61" i="31" s="1"/>
  <c r="D60" i="31"/>
  <c r="F60" i="31" s="1"/>
  <c r="D59" i="31"/>
  <c r="F59" i="31" s="1"/>
  <c r="H59" i="31" s="1"/>
  <c r="D49" i="31"/>
  <c r="F49" i="31" s="1"/>
  <c r="D48" i="31"/>
  <c r="F48" i="31" s="1"/>
  <c r="N47" i="31"/>
  <c r="H46" i="31"/>
  <c r="I46" i="31" s="1"/>
  <c r="N46" i="31" s="1"/>
  <c r="D46" i="31"/>
  <c r="D45" i="31"/>
  <c r="F45" i="31" s="1"/>
  <c r="D44" i="31"/>
  <c r="F44" i="31" s="1"/>
  <c r="D43" i="31"/>
  <c r="F43" i="31" s="1"/>
  <c r="D41" i="31"/>
  <c r="F41" i="31" s="1"/>
  <c r="D40" i="31"/>
  <c r="F40" i="31" s="1"/>
  <c r="D38" i="31"/>
  <c r="F38" i="31" s="1"/>
  <c r="D37" i="31"/>
  <c r="F37" i="31" s="1"/>
  <c r="D35" i="31"/>
  <c r="F35" i="31" s="1"/>
  <c r="D33" i="31"/>
  <c r="F33" i="31" s="1"/>
  <c r="D32" i="31"/>
  <c r="F32" i="31" s="1"/>
  <c r="D31" i="31"/>
  <c r="F31" i="31" s="1"/>
  <c r="K27" i="31"/>
  <c r="D27" i="31"/>
  <c r="F27" i="31" s="1"/>
  <c r="K26" i="31"/>
  <c r="D26" i="31"/>
  <c r="F26" i="31" s="1"/>
  <c r="K25" i="31"/>
  <c r="D25" i="31"/>
  <c r="F25" i="31" s="1"/>
  <c r="I25" i="31" s="1"/>
  <c r="K24" i="31"/>
  <c r="D24" i="31"/>
  <c r="F24" i="31" s="1"/>
  <c r="D23" i="31"/>
  <c r="F23" i="31" s="1"/>
  <c r="D13" i="31"/>
  <c r="F13" i="31" s="1"/>
  <c r="D12" i="31"/>
  <c r="F12" i="31" s="1"/>
  <c r="N11" i="31"/>
  <c r="D10" i="31"/>
  <c r="F10" i="31" s="1"/>
  <c r="D9" i="31"/>
  <c r="F9" i="31" s="1"/>
  <c r="N8" i="31"/>
  <c r="N7" i="31"/>
  <c r="N6" i="31"/>
  <c r="N5" i="31"/>
  <c r="I19" i="31" l="1"/>
  <c r="M19" i="31" s="1"/>
  <c r="I16" i="31"/>
  <c r="M16" i="31" s="1"/>
  <c r="I18" i="31"/>
  <c r="M18" i="31" s="1"/>
  <c r="I14" i="31"/>
  <c r="I17" i="31"/>
  <c r="M17" i="31" s="1"/>
  <c r="K28" i="31"/>
  <c r="K67" i="31" s="1"/>
  <c r="H32" i="31"/>
  <c r="G32" i="31"/>
  <c r="H43" i="31"/>
  <c r="G43" i="31"/>
  <c r="H37" i="31"/>
  <c r="G37" i="31"/>
  <c r="H10" i="31"/>
  <c r="G10" i="31"/>
  <c r="H35" i="31"/>
  <c r="G35" i="31"/>
  <c r="G49" i="31"/>
  <c r="H49" i="31"/>
  <c r="H9" i="31"/>
  <c r="G9" i="31"/>
  <c r="H23" i="31"/>
  <c r="G23" i="31"/>
  <c r="G41" i="31"/>
  <c r="H41" i="31"/>
  <c r="H24" i="31"/>
  <c r="G24" i="31"/>
  <c r="H12" i="31"/>
  <c r="G12" i="31"/>
  <c r="H44" i="31"/>
  <c r="G44" i="31"/>
  <c r="G33" i="31"/>
  <c r="H33" i="31"/>
  <c r="H61" i="31"/>
  <c r="G61" i="31"/>
  <c r="H27" i="31"/>
  <c r="G27" i="31"/>
  <c r="G48" i="31"/>
  <c r="H48" i="31"/>
  <c r="H31" i="31"/>
  <c r="G31" i="31"/>
  <c r="H38" i="31"/>
  <c r="G38" i="31"/>
  <c r="H45" i="31"/>
  <c r="G45" i="31"/>
  <c r="G40" i="31"/>
  <c r="H40" i="31"/>
  <c r="H60" i="31"/>
  <c r="G60" i="31"/>
  <c r="G13" i="31"/>
  <c r="G26" i="31"/>
  <c r="H13" i="31"/>
  <c r="H26" i="31"/>
  <c r="G59" i="31"/>
  <c r="I59" i="31" s="1"/>
  <c r="M14" i="31" l="1"/>
  <c r="I44" i="31"/>
  <c r="N44" i="31" s="1"/>
  <c r="I35" i="31"/>
  <c r="N35" i="31" s="1"/>
  <c r="I32" i="31"/>
  <c r="I24" i="31"/>
  <c r="N24" i="31" s="1"/>
  <c r="I43" i="31"/>
  <c r="N43" i="31" s="1"/>
  <c r="I38" i="31"/>
  <c r="N38" i="31" s="1"/>
  <c r="I61" i="31"/>
  <c r="N61" i="31" s="1"/>
  <c r="I12" i="31"/>
  <c r="N12" i="31" s="1"/>
  <c r="I37" i="31"/>
  <c r="N37" i="31" s="1"/>
  <c r="I45" i="31"/>
  <c r="N45" i="31" s="1"/>
  <c r="I27" i="31"/>
  <c r="N27" i="31" s="1"/>
  <c r="M50" i="31"/>
  <c r="I60" i="31"/>
  <c r="N60" i="31" s="1"/>
  <c r="I33" i="31"/>
  <c r="I10" i="31"/>
  <c r="M10" i="31" s="1"/>
  <c r="I40" i="31"/>
  <c r="N40" i="31" s="1"/>
  <c r="I41" i="31"/>
  <c r="N41" i="31" s="1"/>
  <c r="I9" i="31"/>
  <c r="I48" i="31"/>
  <c r="M48" i="31" s="1"/>
  <c r="I26" i="31"/>
  <c r="M26" i="31" s="1"/>
  <c r="I13" i="31"/>
  <c r="N13" i="31" s="1"/>
  <c r="I49" i="31"/>
  <c r="M49" i="31" s="1"/>
  <c r="I31" i="31"/>
  <c r="N31" i="31" s="1"/>
  <c r="I23" i="31"/>
  <c r="M65" i="31" l="1"/>
  <c r="I66" i="31"/>
  <c r="N9" i="31"/>
  <c r="N65" i="31" s="1"/>
  <c r="N66" i="31" s="1"/>
  <c r="I67" i="31" l="1"/>
  <c r="F42" i="30"/>
  <c r="G42" i="30" s="1"/>
  <c r="D42" i="30"/>
  <c r="D41" i="30"/>
  <c r="F41" i="30" s="1"/>
  <c r="D40" i="30"/>
  <c r="F40" i="30" s="1"/>
  <c r="D39" i="30"/>
  <c r="F39" i="30" s="1"/>
  <c r="D38" i="30"/>
  <c r="F38" i="30" s="1"/>
  <c r="H37" i="30"/>
  <c r="G37" i="30"/>
  <c r="I37" i="30" s="1"/>
  <c r="F37" i="30"/>
  <c r="D37" i="30"/>
  <c r="D36" i="30"/>
  <c r="F36" i="30" s="1"/>
  <c r="D34" i="30"/>
  <c r="F34" i="30" s="1"/>
  <c r="F33" i="30"/>
  <c r="H33" i="30" s="1"/>
  <c r="D33" i="30"/>
  <c r="D31" i="30"/>
  <c r="F31" i="30" s="1"/>
  <c r="D30" i="30"/>
  <c r="F30" i="30" s="1"/>
  <c r="D28" i="30"/>
  <c r="F28" i="30" s="1"/>
  <c r="D26" i="30"/>
  <c r="F26" i="30" s="1"/>
  <c r="D24" i="30"/>
  <c r="F24" i="30" s="1"/>
  <c r="D23" i="30"/>
  <c r="F23" i="30" s="1"/>
  <c r="D20" i="30"/>
  <c r="F20" i="30" s="1"/>
  <c r="D19" i="30"/>
  <c r="F19" i="30" s="1"/>
  <c r="D18" i="30"/>
  <c r="F18" i="30" s="1"/>
  <c r="D17" i="30"/>
  <c r="F17" i="30" s="1"/>
  <c r="H16" i="30"/>
  <c r="G16" i="30"/>
  <c r="I16" i="30" s="1"/>
  <c r="F16" i="30"/>
  <c r="D16" i="30"/>
  <c r="D15" i="30"/>
  <c r="F15" i="30" s="1"/>
  <c r="D11" i="30"/>
  <c r="F11" i="30" s="1"/>
  <c r="F10" i="30"/>
  <c r="D10" i="30"/>
  <c r="D8" i="30"/>
  <c r="F8" i="30" s="1"/>
  <c r="H39" i="30" l="1"/>
  <c r="G39" i="30"/>
  <c r="I39" i="30" s="1"/>
  <c r="H17" i="30"/>
  <c r="G17" i="30"/>
  <c r="I17" i="30" s="1"/>
  <c r="G30" i="30"/>
  <c r="I30" i="30" s="1"/>
  <c r="H30" i="30"/>
  <c r="H31" i="30"/>
  <c r="I31" i="30"/>
  <c r="G31" i="30"/>
  <c r="G19" i="30"/>
  <c r="H19" i="30"/>
  <c r="I19" i="30" s="1"/>
  <c r="I38" i="30"/>
  <c r="H38" i="30"/>
  <c r="G38" i="30"/>
  <c r="I15" i="30"/>
  <c r="H15" i="30"/>
  <c r="G15" i="30"/>
  <c r="H20" i="30"/>
  <c r="G20" i="30"/>
  <c r="I20" i="30" s="1"/>
  <c r="H23" i="30"/>
  <c r="G23" i="30"/>
  <c r="I23" i="30" s="1"/>
  <c r="H34" i="30"/>
  <c r="G34" i="30"/>
  <c r="I34" i="30" s="1"/>
  <c r="G40" i="30"/>
  <c r="I40" i="30" s="1"/>
  <c r="H40" i="30"/>
  <c r="H18" i="30"/>
  <c r="G18" i="30"/>
  <c r="H11" i="30"/>
  <c r="G11" i="30"/>
  <c r="I11" i="30" s="1"/>
  <c r="H24" i="30"/>
  <c r="G24" i="30"/>
  <c r="I24" i="30" s="1"/>
  <c r="G36" i="30"/>
  <c r="H36" i="30"/>
  <c r="I36" i="30" s="1"/>
  <c r="H41" i="30"/>
  <c r="G41" i="30"/>
  <c r="I41" i="30" s="1"/>
  <c r="G26" i="30"/>
  <c r="I26" i="30" s="1"/>
  <c r="H26" i="30"/>
  <c r="H8" i="30"/>
  <c r="G8" i="30"/>
  <c r="I8" i="30" s="1"/>
  <c r="I21" i="30" s="1"/>
  <c r="H28" i="30"/>
  <c r="G28" i="30"/>
  <c r="I28" i="30"/>
  <c r="G33" i="30"/>
  <c r="H10" i="30"/>
  <c r="I10" i="30" s="1"/>
  <c r="H42" i="30"/>
  <c r="I42" i="30" s="1"/>
  <c r="I33" i="30"/>
  <c r="G10" i="30"/>
  <c r="I43" i="30" l="1"/>
  <c r="I44" i="30" s="1"/>
  <c r="I46" i="30" s="1"/>
  <c r="F21" i="30"/>
  <c r="F43" i="30"/>
  <c r="F44" i="30" l="1"/>
  <c r="L44" i="30" s="1"/>
  <c r="D10" i="29" l="1"/>
  <c r="F10" i="29" s="1"/>
  <c r="D11" i="29"/>
  <c r="F11" i="29" s="1"/>
  <c r="D8" i="29"/>
  <c r="F8" i="29" s="1"/>
  <c r="D7" i="29"/>
  <c r="F7" i="29" s="1"/>
  <c r="H11" i="29" l="1"/>
  <c r="G11" i="29"/>
  <c r="I11" i="29" s="1"/>
  <c r="H7" i="29"/>
  <c r="G7" i="29"/>
  <c r="I7" i="29" s="1"/>
  <c r="H10" i="29"/>
  <c r="G10" i="29"/>
  <c r="G8" i="29"/>
  <c r="H8" i="29"/>
  <c r="H9" i="29"/>
  <c r="G9" i="29"/>
  <c r="F12" i="29" l="1"/>
  <c r="I8" i="29"/>
  <c r="I9" i="29"/>
  <c r="I10" i="29"/>
  <c r="X38" i="20" l="1"/>
  <c r="W38" i="20"/>
  <c r="W21" i="22" l="1"/>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E15" i="21"/>
  <c r="F15" i="21" s="1"/>
  <c r="D15" i="21"/>
  <c r="F14" i="21"/>
  <c r="E14" i="21"/>
  <c r="D14" i="21"/>
  <c r="D12" i="21"/>
  <c r="F12" i="21" s="1"/>
  <c r="D11" i="21"/>
  <c r="F11" i="21" s="1"/>
  <c r="D10" i="21"/>
  <c r="F10" i="21" s="1"/>
  <c r="D9" i="21"/>
  <c r="F9" i="21" s="1"/>
  <c r="D8" i="21"/>
  <c r="F8" i="21" s="1"/>
  <c r="D7" i="21"/>
  <c r="F7" i="21" s="1"/>
  <c r="D6" i="21"/>
  <c r="F6" i="21" s="1"/>
  <c r="H7" i="21" l="1"/>
  <c r="G7" i="21"/>
  <c r="I8" i="21"/>
  <c r="L8" i="21" s="1"/>
  <c r="H8" i="21"/>
  <c r="G8" i="21"/>
  <c r="N8" i="21" s="1"/>
  <c r="Q8" i="21" s="1"/>
  <c r="H9" i="21"/>
  <c r="N9" i="21" s="1"/>
  <c r="Q9" i="21" s="1"/>
  <c r="G9" i="21"/>
  <c r="G11" i="21"/>
  <c r="N11" i="21" s="1"/>
  <c r="Q11" i="21" s="1"/>
  <c r="H11" i="21"/>
  <c r="G12" i="21"/>
  <c r="H12" i="21"/>
  <c r="I12" i="21" s="1"/>
  <c r="J12" i="21" s="1"/>
  <c r="G10" i="21"/>
  <c r="I10" i="21" s="1"/>
  <c r="L10" i="21" s="1"/>
  <c r="H10" i="21"/>
  <c r="N10" i="21"/>
  <c r="Q10" i="21" s="1"/>
  <c r="F16" i="21"/>
  <c r="F15" i="22"/>
  <c r="F19" i="22"/>
  <c r="H19" i="22" s="1"/>
  <c r="G10" i="22"/>
  <c r="H10" i="22"/>
  <c r="G6" i="22"/>
  <c r="H6" i="22"/>
  <c r="N6" i="22" s="1"/>
  <c r="Q6" i="22" s="1"/>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S8" i="22" s="1"/>
  <c r="Z9" i="22"/>
  <c r="AA20" i="22"/>
  <c r="AB20" i="22" s="1"/>
  <c r="Z21" i="22"/>
  <c r="AA9" i="22"/>
  <c r="Z14" i="22"/>
  <c r="AB14" i="22" s="1"/>
  <c r="S14" i="22" s="1"/>
  <c r="AA21" i="22"/>
  <c r="G19" i="22"/>
  <c r="H20" i="22"/>
  <c r="G20" i="22"/>
  <c r="H16" i="22"/>
  <c r="G18" i="22"/>
  <c r="H18" i="22"/>
  <c r="G15" i="22"/>
  <c r="H15" i="22"/>
  <c r="H15" i="21"/>
  <c r="G15" i="21"/>
  <c r="N15" i="21" s="1"/>
  <c r="Q15" i="21" s="1"/>
  <c r="I15" i="21"/>
  <c r="L15" i="21" s="1"/>
  <c r="G16" i="21"/>
  <c r="I16" i="21" s="1"/>
  <c r="L16" i="21" s="1"/>
  <c r="H16" i="21"/>
  <c r="G18" i="21"/>
  <c r="H18" i="21"/>
  <c r="I18" i="21" s="1"/>
  <c r="H19" i="21"/>
  <c r="G19" i="21"/>
  <c r="N19" i="21" s="1"/>
  <c r="P19" i="21" s="1"/>
  <c r="I19" i="21"/>
  <c r="K19" i="21" s="1"/>
  <c r="G6" i="21"/>
  <c r="H6" i="21"/>
  <c r="G17" i="21"/>
  <c r="H17" i="21"/>
  <c r="G14" i="21"/>
  <c r="H14" i="21"/>
  <c r="N14" i="21" s="1"/>
  <c r="Q14" i="21" s="1"/>
  <c r="S20" i="22" l="1"/>
  <c r="N12" i="21"/>
  <c r="O12" i="21" s="1"/>
  <c r="I11" i="21"/>
  <c r="L11" i="21" s="1"/>
  <c r="I9" i="21"/>
  <c r="L9" i="21" s="1"/>
  <c r="N7" i="21"/>
  <c r="Q7" i="21" s="1"/>
  <c r="N17" i="21"/>
  <c r="O17" i="21" s="1"/>
  <c r="I14" i="21"/>
  <c r="L14" i="21" s="1"/>
  <c r="N18" i="21"/>
  <c r="O18" i="21" s="1"/>
  <c r="O20" i="21" s="1"/>
  <c r="I17" i="21"/>
  <c r="J17" i="21" s="1"/>
  <c r="I6" i="21"/>
  <c r="L6" i="21" s="1"/>
  <c r="I7" i="21"/>
  <c r="L7" i="21" s="1"/>
  <c r="N12" i="22"/>
  <c r="Q12" i="22" s="1"/>
  <c r="I6" i="22"/>
  <c r="I13" i="22"/>
  <c r="AB21" i="22"/>
  <c r="S21" i="22" s="1"/>
  <c r="I16" i="22"/>
  <c r="G17" i="22"/>
  <c r="I17" i="22" s="1"/>
  <c r="L17" i="22" s="1"/>
  <c r="I18" i="22"/>
  <c r="N7" i="22"/>
  <c r="Q7" i="22" s="1"/>
  <c r="N15" i="22"/>
  <c r="Q15" i="22" s="1"/>
  <c r="AB9" i="22"/>
  <c r="AB17" i="22"/>
  <c r="I7" i="22"/>
  <c r="N9" i="22"/>
  <c r="Q9" i="22" s="1"/>
  <c r="I11" i="22"/>
  <c r="N10" i="22"/>
  <c r="Q10" i="22" s="1"/>
  <c r="I12" i="22"/>
  <c r="I19" i="22"/>
  <c r="I15" i="22"/>
  <c r="I20" i="22"/>
  <c r="K20" i="22" s="1"/>
  <c r="K22" i="22" s="1"/>
  <c r="AB7" i="22"/>
  <c r="AB10" i="22"/>
  <c r="N13" i="22"/>
  <c r="O13" i="22" s="1"/>
  <c r="I9" i="22"/>
  <c r="I10" i="22"/>
  <c r="Y22" i="22"/>
  <c r="Y23" i="22"/>
  <c r="N18" i="22"/>
  <c r="O18" i="22" s="1"/>
  <c r="N19" i="22"/>
  <c r="N16" i="22"/>
  <c r="Q16" i="22" s="1"/>
  <c r="N20" i="22"/>
  <c r="P20" i="22" s="1"/>
  <c r="I20" i="21"/>
  <c r="F21" i="21"/>
  <c r="F20" i="21"/>
  <c r="N16" i="21"/>
  <c r="Q16" i="21" s="1"/>
  <c r="J18" i="21"/>
  <c r="J21" i="21" s="1"/>
  <c r="K20" i="21"/>
  <c r="K21" i="21"/>
  <c r="P20" i="21"/>
  <c r="P24" i="21"/>
  <c r="P21" i="21"/>
  <c r="N6" i="21"/>
  <c r="Q6" i="21" s="1"/>
  <c r="L15" i="22" l="1"/>
  <c r="S15" i="22"/>
  <c r="L11" i="22"/>
  <c r="S11" i="22"/>
  <c r="L6" i="22"/>
  <c r="L22" i="22" s="1"/>
  <c r="S6" i="22"/>
  <c r="I21" i="21"/>
  <c r="J19" i="22"/>
  <c r="L19" i="22" s="1"/>
  <c r="S19" i="22"/>
  <c r="L10" i="22"/>
  <c r="S10" i="22"/>
  <c r="AB22" i="22"/>
  <c r="L12" i="22"/>
  <c r="S12" i="22"/>
  <c r="L7" i="22"/>
  <c r="L23" i="22" s="1"/>
  <c r="S7" i="22"/>
  <c r="L9" i="22"/>
  <c r="S9" i="22"/>
  <c r="S17" i="22"/>
  <c r="J18" i="22"/>
  <c r="S18" i="22"/>
  <c r="J13" i="22"/>
  <c r="S13" i="22"/>
  <c r="L16" i="22"/>
  <c r="S16" i="22"/>
  <c r="L18" i="21"/>
  <c r="L21" i="21" s="1"/>
  <c r="M21" i="21" s="1"/>
  <c r="J20" i="21"/>
  <c r="Q18" i="21"/>
  <c r="Q21" i="21" s="1"/>
  <c r="F23" i="22"/>
  <c r="N17" i="22"/>
  <c r="Q17" i="22" s="1"/>
  <c r="F22" i="22"/>
  <c r="I23" i="22"/>
  <c r="AB23" i="22"/>
  <c r="S23" i="22" s="1"/>
  <c r="K23" i="22"/>
  <c r="I22" i="22"/>
  <c r="J22" i="22"/>
  <c r="J23" i="22"/>
  <c r="O19" i="22"/>
  <c r="O22" i="22" s="1"/>
  <c r="P22" i="22"/>
  <c r="P26" i="22"/>
  <c r="P23" i="22"/>
  <c r="L20" i="21"/>
  <c r="O21" i="21"/>
  <c r="R21" i="21" s="1"/>
  <c r="O24" i="21"/>
  <c r="Q20" i="21"/>
  <c r="Q24" i="21"/>
  <c r="V57" i="20"/>
  <c r="I57" i="20"/>
  <c r="M57" i="20" s="1"/>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F34" i="20" s="1"/>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Y21" i="20" s="1"/>
  <c r="D21" i="20"/>
  <c r="F21" i="20" s="1"/>
  <c r="M20" i="20"/>
  <c r="M19" i="20"/>
  <c r="M18" i="20"/>
  <c r="Q17" i="20"/>
  <c r="S17" i="20" s="1"/>
  <c r="D17" i="20"/>
  <c r="F17" i="20" s="1"/>
  <c r="D16" i="20"/>
  <c r="F16" i="20" s="1"/>
  <c r="D15" i="20"/>
  <c r="F15" i="20" s="1"/>
  <c r="Q14" i="20"/>
  <c r="S14" i="20" s="1"/>
  <c r="Q13" i="20"/>
  <c r="S13" i="20" s="1"/>
  <c r="D13" i="20"/>
  <c r="F13" i="20" s="1"/>
  <c r="Q12" i="20"/>
  <c r="S12" i="20" s="1"/>
  <c r="F12" i="20"/>
  <c r="E12" i="20"/>
  <c r="D12" i="20"/>
  <c r="Q11" i="20"/>
  <c r="S11" i="20" s="1"/>
  <c r="U11" i="20" s="1"/>
  <c r="E11" i="20"/>
  <c r="D11" i="20"/>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I57" i="19"/>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F11" i="20" l="1"/>
  <c r="H11" i="20" s="1"/>
  <c r="S22" i="22"/>
  <c r="M20" i="21"/>
  <c r="M57" i="19"/>
  <c r="L57" i="19"/>
  <c r="O23" i="22"/>
  <c r="O26" i="22"/>
  <c r="Q19" i="22"/>
  <c r="Q26" i="22" s="1"/>
  <c r="R26" i="22" s="1"/>
  <c r="M22" i="22"/>
  <c r="M23" i="22"/>
  <c r="R24" i="21"/>
  <c r="F50" i="20"/>
  <c r="H50" i="20" s="1"/>
  <c r="F28" i="20"/>
  <c r="F29" i="20"/>
  <c r="G29" i="20" s="1"/>
  <c r="U12" i="20"/>
  <c r="T12" i="20"/>
  <c r="G15" i="20"/>
  <c r="H15" i="20"/>
  <c r="U23" i="20"/>
  <c r="T23" i="20"/>
  <c r="V23" i="20" s="1"/>
  <c r="Y23" i="20" s="1"/>
  <c r="H12" i="20"/>
  <c r="G12" i="20"/>
  <c r="H23" i="20"/>
  <c r="G23" i="20"/>
  <c r="U36" i="20"/>
  <c r="T36" i="20"/>
  <c r="V36" i="20" s="1"/>
  <c r="Y36" i="20" s="1"/>
  <c r="H45" i="20"/>
  <c r="G45" i="20"/>
  <c r="H51" i="20"/>
  <c r="G51" i="20"/>
  <c r="I51" i="20" s="1"/>
  <c r="G16" i="20"/>
  <c r="H16" i="20"/>
  <c r="T17" i="20"/>
  <c r="U17" i="20"/>
  <c r="U22" i="20"/>
  <c r="V22" i="20" s="1"/>
  <c r="Y22" i="20" s="1"/>
  <c r="T28" i="20"/>
  <c r="U28" i="20"/>
  <c r="H34" i="20"/>
  <c r="G34" i="20"/>
  <c r="I34" i="20" s="1"/>
  <c r="H46" i="20"/>
  <c r="G46" i="20"/>
  <c r="I46" i="20" s="1"/>
  <c r="I11" i="20"/>
  <c r="G11" i="20"/>
  <c r="G17" i="20"/>
  <c r="H17" i="20"/>
  <c r="G13" i="20"/>
  <c r="I13" i="20" s="1"/>
  <c r="H13" i="20"/>
  <c r="G24" i="20"/>
  <c r="H24" i="20"/>
  <c r="F9" i="20"/>
  <c r="T13" i="20"/>
  <c r="U13" i="20"/>
  <c r="U14" i="20"/>
  <c r="T14" i="20"/>
  <c r="V14" i="20" s="1"/>
  <c r="H21" i="20"/>
  <c r="G21" i="20"/>
  <c r="H22" i="20"/>
  <c r="I22" i="20" s="1"/>
  <c r="T24" i="20"/>
  <c r="U24" i="20"/>
  <c r="G28" i="20"/>
  <c r="H28" i="20"/>
  <c r="H36" i="20"/>
  <c r="G41" i="20"/>
  <c r="H41" i="20"/>
  <c r="F35" i="20"/>
  <c r="G36" i="20"/>
  <c r="I36" i="20" s="1"/>
  <c r="T41" i="20"/>
  <c r="U41" i="20"/>
  <c r="T47" i="20"/>
  <c r="U47" i="20"/>
  <c r="V47" i="20" s="1"/>
  <c r="M47" i="20" s="1"/>
  <c r="T9" i="20"/>
  <c r="V9" i="20" s="1"/>
  <c r="Y9" i="20" s="1"/>
  <c r="T11" i="20"/>
  <c r="V11" i="20" s="1"/>
  <c r="Y11" i="20" s="1"/>
  <c r="T35" i="20"/>
  <c r="V35" i="20" s="1"/>
  <c r="Y35" i="20" s="1"/>
  <c r="T37" i="20"/>
  <c r="V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M14" i="20" l="1"/>
  <c r="Y14" i="20"/>
  <c r="M37" i="20"/>
  <c r="Y37" i="20"/>
  <c r="G50" i="20"/>
  <c r="I50" i="20" s="1"/>
  <c r="I12" i="20"/>
  <c r="V41" i="20"/>
  <c r="M41" i="20" s="1"/>
  <c r="I45" i="20"/>
  <c r="M45" i="20" s="1"/>
  <c r="I23" i="20"/>
  <c r="V12" i="20"/>
  <c r="Y12" i="20" s="1"/>
  <c r="S53" i="20"/>
  <c r="Q23" i="22"/>
  <c r="R23" i="22" s="1"/>
  <c r="Q22" i="22"/>
  <c r="H29" i="20"/>
  <c r="I29" i="20" s="1"/>
  <c r="V53" i="20"/>
  <c r="I15" i="20"/>
  <c r="J15" i="20" s="1"/>
  <c r="I41" i="20"/>
  <c r="L41" i="20" s="1"/>
  <c r="I21" i="20"/>
  <c r="M21" i="20" s="1"/>
  <c r="S38" i="20"/>
  <c r="I24" i="20"/>
  <c r="L24" i="20" s="1"/>
  <c r="I17" i="20"/>
  <c r="I16" i="20"/>
  <c r="M50" i="20"/>
  <c r="K50" i="20"/>
  <c r="L21" i="20"/>
  <c r="M43" i="20"/>
  <c r="J43" i="20"/>
  <c r="J53" i="20" s="1"/>
  <c r="M36" i="20"/>
  <c r="K36" i="20"/>
  <c r="I53" i="20"/>
  <c r="L45" i="20"/>
  <c r="M15" i="20"/>
  <c r="L17" i="20"/>
  <c r="K49" i="20"/>
  <c r="M49" i="20"/>
  <c r="L48" i="20"/>
  <c r="M48" i="20"/>
  <c r="M22" i="20"/>
  <c r="L22" i="20"/>
  <c r="L13" i="20"/>
  <c r="M51" i="20"/>
  <c r="K51" i="20"/>
  <c r="L11" i="20"/>
  <c r="M11" i="20"/>
  <c r="I28" i="20"/>
  <c r="V13" i="20"/>
  <c r="Y13" i="20" s="1"/>
  <c r="M34" i="20"/>
  <c r="K34" i="20"/>
  <c r="K38" i="20" s="1"/>
  <c r="M23" i="20"/>
  <c r="L23" i="20"/>
  <c r="F53" i="20"/>
  <c r="M46" i="20"/>
  <c r="L46" i="20"/>
  <c r="G9" i="20"/>
  <c r="H9" i="20"/>
  <c r="V28" i="20"/>
  <c r="Y28" i="20" s="1"/>
  <c r="V17" i="20"/>
  <c r="G35" i="20"/>
  <c r="H35" i="20"/>
  <c r="J16" i="20"/>
  <c r="M16" i="20"/>
  <c r="L12" i="20"/>
  <c r="V24" i="20"/>
  <c r="Y24" i="20" s="1"/>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M29" i="20" l="1"/>
  <c r="L29" i="20"/>
  <c r="I35" i="20"/>
  <c r="M35" i="20" s="1"/>
  <c r="M17" i="20"/>
  <c r="Y17" i="20"/>
  <c r="Y38" i="20"/>
  <c r="M12" i="20"/>
  <c r="S54" i="20"/>
  <c r="V38" i="20"/>
  <c r="V54" i="20" s="1"/>
  <c r="V58" i="20" s="1"/>
  <c r="M24" i="20"/>
  <c r="K53" i="20"/>
  <c r="K54" i="20" s="1"/>
  <c r="K58" i="20" s="1"/>
  <c r="I9" i="20"/>
  <c r="J9" i="20" s="1"/>
  <c r="M13" i="20"/>
  <c r="L53" i="20"/>
  <c r="F38" i="20"/>
  <c r="F54" i="20" s="1"/>
  <c r="M53" i="20"/>
  <c r="L35" i="20"/>
  <c r="J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K38" i="19" s="1"/>
  <c r="M34" i="19"/>
  <c r="L29" i="19"/>
  <c r="M29" i="19"/>
  <c r="J43" i="19"/>
  <c r="J53" i="19" s="1"/>
  <c r="M43" i="19"/>
  <c r="K36" i="19"/>
  <c r="M36" i="19"/>
  <c r="L46" i="19"/>
  <c r="M46" i="19"/>
  <c r="K50" i="19"/>
  <c r="M50" i="19"/>
  <c r="F53" i="19"/>
  <c r="L35" i="19"/>
  <c r="F38" i="19"/>
  <c r="I9" i="19"/>
  <c r="I53" i="19"/>
  <c r="M53" i="19" s="1"/>
  <c r="L41" i="19"/>
  <c r="M9" i="20" l="1"/>
  <c r="L9" i="20"/>
  <c r="I38" i="20"/>
  <c r="M38" i="20" s="1"/>
  <c r="J38" i="20"/>
  <c r="J54" i="20" s="1"/>
  <c r="J58" i="20" s="1"/>
  <c r="L38" i="20"/>
  <c r="L54" i="20" s="1"/>
  <c r="L58" i="20" s="1"/>
  <c r="K53" i="19"/>
  <c r="K54" i="19" s="1"/>
  <c r="K58" i="19" s="1"/>
  <c r="J9" i="19"/>
  <c r="J38" i="19" s="1"/>
  <c r="M9" i="19"/>
  <c r="F54" i="19"/>
  <c r="L9" i="19"/>
  <c r="L38" i="19" s="1"/>
  <c r="I38" i="19"/>
  <c r="L53" i="19"/>
  <c r="I54" i="20" l="1"/>
  <c r="M54" i="20"/>
  <c r="I58" i="20"/>
  <c r="I54" i="19"/>
  <c r="M54" i="19" s="1"/>
  <c r="M38" i="19"/>
  <c r="J54" i="19"/>
  <c r="L54" i="19"/>
  <c r="L58" i="19" s="1"/>
  <c r="I58" i="19" l="1"/>
  <c r="M58" i="19" s="1"/>
  <c r="M58" i="20"/>
  <c r="J58" i="19"/>
</calcChain>
</file>

<file path=xl/sharedStrings.xml><?xml version="1.0" encoding="utf-8"?>
<sst xmlns="http://schemas.openxmlformats.org/spreadsheetml/2006/main" count="1464" uniqueCount="851">
  <si>
    <t>Capital/Startup vs. Operation and Maintenance (O&amp;M) Costs</t>
  </si>
  <si>
    <t>(A)</t>
  </si>
  <si>
    <t>(B)</t>
  </si>
  <si>
    <t>(C)</t>
  </si>
  <si>
    <t>(D)</t>
  </si>
  <si>
    <t>(E)</t>
  </si>
  <si>
    <t>(F)</t>
  </si>
  <si>
    <t>(G)</t>
  </si>
  <si>
    <t>Continuous Monitoring Device / Other Compliance Activity</t>
  </si>
  <si>
    <t>Capital/Startup Cost for One Respondent</t>
  </si>
  <si>
    <t>Number of New Respondents</t>
  </si>
  <si>
    <t>Total Capital/Startup Cost, (B X C)</t>
  </si>
  <si>
    <t>Annual O&amp;M Costs for One Respondent</t>
  </si>
  <si>
    <t>Number of Respondents with O&amp;M</t>
  </si>
  <si>
    <t>Total O&amp;M,
(E X F)</t>
  </si>
  <si>
    <r>
      <t xml:space="preserve">PM performance test, anode refining point source </t>
    </r>
    <r>
      <rPr>
        <vertAlign val="superscript"/>
        <sz val="10"/>
        <rFont val="Times New Roman"/>
        <family val="1"/>
      </rPr>
      <t>a</t>
    </r>
  </si>
  <si>
    <r>
      <t xml:space="preserve">PM performance test, roofline vents </t>
    </r>
    <r>
      <rPr>
        <vertAlign val="superscript"/>
        <sz val="10"/>
        <rFont val="Times New Roman"/>
        <family val="1"/>
      </rPr>
      <t>b</t>
    </r>
  </si>
  <si>
    <r>
      <t xml:space="preserve">PM and Lead performance test, roofline vents </t>
    </r>
    <r>
      <rPr>
        <vertAlign val="superscript"/>
        <sz val="10"/>
        <rFont val="Times New Roman"/>
        <family val="1"/>
      </rPr>
      <t>c</t>
    </r>
  </si>
  <si>
    <r>
      <t xml:space="preserve">Facility-wide Mercury performance test  </t>
    </r>
    <r>
      <rPr>
        <vertAlign val="superscript"/>
        <sz val="10"/>
        <rFont val="Times New Roman"/>
        <family val="1"/>
      </rPr>
      <t>d</t>
    </r>
    <r>
      <rPr>
        <sz val="10"/>
        <rFont val="Times New Roman"/>
        <family val="1"/>
      </rPr>
      <t xml:space="preserve"> </t>
    </r>
  </si>
  <si>
    <r>
      <t xml:space="preserve">Benzene, toluene performance test </t>
    </r>
    <r>
      <rPr>
        <vertAlign val="superscript"/>
        <sz val="10"/>
        <rFont val="Times New Roman"/>
        <family val="1"/>
      </rPr>
      <t>e</t>
    </r>
  </si>
  <si>
    <r>
      <t xml:space="preserve">HCl, Chlorine performance test </t>
    </r>
    <r>
      <rPr>
        <vertAlign val="superscript"/>
        <sz val="10"/>
        <rFont val="Times New Roman"/>
        <family val="1"/>
      </rPr>
      <t>f</t>
    </r>
  </si>
  <si>
    <r>
      <t xml:space="preserve">PAH, D/F performance test  </t>
    </r>
    <r>
      <rPr>
        <vertAlign val="superscript"/>
        <sz val="10"/>
        <rFont val="Times New Roman"/>
        <family val="1"/>
      </rPr>
      <t>g</t>
    </r>
  </si>
  <si>
    <r>
      <t xml:space="preserve">PM performance test Hoboken converter process fugitive capture system </t>
    </r>
    <r>
      <rPr>
        <vertAlign val="superscript"/>
        <sz val="10"/>
        <rFont val="Times New Roman"/>
        <family val="1"/>
      </rPr>
      <t>h</t>
    </r>
  </si>
  <si>
    <r>
      <t xml:space="preserve">PM performance test for the bypass stack </t>
    </r>
    <r>
      <rPr>
        <vertAlign val="superscript"/>
        <sz val="10"/>
        <rFont val="Times New Roman"/>
        <family val="1"/>
      </rPr>
      <t>i</t>
    </r>
  </si>
  <si>
    <t>Total</t>
  </si>
  <si>
    <r>
      <rPr>
        <vertAlign val="superscript"/>
        <sz val="10"/>
        <rFont val="Times New Roman"/>
        <family val="1"/>
      </rPr>
      <t>a</t>
    </r>
    <r>
      <rPr>
        <sz val="10"/>
        <rFont val="Times New Roman"/>
        <family val="1"/>
      </rPr>
      <t xml:space="preserve"> PM testing - Compliance is within 1 year of rule promulgation. Initial performance test is within 180 days after the compliance date. Subsequent testing is annually. Includes 2 tests within during the 3-year ICR period. Testing cost is $30,576. Annual costs are $30,576/test * 2 tests/3 years = $20,384 (2022 dollars).</t>
    </r>
  </si>
  <si>
    <r>
      <rPr>
        <vertAlign val="superscript"/>
        <sz val="10"/>
        <rFont val="Times New Roman"/>
        <family val="1"/>
      </rPr>
      <t>b</t>
    </r>
    <r>
      <rPr>
        <sz val="10"/>
        <rFont val="Times New Roman"/>
        <family val="1"/>
      </rPr>
      <t xml:space="preserve"> PM testing - Compliance is within 2 years of rule promulgation. Initial performance test is within 180 days after the compliance date. Subsequent testing is annually. Includes 1 test within during the 3-year ICR period. Testing costs for all roofline vents is estimated to be $107,581/occurrence. Annual cost = $107,581 * 1 tests /3 years = $ (35,860 2022 dollars).</t>
    </r>
  </si>
  <si>
    <r>
      <rPr>
        <vertAlign val="superscript"/>
        <sz val="10"/>
        <rFont val="Times New Roman"/>
        <family val="1"/>
      </rPr>
      <t>c</t>
    </r>
    <r>
      <rPr>
        <sz val="10"/>
        <rFont val="Times New Roman"/>
        <family val="1"/>
      </rPr>
      <t xml:space="preserve"> PM and Pb testing – Compliance is within 3 years of rule promulgation. Initial performance test is within 180 days after the compliance date. Subsequent testing is annually. No tests during 3-year ICR period. </t>
    </r>
  </si>
  <si>
    <r>
      <rPr>
        <vertAlign val="superscript"/>
        <sz val="10"/>
        <rFont val="Times New Roman"/>
        <family val="1"/>
      </rPr>
      <t>d</t>
    </r>
    <r>
      <rPr>
        <sz val="10"/>
        <rFont val="Times New Roman"/>
        <family val="1"/>
      </rPr>
      <t xml:space="preserve"> Mercury testing - Facility-wide Method 29 tests to be conducted on smelting furnaces, converters, and anode refining at both copper smelting facilities. Compliance is within 1 year of rule promulgation. Initial performance test is within 180 days after the compliance date. Subsequent testing is annually. Includes 2 tests within during the 3-year ICR period. Testing cost is $49,940. Annual costs are $49,940/test * 2 tests/3 years = $33,293 (2022 dollars).</t>
    </r>
  </si>
  <si>
    <r>
      <rPr>
        <vertAlign val="superscript"/>
        <sz val="10"/>
        <rFont val="Times New Roman"/>
        <family val="1"/>
      </rPr>
      <t>e</t>
    </r>
    <r>
      <rPr>
        <sz val="10"/>
        <rFont val="Times New Roman"/>
        <family val="1"/>
      </rPr>
      <t xml:space="preserve"> Method 18 testing - 3 units at Freeport; 5 units at Asarco; $13,000/unit testing cost. Compliance is within 1 year of rule promulgation. Initial performance test is within 180 days after the compliance date. Subsequent testing is every 5 years. Includes 1 test for each facility during the 3-year ICR period. Annual cost  =  (8 units total * $13,000/unit) * 1 test / 3 years =  $34,667 (2022 dollars).</t>
    </r>
  </si>
  <si>
    <r>
      <rPr>
        <vertAlign val="superscript"/>
        <sz val="10"/>
        <rFont val="Times New Roman"/>
        <family val="1"/>
      </rPr>
      <t>f</t>
    </r>
    <r>
      <rPr>
        <sz val="10"/>
        <rFont val="Times New Roman"/>
        <family val="1"/>
      </rPr>
      <t xml:space="preserve"> Method 26A testing - 3 units at Freeport; 5 units at Asarco; $22,800/unit testing cost. Compliance is within 1 year of rule promulgation. Initial performance test is within 180 days after the compliance date. Subsequent testing is every 5 years. Includes 1 test for each facility during the 3-year ICR period. Annual cost =  (8 units total * $22,800/unit) * 1 test / 3 years =  $60,800 (2022 dollars).</t>
    </r>
  </si>
  <si>
    <r>
      <rPr>
        <vertAlign val="superscript"/>
        <sz val="10"/>
        <rFont val="Times New Roman"/>
        <family val="1"/>
      </rPr>
      <t>g</t>
    </r>
    <r>
      <rPr>
        <sz val="10"/>
        <rFont val="Times New Roman"/>
        <family val="1"/>
      </rPr>
      <t xml:space="preserve"> Method 23 testing - 3 units at Freeport; 5 units at Asarco; $27,600/unit testing cost. Compliance is within 1 year of rule promulgation. Initial performance test is within 180 days after the compliance date. Subsequent testing is every 5 years. Includes 1 test for each facility during the 3-year ICR period. Annual cost =  (8 units total * $27,600/unit) * 1 test / 3 years =  $73,600 (2022 dollars).</t>
    </r>
  </si>
  <si>
    <r>
      <rPr>
        <vertAlign val="superscript"/>
        <sz val="10"/>
        <rFont val="Times New Roman"/>
        <family val="1"/>
      </rPr>
      <t>h</t>
    </r>
    <r>
      <rPr>
        <sz val="10"/>
        <rFont val="Times New Roman"/>
        <family val="1"/>
      </rPr>
      <t xml:space="preserve"> PM testing - Testing costs have not been included as performance tests of this emission source (Aisle Scrubber) are already conducted by the facility; so there are no additional costs incurred for testing as a result of this rulemaking.</t>
    </r>
  </si>
  <si>
    <r>
      <rPr>
        <vertAlign val="superscript"/>
        <sz val="10"/>
        <rFont val="Times New Roman"/>
        <family val="1"/>
      </rPr>
      <t>i</t>
    </r>
    <r>
      <rPr>
        <sz val="10"/>
        <rFont val="Times New Roman"/>
        <family val="1"/>
      </rPr>
      <t xml:space="preserve"> PM testing - Compliance is 180 days after rule promulgation. Initial performance test is within 180 days after the compliance date. Subsequent testing is every 5 years. Includes 1 test during the 3-year ICR period. Testing cost is $30,000. Annual cost is $30,000 * 1 test/3 years = $10,000 (2022 dollars).</t>
    </r>
  </si>
  <si>
    <t xml:space="preserve">Table 1:  Annual Respondent Burden and Cost – NESHAP for Primary Copper Smelting (40 CFR Part 63, Subpart QQQ) (Final Amendments)
</t>
  </si>
  <si>
    <t>Labor Cost Per Hour</t>
  </si>
  <si>
    <t>Burden item</t>
  </si>
  <si>
    <t>(H)</t>
  </si>
  <si>
    <t>Final Rule</t>
  </si>
  <si>
    <t>Existing Rule</t>
  </si>
  <si>
    <t>Person hours per occurrence</t>
  </si>
  <si>
    <t>No. of occurrences per respondent per year</t>
  </si>
  <si>
    <t>Person hours per respondent per year (C=AxB)</t>
  </si>
  <si>
    <r>
      <t xml:space="preserve">Respondents per year  </t>
    </r>
    <r>
      <rPr>
        <b/>
        <vertAlign val="superscript"/>
        <sz val="10"/>
        <rFont val="Times New Roman"/>
        <family val="1"/>
      </rPr>
      <t>a</t>
    </r>
  </si>
  <si>
    <t>Technical person- hours per year (E=CxD)</t>
  </si>
  <si>
    <t>Management person hours per year (Ex0.05)</t>
  </si>
  <si>
    <t>Clerical person hours per year (Ex0.1)</t>
  </si>
  <si>
    <r>
      <t xml:space="preserve">Total Cost Per year </t>
    </r>
    <r>
      <rPr>
        <b/>
        <vertAlign val="superscript"/>
        <sz val="10"/>
        <rFont val="Times New Roman"/>
        <family val="1"/>
      </rPr>
      <t>b, c</t>
    </r>
  </si>
  <si>
    <t>New</t>
  </si>
  <si>
    <t>Continued Compliance</t>
  </si>
  <si>
    <t>1.  Applications</t>
  </si>
  <si>
    <t>N/A</t>
  </si>
  <si>
    <t>2.  Survey and Studies</t>
  </si>
  <si>
    <t>3.  Reporting Requirements</t>
  </si>
  <si>
    <t>A.  Familiarization with rule requirements</t>
  </si>
  <si>
    <r>
      <t>i.  Current requirements</t>
    </r>
    <r>
      <rPr>
        <vertAlign val="superscript"/>
        <sz val="10"/>
        <rFont val="Times New Roman"/>
        <family val="1"/>
      </rPr>
      <t>d</t>
    </r>
  </si>
  <si>
    <t>ii.  Final RTR requirements</t>
  </si>
  <si>
    <t>B.  Required activities</t>
  </si>
  <si>
    <r>
      <t>i.  Conduct PM performance test</t>
    </r>
    <r>
      <rPr>
        <vertAlign val="superscript"/>
        <sz val="10"/>
        <rFont val="Times New Roman"/>
        <family val="1"/>
      </rPr>
      <t>e</t>
    </r>
    <r>
      <rPr>
        <sz val="10"/>
        <rFont val="Times New Roman"/>
        <family val="1"/>
      </rPr>
      <t xml:space="preserve"> (current)</t>
    </r>
  </si>
  <si>
    <r>
      <t xml:space="preserve">ii.  Conduct copper converter building performance test </t>
    </r>
    <r>
      <rPr>
        <vertAlign val="superscript"/>
        <sz val="10"/>
        <rFont val="Times New Roman"/>
        <family val="1"/>
      </rPr>
      <t>f</t>
    </r>
    <r>
      <rPr>
        <sz val="10"/>
        <rFont val="Times New Roman"/>
        <family val="1"/>
      </rPr>
      <t xml:space="preserve"> (current)</t>
    </r>
  </si>
  <si>
    <r>
      <t xml:space="preserve">iii. PM performance test for the anode refining point source </t>
    </r>
    <r>
      <rPr>
        <vertAlign val="superscript"/>
        <sz val="10"/>
        <rFont val="Times New Roman"/>
        <family val="1"/>
      </rPr>
      <t>g</t>
    </r>
  </si>
  <si>
    <r>
      <t xml:space="preserve">iv. Facility-wide mercury performance test </t>
    </r>
    <r>
      <rPr>
        <vertAlign val="superscript"/>
        <sz val="10"/>
        <rFont val="Times New Roman"/>
        <family val="1"/>
      </rPr>
      <t>g</t>
    </r>
  </si>
  <si>
    <r>
      <t xml:space="preserve">v. PM performance test for the process fugitives at roofline vents </t>
    </r>
    <r>
      <rPr>
        <vertAlign val="superscript"/>
        <sz val="10"/>
        <rFont val="Times New Roman"/>
        <family val="1"/>
      </rPr>
      <t>g</t>
    </r>
  </si>
  <si>
    <r>
      <t xml:space="preserve">vi. Lead performance test for process fugitives at roofline vents </t>
    </r>
    <r>
      <rPr>
        <vertAlign val="superscript"/>
        <sz val="10"/>
        <rFont val="Times New Roman"/>
        <family val="1"/>
      </rPr>
      <t>g</t>
    </r>
  </si>
  <si>
    <r>
      <t xml:space="preserve">vii.  Facility-wide performance tests for benzene, toluene, HCl, Cl, PAH, D/F </t>
    </r>
    <r>
      <rPr>
        <vertAlign val="superscript"/>
        <sz val="10"/>
        <rFont val="Times New Roman"/>
        <family val="1"/>
      </rPr>
      <t>g</t>
    </r>
  </si>
  <si>
    <r>
      <t xml:space="preserve">viii. PM performance test bypass stack </t>
    </r>
    <r>
      <rPr>
        <vertAlign val="superscript"/>
        <sz val="10"/>
        <rFont val="Times New Roman"/>
        <family val="1"/>
      </rPr>
      <t>g</t>
    </r>
  </si>
  <si>
    <t>C.  Create information</t>
  </si>
  <si>
    <t>D.  Gather existing information</t>
  </si>
  <si>
    <t>E.  Write report</t>
  </si>
  <si>
    <t>No. of responses</t>
  </si>
  <si>
    <r>
      <t xml:space="preserve">i.    Initial Notifications </t>
    </r>
    <r>
      <rPr>
        <vertAlign val="superscript"/>
        <sz val="10"/>
        <rFont val="Times New Roman"/>
        <family val="1"/>
      </rPr>
      <t>h</t>
    </r>
  </si>
  <si>
    <r>
      <t xml:space="preserve">ii.  Notification of performance test (current + final) </t>
    </r>
    <r>
      <rPr>
        <vertAlign val="superscript"/>
        <sz val="10"/>
        <rFont val="Times New Roman"/>
        <family val="1"/>
      </rPr>
      <t>i</t>
    </r>
  </si>
  <si>
    <r>
      <t xml:space="preserve">iii.  Initial compliance determination (current + final) </t>
    </r>
    <r>
      <rPr>
        <vertAlign val="superscript"/>
        <sz val="10"/>
        <rFont val="Times New Roman"/>
        <family val="1"/>
      </rPr>
      <t>h</t>
    </r>
  </si>
  <si>
    <r>
      <t xml:space="preserve">iv. Report of performance test (through CEDRI using ERT) </t>
    </r>
    <r>
      <rPr>
        <vertAlign val="superscript"/>
        <sz val="10"/>
        <rFont val="Times New Roman"/>
        <family val="1"/>
      </rPr>
      <t>j</t>
    </r>
  </si>
  <si>
    <t>v.  Semiannual compliance reports</t>
  </si>
  <si>
    <t>Subtotal  for Reporting  Requirements</t>
  </si>
  <si>
    <t>4.  Recordkeeping Requirements</t>
  </si>
  <si>
    <r>
      <t xml:space="preserve">A.  Familiarization with rule requirements (current) </t>
    </r>
    <r>
      <rPr>
        <vertAlign val="superscript"/>
        <sz val="10"/>
        <rFont val="Times New Roman"/>
        <family val="1"/>
      </rPr>
      <t>d</t>
    </r>
  </si>
  <si>
    <r>
      <t xml:space="preserve">B.  Plan activities </t>
    </r>
    <r>
      <rPr>
        <vertAlign val="superscript"/>
        <sz val="10"/>
        <rFont val="Times New Roman"/>
        <family val="1"/>
      </rPr>
      <t>h</t>
    </r>
  </si>
  <si>
    <t xml:space="preserve">  C. Implement Activities</t>
  </si>
  <si>
    <t>i. Copper concentrate dryer</t>
  </si>
  <si>
    <r>
      <t xml:space="preserve">Monitor control device parameters </t>
    </r>
    <r>
      <rPr>
        <vertAlign val="superscript"/>
        <sz val="10"/>
        <rFont val="Times New Roman"/>
        <family val="1"/>
      </rPr>
      <t>k</t>
    </r>
    <r>
      <rPr>
        <sz val="10"/>
        <rFont val="Times New Roman"/>
        <family val="1"/>
      </rPr>
      <t xml:space="preserve"> (current)</t>
    </r>
  </si>
  <si>
    <t>ii.  Smelting vessel</t>
  </si>
  <si>
    <r>
      <t xml:space="preserve">Inspect tapping hood system </t>
    </r>
    <r>
      <rPr>
        <vertAlign val="superscript"/>
        <sz val="10"/>
        <rFont val="Times New Roman"/>
        <family val="1"/>
      </rPr>
      <t>l</t>
    </r>
    <r>
      <rPr>
        <sz val="10"/>
        <rFont val="Times New Roman"/>
        <family val="1"/>
      </rPr>
      <t xml:space="preserve"> (current)</t>
    </r>
  </si>
  <si>
    <t>iii.  Slag cleaning vessel</t>
  </si>
  <si>
    <r>
      <t xml:space="preserve">Inspect tapping hood system </t>
    </r>
    <r>
      <rPr>
        <vertAlign val="superscript"/>
        <sz val="10"/>
        <rFont val="Times New Roman"/>
        <family val="1"/>
      </rPr>
      <t>k, m</t>
    </r>
  </si>
  <si>
    <r>
      <t xml:space="preserve">Monitor control device parameters </t>
    </r>
    <r>
      <rPr>
        <vertAlign val="superscript"/>
        <sz val="10"/>
        <rFont val="Times New Roman"/>
        <family val="1"/>
      </rPr>
      <t>k, m</t>
    </r>
  </si>
  <si>
    <t>iv.  Batch copper converters</t>
  </si>
  <si>
    <r>
      <t xml:space="preserve">Inspect converter hood system </t>
    </r>
    <r>
      <rPr>
        <vertAlign val="superscript"/>
        <sz val="10"/>
        <rFont val="Times New Roman"/>
        <family val="1"/>
      </rPr>
      <t>l</t>
    </r>
  </si>
  <si>
    <r>
      <t xml:space="preserve">Monitor hood system ventilation parameters </t>
    </r>
    <r>
      <rPr>
        <vertAlign val="superscript"/>
        <sz val="10"/>
        <rFont val="Times New Roman"/>
        <family val="1"/>
      </rPr>
      <t>k</t>
    </r>
  </si>
  <si>
    <r>
      <t xml:space="preserve">Monitor control device parameters </t>
    </r>
    <r>
      <rPr>
        <vertAlign val="superscript"/>
        <sz val="10"/>
        <rFont val="Times New Roman"/>
        <family val="1"/>
      </rPr>
      <t>k</t>
    </r>
  </si>
  <si>
    <t>v.  Prepare fugitive dust control plan</t>
  </si>
  <si>
    <r>
      <t xml:space="preserve">vi. Monitor roofline vents - CPMS on converter operations, smelting furnaces, anode refining </t>
    </r>
    <r>
      <rPr>
        <vertAlign val="superscript"/>
        <sz val="10"/>
        <rFont val="Times New Roman"/>
        <family val="1"/>
      </rPr>
      <t>n</t>
    </r>
  </si>
  <si>
    <t>Daily for first 30 days</t>
  </si>
  <si>
    <t>Weekly for remaining 48 weeks</t>
  </si>
  <si>
    <t>vii. Hoboken converter process fugitive capture system and anode refining department</t>
  </si>
  <si>
    <t>viii. Peirce Smith converter, Inco Flash Furnace, and Anode Refining Department</t>
  </si>
  <si>
    <t>Inspect hooding, walls, damper of flash furnace capture system</t>
  </si>
  <si>
    <t>Inspect hooding, walls, ladle during maintenance</t>
  </si>
  <si>
    <t>Inspect secondary anode refining department capture system hooding, walls, damper during maintenance</t>
  </si>
  <si>
    <t>ix. Bypass Stack</t>
  </si>
  <si>
    <t>Monitoring Device on bypass stack</t>
  </si>
  <si>
    <r>
      <t xml:space="preserve">D. Develop record system </t>
    </r>
    <r>
      <rPr>
        <vertAlign val="superscript"/>
        <sz val="10"/>
        <rFont val="Times New Roman"/>
        <family val="1"/>
      </rPr>
      <t>h</t>
    </r>
    <r>
      <rPr>
        <sz val="10"/>
        <rFont val="Times New Roman"/>
        <family val="1"/>
      </rPr>
      <t xml:space="preserve"> (current)</t>
    </r>
  </si>
  <si>
    <r>
      <t xml:space="preserve">E. Time to enter information </t>
    </r>
    <r>
      <rPr>
        <vertAlign val="superscript"/>
        <sz val="10"/>
        <rFont val="Times New Roman"/>
        <family val="1"/>
      </rPr>
      <t>o</t>
    </r>
    <r>
      <rPr>
        <sz val="10"/>
        <rFont val="Times New Roman"/>
        <family val="1"/>
      </rPr>
      <t xml:space="preserve"> (current)</t>
    </r>
  </si>
  <si>
    <r>
      <t xml:space="preserve">F. Time to train personnel </t>
    </r>
    <r>
      <rPr>
        <vertAlign val="superscript"/>
        <sz val="10"/>
        <rFont val="Times New Roman"/>
        <family val="1"/>
      </rPr>
      <t>p</t>
    </r>
    <r>
      <rPr>
        <sz val="10"/>
        <rFont val="Times New Roman"/>
        <family val="1"/>
      </rPr>
      <t xml:space="preserve"> (current)</t>
    </r>
  </si>
  <si>
    <t>Subtotal Labor Burden</t>
  </si>
  <si>
    <t>ANNUAL CAPITAL COST</t>
  </si>
  <si>
    <t>OPERATION AND MAINTENANCE COSTS</t>
  </si>
  <si>
    <t>TOTAL LABOR BURDEN AND COST (unrounded)</t>
  </si>
  <si>
    <t>Hours per response</t>
  </si>
  <si>
    <r>
      <t xml:space="preserve">TOTAL LABOR BURDEN AND COST (rounded) </t>
    </r>
    <r>
      <rPr>
        <b/>
        <vertAlign val="superscript"/>
        <sz val="10"/>
        <rFont val="Times New Roman"/>
        <family val="1"/>
      </rPr>
      <t>q</t>
    </r>
  </si>
  <si>
    <r>
      <t>Grand Total (rounded)</t>
    </r>
    <r>
      <rPr>
        <b/>
        <vertAlign val="superscript"/>
        <sz val="10"/>
        <rFont val="Times New Roman"/>
        <family val="1"/>
      </rPr>
      <t>q</t>
    </r>
  </si>
  <si>
    <t>Assumptions:</t>
  </si>
  <si>
    <r>
      <t>a</t>
    </r>
    <r>
      <rPr>
        <sz val="10"/>
        <rFont val="Times New Roman"/>
        <family val="1"/>
      </rPr>
      <t xml:space="preserve"> There are 2 existing sources currently subject to this rule. We estimate there will be no additional new source that will become subject to the rule over the 3-year period of this ICR.</t>
    </r>
  </si>
  <si>
    <r>
      <t>b</t>
    </r>
    <r>
      <rPr>
        <sz val="10"/>
        <rFont val="Times New Roman"/>
        <family val="1"/>
      </rPr>
      <t xml:space="preserve"> This ICR uses the following labor rates: $172.07 per hour for Executive, Administrative, and Managerial labor; $136.08 per hour for Technical labor, and $70.85 per hour for Clerical labor.  These rates are from the United States Department of Labor, Bureau of Labor Statistics, December 2023, “Employer Costs for Employee Compensation – September 2023”, Table 2. Employer Costs for Employee Compensation for Civilian Workers, by occupational and industry group.” The rates are from column 1, “Total compensation.” The rates have been increased by 110 percent to account for the benefit packages available to those employed by private industry.</t>
    </r>
  </si>
  <si>
    <r>
      <rPr>
        <vertAlign val="superscript"/>
        <sz val="10"/>
        <rFont val="Times New Roman"/>
        <family val="1"/>
      </rPr>
      <t>c</t>
    </r>
    <r>
      <rPr>
        <sz val="10"/>
        <rFont val="Times New Roman"/>
        <family val="1"/>
      </rPr>
      <t xml:space="preserve"> The burden associated with the existing NESHAP for primary copper smelting is taken from the Information Collection Request for NESHAP for Primary Copper Smelters (Renewal), dated 2/23/2022 (ICR Reference No. 202111-2060-002).  In some cases, it was necessary to modify the existing burden estimates due to changes in the affected respondents. </t>
    </r>
  </si>
  <si>
    <r>
      <rPr>
        <vertAlign val="superscript"/>
        <sz val="10"/>
        <rFont val="Times New Roman"/>
        <family val="1"/>
      </rPr>
      <t>d</t>
    </r>
    <r>
      <rPr>
        <sz val="10"/>
        <rFont val="Times New Roman"/>
        <family val="1"/>
      </rPr>
      <t xml:space="preserve"> We have assumed that all respondents will have to familiarize themselves with the regulatory requirements each year.</t>
    </r>
  </si>
  <si>
    <r>
      <rPr>
        <vertAlign val="superscript"/>
        <sz val="10"/>
        <rFont val="Times New Roman"/>
        <family val="1"/>
      </rPr>
      <t>e</t>
    </r>
    <r>
      <rPr>
        <sz val="10"/>
        <rFont val="Times New Roman"/>
        <family val="1"/>
      </rPr>
      <t xml:space="preserve"> We have assumed that each of the two respondents will take 120 hours, 4.5 times per year to conduct performance tests for PM as required under 40 CFR 63.1453.</t>
    </r>
  </si>
  <si>
    <r>
      <rPr>
        <vertAlign val="superscript"/>
        <sz val="10"/>
        <rFont val="Times New Roman"/>
        <family val="1"/>
      </rPr>
      <t xml:space="preserve">f  </t>
    </r>
    <r>
      <rPr>
        <sz val="10"/>
        <rFont val="Times New Roman"/>
        <family val="1"/>
      </rPr>
      <t>We have assumed that each of the three respondents will take 240 hours to conduct copper converter building performance test once per year.</t>
    </r>
  </si>
  <si>
    <r>
      <rPr>
        <vertAlign val="superscript"/>
        <sz val="10"/>
        <rFont val="Times New Roman"/>
        <family val="1"/>
      </rPr>
      <t>g</t>
    </r>
    <r>
      <rPr>
        <sz val="10"/>
        <rFont val="Times New Roman"/>
        <family val="1"/>
      </rPr>
      <t xml:space="preserve"> We have assumed respondents will need to write test plans as well as to coordinate with contractors to perform tests, oversee tests, and review test reports prior to submission. The number of occurrences is based on the expected number of new tests to occur over the 3-year ICR period. 
Mercury: 2 tests (initial and subsequent) per facility during the 3-year ICR period = 0.67; 2 facilities subject = 4 tests during the 3-year period = 1.33 tests per year on average;
Anode Refining Department: 2 tests (initial and subsequent) from Asarco only during the 3-year ICR period = 0.67 tests per year on average;
Roofline Vent for PM: 1 initial test per facility during the 3-year ICR period = 0.33; 2 facilities subject = 2 tests during the 3-year period = 0.67 tests per year on average;
Roofline Vent for Lead: 0 tests because compliance is within 3 years. 
Benzene, Toluene, HCl, Cl, PAH, D/F: 1 initial test per facility during the 3-year ICR period = 0.33; 2 facilities subject = 2 tests during the 3-year period = 0.67 tests per year on average;
Hoboken converter process fugitive capture system: 0 tests because facility already performs this testing, no additional incurred burden expected; 
Bypass:  1 test per facility during the 3-year ICR period, 1 facility with a bypass = 1 tests during the 3-year period = 0.33 tests per year on average
</t>
    </r>
  </si>
  <si>
    <r>
      <rPr>
        <vertAlign val="superscript"/>
        <sz val="10"/>
        <rFont val="Times New Roman"/>
        <family val="1"/>
      </rPr>
      <t>h</t>
    </r>
    <r>
      <rPr>
        <sz val="10"/>
        <rFont val="Times New Roman"/>
        <family val="1"/>
      </rPr>
      <t xml:space="preserve"> These requirements are one-time requirements that apply to new respondents. There are no new respondents estimated over the 3-year period of this ICR.</t>
    </r>
  </si>
  <si>
    <r>
      <rPr>
        <vertAlign val="superscript"/>
        <sz val="10"/>
        <rFont val="Times New Roman"/>
        <family val="1"/>
      </rPr>
      <t>i</t>
    </r>
    <r>
      <rPr>
        <sz val="10"/>
        <rFont val="Times New Roman"/>
        <family val="1"/>
      </rPr>
      <t xml:space="preserve"> We assumed an additional 4 notifications per repsondent per year, on average, for the new testing requirements. These were added to the number of notices given for the  performance tests under the existing rule (5.5 occurences per respondent per year).</t>
    </r>
  </si>
  <si>
    <r>
      <rPr>
        <vertAlign val="superscript"/>
        <sz val="10"/>
        <rFont val="Times New Roman"/>
        <family val="1"/>
      </rPr>
      <t>j</t>
    </r>
    <r>
      <rPr>
        <sz val="10"/>
        <rFont val="Times New Roman"/>
        <family val="1"/>
      </rPr>
      <t xml:space="preserve"> Submittal of performance test data through the EPA's CEDRI in ERT format is estimated to require 2 hours per test assuming 4 tests for new requirements and 5.5 tests for existing rule for both copper smelting facilities, includes keeping records of failures to meet the standards and the actions taken to minimize emissions. Electronic reporting replaces the manual reporting of performance testing.</t>
    </r>
  </si>
  <si>
    <r>
      <rPr>
        <vertAlign val="superscript"/>
        <sz val="10"/>
        <rFont val="Times New Roman"/>
        <family val="1"/>
      </rPr>
      <t>k</t>
    </r>
    <r>
      <rPr>
        <sz val="10"/>
        <rFont val="Times New Roman"/>
        <family val="1"/>
      </rPr>
      <t xml:space="preserve"> Recordkeeping requirements are required daily on all monitor control device parameters.</t>
    </r>
  </si>
  <si>
    <r>
      <rPr>
        <vertAlign val="superscript"/>
        <sz val="10"/>
        <rFont val="Times New Roman"/>
        <family val="1"/>
      </rPr>
      <t>l</t>
    </r>
    <r>
      <rPr>
        <sz val="10"/>
        <rFont val="Times New Roman"/>
        <family val="1"/>
      </rPr>
      <t xml:space="preserve"> We have assumed that inspections on all hood systems are done on a monthly basis.</t>
    </r>
  </si>
  <si>
    <r>
      <rPr>
        <vertAlign val="superscript"/>
        <sz val="10"/>
        <rFont val="Times New Roman"/>
        <family val="1"/>
      </rPr>
      <t>m</t>
    </r>
    <r>
      <rPr>
        <sz val="10"/>
        <rFont val="Times New Roman"/>
        <family val="1"/>
      </rPr>
      <t xml:space="preserve">  We have assumed that one of the two existing sources will be equipped with a slag cleaning vessel.</t>
    </r>
  </si>
  <si>
    <r>
      <rPr>
        <vertAlign val="superscript"/>
        <sz val="10"/>
        <rFont val="Times New Roman"/>
        <family val="1"/>
      </rPr>
      <t>n</t>
    </r>
    <r>
      <rPr>
        <sz val="10"/>
        <rFont val="Times New Roman"/>
        <family val="1"/>
      </rPr>
      <t xml:space="preserve"> We assumed each roof vent would be monitored daily for visible emissions using Method 22. After monitoring for 30 days with no visible emissions, the facility can reduce monitoring to once per week. The person hours per occurrence includes time to take the reading and to record the information.</t>
    </r>
  </si>
  <si>
    <r>
      <rPr>
        <vertAlign val="superscript"/>
        <sz val="10"/>
        <rFont val="Times New Roman"/>
        <family val="1"/>
      </rPr>
      <t>o</t>
    </r>
    <r>
      <rPr>
        <sz val="10"/>
        <rFont val="Times New Roman"/>
        <family val="1"/>
      </rPr>
      <t xml:space="preserve"> Each respondent is required to record information on a daily basis.</t>
    </r>
  </si>
  <si>
    <r>
      <rPr>
        <vertAlign val="superscript"/>
        <sz val="10"/>
        <rFont val="Times New Roman"/>
        <family val="1"/>
      </rPr>
      <t>p</t>
    </r>
    <r>
      <rPr>
        <sz val="10"/>
        <rFont val="Times New Roman"/>
        <family val="1"/>
      </rPr>
      <t xml:space="preserve"> We have assumed that it will take each of the respondent 100 hours to train personnel once a year.</t>
    </r>
  </si>
  <si>
    <r>
      <t xml:space="preserve">q </t>
    </r>
    <r>
      <rPr>
        <sz val="10"/>
        <rFont val="Times New Roman"/>
        <family val="1"/>
      </rPr>
      <t>Totals have been rounded to 3 significant figures.  Figures may not add exactly due to rounding.</t>
    </r>
  </si>
  <si>
    <t>Table 2: Average Annual EPA Burden and Cost – NESHAP for Primary Copper Smelters (40 CFR Part 63, Subpart QQQ) (Final Amendments)</t>
  </si>
  <si>
    <t>Activity</t>
  </si>
  <si>
    <t>EPA person- hours per occurrence</t>
  </si>
  <si>
    <t xml:space="preserve"> No. of occurrences per plant per year</t>
  </si>
  <si>
    <t>EPA person- hours per plant per 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</si>
  <si>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</si>
  <si>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</si>
  <si>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</si>
  <si>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</si>
  <si>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</si>
  <si>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Review reports</t>
  </si>
  <si>
    <t>a.  Initial notifications</t>
  </si>
  <si>
    <r>
      <t xml:space="preserve">b.  Notification of performance test </t>
    </r>
    <r>
      <rPr>
        <vertAlign val="superscript"/>
        <sz val="10"/>
        <color rgb="FF000000"/>
        <rFont val="Times New Roman"/>
        <family val="1"/>
      </rPr>
      <t>c</t>
    </r>
  </si>
  <si>
    <r>
      <t xml:space="preserve">c.  Performance test reports </t>
    </r>
    <r>
      <rPr>
        <vertAlign val="superscript"/>
        <sz val="10"/>
        <color rgb="FF000000"/>
        <rFont val="Times New Roman"/>
        <family val="1"/>
      </rPr>
      <t>d</t>
    </r>
  </si>
  <si>
    <r>
      <t xml:space="preserve">e.  Semiannual compliance reports </t>
    </r>
    <r>
      <rPr>
        <vertAlign val="superscript"/>
        <sz val="10"/>
        <color rgb="FF000000"/>
        <rFont val="Times New Roman"/>
        <family val="1"/>
      </rPr>
      <t>e</t>
    </r>
  </si>
  <si>
    <r>
      <t>f.  Initial compliance determination</t>
    </r>
    <r>
      <rPr>
        <vertAlign val="superscript"/>
        <sz val="10"/>
        <color rgb="FF000000"/>
        <rFont val="Times New Roman"/>
        <family val="1"/>
      </rPr>
      <t xml:space="preserve"> f</t>
    </r>
  </si>
  <si>
    <r>
      <t xml:space="preserve">TOTAL ANNUAL BURDEN AND COST (rounded) </t>
    </r>
    <r>
      <rPr>
        <b/>
        <vertAlign val="superscript"/>
        <sz val="10"/>
        <color rgb="FF000000"/>
        <rFont val="Times New Roman"/>
        <family val="1"/>
      </rPr>
      <t>g</t>
    </r>
  </si>
  <si>
    <r>
      <t>a</t>
    </r>
    <r>
      <rPr>
        <sz val="10"/>
        <color theme="1"/>
        <rFont val="Times New Roman"/>
        <family val="1"/>
      </rPr>
      <t xml:space="preserve">  We have assumed that there are two sources that are subject to the standard, with no new additional sources expected over the next three years.</t>
    </r>
  </si>
  <si>
    <r>
      <rPr>
        <vertAlign val="superscript"/>
        <sz val="10"/>
        <color theme="1"/>
        <rFont val="Times New Roman"/>
        <family val="1"/>
      </rPr>
      <t>b</t>
    </r>
    <r>
      <rPr>
        <sz val="10"/>
        <color theme="1"/>
        <rFont val="Times New Roman"/>
        <family val="1"/>
      </rPr>
      <t xml:space="preserve">  This cost is based on the following labor rates which incorporates a 1.6 benefits multiplication factor to account for government overhead expenses: $76.91 Managerial rate (GS-13, Step 5, $48.07 x 1.6), $57.07 Technical rate (GS-12, Step 1, $35.67 x 1.6), and $30.88 Clerical rate (GS-6, Step 3, $19.30 x 1.6).  These rates are from the Office of Personnel Management (OPM) 2014 General Schedule, which excludes locality rates of pay.</t>
    </r>
  </si>
  <si>
    <r>
      <rPr>
        <vertAlign val="superscript"/>
        <sz val="10"/>
        <rFont val="Times New Roman"/>
        <family val="1"/>
      </rPr>
      <t>c</t>
    </r>
    <r>
      <rPr>
        <sz val="10"/>
        <rFont val="Times New Roman"/>
        <family val="1"/>
      </rPr>
      <t xml:space="preserve">  We have assumed that EPA will take two hours to review each notification of performance test. We assumed an additional 4 notifications per repsondent per year, on average, for the new testing requirements. These were added to the number of notices given for the performance tests under the existing rule (5.5 occurences per respondent per year).</t>
    </r>
  </si>
  <si>
    <r>
      <rPr>
        <vertAlign val="superscript"/>
        <sz val="10"/>
        <color theme="1"/>
        <rFont val="Times New Roman"/>
        <family val="1"/>
      </rPr>
      <t>d</t>
    </r>
    <r>
      <rPr>
        <sz val="10"/>
        <color theme="1"/>
        <rFont val="Times New Roman"/>
        <family val="1"/>
      </rPr>
      <t xml:space="preserve">  We have assumed that EPA will take 16 hours to review each performance test report which is submitted 60 days after the test. Number of occurrences/yr (i.e., number of test reports to review each year) = 5.5 (current inventory) and the following new tests:
Mercury: 2 tests (initial and subsequent) per facility during the 3-year ICR period = 0.67; 2 facilities subject = 4 tests during the 3-year period = 1.33 tests per year on average;
Anode Refining Department: 2 tests (initial and subsequent) from Asarco only during the 3-year ICR period = 0.67 tests per year on average;
Roofline Vent for PM: 1 initial test per facility during the 3-year ICR period = 0.33; 2 facilities subject = 2 tests during the 3-year period = 0.67 tests per year on average;
Roofline Vent for Lead: 0 tests because compliance is within 3 years. 
Benzene, Toluene, HCl, Cl, PAH, D/F: 1 initial test per facility during the 3-year ICR period = 0.33; 2 facilities subject = 2 tests during the 3-year period = 0.67 tests per year on average;
Hoboken converter process fugitive capture system: 0 tests because facility already performs this testing, no additional incurred burden expected;
Bypass: 1 test per facility during the 3-year ICR period, 1 facility with a bypass = 1 tests during the 3-year period = 0.33 tests per year on average
Total number of new tests to review per year from both facilities = 1.33 + 0.67 + 0.67 + 0.67 + 0.33  = 3.67 tests per year = 4 (rounded)/yr
Total number of current and new tests to review each year during 3-year period per facility = 5.5 + 4 = 9.5.</t>
    </r>
  </si>
  <si>
    <r>
      <rPr>
        <vertAlign val="superscript"/>
        <sz val="10"/>
        <color theme="1"/>
        <rFont val="Times New Roman"/>
        <family val="1"/>
      </rPr>
      <t>e</t>
    </r>
    <r>
      <rPr>
        <sz val="10"/>
        <color theme="1"/>
        <rFont val="Times New Roman"/>
        <family val="1"/>
      </rPr>
      <t xml:space="preserve">  We have assumed that EPA will take eight hours to review each semiannual compliance report.</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</si>
  <si>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</si>
  <si>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g</t>
    </r>
    <r>
      <rPr>
        <sz val="10"/>
        <color theme="1"/>
        <rFont val="Times New Roman"/>
        <family val="1"/>
      </rPr>
      <t xml:space="preserve"> These requirements are one-time requirements that apply to new respondents. There are no new respondents estimated over the 3-year period of this ICR.</t>
    </r>
  </si>
  <si>
    <t>Table 1: Annual Respondent Burden and Cost – NESHAP for Primary Copper Smelters (40 CFR Part 63, Subpart QQQ) (Renewal)</t>
  </si>
  <si>
    <t xml:space="preserve">(E) </t>
  </si>
  <si>
    <t xml:space="preserve">(G) </t>
  </si>
  <si>
    <t>Person hours per respondent per year 
(C=AxB)</t>
  </si>
  <si>
    <r>
      <t xml:space="preserve">Respondents per year  </t>
    </r>
    <r>
      <rPr>
        <b/>
        <vertAlign val="superscript"/>
        <sz val="10"/>
        <color theme="1"/>
        <rFont val="Times New Roman"/>
        <family val="1"/>
      </rPr>
      <t>a</t>
    </r>
  </si>
  <si>
    <t>Management person hours per year 
(F=Ex0.05)</t>
  </si>
  <si>
    <t>Clerical person hours per year 
(G=Ex0.1)</t>
  </si>
  <si>
    <r>
      <t xml:space="preserve">Total Cost per year ($) </t>
    </r>
    <r>
      <rPr>
        <b/>
        <vertAlign val="superscript"/>
        <sz val="10"/>
        <color theme="1"/>
        <rFont val="Times New Roman"/>
        <family val="1"/>
      </rPr>
      <t>b</t>
    </r>
  </si>
  <si>
    <t>3.  Reporting requirements</t>
  </si>
  <si>
    <r>
      <t xml:space="preserve">A.  Familiarize with regulatory requirements </t>
    </r>
    <r>
      <rPr>
        <vertAlign val="superscript"/>
        <sz val="10"/>
        <color theme="1"/>
        <rFont val="Times New Roman"/>
        <family val="1"/>
      </rPr>
      <t>c</t>
    </r>
  </si>
  <si>
    <r>
      <t xml:space="preserve">Conduct PM performance test </t>
    </r>
    <r>
      <rPr>
        <vertAlign val="superscript"/>
        <sz val="10"/>
        <color theme="1"/>
        <rFont val="Times New Roman"/>
        <family val="1"/>
      </rPr>
      <t>d</t>
    </r>
  </si>
  <si>
    <r>
      <t xml:space="preserve">Conduct copper converter building performance test </t>
    </r>
    <r>
      <rPr>
        <vertAlign val="superscript"/>
        <sz val="10"/>
        <color theme="1"/>
        <rFont val="Times New Roman"/>
        <family val="1"/>
      </rPr>
      <t>e</t>
    </r>
  </si>
  <si>
    <t>See 3B &amp; 4E</t>
  </si>
  <si>
    <t>E.  Write Report</t>
  </si>
  <si>
    <t>Initial notification</t>
  </si>
  <si>
    <t>Notification of performance test</t>
  </si>
  <si>
    <t>Initial compliance determination</t>
  </si>
  <si>
    <r>
      <t xml:space="preserve">Performance test reports </t>
    </r>
    <r>
      <rPr>
        <vertAlign val="superscript"/>
        <sz val="10"/>
        <color theme="1"/>
        <rFont val="Times New Roman"/>
        <family val="1"/>
      </rPr>
      <t>f</t>
    </r>
  </si>
  <si>
    <r>
      <t xml:space="preserve">Semiannual compliance reports </t>
    </r>
    <r>
      <rPr>
        <vertAlign val="superscript"/>
        <sz val="10"/>
        <color theme="1"/>
        <rFont val="Times New Roman"/>
        <family val="1"/>
      </rPr>
      <t>g</t>
    </r>
  </si>
  <si>
    <r>
      <t xml:space="preserve">Startup, shutdown, malfunction report </t>
    </r>
    <r>
      <rPr>
        <vertAlign val="superscript"/>
        <sz val="10"/>
        <color theme="1"/>
        <rFont val="Times New Roman"/>
        <family val="1"/>
      </rPr>
      <t>h</t>
    </r>
  </si>
  <si>
    <t>Subtotal for Reporting Requirements</t>
  </si>
  <si>
    <t>4.  Recordkeeping requirements</t>
  </si>
  <si>
    <t>B.  Plan activities</t>
  </si>
  <si>
    <t>C.  Implement Activities</t>
  </si>
  <si>
    <t>i.  Prepare startup, shutdown, malfunction plan</t>
  </si>
  <si>
    <t>ii.  Copper concentrate dryer</t>
  </si>
  <si>
    <r>
      <t xml:space="preserve">Monitor control device parameters </t>
    </r>
    <r>
      <rPr>
        <vertAlign val="superscript"/>
        <sz val="10"/>
        <color theme="1"/>
        <rFont val="Times New Roman"/>
        <family val="1"/>
      </rPr>
      <t>i</t>
    </r>
  </si>
  <si>
    <t>iii.  Smelting vessel</t>
  </si>
  <si>
    <r>
      <t xml:space="preserve">Inspect tapping hood system </t>
    </r>
    <r>
      <rPr>
        <vertAlign val="superscript"/>
        <sz val="10"/>
        <color theme="1"/>
        <rFont val="Times New Roman"/>
        <family val="1"/>
      </rPr>
      <t>j</t>
    </r>
  </si>
  <si>
    <t>iv.  Slag cleaning vessel</t>
  </si>
  <si>
    <r>
      <t xml:space="preserve">Inspect tapping hood system </t>
    </r>
    <r>
      <rPr>
        <vertAlign val="superscript"/>
        <sz val="10"/>
        <color theme="1"/>
        <rFont val="Times New Roman"/>
        <family val="1"/>
      </rPr>
      <t>j, k</t>
    </r>
  </si>
  <si>
    <r>
      <t xml:space="preserve">Monitor control device parameters </t>
    </r>
    <r>
      <rPr>
        <vertAlign val="superscript"/>
        <sz val="10"/>
        <color theme="1"/>
        <rFont val="Times New Roman"/>
        <family val="1"/>
      </rPr>
      <t>i, k</t>
    </r>
  </si>
  <si>
    <t>v.  Batch copper converters</t>
  </si>
  <si>
    <r>
      <t xml:space="preserve">Inspect converter hood system </t>
    </r>
    <r>
      <rPr>
        <vertAlign val="superscript"/>
        <sz val="10"/>
        <color theme="1"/>
        <rFont val="Times New Roman"/>
        <family val="1"/>
      </rPr>
      <t>j</t>
    </r>
  </si>
  <si>
    <r>
      <t xml:space="preserve">Monitor hood system ventilation parameters </t>
    </r>
    <r>
      <rPr>
        <vertAlign val="superscript"/>
        <sz val="10"/>
        <color theme="1"/>
        <rFont val="Times New Roman"/>
        <family val="1"/>
      </rPr>
      <t>i</t>
    </r>
  </si>
  <si>
    <t>vi.  Prepare fugitive dust control plan</t>
  </si>
  <si>
    <t>D.  Develop record system</t>
  </si>
  <si>
    <r>
      <t xml:space="preserve">E.  Time to enter information </t>
    </r>
    <r>
      <rPr>
        <vertAlign val="superscript"/>
        <sz val="10"/>
        <color theme="1"/>
        <rFont val="Times New Roman"/>
        <family val="1"/>
      </rPr>
      <t>l</t>
    </r>
  </si>
  <si>
    <r>
      <t xml:space="preserve">F.  Time to train personnel </t>
    </r>
    <r>
      <rPr>
        <vertAlign val="superscript"/>
        <sz val="10"/>
        <color theme="1"/>
        <rFont val="Times New Roman"/>
        <family val="1"/>
      </rPr>
      <t>m</t>
    </r>
  </si>
  <si>
    <t>Subtotal for Recordkeeping Requirements</t>
  </si>
  <si>
    <t>responses</t>
  </si>
  <si>
    <t>hr/response</t>
  </si>
  <si>
    <r>
      <t xml:space="preserve">TOTAL LABOR BURDEN AND COST (rounded) </t>
    </r>
    <r>
      <rPr>
        <b/>
        <vertAlign val="superscript"/>
        <sz val="10"/>
        <color theme="1"/>
        <rFont val="Times New Roman"/>
        <family val="1"/>
      </rPr>
      <t>n</t>
    </r>
  </si>
  <si>
    <r>
      <t xml:space="preserve">CAPITAL AND O&amp;M COST (rounded) </t>
    </r>
    <r>
      <rPr>
        <b/>
        <vertAlign val="superscript"/>
        <sz val="10"/>
        <color theme="1"/>
        <rFont val="Times New Roman"/>
        <family val="1"/>
      </rPr>
      <t>n</t>
    </r>
  </si>
  <si>
    <r>
      <t xml:space="preserve">GRAND TOTAL (rounded) </t>
    </r>
    <r>
      <rPr>
        <b/>
        <vertAlign val="superscript"/>
        <sz val="10"/>
        <color theme="1"/>
        <rFont val="Times New Roman"/>
        <family val="1"/>
      </rPr>
      <t>n</t>
    </r>
  </si>
  <si>
    <r>
      <t>a</t>
    </r>
    <r>
      <rPr>
        <sz val="10"/>
        <color theme="1"/>
        <rFont val="Times New Roman"/>
        <family val="1"/>
      </rPr>
      <t xml:space="preserve">  We have assumed that there are approximately two sources that are subject to the standard, with no new additional sources expected over the next three years.</t>
    </r>
  </si>
  <si>
    <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</si>
  <si>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t xml:space="preserve">c  </t>
    </r>
    <r>
      <rPr>
        <sz val="10"/>
        <color theme="1"/>
        <rFont val="Times New Roman"/>
        <family val="1"/>
      </rPr>
      <t xml:space="preserve">We have assume that all respondents will have to familiarize with the regulatory requirements each year. </t>
    </r>
  </si>
  <si>
    <r>
      <t>d</t>
    </r>
    <r>
      <rPr>
        <sz val="10"/>
        <color theme="1"/>
        <rFont val="Times New Roman"/>
        <family val="1"/>
      </rPr>
      <t xml:space="preserve">  We have assumed that both of the respondents will take 120 hours, 4.5 times per year to conduct performance tests for PM as required under 40 CFR 63.1453.</t>
    </r>
  </si>
  <si>
    <r>
      <t>e</t>
    </r>
    <r>
      <rPr>
        <sz val="10"/>
        <color theme="1"/>
        <rFont val="Times New Roman"/>
        <family val="1"/>
      </rPr>
      <t xml:space="preserve">  We have assumed that both of the respondents will take 240 hours to conduct copper converter building performance test once per year.</t>
    </r>
  </si>
  <si>
    <r>
      <t>f</t>
    </r>
    <r>
      <rPr>
        <sz val="10"/>
        <color theme="1"/>
        <rFont val="Times New Roman"/>
        <family val="1"/>
      </rPr>
      <t xml:space="preserve">  We have assumed that each respondents will take eighty hours, 5.5 times per year to complete a performance test report.</t>
    </r>
  </si>
  <si>
    <r>
      <t>g</t>
    </r>
    <r>
      <rPr>
        <sz val="10"/>
        <color theme="1"/>
        <rFont val="Times New Roman"/>
        <family val="1"/>
      </rPr>
      <t xml:space="preserve">  We have assumed that it will take each respondent forty hours to write the semiannual compliance reports.</t>
    </r>
  </si>
  <si>
    <r>
      <t>h</t>
    </r>
    <r>
      <rPr>
        <sz val="10"/>
        <color theme="1"/>
        <rFont val="Times New Roman"/>
        <family val="1"/>
      </rPr>
      <t xml:space="preserve">  We have assumed no respondents will have a startup, shutdown, or malfunction that is not consistent with the SSM plan.  </t>
    </r>
  </si>
  <si>
    <r>
      <t>i</t>
    </r>
    <r>
      <rPr>
        <sz val="10"/>
        <color theme="1"/>
        <rFont val="Times New Roman"/>
        <family val="1"/>
      </rPr>
      <t xml:space="preserve">  Recordkeeping requirements are required daily on all monitor control device parameters.</t>
    </r>
  </si>
  <si>
    <r>
      <t xml:space="preserve">j  </t>
    </r>
    <r>
      <rPr>
        <sz val="10"/>
        <color theme="1"/>
        <rFont val="Times New Roman"/>
        <family val="1"/>
      </rPr>
      <t>We have assumed that inspections on all hood systems are done on a monthly basis.</t>
    </r>
  </si>
  <si>
    <r>
      <t xml:space="preserve">k </t>
    </r>
    <r>
      <rPr>
        <sz val="10"/>
        <rFont val="Times New Roman"/>
        <family val="1"/>
      </rPr>
      <t xml:space="preserve"> We have assumed that one of the two existing sources will be equipped with a slag cleaning vessel.</t>
    </r>
  </si>
  <si>
    <r>
      <t xml:space="preserve">l </t>
    </r>
    <r>
      <rPr>
        <sz val="10"/>
        <color theme="1"/>
        <rFont val="Times New Roman"/>
        <family val="1"/>
      </rPr>
      <t xml:space="preserve"> Each respondent is required to record information on a daily basis.</t>
    </r>
  </si>
  <si>
    <r>
      <t>m</t>
    </r>
    <r>
      <rPr>
        <sz val="10"/>
        <color theme="1"/>
        <rFont val="Times New Roman"/>
        <family val="1"/>
      </rPr>
      <t xml:space="preserve">  We have assumed that it will take each of the respondent 100 hours to train personnel once a year.</t>
    </r>
  </si>
  <si>
    <r>
      <rPr>
        <vertAlign val="superscript"/>
        <sz val="10"/>
        <color theme="1"/>
        <rFont val="Times New Roman"/>
        <family val="1"/>
      </rPr>
      <t>n</t>
    </r>
    <r>
      <rPr>
        <sz val="10"/>
        <color theme="1"/>
        <rFont val="Times New Roman"/>
        <family val="1"/>
      </rPr>
      <t xml:space="preserve">  Totals have been rounded to 3 significant figures. Figures may not add exactly due to rounding.</t>
    </r>
  </si>
  <si>
    <t>Table 2: Average Annual EPA Burden and Cost – NESHAP for Primary Copper Smelters (40 CFR Part 63, Subpart QQQ) (Renewal)</t>
  </si>
  <si>
    <t>c.  Initial compliance determination</t>
  </si>
  <si>
    <r>
      <t xml:space="preserve">d.  Performance test reports </t>
    </r>
    <r>
      <rPr>
        <vertAlign val="superscript"/>
        <sz val="10"/>
        <color rgb="FF000000"/>
        <rFont val="Times New Roman"/>
        <family val="1"/>
      </rPr>
      <t>d</t>
    </r>
  </si>
  <si>
    <r>
      <t xml:space="preserve">f.  Report of SSM </t>
    </r>
    <r>
      <rPr>
        <vertAlign val="superscript"/>
        <sz val="10"/>
        <color rgb="FF000000"/>
        <rFont val="Times New Roman"/>
        <family val="1"/>
      </rPr>
      <t>f</t>
    </r>
  </si>
  <si>
    <r>
      <t>a</t>
    </r>
    <r>
      <rPr>
        <sz val="10"/>
        <rFont val="Times New Roman"/>
        <family val="1"/>
      </rPr>
      <t xml:space="preserve">  We have assumed that there are approximately two sources that are subject to the standard, with no new additional sources expected over the next three years.</t>
    </r>
  </si>
  <si>
    <r>
      <rPr>
        <vertAlign val="superscript"/>
        <sz val="10"/>
        <color theme="1"/>
        <rFont val="Times New Roman"/>
        <family val="1"/>
      </rPr>
      <t>b</t>
    </r>
    <r>
      <rPr>
        <sz val="10"/>
        <color theme="1"/>
        <rFont val="Times New Roman"/>
        <family val="1"/>
      </rPr>
      <t xml:space="preserve">  This cost is based on the following labor rates which incorporates a 1.6 benefits multiplication factor to account for government overhead expenses: $69.04 Managerial rate (GS-13, Step 5, $43.15 x 1.6), $51.23 Technical rate (GS-12, Step 1, $32.02 x 1.6), and $27.73 Clerical rate (GS-6, Step 3, $17.33 x 1.6).  These rates are from the Office of Personnel Management (OPM) 2021 General Schedule which excludes locality rates of pay.</t>
    </r>
  </si>
  <si>
    <r>
      <rPr>
        <vertAlign val="superscript"/>
        <sz val="10"/>
        <color theme="1"/>
        <rFont val="Times New Roman"/>
        <family val="1"/>
      </rPr>
      <t>c</t>
    </r>
    <r>
      <rPr>
        <sz val="10"/>
        <color theme="1"/>
        <rFont val="Times New Roman"/>
        <family val="1"/>
      </rPr>
      <t xml:space="preserve">  We have assumed that EPA will take two hours to review each notification of performance test.</t>
    </r>
  </si>
  <si>
    <r>
      <rPr>
        <vertAlign val="superscript"/>
        <sz val="10"/>
        <color theme="1"/>
        <rFont val="Times New Roman"/>
        <family val="1"/>
      </rPr>
      <t>d</t>
    </r>
    <r>
      <rPr>
        <sz val="10"/>
        <color theme="1"/>
        <rFont val="Times New Roman"/>
        <family val="1"/>
      </rPr>
      <t xml:space="preserve">  We have assumed that EPA will take 16 hours to review each performance test report.</t>
    </r>
  </si>
  <si>
    <r>
      <t>f</t>
    </r>
    <r>
      <rPr>
        <sz val="10"/>
        <color theme="1"/>
        <rFont val="Times New Roman"/>
        <family val="1"/>
      </rPr>
      <t xml:space="preserve">  We have assumed no respondents will have a startup, shutdown, or malfunction that is not consistent with the SSM plan.  </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</si>
  <si>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</si>
  <si>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 xml:space="preserve">Table 1:  Average Annual Respondent Burden and Cost – NESHAP for Integrated Iron and Steel Manufacturing (40 CFR Part 63,  Subpart FFFFF) (Proposed Amendments)
</t>
  </si>
  <si>
    <t>2003 (2003.02)</t>
  </si>
  <si>
    <t>2019 Proposal 2003.08</t>
  </si>
  <si>
    <t>%M29</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</si>
  <si>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</si>
  <si>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</si>
  <si>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t>PRA costs for adding Hg NVMSRP</t>
  </si>
  <si>
    <t>PRA costs for changing to electronic reporting</t>
  </si>
  <si>
    <t>Continual compliance with rest of existing rule</t>
  </si>
  <si>
    <t>2019 Proposal DIFF from 2003</t>
  </si>
  <si>
    <t>Number of
respondents
per year</t>
  </si>
  <si>
    <t>Total Cost Per year a</t>
  </si>
  <si>
    <t>1. Applications</t>
  </si>
  <si>
    <t>2. Survey and Studies</t>
  </si>
  <si>
    <t>3. Acquisition, Installation, and
Utilization of Technology and
Systems</t>
  </si>
  <si>
    <t>6b</t>
  </si>
  <si>
    <t>3. Reporting Requirements</t>
  </si>
  <si>
    <t>4.  Reporting Requirements</t>
  </si>
  <si>
    <t>A. Familiarization with regulatory requirements</t>
  </si>
  <si>
    <t xml:space="preserve">     A.  Read instructions</t>
  </si>
  <si>
    <r>
      <t>B. Required activities</t>
    </r>
    <r>
      <rPr>
        <vertAlign val="superscript"/>
        <sz val="11"/>
        <color theme="1"/>
        <rFont val="Times New Roman"/>
        <family val="1"/>
      </rPr>
      <t xml:space="preserve"> c</t>
    </r>
  </si>
  <si>
    <t xml:space="preserve">     B.  Required activities </t>
  </si>
  <si>
    <r>
      <t xml:space="preserve">i. Method 5 performance test </t>
    </r>
    <r>
      <rPr>
        <vertAlign val="superscript"/>
        <sz val="11"/>
        <color theme="1"/>
        <rFont val="Times New Roman"/>
        <family val="1"/>
      </rPr>
      <t>d</t>
    </r>
  </si>
  <si>
    <t xml:space="preserve">         Method 5 performance test</t>
  </si>
  <si>
    <t>7.6c</t>
  </si>
  <si>
    <r>
      <t xml:space="preserve">ii. Method 9 performance test </t>
    </r>
    <r>
      <rPr>
        <vertAlign val="superscript"/>
        <sz val="11"/>
        <color theme="1"/>
        <rFont val="Times New Roman"/>
        <family val="1"/>
      </rPr>
      <t>d</t>
    </r>
  </si>
  <si>
    <t xml:space="preserve">         Method 9 performance test</t>
  </si>
  <si>
    <t>3.6d</t>
  </si>
  <si>
    <r>
      <t xml:space="preserve">iii. Method 9071B performance test </t>
    </r>
    <r>
      <rPr>
        <vertAlign val="superscript"/>
        <sz val="11"/>
        <color theme="1"/>
        <rFont val="Times New Roman"/>
        <family val="1"/>
      </rPr>
      <t>d</t>
    </r>
  </si>
  <si>
    <t xml:space="preserve">         Method 6071B performance test</t>
  </si>
  <si>
    <t>365e</t>
  </si>
  <si>
    <t>0f</t>
  </si>
  <si>
    <t xml:space="preserve">         Startup, shutdown, malfunction plan</t>
  </si>
  <si>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</si>
  <si>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</si>
  <si>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t>vi. Inspection and maintenance of capture systems and                  control devices</t>
  </si>
  <si>
    <t xml:space="preserve">         Inspection and maintenance of capture systems and control devices</t>
  </si>
  <si>
    <t>C. Create information</t>
  </si>
  <si>
    <t>See 3B</t>
  </si>
  <si>
    <t>See 4B</t>
  </si>
  <si>
    <t>D. Gather existing information</t>
  </si>
  <si>
    <t xml:space="preserve">     D.  Gather existing information</t>
  </si>
  <si>
    <r>
      <t xml:space="preserve">E. Write report </t>
    </r>
    <r>
      <rPr>
        <vertAlign val="superscript"/>
        <sz val="11"/>
        <color theme="1"/>
        <rFont val="Times New Roman"/>
        <family val="1"/>
      </rPr>
      <t>c</t>
    </r>
  </si>
  <si>
    <t xml:space="preserve">     E.  Write report</t>
  </si>
  <si>
    <r>
      <t xml:space="preserve">i. Notification of initial construction/reconstruction </t>
    </r>
    <r>
      <rPr>
        <vertAlign val="superscript"/>
        <sz val="11"/>
        <color theme="1"/>
        <rFont val="Times New Roman"/>
        <family val="1"/>
      </rPr>
      <t>e</t>
    </r>
  </si>
  <si>
    <t xml:space="preserve">        Notification of constr./reconstr.</t>
  </si>
  <si>
    <r>
      <t xml:space="preserve">ii. Notification of intent to construct a major source and review application </t>
    </r>
    <r>
      <rPr>
        <vertAlign val="superscript"/>
        <sz val="11"/>
        <color theme="1"/>
        <rFont val="Times New Roman"/>
        <family val="1"/>
      </rPr>
      <t>e</t>
    </r>
  </si>
  <si>
    <t xml:space="preserve">        Notification of anticipated startup</t>
  </si>
  <si>
    <r>
      <t xml:space="preserve">iii. Notification of applicability </t>
    </r>
    <r>
      <rPr>
        <vertAlign val="superscript"/>
        <sz val="11"/>
        <color theme="1"/>
        <rFont val="Times New Roman"/>
        <family val="1"/>
      </rPr>
      <t>e</t>
    </r>
  </si>
  <si>
    <t xml:space="preserve">        Notification of applicability</t>
  </si>
  <si>
    <r>
      <t xml:space="preserve">iv. Notification of actual startup </t>
    </r>
    <r>
      <rPr>
        <vertAlign val="superscript"/>
        <sz val="11"/>
        <color theme="1"/>
        <rFont val="Times New Roman"/>
        <family val="1"/>
      </rPr>
      <t>e</t>
    </r>
  </si>
  <si>
    <t xml:space="preserve">        Notification of actual startup</t>
  </si>
  <si>
    <t xml:space="preserve">        Notification of special compliance requirements</t>
  </si>
  <si>
    <t xml:space="preserve">  Compliance extension request</t>
  </si>
  <si>
    <t xml:space="preserve">        Notification of opacity observations</t>
  </si>
  <si>
    <t>v. Notification of performance test</t>
  </si>
  <si>
    <t xml:space="preserve">        Notification of performance test</t>
  </si>
  <si>
    <t>vi. Notification of performance evaluation</t>
  </si>
  <si>
    <t xml:space="preserve">  Operation and maintenance plan</t>
  </si>
  <si>
    <t xml:space="preserve">  Site-specific test plan</t>
  </si>
  <si>
    <t xml:space="preserve">  Notification of compliance status</t>
  </si>
  <si>
    <t xml:space="preserve">  NESHAP waiver application</t>
  </si>
  <si>
    <r>
      <t xml:space="preserve">vii. Report of performance test/performance evaluation (through CEDRI using ERT) </t>
    </r>
    <r>
      <rPr>
        <vertAlign val="superscript"/>
        <sz val="11"/>
        <rFont val="Times New Roman"/>
        <family val="1"/>
      </rPr>
      <t>f</t>
    </r>
  </si>
  <si>
    <t xml:space="preserve">  Report of performance test</t>
  </si>
  <si>
    <t>viii. Notification of compliance status</t>
  </si>
  <si>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</si>
  <si>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</si>
  <si>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t>2g</t>
  </si>
  <si>
    <t xml:space="preserve">  Emergency startup, shutdown, or malfunction reports</t>
  </si>
  <si>
    <t>4. Recordkeeping Requirements</t>
  </si>
  <si>
    <t>5.  Recordkeeping Requirements</t>
  </si>
  <si>
    <t>A. Familiarization with rule requirements</t>
  </si>
  <si>
    <t>See 3A</t>
  </si>
  <si>
    <t xml:space="preserve">     A. Read instructions</t>
  </si>
  <si>
    <t>See 4A</t>
  </si>
  <si>
    <r>
      <t xml:space="preserve">B. Plan activities </t>
    </r>
    <r>
      <rPr>
        <vertAlign val="superscript"/>
        <sz val="11"/>
        <color theme="1"/>
        <rFont val="Times New Roman"/>
        <family val="1"/>
      </rPr>
      <t>e</t>
    </r>
  </si>
  <si>
    <t xml:space="preserve">     B.  Plan activities</t>
  </si>
  <si>
    <t>C. Implement activities</t>
  </si>
  <si>
    <t xml:space="preserve">     C.  Implement activities</t>
  </si>
  <si>
    <r>
      <t xml:space="preserve">D. Develop record system/maintain records </t>
    </r>
    <r>
      <rPr>
        <vertAlign val="superscript"/>
        <sz val="11"/>
        <color theme="1"/>
        <rFont val="Times New Roman"/>
        <family val="1"/>
      </rPr>
      <t>g</t>
    </r>
  </si>
  <si>
    <t xml:space="preserve">     D.  Develop record system</t>
  </si>
  <si>
    <t>E. Time to enter information</t>
  </si>
  <si>
    <t xml:space="preserve">     E.  Time to enter information Records of all info. required by standards</t>
  </si>
  <si>
    <t>3h</t>
  </si>
  <si>
    <t>52h</t>
  </si>
  <si>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</si>
  <si>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</si>
  <si>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t xml:space="preserve">F. Time to train personnel </t>
  </si>
  <si>
    <t xml:space="preserve">     F.  Time to train personnel</t>
  </si>
  <si>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</si>
  <si>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</si>
  <si>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</si>
  <si>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t xml:space="preserve">    G.  Time to adjust existing ways to comply with previously applicable requirements</t>
  </si>
  <si>
    <r>
      <t xml:space="preserve">H. Time to transmit or disclose information </t>
    </r>
    <r>
      <rPr>
        <vertAlign val="superscript"/>
        <sz val="11"/>
        <color theme="1"/>
        <rFont val="Times New Roman"/>
        <family val="1"/>
      </rPr>
      <t>m</t>
    </r>
  </si>
  <si>
    <t xml:space="preserve">    H.  Time to transmit or disclose information</t>
  </si>
  <si>
    <t>0.25l</t>
  </si>
  <si>
    <t>I. Time for audits</t>
  </si>
  <si>
    <t xml:space="preserve">    I.  Time for audits</t>
  </si>
  <si>
    <t xml:space="preserve">Subtotal  for Recordkeeping Requirements  </t>
  </si>
  <si>
    <r>
      <t xml:space="preserve">TOTAL LABOR BURDEN AND COST (rounded) </t>
    </r>
    <r>
      <rPr>
        <b/>
        <vertAlign val="superscript"/>
        <sz val="11"/>
        <color theme="1"/>
        <rFont val="Times New Roman"/>
        <family val="1"/>
      </rPr>
      <t>n</t>
    </r>
  </si>
  <si>
    <t xml:space="preserve">TOTAL LABOR BURDEN AND COST </t>
  </si>
  <si>
    <t>Annualized cost of capitalj</t>
  </si>
  <si>
    <t>Operation and maintenance (O&amp;M)k</t>
  </si>
  <si>
    <r>
      <t xml:space="preserve">TOTAL CAPITAL AND O&amp;M COST (rounded) </t>
    </r>
    <r>
      <rPr>
        <b/>
        <vertAlign val="superscript"/>
        <sz val="11"/>
        <color theme="1"/>
        <rFont val="Times New Roman"/>
        <family val="1"/>
      </rPr>
      <t>n</t>
    </r>
  </si>
  <si>
    <t>Total (capital recovery plus O&amp;M)</t>
  </si>
  <si>
    <r>
      <t>GRAND TOTAL (rounded)</t>
    </r>
    <r>
      <rPr>
        <b/>
        <vertAlign val="superscript"/>
        <sz val="11"/>
        <color theme="1"/>
        <rFont val="Times New Roman"/>
        <family val="1"/>
      </rPr>
      <t xml:space="preserve"> o</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</si>
  <si>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</si>
  <si>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t>a Costs are based on the following hourly rates: technical at $59.83, management at $88.62, and clerical at $38.66.</t>
  </si>
  <si>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</si>
  <si>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t>b One time event for 18 respondents over 3-year term of ICR is 18/3 = 6 respondents/yr.</t>
  </si>
  <si>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</si>
  <si>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t>c Method 5 performance tests are required for 137 control devices, which is 137/18 =7. 6 per respondent.</t>
  </si>
  <si>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</si>
  <si>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d Method 9 performance tests are required for 65 sources or 65/18 = 3.6 per respondent.</t>
  </si>
  <si>
    <r>
      <t>e</t>
    </r>
    <r>
      <rPr>
        <sz val="11"/>
        <rFont val="Times New Roman"/>
        <family val="1"/>
      </rPr>
      <t xml:space="preserve"> These requirements are one-time requirements that apply to new respondents. There are no new respondents estimated over the 3-year period of this ICR.</t>
    </r>
  </si>
  <si>
    <t>e The oil content of the sinter feed must be analyzed each day.</t>
  </si>
  <si>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</si>
  <si>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t>f Compliance is required 3 years after the effective date; consequently, none of these activities will occur during the 3-year period of this ICR.</t>
  </si>
  <si>
    <r>
      <t xml:space="preserve">g  </t>
    </r>
    <r>
      <rPr>
        <sz val="11"/>
        <color rgb="FF00B050"/>
        <rFont val="Times New Roman"/>
        <family val="1"/>
      </rPr>
      <t>We have assumed that it takes each respondent approximately 4 hours to develop a record system for Scrap Plan Certify and maintain records.</t>
    </r>
  </si>
  <si>
    <t>g Semiannual reports are required: includes startup, shutdown, and malfunction activities consistent with the plan and deviations from emission or operating limits.</t>
  </si>
  <si>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</si>
  <si>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t>h Assumes 3 hours per week per plant to enter into records.</t>
  </si>
  <si>
    <r>
      <t xml:space="preserve">i  </t>
    </r>
    <r>
      <rPr>
        <sz val="11"/>
        <color theme="1"/>
        <rFont val="Times New Roman"/>
        <family val="1"/>
      </rPr>
      <t>We have assumed that it takes each respondent approximately 3.25 hours per week to record CMS data.</t>
    </r>
  </si>
  <si>
    <t>i Assumes 15 minutes to transmit recorded information.</t>
  </si>
  <si>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</si>
  <si>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t>j Cost includes 86 bag leaks detectors and 3 continuous opacity monitors (COMS). Capital cost is $885,000 for continuous opacity monitors and bag leak detectors, 7 percent interest,</t>
  </si>
  <si>
    <r>
      <t>k</t>
    </r>
    <r>
      <rPr>
        <sz val="11"/>
        <color rgb="FF00B050"/>
        <rFont val="Times New Roman"/>
        <family val="1"/>
      </rPr>
      <t xml:space="preserve"> We estimate  that it will take each respondent 1 hour to provide refresher training each year for personnel at all 11 facilities.</t>
    </r>
  </si>
  <si>
    <t>and 5-year equipment life (capital recovery factor = 0.142). Incurred in the third year of the ICR term ($126,000/3 = $42,000/yr).</t>
  </si>
  <si>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</si>
  <si>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t>k Operation and maintenance cost for 3 COMS and 86 bag leak detectors. Incurred in the third year of the ICR term ($67,000/3 = $22,300/yr).</t>
  </si>
  <si>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</si>
  <si>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t>N/A = Not Applicable.</t>
  </si>
  <si>
    <r>
      <t xml:space="preserve">n </t>
    </r>
    <r>
      <rPr>
        <sz val="11"/>
        <color theme="1"/>
        <rFont val="Times New Roman"/>
        <family val="1"/>
      </rPr>
      <t>Totals have been rounded to 3 significant figures.  Figures may not add exactly due to rounding.</t>
    </r>
  </si>
  <si>
    <t xml:space="preserve">2003.07 update 03/08/2019 </t>
  </si>
  <si>
    <t>2019 Proposal DIFF from 03/08/2019 Update</t>
  </si>
  <si>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</si>
  <si>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</si>
  <si>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t xml:space="preserve">     A.  Familiarization with rule requirements</t>
  </si>
  <si>
    <r>
      <t xml:space="preserve">     B.  Required activities</t>
    </r>
    <r>
      <rPr>
        <vertAlign val="superscript"/>
        <sz val="11"/>
        <color theme="1"/>
        <rFont val="Times New Roman"/>
        <family val="1"/>
      </rPr>
      <t xml:space="preserve"> c</t>
    </r>
  </si>
  <si>
    <r>
      <t xml:space="preserve">         i.    Method 5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</si>
  <si>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</si>
  <si>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t xml:space="preserve">         iii.  Method 9071B performance test</t>
  </si>
  <si>
    <r>
      <t xml:space="preserve">         iv.  Startup, shutdown, malfunction plan </t>
    </r>
    <r>
      <rPr>
        <vertAlign val="superscript"/>
        <sz val="11"/>
        <color theme="1"/>
        <rFont val="Times New Roman"/>
        <family val="1"/>
      </rPr>
      <t>e</t>
    </r>
  </si>
  <si>
    <t xml:space="preserve">         v.   Inspection and maintenance of capture systems and                  control devices</t>
  </si>
  <si>
    <t xml:space="preserve">     C.  Gather existing information</t>
  </si>
  <si>
    <t>See 4D, 4E</t>
  </si>
  <si>
    <r>
      <t xml:space="preserve">     D.  Write report </t>
    </r>
    <r>
      <rPr>
        <vertAlign val="superscript"/>
        <sz val="11"/>
        <color theme="1"/>
        <rFont val="Times New Roman"/>
        <family val="1"/>
      </rPr>
      <t>c</t>
    </r>
  </si>
  <si>
    <r>
      <t xml:space="preserve">        iv.  Notification of initial construction/reconstruction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</si>
  <si>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</si>
  <si>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</si>
  <si>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</si>
  <si>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</si>
  <si>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t xml:space="preserve">      vii.  Reports of performance test results</t>
  </si>
  <si>
    <t>See 3B, 4E</t>
  </si>
  <si>
    <r>
      <t xml:space="preserve">        ii.   Notification of compliance status </t>
    </r>
    <r>
      <rPr>
        <vertAlign val="superscript"/>
        <sz val="11"/>
        <color theme="1"/>
        <rFont val="Times New Roman"/>
        <family val="1"/>
      </rPr>
      <t>e</t>
    </r>
  </si>
  <si>
    <t xml:space="preserve">     viii.  Semiannual compliance reports </t>
  </si>
  <si>
    <r>
      <t xml:space="preserve">       ix.  Startup, shutdown, malfunction report </t>
    </r>
    <r>
      <rPr>
        <vertAlign val="superscript"/>
        <sz val="11"/>
        <color theme="1"/>
        <rFont val="Times New Roman"/>
        <family val="1"/>
      </rPr>
      <t>f</t>
    </r>
  </si>
  <si>
    <r>
      <t xml:space="preserve">     B.  Plan activities </t>
    </r>
    <r>
      <rPr>
        <vertAlign val="superscript"/>
        <sz val="11"/>
        <color theme="1"/>
        <rFont val="Times New Roman"/>
        <family val="1"/>
      </rPr>
      <t>e</t>
    </r>
  </si>
  <si>
    <r>
      <t xml:space="preserve">     E.  Time to enter and transmit information </t>
    </r>
    <r>
      <rPr>
        <vertAlign val="superscript"/>
        <sz val="11"/>
        <color theme="1"/>
        <rFont val="Times New Roman"/>
        <family val="1"/>
      </rPr>
      <t>g</t>
    </r>
  </si>
  <si>
    <r>
      <t xml:space="preserve">     F.  Time to train personnel </t>
    </r>
    <r>
      <rPr>
        <vertAlign val="superscript"/>
        <sz val="11"/>
        <color theme="1"/>
        <rFont val="Times New Roman"/>
        <family val="1"/>
      </rPr>
      <t>e</t>
    </r>
  </si>
  <si>
    <t xml:space="preserve">     G.  Time for audits</t>
  </si>
  <si>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</si>
  <si>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</si>
  <si>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h</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</si>
  <si>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</si>
  <si>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</si>
  <si>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</si>
  <si>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</si>
  <si>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 year period of this ICR.</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</si>
  <si>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</si>
  <si>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theme="1"/>
        <rFont val="Times New Roman"/>
        <family val="1"/>
      </rPr>
      <t>We have assumed that it takes each respondent approximately 3.25 hours per week to record and transmit information.</t>
    </r>
  </si>
  <si>
    <r>
      <t xml:space="preserve">h </t>
    </r>
    <r>
      <rPr>
        <sz val="11"/>
        <color theme="1"/>
        <rFont val="Times New Roman"/>
        <family val="1"/>
      </rPr>
      <t>Totals have been rounded to 3 significant figures.  Figures may not add exactly due to rounding.</t>
    </r>
  </si>
  <si>
    <t>Table 2:  Average Annual EPA Burden and Cost − NESHAP for Integrated Iron and Steel Manufacturing (40 CFR Part 63, Subpart FFFFF) (Proposed Amendments)</t>
  </si>
  <si>
    <t>Labor Cost per Hour</t>
  </si>
  <si>
    <t>No. of occurrences per plant per year</t>
  </si>
  <si>
    <t>EPA person- hours per plant per year (C=AxB)</t>
  </si>
  <si>
    <r>
      <t xml:space="preserve">Plants per year  </t>
    </r>
    <r>
      <rPr>
        <b/>
        <vertAlign val="superscript"/>
        <sz val="12"/>
        <color theme="1"/>
        <rFont val="Times New Roman"/>
        <family val="1"/>
      </rPr>
      <t>a</t>
    </r>
  </si>
  <si>
    <t>Management person-hours per year (Ex0.05)</t>
  </si>
  <si>
    <t>Clerical person-hours per year (Ex0.1)</t>
  </si>
  <si>
    <r>
      <t xml:space="preserve">Cost, $ </t>
    </r>
    <r>
      <rPr>
        <b/>
        <vertAlign val="superscript"/>
        <sz val="12"/>
        <color theme="1"/>
        <rFont val="Times New Roman"/>
        <family val="1"/>
      </rPr>
      <t>b</t>
    </r>
  </si>
  <si>
    <t>check</t>
  </si>
  <si>
    <t>Hrs</t>
  </si>
  <si>
    <t>PRA hrs for adding Hg NVMSRP</t>
  </si>
  <si>
    <t>PRA hrs for changing to electronic reporting</t>
  </si>
  <si>
    <t>Hrs Continual compliance with rest of existing rule</t>
  </si>
  <si>
    <t>Hours per
occurrence</t>
  </si>
  <si>
    <t>Hours per
plant per year</t>
  </si>
  <si>
    <t>Plants
per year</t>
  </si>
  <si>
    <t>Technical
person-hours
per year
(D=BxC)</t>
  </si>
  <si>
    <t>Management
person-hours
per year
(Dx0.05)</t>
  </si>
  <si>
    <t>Clerical
person-hours
per year
(Dx0.1)</t>
  </si>
  <si>
    <t>Cost, $a</t>
  </si>
  <si>
    <r>
      <t xml:space="preserve">New Respondents </t>
    </r>
    <r>
      <rPr>
        <vertAlign val="superscript"/>
        <sz val="10"/>
        <color theme="1"/>
        <rFont val="Times New Roman"/>
        <family val="1"/>
      </rPr>
      <t>c</t>
    </r>
  </si>
  <si>
    <t>Initial performance test</t>
  </si>
  <si>
    <t>1b</t>
  </si>
  <si>
    <t xml:space="preserve">i. Notification of start of construction </t>
  </si>
  <si>
    <t>Repeat performance test-Retesting preparation</t>
  </si>
  <si>
    <t>0c</t>
  </si>
  <si>
    <t xml:space="preserve">ii. Notification of intent to construct a            major source and review application </t>
  </si>
  <si>
    <t>Repeat performance- Retesting</t>
  </si>
  <si>
    <t xml:space="preserve">iii. Notification of actual startup </t>
  </si>
  <si>
    <t>Litigation</t>
  </si>
  <si>
    <t>0d</t>
  </si>
  <si>
    <t xml:space="preserve">iv. Notification of performance test and test plan </t>
  </si>
  <si>
    <t>Excess Emissions Enforcement Activities</t>
  </si>
  <si>
    <t>v. Notification of performance evaluation</t>
  </si>
  <si>
    <t>Report Review</t>
  </si>
  <si>
    <r>
      <t xml:space="preserve">vi. Performance test report for Method 5, Method 9 </t>
    </r>
    <r>
      <rPr>
        <vertAlign val="superscript"/>
        <sz val="10"/>
        <color theme="1"/>
        <rFont val="Times New Roman"/>
        <family val="1"/>
      </rPr>
      <t>d</t>
    </r>
  </si>
  <si>
    <t>Notification of construction/reconstruction</t>
  </si>
  <si>
    <t>vii. Scrap Plan Certify</t>
  </si>
  <si>
    <t>Notification of anticipated startup</t>
  </si>
  <si>
    <t>Existing Respondents</t>
  </si>
  <si>
    <t>Notification of actual startup</t>
  </si>
  <si>
    <t xml:space="preserve">i. Notification of performance test and test plan </t>
  </si>
  <si>
    <t>Notification of special compliance requirements</t>
  </si>
  <si>
    <t>ii. Notification of performance evaluation</t>
  </si>
  <si>
    <t>Notification of initial performance test</t>
  </si>
  <si>
    <t>6e</t>
  </si>
  <si>
    <r>
      <t xml:space="preserve">iii. Performance test report for Method 5, Method 9 </t>
    </r>
    <r>
      <rPr>
        <vertAlign val="superscript"/>
        <sz val="10"/>
        <color theme="1"/>
        <rFont val="Times New Roman"/>
        <family val="1"/>
      </rPr>
      <t>d</t>
    </r>
  </si>
  <si>
    <t>Notification of compliance status</t>
  </si>
  <si>
    <t>iv. Scrap Plan Certify</t>
  </si>
  <si>
    <t>Review of repeat performance test report</t>
  </si>
  <si>
    <t xml:space="preserve">v. Notification of compliance status </t>
  </si>
  <si>
    <t>Review of semi-annual compliance reporte</t>
  </si>
  <si>
    <t>16e</t>
  </si>
  <si>
    <r>
      <t xml:space="preserve">vi. Semiannual compliance reports </t>
    </r>
    <r>
      <rPr>
        <vertAlign val="superscript"/>
        <sz val="10"/>
        <color theme="1"/>
        <rFont val="Times New Roman"/>
        <family val="1"/>
      </rPr>
      <t>e</t>
    </r>
  </si>
  <si>
    <t>Review of NESHAP waiver application</t>
  </si>
  <si>
    <t>0g</t>
  </si>
  <si>
    <t>Subtotals Labor Burden and Cost</t>
  </si>
  <si>
    <t>Review of emergency startup, shutdown, and
malfunction report</t>
  </si>
  <si>
    <r>
      <t xml:space="preserve">TOTAL ANNUAL BURDEN AND COST (rounded) </t>
    </r>
    <r>
      <rPr>
        <b/>
        <vertAlign val="superscript"/>
        <sz val="10"/>
        <color theme="1"/>
        <rFont val="Times New Roman"/>
        <family val="1"/>
      </rPr>
      <t>f</t>
    </r>
  </si>
  <si>
    <t>TOTAL BURDEN AND COST (SALARY)</t>
  </si>
  <si>
    <t>Travel Expenses for Tests Attendedh</t>
  </si>
  <si>
    <t>(1 person x 1 plant/yr x 1 day/plant x $100 per diem) + ($400/round trip x 1 round trips/yr) = $500</t>
  </si>
  <si>
    <t>TOTAL ANNUAL COST</t>
  </si>
  <si>
    <t>$4,360 + $500 = $4,860</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</si>
  <si>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</si>
  <si>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</si>
  <si>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</si>
  <si>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b Assumes EPA/State personnel will attend 3 performance tests over 3 years (3/3 = 1).</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</si>
  <si>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</si>
  <si>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c Assumes no plants have to repeat their performance test over the 3-year term of the ICR.</t>
  </si>
  <si>
    <r>
      <t>e</t>
    </r>
    <r>
      <rPr>
        <sz val="10"/>
        <color theme="1"/>
        <rFont val="Times New Roman"/>
        <family val="1"/>
      </rPr>
      <t xml:space="preserve"> Sources are required to submit semiannual compliance reports.</t>
    </r>
  </si>
  <si>
    <t>d Assumes no plants will be involved in litigation or excess emissions enforcement activities over the 3-year term of the ICR.</t>
  </si>
  <si>
    <r>
      <t xml:space="preserve">f </t>
    </r>
    <r>
      <rPr>
        <sz val="10"/>
        <color theme="1"/>
        <rFont val="Times New Roman"/>
        <family val="1"/>
      </rPr>
      <t>Totals have been rounded to 3 significant figures.  Figures may not add exactly due to rounding.</t>
    </r>
  </si>
  <si>
    <t>e For 18 plants over 3-year term of the ICR (18/3 = 6).</t>
  </si>
  <si>
    <t>g Assumes no plants ask for waivers.</t>
  </si>
  <si>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</si>
  <si>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</si>
  <si>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</si>
  <si>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</si>
  <si>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</si>
  <si>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</si>
  <si>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</si>
  <si>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</si>
  <si>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</si>
  <si>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</si>
  <si>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</si>
  <si>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</si>
  <si>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</si>
  <si>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</si>
  <si>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</si>
  <si>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SPPD_FACILITY_IDENTIFIER_EMISSION_UNIT_ID_EMISSION_UNIT_DESCRIPTION_EMISSION_RELEASE_POINT_ID</t>
  </si>
  <si>
    <t>SPPD_FACILITY_IDENTIFIER</t>
  </si>
  <si>
    <t>EMISSION_UNIT_ID</t>
  </si>
  <si>
    <t>EMISSION_UNIT_DESCRIPTION</t>
  </si>
  <si>
    <t>EMISSION_RELEASE_POINT_ID</t>
  </si>
  <si>
    <t>AKS-Ashland-KY_Amanda Blast Furnace_BF Controlled_Amanda BF East Casthouse</t>
  </si>
  <si>
    <t>AKS-Ashland-KY</t>
  </si>
  <si>
    <t>Amanda Blast Furnace</t>
  </si>
  <si>
    <t>BF Controlled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</si>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</sst>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46" x14ac:knownFonts="1">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0"/>
      <name val="Times New Roman"/>
      <family val="1"/>
    </font>
    <font>
      <b/>
      <i/>
      <sz val="10"/>
      <name val="Times New Roman"/>
      <family val="1"/>
    </font>
    <font>
      <sz val="11"/>
      <color rgb="FF9C5700"/>
      <name val="Calibri"/>
      <family val="2"/>
      <scheme val="minor"/>
    </font>
    <font>
      <sz val="10"/>
      <color rgb="FF000000"/>
      <name val="Times New Roman"/>
      <family val="1"/>
    </font>
    <font>
      <vertAlign val="superscript"/>
      <sz val="10"/>
      <color rgb="FF000000"/>
      <name val="Times New Roman"/>
      <family val="1"/>
    </font>
    <font>
      <b/>
      <sz val="12"/>
      <color rgb="FF000000"/>
      <name val="Times New Roman"/>
      <family val="1"/>
    </font>
    <font>
      <b/>
      <sz val="10"/>
      <color rgb="FF000000"/>
      <name val="Times New Roman"/>
      <family val="1"/>
    </font>
    <font>
      <b/>
      <vertAlign val="superscript"/>
      <sz val="10"/>
      <color rgb="FF000000"/>
      <name val="Times New Roman"/>
      <family val="1"/>
    </font>
    <font>
      <sz val="10"/>
      <color rgb="FFFF0000"/>
      <name val="Times New Roman"/>
      <family val="1"/>
    </font>
    <font>
      <sz val="11"/>
      <name val="Calibri"/>
      <family val="2"/>
      <scheme val="minor"/>
    </font>
    <font>
      <sz val="11"/>
      <color theme="0"/>
      <name val="Calibri"/>
      <family val="2"/>
      <scheme val="minor"/>
    </font>
    <font>
      <sz val="10"/>
      <color theme="0"/>
      <name val="Times New Roman"/>
      <family val="1"/>
    </font>
  </fonts>
  <fills count="10">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
      <patternFill patternType="solid">
        <fgColor rgb="FFFFEB9C"/>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thin">
        <color rgb="FF000000"/>
      </bottom>
      <diagonal/>
    </border>
  </borders>
  <cellStyleXfs count="3">
    <xf numFmtId="0" fontId="0" fillId="0" borderId="0"/>
    <xf numFmtId="44" fontId="8" fillId="0" borderId="0" applyFont="0" applyFill="0" applyBorder="0" applyAlignment="0" applyProtection="0"/>
    <xf numFmtId="0" fontId="36" fillId="9" borderId="0" applyNumberFormat="0" applyBorder="0" applyAlignment="0" applyProtection="0"/>
  </cellStyleXfs>
  <cellXfs count="599">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4"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4" fillId="0" borderId="0" xfId="0" applyFont="1" applyAlignment="1">
      <alignment horizontal="left" vertical="distributed" wrapText="1"/>
    </xf>
    <xf numFmtId="0" fontId="11" fillId="0" borderId="0" xfId="0" applyFont="1" applyAlignment="1">
      <alignment horizontal="left" vertical="distributed"/>
    </xf>
    <xf numFmtId="0" fontId="15" fillId="0" borderId="0" xfId="0" applyFont="1" applyAlignment="1">
      <alignment vertical="center"/>
    </xf>
    <xf numFmtId="0" fontId="16" fillId="0" borderId="0" xfId="0" applyFont="1" applyAlignment="1">
      <alignment vertical="center"/>
    </xf>
    <xf numFmtId="167" fontId="5" fillId="0" borderId="1" xfId="0" applyNumberFormat="1" applyFont="1" applyBorder="1" applyAlignment="1">
      <alignment vertical="center" wrapText="1"/>
    </xf>
    <xf numFmtId="167" fontId="14"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7" fillId="0" borderId="1" xfId="0" applyFont="1" applyBorder="1" applyAlignment="1">
      <alignment horizontal="center" vertical="center" wrapText="1"/>
    </xf>
    <xf numFmtId="165" fontId="17" fillId="0" borderId="1" xfId="0" applyNumberFormat="1" applyFont="1" applyBorder="1" applyAlignment="1">
      <alignment horizontal="center" vertical="center" wrapText="1"/>
    </xf>
    <xf numFmtId="0" fontId="17" fillId="0" borderId="5"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7"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7"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2" fillId="4" borderId="1" xfId="0" applyNumberFormat="1" applyFont="1" applyFill="1" applyBorder="1" applyAlignment="1">
      <alignment horizontal="center" vertical="top"/>
    </xf>
    <xf numFmtId="0" fontId="22" fillId="4" borderId="1" xfId="0" applyFont="1" applyFill="1" applyBorder="1"/>
    <xf numFmtId="44" fontId="22" fillId="3" borderId="1" xfId="1" applyFont="1" applyFill="1" applyBorder="1"/>
    <xf numFmtId="0" fontId="23"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left" vertical="center" wrapText="1" indent="1"/>
    </xf>
    <xf numFmtId="0" fontId="22" fillId="0" borderId="1" xfId="0" applyFont="1" applyBorder="1" applyAlignment="1">
      <alignment horizontal="center" vertical="center" wrapText="1"/>
    </xf>
    <xf numFmtId="167" fontId="22" fillId="0" borderId="9" xfId="0" applyNumberFormat="1" applyFont="1" applyBorder="1" applyAlignment="1">
      <alignment vertical="center" wrapText="1"/>
    </xf>
    <xf numFmtId="0" fontId="22" fillId="0" borderId="19" xfId="0" applyFont="1" applyBorder="1" applyAlignment="1">
      <alignment vertical="center"/>
    </xf>
    <xf numFmtId="0" fontId="22" fillId="0" borderId="1" xfId="0" applyFont="1" applyBorder="1" applyAlignment="1">
      <alignment vertical="center"/>
    </xf>
    <xf numFmtId="0" fontId="22" fillId="0" borderId="20" xfId="0" applyFont="1" applyBorder="1" applyAlignment="1">
      <alignment vertical="center"/>
    </xf>
    <xf numFmtId="0" fontId="14" fillId="0" borderId="5" xfId="0"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left" vertical="center" wrapText="1" indent="1"/>
    </xf>
    <xf numFmtId="0" fontId="22" fillId="6" borderId="1" xfId="0" applyFont="1" applyFill="1" applyBorder="1" applyAlignment="1">
      <alignment horizontal="center" vertical="center" wrapText="1"/>
    </xf>
    <xf numFmtId="167" fontId="22" fillId="6" borderId="9" xfId="0" applyNumberFormat="1" applyFont="1" applyFill="1" applyBorder="1" applyAlignment="1">
      <alignment vertical="center" wrapText="1"/>
    </xf>
    <xf numFmtId="0" fontId="22" fillId="6" borderId="19" xfId="0" applyFont="1" applyFill="1" applyBorder="1" applyAlignment="1">
      <alignment vertical="center"/>
    </xf>
    <xf numFmtId="0" fontId="22" fillId="6" borderId="1" xfId="0" applyFont="1" applyFill="1" applyBorder="1" applyAlignment="1">
      <alignment vertical="center"/>
    </xf>
    <xf numFmtId="0" fontId="22" fillId="6" borderId="20" xfId="0" applyFont="1" applyFill="1" applyBorder="1" applyAlignment="1">
      <alignment vertical="center"/>
    </xf>
    <xf numFmtId="0" fontId="14" fillId="6" borderId="5" xfId="0" applyFont="1" applyFill="1" applyBorder="1" applyAlignment="1">
      <alignment horizontal="center" vertical="center" wrapText="1"/>
    </xf>
    <xf numFmtId="0" fontId="14" fillId="6" borderId="1" xfId="0" applyFont="1" applyFill="1" applyBorder="1" applyAlignment="1">
      <alignment horizontal="left" vertical="center" wrapText="1" indent="1"/>
    </xf>
    <xf numFmtId="0" fontId="14" fillId="6" borderId="1" xfId="0" applyFont="1" applyFill="1" applyBorder="1" applyAlignment="1">
      <alignment horizontal="center" vertical="center" wrapText="1"/>
    </xf>
    <xf numFmtId="165" fontId="22" fillId="0" borderId="1" xfId="0" applyNumberFormat="1" applyFont="1" applyBorder="1" applyAlignment="1">
      <alignment horizontal="center" vertical="center" wrapText="1"/>
    </xf>
    <xf numFmtId="167" fontId="22" fillId="0" borderId="19" xfId="0" applyNumberFormat="1" applyFont="1" applyFill="1" applyBorder="1" applyAlignment="1">
      <alignment vertical="center"/>
    </xf>
    <xf numFmtId="167" fontId="22" fillId="0" borderId="1" xfId="0" applyNumberFormat="1" applyFont="1" applyFill="1" applyBorder="1" applyAlignment="1">
      <alignment vertical="center"/>
    </xf>
    <xf numFmtId="167" fontId="22" fillId="0" borderId="20" xfId="0" applyNumberFormat="1" applyFont="1" applyFill="1" applyBorder="1" applyAlignment="1">
      <alignment vertical="center"/>
    </xf>
    <xf numFmtId="1" fontId="22" fillId="0" borderId="1" xfId="0" applyNumberFormat="1" applyFont="1" applyBorder="1" applyAlignment="1">
      <alignment horizontal="center" vertical="center" wrapText="1"/>
    </xf>
    <xf numFmtId="3" fontId="22" fillId="0" borderId="1" xfId="0" applyNumberFormat="1" applyFont="1" applyBorder="1" applyAlignment="1">
      <alignment horizontal="center" vertical="center" wrapText="1"/>
    </xf>
    <xf numFmtId="167" fontId="22" fillId="0" borderId="20" xfId="0" applyNumberFormat="1" applyFont="1" applyBorder="1" applyAlignment="1">
      <alignment vertical="center"/>
    </xf>
    <xf numFmtId="1"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5" fontId="22" fillId="0" borderId="2"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6" borderId="11" xfId="0" applyFont="1" applyFill="1" applyBorder="1" applyAlignment="1">
      <alignment horizontal="center" vertical="center" wrapText="1"/>
    </xf>
    <xf numFmtId="0" fontId="14" fillId="6" borderId="2" xfId="0" applyFont="1" applyFill="1" applyBorder="1" applyAlignment="1">
      <alignment horizontal="center" vertical="center" wrapText="1"/>
    </xf>
    <xf numFmtId="1" fontId="27" fillId="6" borderId="1" xfId="0" applyNumberFormat="1" applyFont="1" applyFill="1" applyBorder="1" applyAlignment="1">
      <alignment horizontal="center" vertical="center" wrapText="1"/>
    </xf>
    <xf numFmtId="3" fontId="14" fillId="6" borderId="1" xfId="0" applyNumberFormat="1" applyFont="1" applyFill="1" applyBorder="1" applyAlignment="1">
      <alignment horizontal="center" vertical="center" wrapText="1"/>
    </xf>
    <xf numFmtId="167" fontId="14" fillId="6" borderId="9" xfId="0" applyNumberFormat="1" applyFont="1" applyFill="1" applyBorder="1" applyAlignment="1">
      <alignment vertical="center" wrapText="1"/>
    </xf>
    <xf numFmtId="0" fontId="14" fillId="6" borderId="19" xfId="0" applyFont="1" applyFill="1" applyBorder="1" applyAlignment="1">
      <alignment vertical="center"/>
    </xf>
    <xf numFmtId="0" fontId="14" fillId="6" borderId="1" xfId="0" applyFont="1" applyFill="1" applyBorder="1" applyAlignment="1">
      <alignment vertical="center"/>
    </xf>
    <xf numFmtId="167" fontId="14" fillId="6" borderId="20" xfId="0" applyNumberFormat="1" applyFont="1" applyFill="1" applyBorder="1" applyAlignment="1">
      <alignment vertical="center"/>
    </xf>
    <xf numFmtId="0" fontId="22" fillId="0" borderId="1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3" fontId="22" fillId="0" borderId="1" xfId="0" applyNumberFormat="1" applyFont="1" applyFill="1" applyBorder="1" applyAlignment="1">
      <alignment horizontal="center" vertical="center" wrapText="1"/>
    </xf>
    <xf numFmtId="167" fontId="22" fillId="0" borderId="9" xfId="0" applyNumberFormat="1" applyFont="1" applyFill="1" applyBorder="1" applyAlignment="1">
      <alignment vertical="center" wrapText="1"/>
    </xf>
    <xf numFmtId="1" fontId="22" fillId="0" borderId="1" xfId="0" applyNumberFormat="1" applyFont="1" applyFill="1" applyBorder="1" applyAlignment="1">
      <alignment horizontal="center" vertical="center" wrapText="1"/>
    </xf>
    <xf numFmtId="166" fontId="22" fillId="0" borderId="1"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167" fontId="14" fillId="0" borderId="9" xfId="0" applyNumberFormat="1" applyFont="1" applyBorder="1" applyAlignment="1">
      <alignment vertical="center" wrapText="1"/>
    </xf>
    <xf numFmtId="0" fontId="14" fillId="0" borderId="19" xfId="0" applyFont="1" applyBorder="1" applyAlignment="1">
      <alignment vertical="center"/>
    </xf>
    <xf numFmtId="0" fontId="14" fillId="0" borderId="1" xfId="0" applyFont="1" applyBorder="1" applyAlignment="1">
      <alignment vertical="center"/>
    </xf>
    <xf numFmtId="167" fontId="14" fillId="0" borderId="20" xfId="0" applyNumberFormat="1" applyFont="1" applyBorder="1" applyAlignment="1">
      <alignment vertical="center"/>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167" fontId="14" fillId="0" borderId="9" xfId="0" applyNumberFormat="1" applyFont="1" applyFill="1" applyBorder="1" applyAlignment="1">
      <alignment vertical="center" wrapText="1"/>
    </xf>
    <xf numFmtId="0" fontId="14" fillId="0" borderId="19" xfId="0" applyFont="1" applyFill="1" applyBorder="1" applyAlignment="1">
      <alignment vertical="center"/>
    </xf>
    <xf numFmtId="0" fontId="14" fillId="0" borderId="1" xfId="0" applyFont="1" applyFill="1" applyBorder="1" applyAlignment="1">
      <alignment vertical="center"/>
    </xf>
    <xf numFmtId="0" fontId="14" fillId="0" borderId="20" xfId="0" applyFont="1" applyFill="1" applyBorder="1" applyAlignment="1">
      <alignment vertical="center"/>
    </xf>
    <xf numFmtId="0" fontId="14" fillId="0" borderId="11" xfId="0" applyFont="1" applyFill="1" applyBorder="1" applyAlignment="1">
      <alignment horizontal="center" vertical="center" wrapText="1"/>
    </xf>
    <xf numFmtId="166" fontId="14" fillId="6"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6" borderId="8" xfId="0" applyFont="1" applyFill="1" applyBorder="1" applyAlignment="1">
      <alignment horizontal="center" vertical="center" wrapText="1"/>
    </xf>
    <xf numFmtId="0" fontId="22" fillId="0" borderId="14" xfId="0" applyFont="1" applyFill="1" applyBorder="1" applyAlignment="1">
      <alignment horizontal="center" vertical="center" wrapText="1"/>
    </xf>
    <xf numFmtId="165" fontId="22" fillId="0" borderId="1"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9" xfId="0" applyFont="1" applyBorder="1"/>
    <xf numFmtId="0" fontId="14" fillId="0" borderId="1" xfId="0" applyFont="1" applyBorder="1"/>
    <xf numFmtId="0" fontId="27" fillId="6" borderId="5"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165" fontId="27" fillId="6" borderId="1" xfId="0" applyNumberFormat="1" applyFont="1" applyFill="1" applyBorder="1" applyAlignment="1">
      <alignment horizontal="center" vertical="center" wrapText="1"/>
    </xf>
    <xf numFmtId="167" fontId="27" fillId="6" borderId="9" xfId="0" applyNumberFormat="1" applyFont="1" applyFill="1" applyBorder="1" applyAlignment="1">
      <alignment vertical="center" wrapText="1"/>
    </xf>
    <xf numFmtId="0" fontId="14" fillId="6" borderId="19" xfId="0" applyFont="1" applyFill="1" applyBorder="1"/>
    <xf numFmtId="0" fontId="14" fillId="6" borderId="1" xfId="0" applyFont="1" applyFill="1" applyBorder="1"/>
    <xf numFmtId="167" fontId="14" fillId="0" borderId="19" xfId="0" applyNumberFormat="1" applyFont="1" applyFill="1" applyBorder="1" applyAlignment="1">
      <alignment vertical="center"/>
    </xf>
    <xf numFmtId="167" fontId="14" fillId="0" borderId="1" xfId="0" applyNumberFormat="1" applyFont="1" applyFill="1" applyBorder="1" applyAlignment="1">
      <alignment vertical="center"/>
    </xf>
    <xf numFmtId="167" fontId="14" fillId="0" borderId="20" xfId="0" applyNumberFormat="1" applyFont="1" applyFill="1" applyBorder="1" applyAlignment="1">
      <alignment vertical="center"/>
    </xf>
    <xf numFmtId="165" fontId="14" fillId="0" borderId="1" xfId="0" applyNumberFormat="1" applyFont="1" applyBorder="1" applyAlignment="1">
      <alignment horizontal="center" vertical="center" wrapText="1"/>
    </xf>
    <xf numFmtId="3" fontId="14" fillId="6" borderId="12" xfId="0" applyNumberFormat="1" applyFont="1" applyFill="1" applyBorder="1" applyAlignment="1">
      <alignment horizontal="center" vertical="center" wrapText="1"/>
    </xf>
    <xf numFmtId="3" fontId="14" fillId="6" borderId="13" xfId="0" applyNumberFormat="1" applyFont="1" applyFill="1" applyBorder="1" applyAlignment="1">
      <alignment horizontal="center" vertical="center" wrapText="1"/>
    </xf>
    <xf numFmtId="3" fontId="14" fillId="6" borderId="11" xfId="0" applyNumberFormat="1" applyFont="1" applyFill="1" applyBorder="1" applyAlignment="1">
      <alignment horizontal="center" vertical="center" wrapText="1"/>
    </xf>
    <xf numFmtId="167" fontId="14" fillId="6" borderId="12" xfId="0" applyNumberFormat="1" applyFont="1" applyFill="1" applyBorder="1" applyAlignment="1">
      <alignment vertical="center" wrapText="1"/>
    </xf>
    <xf numFmtId="167" fontId="14" fillId="6" borderId="21" xfId="0" applyNumberFormat="1" applyFont="1" applyFill="1" applyBorder="1" applyAlignment="1">
      <alignment vertical="center"/>
    </xf>
    <xf numFmtId="167" fontId="14" fillId="6" borderId="2" xfId="0" applyNumberFormat="1" applyFont="1" applyFill="1" applyBorder="1" applyAlignment="1">
      <alignment vertical="center"/>
    </xf>
    <xf numFmtId="167" fontId="14" fillId="6" borderId="22" xfId="0" applyNumberFormat="1" applyFont="1" applyFill="1" applyBorder="1" applyAlignment="1">
      <alignment vertical="center"/>
    </xf>
    <xf numFmtId="0" fontId="14" fillId="0" borderId="11" xfId="0" applyFont="1" applyBorder="1" applyAlignment="1">
      <alignment horizontal="center" vertical="center" wrapText="1"/>
    </xf>
    <xf numFmtId="3" fontId="14" fillId="0" borderId="2" xfId="0" applyNumberFormat="1" applyFont="1" applyBorder="1" applyAlignment="1">
      <alignment horizontal="center" vertical="center" wrapText="1"/>
    </xf>
    <xf numFmtId="166" fontId="14" fillId="0" borderId="2" xfId="0" applyNumberFormat="1" applyFont="1" applyBorder="1" applyAlignment="1">
      <alignment horizontal="center" vertical="center" wrapText="1"/>
    </xf>
    <xf numFmtId="0" fontId="21" fillId="0" borderId="30" xfId="0" applyFont="1" applyBorder="1" applyAlignment="1">
      <alignment horizontal="left" vertical="center" wrapText="1" indent="1"/>
    </xf>
    <xf numFmtId="0" fontId="21" fillId="0" borderId="32" xfId="0" applyFont="1" applyBorder="1" applyAlignment="1">
      <alignment horizontal="center" vertical="center" wrapText="1"/>
    </xf>
    <xf numFmtId="0" fontId="14" fillId="0" borderId="32" xfId="0" applyFont="1" applyBorder="1" applyAlignment="1">
      <alignment horizontal="center" vertical="center" wrapText="1"/>
    </xf>
    <xf numFmtId="167" fontId="21" fillId="0" borderId="33" xfId="0" applyNumberFormat="1" applyFont="1" applyBorder="1" applyAlignment="1">
      <alignment vertical="center" wrapText="1"/>
    </xf>
    <xf numFmtId="167" fontId="21" fillId="0" borderId="35" xfId="0" applyNumberFormat="1" applyFont="1" applyFill="1" applyBorder="1" applyAlignment="1">
      <alignment vertical="center" wrapText="1"/>
    </xf>
    <xf numFmtId="167" fontId="21" fillId="0" borderId="32" xfId="0" applyNumberFormat="1" applyFont="1" applyFill="1" applyBorder="1" applyAlignment="1">
      <alignment vertical="center" wrapText="1"/>
    </xf>
    <xf numFmtId="167" fontId="21" fillId="0" borderId="36" xfId="0" applyNumberFormat="1" applyFont="1" applyFill="1" applyBorder="1" applyAlignment="1">
      <alignment vertical="center" wrapText="1"/>
    </xf>
    <xf numFmtId="0" fontId="14" fillId="0" borderId="3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 xfId="0" applyFont="1" applyBorder="1" applyAlignment="1">
      <alignment horizontal="center" vertical="center" wrapText="1"/>
    </xf>
    <xf numFmtId="167" fontId="14" fillId="0" borderId="27" xfId="0" applyNumberFormat="1" applyFont="1" applyBorder="1" applyAlignment="1">
      <alignment vertical="center" wrapText="1"/>
    </xf>
    <xf numFmtId="0" fontId="14" fillId="0" borderId="28" xfId="0" applyFont="1" applyBorder="1" applyAlignment="1">
      <alignment vertical="center"/>
    </xf>
    <xf numFmtId="0" fontId="14" fillId="0" borderId="15" xfId="0" applyFont="1" applyBorder="1" applyAlignment="1">
      <alignment vertical="center"/>
    </xf>
    <xf numFmtId="0" fontId="14" fillId="0" borderId="29" xfId="0" applyFont="1" applyBorder="1" applyAlignment="1">
      <alignment vertical="center"/>
    </xf>
    <xf numFmtId="0" fontId="14" fillId="0" borderId="20" xfId="0" applyFont="1" applyBorder="1" applyAlignment="1">
      <alignment vertical="center"/>
    </xf>
    <xf numFmtId="1" fontId="14" fillId="0" borderId="2" xfId="0" applyNumberFormat="1" applyFont="1" applyBorder="1" applyAlignment="1">
      <alignment horizontal="center" vertical="center" wrapText="1"/>
    </xf>
    <xf numFmtId="1" fontId="14" fillId="6" borderId="2" xfId="0" applyNumberFormat="1" applyFont="1" applyFill="1" applyBorder="1" applyAlignment="1">
      <alignment horizontal="center" vertical="center" wrapText="1"/>
    </xf>
    <xf numFmtId="1" fontId="22" fillId="0" borderId="2" xfId="0" applyNumberFormat="1" applyFont="1" applyBorder="1" applyAlignment="1">
      <alignment horizontal="center" vertical="center" wrapText="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21" xfId="0" applyFont="1" applyBorder="1" applyAlignment="1">
      <alignment vertical="center"/>
    </xf>
    <xf numFmtId="0" fontId="14" fillId="0" borderId="2" xfId="0" applyFont="1" applyBorder="1" applyAlignment="1">
      <alignment vertical="center"/>
    </xf>
    <xf numFmtId="0" fontId="14" fillId="0" borderId="22" xfId="0" applyFont="1" applyBorder="1" applyAlignment="1">
      <alignment vertical="center"/>
    </xf>
    <xf numFmtId="0" fontId="14" fillId="0" borderId="2" xfId="0" applyFont="1" applyBorder="1"/>
    <xf numFmtId="0" fontId="14" fillId="0" borderId="31" xfId="0" applyFont="1" applyBorder="1" applyAlignment="1">
      <alignment horizontal="center" vertical="center"/>
    </xf>
    <xf numFmtId="0" fontId="14" fillId="0" borderId="32" xfId="0" applyFont="1" applyBorder="1" applyAlignment="1">
      <alignment horizontal="center" vertical="center"/>
    </xf>
    <xf numFmtId="3" fontId="21" fillId="0" borderId="32" xfId="0" applyNumberFormat="1" applyFont="1" applyBorder="1" applyAlignment="1">
      <alignment vertical="center" wrapText="1"/>
    </xf>
    <xf numFmtId="0" fontId="21" fillId="6" borderId="40" xfId="0" applyFont="1" applyFill="1" applyBorder="1" applyAlignment="1">
      <alignment horizontal="left" vertical="center" wrapText="1" indent="1"/>
    </xf>
    <xf numFmtId="0" fontId="21" fillId="6" borderId="41" xfId="0" applyFont="1" applyFill="1" applyBorder="1" applyAlignment="1">
      <alignment horizontal="center" vertical="center" wrapText="1"/>
    </xf>
    <xf numFmtId="0" fontId="21" fillId="6" borderId="42" xfId="0" applyFont="1" applyFill="1" applyBorder="1" applyAlignment="1">
      <alignment horizontal="center" vertical="center" wrapText="1"/>
    </xf>
    <xf numFmtId="3" fontId="21" fillId="6" borderId="43" xfId="0" applyNumberFormat="1" applyFont="1" applyFill="1" applyBorder="1" applyAlignment="1">
      <alignment horizontal="center" vertical="center" wrapText="1"/>
    </xf>
    <xf numFmtId="167" fontId="21" fillId="6" borderId="43" xfId="0" applyNumberFormat="1" applyFont="1" applyFill="1" applyBorder="1" applyAlignment="1">
      <alignment vertical="center" wrapText="1"/>
    </xf>
    <xf numFmtId="167" fontId="21" fillId="6" borderId="45" xfId="0" applyNumberFormat="1" applyFont="1" applyFill="1" applyBorder="1" applyAlignment="1">
      <alignment vertical="center" wrapText="1"/>
    </xf>
    <xf numFmtId="167" fontId="21" fillId="6" borderId="42" xfId="0" applyNumberFormat="1" applyFont="1" applyFill="1" applyBorder="1" applyAlignment="1">
      <alignment vertical="center" wrapText="1"/>
    </xf>
    <xf numFmtId="167" fontId="21" fillId="6" borderId="46" xfId="0" applyNumberFormat="1" applyFont="1" applyFill="1" applyBorder="1" applyAlignment="1">
      <alignment vertical="center" wrapText="1"/>
    </xf>
    <xf numFmtId="0" fontId="21" fillId="0" borderId="17" xfId="0" applyFont="1" applyBorder="1" applyAlignment="1">
      <alignment horizontal="center" vertical="center" wrapText="1"/>
    </xf>
    <xf numFmtId="3" fontId="21" fillId="0" borderId="17" xfId="0" applyNumberFormat="1" applyFont="1" applyBorder="1" applyAlignment="1">
      <alignment vertical="center" wrapText="1"/>
    </xf>
    <xf numFmtId="0" fontId="21" fillId="0" borderId="40" xfId="0" applyFont="1" applyBorder="1" applyAlignment="1">
      <alignment horizontal="left" vertical="center" wrapText="1" inden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3" fontId="21" fillId="0" borderId="43" xfId="0" applyNumberFormat="1" applyFont="1" applyBorder="1" applyAlignment="1">
      <alignment horizontal="center" vertical="center" wrapText="1"/>
    </xf>
    <xf numFmtId="0" fontId="21" fillId="6" borderId="47" xfId="0" applyFont="1" applyFill="1" applyBorder="1" applyAlignment="1">
      <alignment horizontal="left" vertical="center" wrapText="1" indent="1"/>
    </xf>
    <xf numFmtId="0" fontId="21" fillId="6" borderId="8" xfId="0" applyFont="1" applyFill="1" applyBorder="1" applyAlignment="1">
      <alignment horizontal="center" vertical="center" wrapText="1"/>
    </xf>
    <xf numFmtId="0" fontId="21" fillId="6" borderId="3" xfId="0" applyFont="1" applyFill="1" applyBorder="1" applyAlignment="1">
      <alignment horizontal="center" vertical="center" wrapText="1"/>
    </xf>
    <xf numFmtId="3" fontId="21" fillId="6" borderId="37" xfId="0" applyNumberFormat="1" applyFont="1" applyFill="1" applyBorder="1" applyAlignment="1">
      <alignment horizontal="center" vertical="center" wrapText="1"/>
    </xf>
    <xf numFmtId="167" fontId="21" fillId="6" borderId="37" xfId="0" applyNumberFormat="1" applyFont="1" applyFill="1" applyBorder="1" applyAlignment="1">
      <alignment vertical="center" wrapText="1"/>
    </xf>
    <xf numFmtId="167" fontId="21" fillId="6" borderId="38" xfId="0" applyNumberFormat="1" applyFont="1" applyFill="1" applyBorder="1" applyAlignment="1">
      <alignment vertical="center" wrapText="1"/>
    </xf>
    <xf numFmtId="167" fontId="21" fillId="6" borderId="3" xfId="0" applyNumberFormat="1" applyFont="1" applyFill="1" applyBorder="1" applyAlignment="1">
      <alignment vertical="center" wrapText="1"/>
    </xf>
    <xf numFmtId="167" fontId="21" fillId="6" borderId="39" xfId="0" applyNumberFormat="1" applyFont="1" applyFill="1" applyBorder="1" applyAlignment="1">
      <alignment vertical="center" wrapText="1"/>
    </xf>
    <xf numFmtId="0" fontId="21" fillId="0" borderId="47" xfId="0" applyFont="1" applyBorder="1" applyAlignment="1">
      <alignment horizontal="left" vertical="center" wrapText="1" indent="1"/>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3" fontId="21" fillId="0" borderId="37" xfId="0" applyNumberFormat="1" applyFont="1" applyBorder="1" applyAlignment="1">
      <alignment horizontal="center" vertical="center" wrapText="1"/>
    </xf>
    <xf numFmtId="0" fontId="21" fillId="0" borderId="23" xfId="0" applyFont="1" applyBorder="1" applyAlignment="1">
      <alignment horizontal="left" vertical="center" wrapText="1" indent="1"/>
    </xf>
    <xf numFmtId="0" fontId="14" fillId="0" borderId="24" xfId="0" applyFont="1" applyBorder="1" applyAlignment="1">
      <alignment horizontal="center" vertical="center" wrapText="1"/>
    </xf>
    <xf numFmtId="3" fontId="14" fillId="0" borderId="24" xfId="0" applyNumberFormat="1" applyFont="1" applyBorder="1" applyAlignment="1">
      <alignment horizontal="center" vertical="center" wrapText="1"/>
    </xf>
    <xf numFmtId="167" fontId="21" fillId="0" borderId="48" xfId="0" applyNumberFormat="1" applyFont="1" applyBorder="1" applyAlignment="1">
      <alignment vertical="center" wrapText="1"/>
    </xf>
    <xf numFmtId="167" fontId="21" fillId="0" borderId="23" xfId="0" applyNumberFormat="1" applyFont="1" applyFill="1" applyBorder="1" applyAlignment="1">
      <alignment vertical="center" wrapText="1"/>
    </xf>
    <xf numFmtId="167" fontId="21" fillId="0" borderId="24" xfId="0" applyNumberFormat="1" applyFont="1" applyFill="1" applyBorder="1" applyAlignment="1">
      <alignment vertical="center" wrapText="1"/>
    </xf>
    <xf numFmtId="167" fontId="21" fillId="0" borderId="25" xfId="0" applyNumberFormat="1" applyFont="1" applyFill="1" applyBorder="1" applyAlignment="1">
      <alignment vertical="center" wrapText="1"/>
    </xf>
    <xf numFmtId="0" fontId="14" fillId="0" borderId="24" xfId="0" applyFont="1" applyBorder="1"/>
    <xf numFmtId="3" fontId="14" fillId="0" borderId="24" xfId="0" applyNumberFormat="1" applyFont="1" applyBorder="1"/>
    <xf numFmtId="0" fontId="21" fillId="0" borderId="35" xfId="0" applyFont="1" applyBorder="1" applyAlignment="1">
      <alignment horizontal="left" vertical="center" wrapText="1" indent="1"/>
    </xf>
    <xf numFmtId="0" fontId="14" fillId="0" borderId="32" xfId="0" applyFont="1" applyBorder="1"/>
    <xf numFmtId="3" fontId="14" fillId="0" borderId="32" xfId="0" applyNumberFormat="1" applyFont="1" applyBorder="1"/>
    <xf numFmtId="167" fontId="21" fillId="0" borderId="33" xfId="0" applyNumberFormat="1" applyFont="1" applyBorder="1"/>
    <xf numFmtId="167" fontId="21" fillId="0" borderId="35" xfId="0" applyNumberFormat="1" applyFont="1" applyFill="1" applyBorder="1"/>
    <xf numFmtId="167" fontId="21" fillId="0" borderId="32" xfId="0" applyNumberFormat="1" applyFont="1" applyFill="1" applyBorder="1"/>
    <xf numFmtId="167" fontId="21" fillId="0" borderId="36" xfId="0" applyNumberFormat="1" applyFont="1" applyFill="1" applyBorder="1"/>
    <xf numFmtId="167" fontId="21" fillId="0" borderId="36" xfId="0" applyNumberFormat="1" applyFont="1" applyBorder="1"/>
    <xf numFmtId="0" fontId="21" fillId="0" borderId="0" xfId="0" applyFont="1" applyAlignment="1">
      <alignment horizontal="left" vertical="center" wrapText="1" indent="1"/>
    </xf>
    <xf numFmtId="0" fontId="14" fillId="0" borderId="0" xfId="0" applyFont="1" applyAlignment="1">
      <alignment vertical="center"/>
    </xf>
    <xf numFmtId="0" fontId="21" fillId="0" borderId="0" xfId="0" applyFont="1" applyAlignment="1">
      <alignment vertical="center"/>
    </xf>
    <xf numFmtId="0" fontId="29" fillId="0" borderId="0" xfId="0" applyFont="1" applyAlignment="1">
      <alignment vertical="center"/>
    </xf>
    <xf numFmtId="0" fontId="11"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4" fillId="0" borderId="0" xfId="0" applyFont="1" applyFill="1"/>
    <xf numFmtId="0" fontId="22" fillId="0" borderId="9" xfId="0" applyFont="1" applyBorder="1" applyAlignment="1">
      <alignment vertical="center"/>
    </xf>
    <xf numFmtId="167" fontId="14" fillId="0" borderId="12" xfId="0" applyNumberFormat="1" applyFont="1" applyBorder="1"/>
    <xf numFmtId="0" fontId="21" fillId="0" borderId="32" xfId="0" applyFont="1" applyBorder="1" applyAlignment="1">
      <alignment vertical="center" wrapText="1"/>
    </xf>
    <xf numFmtId="0" fontId="21" fillId="6" borderId="44" xfId="0" applyFont="1" applyFill="1" applyBorder="1" applyAlignment="1">
      <alignment horizontal="center" vertical="center" wrapText="1"/>
    </xf>
    <xf numFmtId="0" fontId="21" fillId="0" borderId="17" xfId="0" applyFont="1" applyBorder="1" applyAlignment="1">
      <alignment vertical="center" wrapText="1"/>
    </xf>
    <xf numFmtId="0" fontId="21" fillId="0" borderId="44" xfId="0" applyFont="1" applyBorder="1" applyAlignment="1">
      <alignment horizontal="center" vertical="center" wrapText="1"/>
    </xf>
    <xf numFmtId="0" fontId="21" fillId="6"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4" fillId="0" borderId="34" xfId="0" applyFont="1" applyBorder="1"/>
    <xf numFmtId="3" fontId="14" fillId="0" borderId="34" xfId="0" applyNumberFormat="1" applyFont="1" applyBorder="1"/>
    <xf numFmtId="3" fontId="14" fillId="0" borderId="0" xfId="0" applyNumberFormat="1" applyFont="1"/>
    <xf numFmtId="0" fontId="14" fillId="3" borderId="40" xfId="0" applyFont="1" applyFill="1" applyBorder="1"/>
    <xf numFmtId="0" fontId="14" fillId="3" borderId="44" xfId="0" applyFont="1" applyFill="1" applyBorder="1"/>
    <xf numFmtId="3" fontId="14" fillId="3" borderId="49" xfId="0" applyNumberFormat="1" applyFont="1" applyFill="1" applyBorder="1"/>
    <xf numFmtId="0" fontId="14" fillId="3" borderId="47" xfId="0" applyFont="1" applyFill="1" applyBorder="1"/>
    <xf numFmtId="0" fontId="14" fillId="3" borderId="0" xfId="0" applyFont="1" applyFill="1" applyBorder="1"/>
    <xf numFmtId="3" fontId="22" fillId="3" borderId="20" xfId="0" applyNumberFormat="1" applyFont="1" applyFill="1" applyBorder="1"/>
    <xf numFmtId="3" fontId="21" fillId="3" borderId="20" xfId="0" applyNumberFormat="1" applyFont="1" applyFill="1" applyBorder="1" applyAlignment="1">
      <alignment horizontal="center" vertical="center" wrapText="1"/>
    </xf>
    <xf numFmtId="0" fontId="14" fillId="0" borderId="50" xfId="0" applyFont="1" applyBorder="1" applyAlignment="1">
      <alignment horizontal="left" vertical="center" wrapText="1" indent="1"/>
    </xf>
    <xf numFmtId="0" fontId="14" fillId="6" borderId="50" xfId="0" applyFont="1" applyFill="1" applyBorder="1" applyAlignment="1">
      <alignment horizontal="left" vertical="center" wrapText="1" indent="1"/>
    </xf>
    <xf numFmtId="0" fontId="14" fillId="6" borderId="51" xfId="0" applyFont="1" applyFill="1" applyBorder="1" applyAlignment="1">
      <alignment horizontal="left" vertical="center" wrapText="1" indent="1"/>
    </xf>
    <xf numFmtId="0" fontId="14" fillId="0" borderId="51" xfId="0" applyFont="1" applyBorder="1" applyAlignment="1">
      <alignment horizontal="left" vertical="center" wrapText="1" indent="1"/>
    </xf>
    <xf numFmtId="0" fontId="14" fillId="0" borderId="52" xfId="0" applyFont="1" applyBorder="1" applyAlignment="1">
      <alignment horizontal="left" vertical="center" wrapText="1" indent="1"/>
    </xf>
    <xf numFmtId="0" fontId="21" fillId="5" borderId="40" xfId="0" applyFont="1" applyFill="1" applyBorder="1" applyAlignment="1">
      <alignment horizontal="left"/>
    </xf>
    <xf numFmtId="0" fontId="14" fillId="5" borderId="44" xfId="0" applyFont="1" applyFill="1" applyBorder="1"/>
    <xf numFmtId="0" fontId="14" fillId="5" borderId="47" xfId="0" applyFont="1" applyFill="1" applyBorder="1"/>
    <xf numFmtId="0" fontId="14" fillId="5" borderId="0" xfId="0" applyFont="1" applyFill="1" applyBorder="1"/>
    <xf numFmtId="0" fontId="21" fillId="5" borderId="20" xfId="0" applyFont="1" applyFill="1" applyBorder="1" applyAlignment="1">
      <alignment horizontal="center" vertical="center" wrapText="1"/>
    </xf>
    <xf numFmtId="167" fontId="14" fillId="0" borderId="20" xfId="0" applyNumberFormat="1" applyFont="1" applyBorder="1" applyAlignment="1">
      <alignment vertical="center" wrapText="1"/>
    </xf>
    <xf numFmtId="0" fontId="14" fillId="0" borderId="50" xfId="0" applyFont="1" applyFill="1" applyBorder="1" applyAlignment="1">
      <alignment horizontal="left" vertical="center" wrapText="1" indent="3"/>
    </xf>
    <xf numFmtId="0" fontId="14" fillId="0" borderId="50" xfId="0" applyFont="1" applyFill="1" applyBorder="1" applyAlignment="1">
      <alignment horizontal="left" vertical="center" wrapText="1" indent="1"/>
    </xf>
    <xf numFmtId="0" fontId="14" fillId="0" borderId="50" xfId="0" applyFont="1" applyBorder="1" applyAlignment="1">
      <alignment horizontal="left" vertical="center" wrapText="1" indent="3"/>
    </xf>
    <xf numFmtId="0" fontId="14" fillId="6" borderId="50" xfId="0" applyFont="1" applyFill="1" applyBorder="1" applyAlignment="1">
      <alignment horizontal="left" vertical="center" wrapText="1" indent="3"/>
    </xf>
    <xf numFmtId="0" fontId="14" fillId="0" borderId="51" xfId="0" applyFont="1" applyBorder="1" applyAlignment="1">
      <alignment horizontal="left" vertical="center" wrapText="1" indent="3"/>
    </xf>
    <xf numFmtId="0" fontId="14" fillId="0" borderId="30" xfId="0" applyFont="1" applyBorder="1" applyAlignment="1">
      <alignment horizontal="left" vertical="center" wrapText="1" indent="3"/>
    </xf>
    <xf numFmtId="0" fontId="14" fillId="0" borderId="59" xfId="0" applyFont="1" applyBorder="1" applyAlignment="1">
      <alignment horizontal="left" vertical="center" wrapText="1" indent="1"/>
    </xf>
    <xf numFmtId="0" fontId="21" fillId="0" borderId="35" xfId="0" applyFont="1" applyBorder="1" applyAlignment="1">
      <alignment horizontal="left" vertical="center" indent="1"/>
    </xf>
    <xf numFmtId="0" fontId="21" fillId="0" borderId="16" xfId="0" applyFont="1" applyBorder="1" applyAlignment="1">
      <alignment horizontal="left" vertical="center" wrapText="1" indent="1"/>
    </xf>
    <xf numFmtId="0" fontId="21" fillId="0" borderId="19" xfId="0" applyFont="1" applyBorder="1" applyAlignment="1">
      <alignment horizontal="left" vertical="center" wrapText="1" indent="1"/>
    </xf>
    <xf numFmtId="0" fontId="21" fillId="0" borderId="59" xfId="0" applyFont="1" applyBorder="1" applyAlignment="1">
      <alignment horizontal="left" vertical="center" wrapText="1" indent="1"/>
    </xf>
    <xf numFmtId="0" fontId="14" fillId="4" borderId="44" xfId="0" applyFont="1" applyFill="1" applyBorder="1" applyAlignment="1">
      <alignment vertical="center"/>
    </xf>
    <xf numFmtId="0" fontId="14" fillId="4" borderId="49" xfId="0" applyFont="1" applyFill="1" applyBorder="1" applyAlignment="1">
      <alignment vertical="center"/>
    </xf>
    <xf numFmtId="0" fontId="22" fillId="4" borderId="0" xfId="0" applyFont="1" applyFill="1" applyBorder="1"/>
    <xf numFmtId="0" fontId="22" fillId="4" borderId="0" xfId="0" applyFont="1" applyFill="1" applyBorder="1" applyAlignment="1">
      <alignment horizontal="center"/>
    </xf>
    <xf numFmtId="0" fontId="22" fillId="4" borderId="0" xfId="0" applyFont="1" applyFill="1" applyBorder="1" applyAlignment="1">
      <alignment vertical="center"/>
    </xf>
    <xf numFmtId="0" fontId="22" fillId="4" borderId="58" xfId="0" applyFont="1" applyFill="1" applyBorder="1" applyAlignment="1">
      <alignment vertical="center"/>
    </xf>
    <xf numFmtId="1" fontId="22" fillId="4" borderId="0" xfId="0" applyNumberFormat="1" applyFont="1" applyFill="1" applyBorder="1" applyAlignment="1">
      <alignment horizontal="center"/>
    </xf>
    <xf numFmtId="0" fontId="14" fillId="0" borderId="50" xfId="0" applyFont="1" applyBorder="1" applyAlignment="1">
      <alignment horizontal="left" vertical="center" wrapText="1" indent="5"/>
    </xf>
    <xf numFmtId="0" fontId="14" fillId="6" borderId="51" xfId="0" applyFont="1" applyFill="1" applyBorder="1" applyAlignment="1">
      <alignment horizontal="left" vertical="center" wrapText="1" indent="5"/>
    </xf>
    <xf numFmtId="0" fontId="22" fillId="0" borderId="51" xfId="0" applyFont="1" applyFill="1" applyBorder="1" applyAlignment="1">
      <alignment horizontal="left" vertical="center" wrapText="1" indent="5"/>
    </xf>
    <xf numFmtId="0" fontId="14" fillId="0" borderId="51" xfId="0" applyFont="1" applyBorder="1" applyAlignment="1">
      <alignment horizontal="left" vertical="center" wrapText="1" indent="5"/>
    </xf>
    <xf numFmtId="0" fontId="14" fillId="6" borderId="50" xfId="0" applyFont="1" applyFill="1" applyBorder="1" applyAlignment="1">
      <alignment horizontal="left" vertical="center" wrapText="1" indent="5"/>
    </xf>
    <xf numFmtId="0" fontId="22" fillId="0" borderId="50" xfId="0" applyFont="1" applyFill="1" applyBorder="1" applyAlignment="1">
      <alignment horizontal="left" vertical="center" wrapText="1" indent="5"/>
    </xf>
    <xf numFmtId="0" fontId="22" fillId="0" borderId="50" xfId="0" applyFont="1" applyBorder="1" applyAlignment="1">
      <alignment horizontal="left" vertical="center" wrapText="1" indent="5"/>
    </xf>
    <xf numFmtId="0" fontId="14" fillId="0" borderId="60" xfId="0" applyFont="1" applyFill="1" applyBorder="1" applyAlignment="1">
      <alignment horizontal="left" vertical="center" wrapText="1" indent="3"/>
    </xf>
    <xf numFmtId="0" fontId="14" fillId="0" borderId="19" xfId="0" applyFont="1" applyFill="1" applyBorder="1" applyAlignment="1">
      <alignment horizontal="left" vertical="center" wrapText="1" indent="5"/>
    </xf>
    <xf numFmtId="0" fontId="14" fillId="0" borderId="19" xfId="0" applyFont="1" applyFill="1" applyBorder="1" applyAlignment="1">
      <alignment horizontal="left" vertical="center" indent="5"/>
    </xf>
    <xf numFmtId="0" fontId="14" fillId="0" borderId="19" xfId="0" applyFont="1" applyFill="1" applyBorder="1" applyAlignment="1">
      <alignment horizontal="left" vertical="center" wrapText="1" indent="3"/>
    </xf>
    <xf numFmtId="0" fontId="14" fillId="0" borderId="0" xfId="0" applyFont="1" applyAlignment="1">
      <alignment horizontal="center" vertical="center"/>
    </xf>
    <xf numFmtId="0" fontId="14" fillId="5" borderId="49" xfId="0" applyFont="1" applyFill="1" applyBorder="1" applyAlignment="1">
      <alignment horizontal="center" vertical="center"/>
    </xf>
    <xf numFmtId="0" fontId="14" fillId="5" borderId="58" xfId="0" applyFont="1" applyFill="1" applyBorder="1" applyAlignment="1">
      <alignment horizontal="center" vertical="center"/>
    </xf>
    <xf numFmtId="0" fontId="14" fillId="0" borderId="20" xfId="0" applyFont="1" applyBorder="1" applyAlignment="1">
      <alignment horizontal="center" vertical="center" wrapText="1"/>
    </xf>
    <xf numFmtId="6" fontId="14" fillId="0" borderId="20" xfId="0" applyNumberFormat="1" applyFont="1" applyBorder="1" applyAlignment="1">
      <alignment horizontal="center" vertical="center" wrapText="1"/>
    </xf>
    <xf numFmtId="167" fontId="14" fillId="0" borderId="20" xfId="0" applyNumberFormat="1" applyFont="1" applyBorder="1" applyAlignment="1">
      <alignment horizontal="center" vertical="center" wrapText="1"/>
    </xf>
    <xf numFmtId="6" fontId="14" fillId="6" borderId="20" xfId="0" applyNumberFormat="1" applyFont="1" applyFill="1" applyBorder="1" applyAlignment="1">
      <alignment horizontal="center" vertical="center" wrapText="1"/>
    </xf>
    <xf numFmtId="167" fontId="14" fillId="0" borderId="20"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6" fontId="14" fillId="0" borderId="20" xfId="0" applyNumberFormat="1" applyFont="1" applyFill="1" applyBorder="1" applyAlignment="1">
      <alignment horizontal="center" vertical="center" wrapText="1"/>
    </xf>
    <xf numFmtId="6" fontId="14" fillId="0" borderId="22" xfId="0" applyNumberFormat="1" applyFont="1" applyBorder="1" applyAlignment="1">
      <alignment horizontal="center" vertical="center" wrapText="1"/>
    </xf>
    <xf numFmtId="6" fontId="21" fillId="0" borderId="36" xfId="0" applyNumberFormat="1" applyFont="1" applyBorder="1" applyAlignment="1">
      <alignment horizontal="center" vertical="center" wrapText="1"/>
    </xf>
    <xf numFmtId="0" fontId="14" fillId="0" borderId="29" xfId="0" applyFont="1" applyBorder="1" applyAlignment="1">
      <alignment horizontal="center" vertical="center" wrapText="1"/>
    </xf>
    <xf numFmtId="0" fontId="14" fillId="0" borderId="22" xfId="0" applyFont="1" applyBorder="1" applyAlignment="1">
      <alignment horizontal="center" vertical="center"/>
    </xf>
    <xf numFmtId="6" fontId="21" fillId="0" borderId="18" xfId="0" applyNumberFormat="1" applyFont="1" applyBorder="1" applyAlignment="1">
      <alignment horizontal="center" vertical="center" wrapText="1"/>
    </xf>
    <xf numFmtId="6" fontId="21" fillId="0" borderId="20" xfId="0" applyNumberFormat="1" applyFont="1" applyBorder="1" applyAlignment="1">
      <alignment horizontal="center" vertical="center" wrapText="1"/>
    </xf>
    <xf numFmtId="6" fontId="21" fillId="0" borderId="25" xfId="0" applyNumberFormat="1" applyFont="1" applyBorder="1" applyAlignment="1">
      <alignment horizontal="center" vertical="center"/>
    </xf>
    <xf numFmtId="0" fontId="14" fillId="7" borderId="53" xfId="0" applyFont="1" applyFill="1" applyBorder="1" applyAlignment="1">
      <alignment horizontal="center" vertical="center"/>
    </xf>
    <xf numFmtId="0" fontId="22" fillId="7" borderId="54" xfId="0" applyFont="1" applyFill="1" applyBorder="1" applyAlignment="1">
      <alignment horizontal="center" vertical="center"/>
    </xf>
    <xf numFmtId="0" fontId="23" fillId="7" borderId="56" xfId="0" applyFont="1" applyFill="1" applyBorder="1" applyAlignment="1">
      <alignment horizontal="center" vertical="center" wrapText="1"/>
    </xf>
    <xf numFmtId="167" fontId="22" fillId="7" borderId="56" xfId="0" applyNumberFormat="1" applyFont="1" applyFill="1" applyBorder="1" applyAlignment="1">
      <alignment horizontal="center" vertical="center"/>
    </xf>
    <xf numFmtId="167" fontId="22" fillId="7" borderId="57" xfId="0" applyNumberFormat="1" applyFont="1" applyFill="1" applyBorder="1" applyAlignment="1">
      <alignment horizontal="center" vertical="center"/>
    </xf>
    <xf numFmtId="0" fontId="14" fillId="7" borderId="54" xfId="0" applyFont="1" applyFill="1" applyBorder="1" applyAlignment="1">
      <alignment horizontal="center" vertical="center"/>
    </xf>
    <xf numFmtId="0" fontId="21" fillId="7" borderId="55" xfId="0" applyFont="1" applyFill="1" applyBorder="1" applyAlignment="1">
      <alignment horizontal="center" vertical="center" wrapText="1"/>
    </xf>
    <xf numFmtId="167" fontId="14" fillId="7" borderId="56" xfId="0" applyNumberFormat="1" applyFont="1" applyFill="1" applyBorder="1" applyAlignment="1">
      <alignment horizontal="center" vertical="center" wrapText="1"/>
    </xf>
    <xf numFmtId="167" fontId="14" fillId="7" borderId="57" xfId="0" applyNumberFormat="1" applyFont="1" applyFill="1" applyBorder="1" applyAlignment="1">
      <alignment horizontal="center" vertical="center" wrapText="1"/>
    </xf>
    <xf numFmtId="167" fontId="14" fillId="6" borderId="20" xfId="0" applyNumberFormat="1" applyFont="1" applyFill="1" applyBorder="1" applyAlignment="1">
      <alignment vertical="center" wrapText="1"/>
    </xf>
    <xf numFmtId="167" fontId="14" fillId="0" borderId="22" xfId="0" applyNumberFormat="1" applyFont="1" applyBorder="1" applyAlignment="1">
      <alignment vertical="center" wrapText="1"/>
    </xf>
    <xf numFmtId="167" fontId="21" fillId="0" borderId="36" xfId="0" applyNumberFormat="1" applyFont="1" applyBorder="1" applyAlignment="1">
      <alignment vertical="center" wrapText="1"/>
    </xf>
    <xf numFmtId="167" fontId="14" fillId="0" borderId="29" xfId="0" applyNumberFormat="1" applyFont="1" applyBorder="1" applyAlignment="1">
      <alignment vertical="center" wrapText="1"/>
    </xf>
    <xf numFmtId="167" fontId="14" fillId="0" borderId="22" xfId="0" applyNumberFormat="1" applyFont="1" applyBorder="1"/>
    <xf numFmtId="167" fontId="21" fillId="0" borderId="46" xfId="0" applyNumberFormat="1" applyFont="1" applyBorder="1" applyAlignment="1">
      <alignment vertical="center" wrapText="1"/>
    </xf>
    <xf numFmtId="167" fontId="21" fillId="0" borderId="39" xfId="0" applyNumberFormat="1" applyFont="1" applyBorder="1" applyAlignment="1">
      <alignment vertical="center" wrapText="1"/>
    </xf>
    <xf numFmtId="167" fontId="21" fillId="0" borderId="25" xfId="0" applyNumberFormat="1" applyFont="1" applyBorder="1" applyAlignment="1">
      <alignment vertical="center" wrapText="1"/>
    </xf>
    <xf numFmtId="0" fontId="21" fillId="4" borderId="47" xfId="0" applyFont="1" applyFill="1" applyBorder="1"/>
    <xf numFmtId="3" fontId="2" fillId="3" borderId="26" xfId="0" applyNumberFormat="1" applyFont="1" applyFill="1" applyBorder="1" applyAlignment="1">
      <alignment horizontal="center" vertical="center" wrapText="1"/>
    </xf>
    <xf numFmtId="6" fontId="14" fillId="0" borderId="0" xfId="0" applyNumberFormat="1" applyFont="1"/>
    <xf numFmtId="6" fontId="14" fillId="0" borderId="0" xfId="0" applyNumberFormat="1" applyFont="1" applyAlignment="1">
      <alignment horizontal="left" vertical="distributed" wrapText="1"/>
    </xf>
    <xf numFmtId="8" fontId="14" fillId="0" borderId="0" xfId="0" applyNumberFormat="1" applyFont="1"/>
    <xf numFmtId="0" fontId="5" fillId="8" borderId="1" xfId="0" applyFont="1" applyFill="1" applyBorder="1" applyAlignment="1">
      <alignment horizontal="left" vertical="center" wrapText="1" indent="1"/>
    </xf>
    <xf numFmtId="0" fontId="14" fillId="0" borderId="0" xfId="0" applyNumberFormat="1" applyFont="1"/>
    <xf numFmtId="0" fontId="14" fillId="0" borderId="0" xfId="0" applyNumberFormat="1" applyFont="1" applyAlignment="1">
      <alignment horizontal="left" vertical="distributed" wrapText="1"/>
    </xf>
    <xf numFmtId="0" fontId="11" fillId="0" borderId="0" xfId="0" applyNumberFormat="1" applyFont="1" applyAlignment="1">
      <alignment horizontal="left" vertical="distributed"/>
    </xf>
    <xf numFmtId="0" fontId="5"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1" fillId="0" borderId="0" xfId="0" applyFont="1"/>
    <xf numFmtId="0" fontId="0" fillId="0" borderId="0" xfId="0"/>
    <xf numFmtId="0" fontId="14" fillId="5" borderId="0" xfId="0" applyFont="1" applyFill="1"/>
    <xf numFmtId="6" fontId="2" fillId="5" borderId="1" xfId="0" applyNumberFormat="1" applyFont="1" applyFill="1" applyBorder="1" applyAlignment="1">
      <alignment vertical="center" wrapText="1"/>
    </xf>
    <xf numFmtId="6" fontId="14"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4" fillId="4" borderId="0" xfId="0" applyFont="1" applyFill="1"/>
    <xf numFmtId="44" fontId="10" fillId="4" borderId="1" xfId="1" applyFont="1" applyFill="1" applyBorder="1"/>
    <xf numFmtId="0" fontId="10" fillId="4" borderId="1" xfId="0" applyFont="1" applyFill="1" applyBorder="1"/>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7"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4" fillId="7" borderId="0" xfId="0" applyNumberFormat="1" applyFont="1" applyFill="1"/>
    <xf numFmtId="0" fontId="17"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1" fontId="17"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xf>
    <xf numFmtId="6" fontId="14" fillId="0" borderId="1" xfId="0" applyNumberFormat="1" applyFont="1" applyBorder="1" applyAlignment="1">
      <alignment horizontal="center" vertical="center"/>
    </xf>
    <xf numFmtId="0" fontId="14" fillId="6" borderId="1" xfId="0" applyFont="1" applyFill="1" applyBorder="1" applyAlignment="1">
      <alignment horizontal="center" vertical="center"/>
    </xf>
    <xf numFmtId="6" fontId="14" fillId="6" borderId="1" xfId="0" applyNumberFormat="1" applyFont="1" applyFill="1" applyBorder="1" applyAlignment="1">
      <alignment horizontal="center" vertical="center"/>
    </xf>
    <xf numFmtId="0" fontId="14"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4"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6" fontId="14" fillId="0" borderId="1" xfId="0" applyNumberFormat="1" applyFont="1" applyBorder="1" applyAlignment="1">
      <alignment horizontal="center" vertical="center" wrapText="1"/>
    </xf>
    <xf numFmtId="8" fontId="14" fillId="0" borderId="1" xfId="0" applyNumberFormat="1" applyFont="1" applyBorder="1" applyAlignment="1">
      <alignment horizontal="center" vertical="center"/>
    </xf>
    <xf numFmtId="6" fontId="14" fillId="5" borderId="1"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10" fillId="0" borderId="4" xfId="0" applyFont="1" applyFill="1" applyBorder="1" applyAlignment="1">
      <alignment horizontal="left" vertical="center" wrapText="1" inden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65" fontId="10" fillId="0" borderId="2" xfId="0" quotePrefix="1" applyNumberFormat="1" applyFont="1" applyFill="1" applyBorder="1" applyAlignment="1">
      <alignment horizontal="center" vertical="center" wrapText="1"/>
    </xf>
    <xf numFmtId="166" fontId="10" fillId="0" borderId="1" xfId="0" quotePrefix="1" applyNumberFormat="1" applyFont="1" applyFill="1" applyBorder="1" applyAlignment="1">
      <alignment horizontal="center" vertical="center" wrapText="1"/>
    </xf>
    <xf numFmtId="4" fontId="10" fillId="0" borderId="1" xfId="0" quotePrefix="1" applyNumberFormat="1" applyFont="1" applyFill="1" applyBorder="1" applyAlignment="1">
      <alignment horizontal="center" vertical="center" wrapText="1"/>
    </xf>
    <xf numFmtId="0" fontId="39" fillId="0" borderId="0" xfId="0" applyFont="1"/>
    <xf numFmtId="0" fontId="40" fillId="0" borderId="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26" xfId="0" applyFont="1" applyBorder="1" applyAlignment="1">
      <alignment horizontal="center" vertical="center" wrapText="1"/>
    </xf>
    <xf numFmtId="0" fontId="2" fillId="0" borderId="26" xfId="0" applyFont="1" applyBorder="1" applyAlignment="1">
      <alignment horizontal="center" vertical="center" wrapText="1"/>
    </xf>
    <xf numFmtId="0" fontId="37" fillId="0" borderId="15" xfId="0" applyFont="1" applyBorder="1" applyAlignment="1">
      <alignment wrapText="1"/>
    </xf>
    <xf numFmtId="0" fontId="5" fillId="0" borderId="26" xfId="0" applyFont="1" applyBorder="1" applyAlignment="1">
      <alignment horizontal="center" vertical="center" wrapText="1"/>
    </xf>
    <xf numFmtId="0" fontId="5" fillId="0" borderId="26" xfId="0" applyFont="1" applyBorder="1" applyAlignment="1">
      <alignment vertical="center" wrapText="1"/>
    </xf>
    <xf numFmtId="0" fontId="37" fillId="0" borderId="15" xfId="0" applyFont="1" applyBorder="1" applyAlignment="1">
      <alignment horizontal="left" wrapText="1" indent="1"/>
    </xf>
    <xf numFmtId="6" fontId="37" fillId="0" borderId="26" xfId="0" applyNumberFormat="1" applyFont="1" applyBorder="1" applyAlignment="1">
      <alignment vertical="center" wrapText="1"/>
    </xf>
    <xf numFmtId="8" fontId="37" fillId="0" borderId="26" xfId="0" applyNumberFormat="1" applyFont="1" applyBorder="1" applyAlignment="1">
      <alignment vertical="center" wrapText="1"/>
    </xf>
    <xf numFmtId="0" fontId="37" fillId="0" borderId="26" xfId="0" applyFont="1" applyBorder="1" applyAlignment="1">
      <alignment horizontal="center" vertical="center" wrapText="1"/>
    </xf>
    <xf numFmtId="0" fontId="40" fillId="0" borderId="1" xfId="0" applyFont="1" applyBorder="1" applyAlignment="1">
      <alignment wrapText="1"/>
    </xf>
    <xf numFmtId="6" fontId="40" fillId="0" borderId="1" xfId="0" applyNumberFormat="1" applyFont="1" applyBorder="1" applyAlignment="1">
      <alignment vertical="center" wrapText="1"/>
    </xf>
    <xf numFmtId="0" fontId="0" fillId="0" borderId="0" xfId="0" applyFill="1"/>
    <xf numFmtId="0" fontId="10" fillId="0" borderId="4" xfId="2" applyFont="1" applyFill="1" applyBorder="1" applyAlignment="1">
      <alignment horizontal="left" vertical="center" wrapText="1" indent="1"/>
    </xf>
    <xf numFmtId="0" fontId="42" fillId="0" borderId="0" xfId="0" applyFont="1" applyFill="1"/>
    <xf numFmtId="7" fontId="10" fillId="8" borderId="1" xfId="1" applyNumberFormat="1" applyFont="1" applyFill="1" applyBorder="1" applyAlignment="1">
      <alignment horizontal="center"/>
    </xf>
    <xf numFmtId="0" fontId="9" fillId="0" borderId="0" xfId="0" applyFont="1" applyFill="1"/>
    <xf numFmtId="0" fontId="8" fillId="0" borderId="0" xfId="0" applyFont="1"/>
    <xf numFmtId="0" fontId="2"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horizontal="left" wrapText="1" indent="1"/>
    </xf>
    <xf numFmtId="8" fontId="5" fillId="0" borderId="1" xfId="0" applyNumberFormat="1" applyFont="1" applyBorder="1" applyAlignment="1">
      <alignment vertical="center" wrapText="1"/>
    </xf>
    <xf numFmtId="0" fontId="5" fillId="0" borderId="1" xfId="0" applyFont="1" applyBorder="1" applyAlignment="1">
      <alignment horizontal="left" wrapText="1" indent="2"/>
    </xf>
    <xf numFmtId="3" fontId="5" fillId="0" borderId="1" xfId="0" applyNumberFormat="1" applyFont="1" applyBorder="1" applyAlignment="1">
      <alignment horizontal="center" vertical="center" wrapText="1"/>
    </xf>
    <xf numFmtId="0" fontId="9" fillId="0" borderId="37" xfId="0" applyFont="1" applyBorder="1" applyAlignment="1">
      <alignment horizontal="left" vertical="top" wrapText="1"/>
    </xf>
    <xf numFmtId="0" fontId="9" fillId="0" borderId="0" xfId="0" applyFont="1" applyAlignment="1">
      <alignment horizontal="left" vertical="top" wrapText="1"/>
    </xf>
    <xf numFmtId="0" fontId="2" fillId="0" borderId="1" xfId="0" applyFont="1" applyBorder="1" applyAlignment="1">
      <alignment wrapText="1"/>
    </xf>
    <xf numFmtId="0" fontId="5" fillId="0" borderId="1" xfId="0" applyFont="1" applyBorder="1" applyAlignment="1">
      <alignment horizontal="left" wrapText="1" indent="3"/>
    </xf>
    <xf numFmtId="2" fontId="5" fillId="0" borderId="1" xfId="0" applyNumberFormat="1" applyFont="1" applyBorder="1" applyAlignment="1">
      <alignment horizontal="center" vertical="center" wrapText="1"/>
    </xf>
    <xf numFmtId="0" fontId="8" fillId="0" borderId="1" xfId="0" applyFont="1" applyBorder="1"/>
    <xf numFmtId="0" fontId="2" fillId="0" borderId="0" xfId="0" applyFont="1"/>
    <xf numFmtId="0" fontId="6" fillId="0" borderId="0" xfId="0" applyFont="1"/>
    <xf numFmtId="0" fontId="31" fillId="0" borderId="0" xfId="0" applyFont="1"/>
    <xf numFmtId="0" fontId="5" fillId="0" borderId="0" xfId="0" applyFont="1"/>
    <xf numFmtId="1" fontId="10" fillId="0" borderId="1" xfId="0" applyNumberFormat="1" applyFont="1" applyFill="1" applyBorder="1" applyAlignment="1">
      <alignment horizontal="center" vertical="center" wrapText="1"/>
    </xf>
    <xf numFmtId="0" fontId="10" fillId="0" borderId="61" xfId="0" applyFont="1" applyFill="1" applyBorder="1" applyAlignment="1">
      <alignment horizontal="left" vertical="center" wrapText="1" indent="2"/>
    </xf>
    <xf numFmtId="0" fontId="10" fillId="0" borderId="26"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5" xfId="0" applyFont="1" applyFill="1" applyBorder="1" applyAlignment="1">
      <alignment horizontal="center" vertical="center" wrapText="1"/>
    </xf>
    <xf numFmtId="167" fontId="10" fillId="0" borderId="15" xfId="0" applyNumberFormat="1" applyFont="1" applyFill="1" applyBorder="1" applyAlignment="1">
      <alignment vertical="center" wrapText="1"/>
    </xf>
    <xf numFmtId="0" fontId="10" fillId="0" borderId="0" xfId="0" applyFont="1"/>
    <xf numFmtId="0" fontId="10" fillId="0" borderId="0" xfId="0" applyFont="1" applyAlignment="1">
      <alignment horizontal="center"/>
    </xf>
    <xf numFmtId="14" fontId="10" fillId="0" borderId="0" xfId="0" applyNumberFormat="1" applyFont="1"/>
    <xf numFmtId="167" fontId="10" fillId="0" borderId="1" xfId="0" applyNumberFormat="1" applyFont="1" applyBorder="1" applyAlignment="1">
      <alignment horizontal="center" wrapText="1"/>
    </xf>
    <xf numFmtId="0" fontId="42" fillId="0" borderId="0" xfId="0" applyFont="1"/>
    <xf numFmtId="167" fontId="33" fillId="0" borderId="1" xfId="0" applyNumberFormat="1" applyFont="1" applyBorder="1" applyAlignment="1">
      <alignment horizontal="center" vertical="center" wrapText="1"/>
    </xf>
    <xf numFmtId="0" fontId="33" fillId="0" borderId="1" xfId="0" applyFont="1" applyBorder="1"/>
    <xf numFmtId="0" fontId="10" fillId="0" borderId="5" xfId="0" applyFont="1" applyBorder="1" applyAlignment="1">
      <alignment horizontal="center" vertical="center" wrapText="1"/>
    </xf>
    <xf numFmtId="0" fontId="10" fillId="0" borderId="1" xfId="0" applyFont="1" applyBorder="1" applyAlignment="1">
      <alignment horizontal="left" vertical="center" wrapText="1" indent="1"/>
    </xf>
    <xf numFmtId="0" fontId="10" fillId="0" borderId="1" xfId="0" applyFont="1" applyBorder="1" applyAlignment="1">
      <alignment horizontal="center" vertical="center" wrapText="1"/>
    </xf>
    <xf numFmtId="167" fontId="10" fillId="0" borderId="1" xfId="0" applyNumberFormat="1" applyFont="1" applyBorder="1" applyAlignment="1">
      <alignment vertical="center" wrapText="1"/>
    </xf>
    <xf numFmtId="0" fontId="10" fillId="0" borderId="0" xfId="0" applyFont="1" applyAlignment="1">
      <alignment horizontal="center" vertical="center"/>
    </xf>
    <xf numFmtId="167" fontId="10" fillId="0" borderId="1" xfId="0" applyNumberFormat="1" applyFont="1" applyBorder="1"/>
    <xf numFmtId="0" fontId="10" fillId="0" borderId="1" xfId="0" quotePrefix="1" applyFont="1" applyBorder="1" applyAlignment="1">
      <alignment horizontal="center" vertical="center" wrapText="1"/>
    </xf>
    <xf numFmtId="165" fontId="10" fillId="0" borderId="2" xfId="0" quotePrefix="1" applyNumberFormat="1" applyFont="1" applyBorder="1" applyAlignment="1">
      <alignment horizontal="center" vertical="center" wrapText="1"/>
    </xf>
    <xf numFmtId="165" fontId="10" fillId="0" borderId="1" xfId="0" quotePrefix="1" applyNumberFormat="1" applyFont="1" applyBorder="1" applyAlignment="1">
      <alignment horizontal="center" vertical="center" wrapText="1"/>
    </xf>
    <xf numFmtId="166" fontId="10" fillId="0" borderId="1" xfId="0" quotePrefix="1" applyNumberFormat="1" applyFont="1" applyBorder="1" applyAlignment="1">
      <alignment horizontal="center" vertical="center" wrapText="1"/>
    </xf>
    <xf numFmtId="4" fontId="10" fillId="0" borderId="1" xfId="0" quotePrefix="1" applyNumberFormat="1" applyFont="1" applyBorder="1" applyAlignment="1">
      <alignment horizontal="center" vertical="center" wrapText="1"/>
    </xf>
    <xf numFmtId="0" fontId="10" fillId="0" borderId="2" xfId="0" applyFont="1" applyBorder="1" applyAlignment="1">
      <alignment horizontal="center" vertical="center" wrapText="1"/>
    </xf>
    <xf numFmtId="0" fontId="33" fillId="0" borderId="1" xfId="0" applyFont="1" applyBorder="1" applyAlignment="1">
      <alignment horizontal="center" vertical="center"/>
    </xf>
    <xf numFmtId="0" fontId="10" fillId="0" borderId="2" xfId="0" applyFont="1" applyBorder="1" applyAlignment="1">
      <alignment horizontal="center" vertical="center"/>
    </xf>
    <xf numFmtId="3" fontId="10" fillId="0" borderId="1" xfId="0" applyNumberFormat="1" applyFont="1" applyBorder="1" applyAlignment="1">
      <alignment horizontal="center" vertical="center" wrapText="1"/>
    </xf>
    <xf numFmtId="1" fontId="33"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167" fontId="33" fillId="0" borderId="1" xfId="0" applyNumberFormat="1" applyFont="1" applyBorder="1" applyAlignment="1">
      <alignment vertical="center" wrapText="1"/>
    </xf>
    <xf numFmtId="167" fontId="10" fillId="0" borderId="2" xfId="0" applyNumberFormat="1" applyFont="1" applyBorder="1"/>
    <xf numFmtId="167" fontId="10" fillId="0" borderId="0" xfId="0" applyNumberFormat="1" applyFont="1" applyAlignment="1">
      <alignment horizont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wrapText="1"/>
    </xf>
    <xf numFmtId="167" fontId="35" fillId="0" borderId="2" xfId="0" applyNumberFormat="1" applyFont="1" applyBorder="1" applyAlignment="1">
      <alignment vertical="center" wrapText="1"/>
    </xf>
    <xf numFmtId="3" fontId="33" fillId="0" borderId="1" xfId="0" applyNumberFormat="1" applyFont="1" applyBorder="1"/>
    <xf numFmtId="167" fontId="10" fillId="0" borderId="0" xfId="0" applyNumberFormat="1" applyFont="1"/>
    <xf numFmtId="8" fontId="10" fillId="0" borderId="0" xfId="0" applyNumberFormat="1" applyFont="1" applyAlignment="1">
      <alignment horizontal="center"/>
    </xf>
    <xf numFmtId="0" fontId="0" fillId="0" borderId="0" xfId="0" applyBorder="1"/>
    <xf numFmtId="0" fontId="37" fillId="0" borderId="1" xfId="0"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10" fillId="0" borderId="4" xfId="0" applyFont="1" applyFill="1" applyBorder="1" applyAlignment="1">
      <alignment vertical="center" wrapText="1"/>
    </xf>
    <xf numFmtId="0" fontId="10" fillId="0" borderId="0" xfId="0" applyFont="1" applyFill="1" applyBorder="1" applyAlignment="1">
      <alignment vertical="center" wrapText="1"/>
    </xf>
    <xf numFmtId="2" fontId="0" fillId="0" borderId="0" xfId="0" applyNumberFormat="1"/>
    <xf numFmtId="2" fontId="0" fillId="0" borderId="0" xfId="0" applyNumberFormat="1" applyFill="1" applyAlignment="1">
      <alignment vertical="top" wrapText="1"/>
    </xf>
    <xf numFmtId="2" fontId="0" fillId="0" borderId="0" xfId="0" applyNumberFormat="1" applyFill="1" applyAlignment="1">
      <alignment vertical="center" wrapText="1"/>
    </xf>
    <xf numFmtId="2" fontId="43" fillId="0" borderId="0" xfId="0" applyNumberFormat="1" applyFont="1" applyFill="1" applyAlignment="1">
      <alignment vertical="center" wrapText="1"/>
    </xf>
    <xf numFmtId="2" fontId="10" fillId="0" borderId="1" xfId="0" applyNumberFormat="1" applyFont="1" applyFill="1" applyBorder="1" applyAlignment="1">
      <alignment horizontal="center" vertical="center" wrapText="1"/>
    </xf>
    <xf numFmtId="0" fontId="10" fillId="0" borderId="2" xfId="0" applyFont="1" applyBorder="1" applyAlignment="1">
      <alignment horizontal="center"/>
    </xf>
    <xf numFmtId="0" fontId="10" fillId="0" borderId="1" xfId="0" applyFont="1" applyBorder="1" applyAlignment="1">
      <alignment horizontal="center"/>
    </xf>
    <xf numFmtId="167" fontId="33" fillId="0" borderId="1" xfId="0" applyNumberFormat="1" applyFont="1" applyBorder="1" applyAlignment="1">
      <alignment horizontal="right" vertical="center" wrapText="1"/>
    </xf>
    <xf numFmtId="0" fontId="10" fillId="0" borderId="10" xfId="0" applyFont="1" applyBorder="1"/>
    <xf numFmtId="3" fontId="10" fillId="0" borderId="10" xfId="0" applyNumberFormat="1" applyFont="1" applyBorder="1"/>
    <xf numFmtId="167" fontId="33" fillId="0" borderId="1" xfId="0" applyNumberFormat="1" applyFont="1" applyBorder="1"/>
    <xf numFmtId="0" fontId="33" fillId="0" borderId="6" xfId="0" applyFont="1" applyFill="1" applyBorder="1" applyAlignment="1">
      <alignment horizontal="left" vertical="center" wrapText="1" indent="1"/>
    </xf>
    <xf numFmtId="0" fontId="10" fillId="0" borderId="11" xfId="0" quotePrefix="1" applyFont="1" applyFill="1" applyBorder="1" applyAlignment="1">
      <alignment horizontal="center" vertical="center" wrapText="1"/>
    </xf>
    <xf numFmtId="0" fontId="10" fillId="0" borderId="2" xfId="0" quotePrefix="1" applyFont="1" applyFill="1" applyBorder="1" applyAlignment="1">
      <alignment horizontal="center" vertical="center" wrapText="1"/>
    </xf>
    <xf numFmtId="167" fontId="33" fillId="0" borderId="2" xfId="0" applyNumberFormat="1" applyFont="1" applyFill="1" applyBorder="1" applyAlignment="1">
      <alignment vertical="center" wrapText="1"/>
    </xf>
    <xf numFmtId="0" fontId="12" fillId="0" borderId="0" xfId="0" applyFont="1"/>
    <xf numFmtId="3"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6" fontId="5" fillId="0" borderId="1"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1" fontId="5" fillId="0" borderId="26" xfId="0" applyNumberFormat="1" applyFont="1" applyFill="1" applyBorder="1" applyAlignment="1">
      <alignment horizontal="center" vertical="center" wrapText="1"/>
    </xf>
    <xf numFmtId="8" fontId="37" fillId="0" borderId="26" xfId="0" applyNumberFormat="1" applyFont="1" applyFill="1" applyBorder="1" applyAlignment="1">
      <alignment vertical="center" wrapText="1"/>
    </xf>
    <xf numFmtId="0" fontId="37" fillId="0" borderId="26" xfId="0" applyFont="1" applyFill="1" applyBorder="1" applyAlignment="1">
      <alignment horizontal="center" vertical="center" wrapText="1"/>
    </xf>
    <xf numFmtId="0" fontId="10" fillId="0" borderId="0" xfId="0" applyFont="1" applyFill="1"/>
    <xf numFmtId="0" fontId="33" fillId="0" borderId="4" xfId="0" applyFont="1" applyFill="1" applyBorder="1" applyAlignment="1">
      <alignment horizontal="left" vertical="center" wrapText="1" indent="1"/>
    </xf>
    <xf numFmtId="0" fontId="10" fillId="0" borderId="61" xfId="0" applyFont="1" applyFill="1" applyBorder="1"/>
    <xf numFmtId="0" fontId="10" fillId="0" borderId="63" xfId="0" applyFont="1" applyFill="1" applyBorder="1" applyAlignment="1">
      <alignment horizontal="left" vertical="center" wrapText="1" indent="2"/>
    </xf>
    <xf numFmtId="0" fontId="10" fillId="0" borderId="63" xfId="0" applyFont="1" applyFill="1" applyBorder="1" applyAlignment="1">
      <alignment horizontal="left" vertical="center" wrapText="1" indent="3"/>
    </xf>
    <xf numFmtId="0" fontId="10" fillId="0" borderId="62" xfId="0" applyFont="1" applyFill="1" applyBorder="1" applyAlignment="1">
      <alignment horizontal="left" vertical="center" wrapText="1" indent="2"/>
    </xf>
    <xf numFmtId="0" fontId="10" fillId="0" borderId="61" xfId="0" applyFont="1" applyFill="1" applyBorder="1" applyAlignment="1">
      <alignment horizontal="left" vertical="center" wrapText="1" indent="3"/>
    </xf>
    <xf numFmtId="0" fontId="35" fillId="0" borderId="6" xfId="0" applyFont="1" applyFill="1" applyBorder="1" applyAlignment="1">
      <alignment horizontal="left" vertical="center" wrapText="1" indent="1"/>
    </xf>
    <xf numFmtId="0" fontId="33" fillId="0" borderId="1" xfId="0" applyFont="1" applyFill="1" applyBorder="1" applyAlignment="1">
      <alignment horizontal="left" vertical="center" wrapText="1" indent="1"/>
    </xf>
    <xf numFmtId="0" fontId="33" fillId="0" borderId="9" xfId="0" applyFont="1" applyFill="1" applyBorder="1" applyAlignment="1">
      <alignment horizontal="left" vertical="center" wrapText="1" indent="1"/>
    </xf>
    <xf numFmtId="0" fontId="33" fillId="0" borderId="0" xfId="0" applyFont="1" applyFill="1" applyAlignment="1">
      <alignment vertical="center"/>
    </xf>
    <xf numFmtId="0" fontId="39" fillId="0" borderId="0" xfId="0" applyFont="1" applyFill="1"/>
    <xf numFmtId="0" fontId="40" fillId="0" borderId="1"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37" fillId="0" borderId="15" xfId="0" applyFont="1" applyFill="1" applyBorder="1" applyAlignment="1">
      <alignment wrapText="1"/>
    </xf>
    <xf numFmtId="0" fontId="37" fillId="0" borderId="15" xfId="0" applyFont="1" applyFill="1" applyBorder="1" applyAlignment="1">
      <alignment horizontal="left" wrapText="1" indent="1"/>
    </xf>
    <xf numFmtId="165" fontId="5" fillId="0" borderId="26" xfId="0" applyNumberFormat="1" applyFont="1" applyFill="1" applyBorder="1" applyAlignment="1">
      <alignment horizontal="center" vertical="center" wrapText="1"/>
    </xf>
    <xf numFmtId="165" fontId="37" fillId="0" borderId="26" xfId="0" applyNumberFormat="1" applyFont="1" applyFill="1" applyBorder="1" applyAlignment="1">
      <alignment horizontal="center" vertical="center" wrapText="1"/>
    </xf>
    <xf numFmtId="0" fontId="40" fillId="0" borderId="1" xfId="0" applyFont="1" applyFill="1" applyBorder="1" applyAlignment="1">
      <alignment wrapText="1"/>
    </xf>
    <xf numFmtId="3"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31" xfId="0" applyFont="1" applyBorder="1" applyAlignment="1">
      <alignment horizontal="center" vertical="center" wrapText="1"/>
    </xf>
    <xf numFmtId="0" fontId="5" fillId="0" borderId="5" xfId="0" applyFont="1" applyBorder="1" applyAlignment="1">
      <alignment horizontal="center" vertical="center" wrapText="1"/>
    </xf>
    <xf numFmtId="0" fontId="2" fillId="4" borderId="1" xfId="0" applyFont="1" applyFill="1" applyBorder="1" applyAlignment="1">
      <alignment horizontal="center" vertical="center" wrapText="1"/>
    </xf>
    <xf numFmtId="1" fontId="10" fillId="0" borderId="1" xfId="0" applyNumberFormat="1" applyFont="1" applyBorder="1" applyAlignment="1">
      <alignment horizontal="center" vertical="center" wrapText="1"/>
    </xf>
    <xf numFmtId="166" fontId="10" fillId="0" borderId="1" xfId="0" applyNumberFormat="1" applyFont="1" applyFill="1" applyBorder="1" applyAlignment="1">
      <alignment horizontal="center" vertical="center" wrapText="1"/>
    </xf>
    <xf numFmtId="0" fontId="0" fillId="0" borderId="1" xfId="0" applyFill="1" applyBorder="1"/>
    <xf numFmtId="0" fontId="45" fillId="0" borderId="0" xfId="0" applyFont="1"/>
    <xf numFmtId="6" fontId="44" fillId="0" borderId="0" xfId="0" applyNumberFormat="1" applyFont="1"/>
    <xf numFmtId="0" fontId="39" fillId="0" borderId="1" xfId="0" applyFont="1" applyBorder="1" applyAlignment="1">
      <alignment horizontal="center" vertical="center" wrapText="1"/>
    </xf>
    <xf numFmtId="0" fontId="10" fillId="0" borderId="0" xfId="0" applyFont="1" applyFill="1" applyAlignment="1">
      <alignment vertical="top" wrapText="1"/>
    </xf>
    <xf numFmtId="0" fontId="10" fillId="0" borderId="0" xfId="0" applyFont="1" applyFill="1" applyAlignment="1">
      <alignment vertical="center" wrapText="1"/>
    </xf>
    <xf numFmtId="0" fontId="10" fillId="0" borderId="13" xfId="0" applyFont="1" applyFill="1" applyBorder="1" applyAlignment="1">
      <alignment horizontal="left" vertical="top" wrapText="1"/>
    </xf>
    <xf numFmtId="0" fontId="10" fillId="0" borderId="0" xfId="0" applyFont="1" applyFill="1" applyAlignment="1">
      <alignment horizontal="left" vertical="top" wrapText="1"/>
    </xf>
    <xf numFmtId="0" fontId="14" fillId="0" borderId="0" xfId="0" applyFont="1" applyFill="1" applyAlignment="1">
      <alignment horizontal="left" vertical="top" wrapText="1"/>
    </xf>
    <xf numFmtId="0" fontId="32" fillId="0" borderId="0" xfId="0" applyFont="1" applyAlignment="1">
      <alignment wrapText="1"/>
    </xf>
    <xf numFmtId="0" fontId="0" fillId="0" borderId="0" xfId="0" applyAlignment="1">
      <alignment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3" fontId="33" fillId="0" borderId="9" xfId="0" applyNumberFormat="1" applyFont="1" applyBorder="1" applyAlignment="1">
      <alignment horizontal="center" vertical="center" wrapText="1"/>
    </xf>
    <xf numFmtId="3" fontId="33" fillId="0" borderId="10" xfId="0" applyNumberFormat="1" applyFont="1" applyBorder="1" applyAlignment="1">
      <alignment horizontal="center" vertical="center" wrapText="1"/>
    </xf>
    <xf numFmtId="3" fontId="33" fillId="0" borderId="5"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1" fillId="0" borderId="0" xfId="0" applyFont="1" applyAlignment="1">
      <alignment horizontal="left" vertical="center" wrapText="1"/>
    </xf>
    <xf numFmtId="0" fontId="31" fillId="0" borderId="0" xfId="0" applyFont="1" applyFill="1" applyAlignment="1">
      <alignment horizontal="left" vertical="center" wrapText="1"/>
    </xf>
    <xf numFmtId="0" fontId="10" fillId="0" borderId="0" xfId="0" applyFont="1" applyFill="1" applyAlignment="1">
      <alignment horizontal="left" vertical="center" wrapText="1"/>
    </xf>
    <xf numFmtId="0" fontId="10"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31" fillId="0" borderId="0" xfId="0" applyFont="1" applyAlignment="1">
      <alignment vertical="center" wrapText="1"/>
    </xf>
    <xf numFmtId="0" fontId="10" fillId="0" borderId="0" xfId="0" applyFont="1" applyAlignment="1">
      <alignment vertical="center" wrapText="1"/>
    </xf>
    <xf numFmtId="0" fontId="31" fillId="0" borderId="0" xfId="0" applyFont="1" applyAlignment="1">
      <alignment wrapText="1"/>
    </xf>
    <xf numFmtId="0" fontId="5" fillId="0" borderId="0" xfId="0" applyFont="1" applyAlignment="1">
      <alignment horizontal="left" vertical="top" wrapText="1"/>
    </xf>
    <xf numFmtId="0" fontId="5" fillId="0" borderId="0" xfId="0" applyFont="1" applyAlignment="1">
      <alignment wrapText="1"/>
    </xf>
    <xf numFmtId="0" fontId="2" fillId="0" borderId="0" xfId="0" applyFont="1" applyAlignment="1">
      <alignment wrapText="1"/>
    </xf>
    <xf numFmtId="0" fontId="5" fillId="0" borderId="0" xfId="0" applyFont="1" applyFill="1" applyAlignment="1">
      <alignment horizontal="left" vertical="top" wrapText="1"/>
    </xf>
    <xf numFmtId="0" fontId="0" fillId="0" borderId="0" xfId="0" applyFill="1" applyAlignment="1">
      <alignment horizontal="left" vertical="top" wrapText="1"/>
    </xf>
    <xf numFmtId="0" fontId="40" fillId="0" borderId="2"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5" xfId="0" applyFont="1" applyBorder="1" applyAlignment="1">
      <alignment horizontal="center" vertical="center" wrapText="1"/>
    </xf>
    <xf numFmtId="0" fontId="7" fillId="0" borderId="0" xfId="0" applyFont="1" applyAlignment="1">
      <alignment horizontal="left" vertical="top" wrapText="1"/>
    </xf>
    <xf numFmtId="0" fontId="43" fillId="0" borderId="0" xfId="0" applyFont="1" applyFill="1" applyAlignment="1">
      <alignment horizontal="left" vertical="top"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40" fillId="0" borderId="15" xfId="0" applyFont="1" applyBorder="1" applyAlignment="1">
      <alignment horizontal="center"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21" fillId="5" borderId="21" xfId="0" applyFont="1" applyFill="1" applyBorder="1" applyAlignment="1">
      <alignment horizontal="center" vertical="center" wrapText="1"/>
    </xf>
    <xf numFmtId="0" fontId="21" fillId="5" borderId="38" xfId="0" applyFont="1" applyFill="1" applyBorder="1" applyAlignment="1">
      <alignment horizontal="center" vertical="center" wrapText="1"/>
    </xf>
    <xf numFmtId="0" fontId="29" fillId="0" borderId="0" xfId="0" applyFont="1" applyAlignment="1">
      <alignment vertical="center" wrapText="1"/>
    </xf>
    <xf numFmtId="0" fontId="27" fillId="0" borderId="0" xfId="0" applyFont="1" applyAlignment="1">
      <alignment wrapText="1"/>
    </xf>
    <xf numFmtId="0" fontId="28" fillId="0" borderId="0" xfId="0" applyFont="1" applyAlignment="1">
      <alignment vertical="center" wrapText="1"/>
    </xf>
    <xf numFmtId="0" fontId="22" fillId="0" borderId="0" xfId="0" applyFont="1" applyAlignment="1">
      <alignment wrapText="1"/>
    </xf>
    <xf numFmtId="0" fontId="27" fillId="0" borderId="0" xfId="0" applyFont="1" applyAlignment="1">
      <alignment horizontal="left" vertical="center" wrapText="1"/>
    </xf>
    <xf numFmtId="0" fontId="21" fillId="4" borderId="40" xfId="0" applyFont="1" applyFill="1" applyBorder="1" applyAlignment="1">
      <alignment vertical="top" wrapText="1"/>
    </xf>
    <xf numFmtId="0" fontId="14" fillId="4" borderId="44" xfId="0" applyFont="1" applyFill="1" applyBorder="1" applyAlignment="1">
      <alignment vertical="top"/>
    </xf>
    <xf numFmtId="0" fontId="21" fillId="4" borderId="21" xfId="0" applyFont="1" applyFill="1" applyBorder="1" applyAlignment="1">
      <alignment horizontal="center" vertical="center" wrapText="1"/>
    </xf>
    <xf numFmtId="0" fontId="21" fillId="4" borderId="38" xfId="0" applyFont="1" applyFill="1" applyBorder="1" applyAlignment="1">
      <alignment horizontal="center" vertical="center" wrapText="1"/>
    </xf>
    <xf numFmtId="3" fontId="21" fillId="0" borderId="33" xfId="0" applyNumberFormat="1" applyFont="1" applyBorder="1" applyAlignment="1">
      <alignment horizontal="center" vertical="center" wrapText="1"/>
    </xf>
    <xf numFmtId="3" fontId="21" fillId="0" borderId="34" xfId="0" applyNumberFormat="1" applyFont="1" applyBorder="1" applyAlignment="1">
      <alignment horizontal="center" vertical="center" wrapText="1"/>
    </xf>
    <xf numFmtId="3" fontId="21" fillId="0" borderId="31" xfId="0" applyNumberFormat="1" applyFont="1" applyBorder="1" applyAlignment="1">
      <alignment horizontal="center" vertical="center" wrapText="1"/>
    </xf>
    <xf numFmtId="0" fontId="21" fillId="0" borderId="34" xfId="0" applyFont="1" applyBorder="1" applyAlignment="1">
      <alignment horizontal="center" vertical="center" wrapText="1"/>
    </xf>
    <xf numFmtId="0" fontId="21" fillId="0" borderId="31" xfId="0" applyFont="1" applyBorder="1" applyAlignment="1">
      <alignment horizontal="center" vertical="center" wrapText="1"/>
    </xf>
    <xf numFmtId="0" fontId="26" fillId="0" borderId="0" xfId="0" applyFont="1" applyAlignment="1">
      <alignment vertical="center" wrapText="1"/>
    </xf>
    <xf numFmtId="0" fontId="14" fillId="0" borderId="0" xfId="0" applyFont="1" applyAlignment="1">
      <alignment wrapText="1"/>
    </xf>
    <xf numFmtId="0" fontId="28" fillId="0" borderId="0" xfId="0" applyFont="1" applyAlignment="1">
      <alignment horizontal="left" vertical="center" wrapText="1"/>
    </xf>
    <xf numFmtId="0" fontId="21" fillId="3" borderId="21"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0" fillId="0" borderId="0" xfId="0" applyFont="1" applyAlignment="1">
      <alignment vertical="center" wrapText="1"/>
    </xf>
    <xf numFmtId="0" fontId="19" fillId="0" borderId="0" xfId="0" applyFont="1" applyAlignment="1">
      <alignment wrapText="1"/>
    </xf>
    <xf numFmtId="0" fontId="6" fillId="0" borderId="0" xfId="0" applyFont="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cellXfs>
  <cellStyles count="3">
    <cellStyle name="Currency" xfId="1" builtinId="4"/>
    <cellStyle name="Neutral" xfId="2" builtinId="28"/>
    <cellStyle name="Normal" xfId="0" builtinId="0"/>
  </cellStyles>
  <dxfs count="0"/>
  <tableStyles count="0" defaultTableStyle="TableStyleMedium2" defaultPivotStyle="PivotStyleLight16"/>
  <colors>
    <mruColors>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2D3BF-5162-4495-AFE0-32F31616D2BE}">
  <dimension ref="A1:J22"/>
  <sheetViews>
    <sheetView showGridLines="0" topLeftCell="A7" workbookViewId="0">
      <selection activeCell="A22" sqref="A22:G22"/>
    </sheetView>
  </sheetViews>
  <sheetFormatPr defaultRowHeight="15" x14ac:dyDescent="0.25"/>
  <cols>
    <col min="1" max="1" width="34.140625" customWidth="1"/>
    <col min="2" max="6" width="15.5703125" customWidth="1"/>
    <col min="7" max="7" width="15.5703125" style="457" customWidth="1"/>
    <col min="8" max="10" width="9.140625" style="463"/>
  </cols>
  <sheetData>
    <row r="1" spans="1:10" ht="27" customHeight="1" x14ac:dyDescent="0.25">
      <c r="A1" s="516" t="s">
        <v>0</v>
      </c>
      <c r="B1" s="516"/>
      <c r="C1" s="516"/>
      <c r="D1" s="516"/>
      <c r="E1" s="516"/>
      <c r="F1" s="516"/>
      <c r="G1" s="516"/>
    </row>
    <row r="2" spans="1:10" ht="27" customHeight="1" x14ac:dyDescent="0.25">
      <c r="A2" s="458" t="s">
        <v>1</v>
      </c>
      <c r="B2" s="458" t="s">
        <v>2</v>
      </c>
      <c r="C2" s="458" t="s">
        <v>3</v>
      </c>
      <c r="D2" s="458" t="s">
        <v>4</v>
      </c>
      <c r="E2" s="458" t="s">
        <v>5</v>
      </c>
      <c r="F2" s="458" t="s">
        <v>6</v>
      </c>
      <c r="G2" s="458" t="s">
        <v>7</v>
      </c>
    </row>
    <row r="3" spans="1:10" ht="44.25" customHeight="1" x14ac:dyDescent="0.25">
      <c r="A3" s="458" t="s">
        <v>8</v>
      </c>
      <c r="B3" s="458" t="s">
        <v>9</v>
      </c>
      <c r="C3" s="458" t="s">
        <v>10</v>
      </c>
      <c r="D3" s="458" t="s">
        <v>11</v>
      </c>
      <c r="E3" s="458" t="s">
        <v>12</v>
      </c>
      <c r="F3" s="458" t="s">
        <v>13</v>
      </c>
      <c r="G3" s="458" t="s">
        <v>14</v>
      </c>
    </row>
    <row r="4" spans="1:10" s="328" customFormat="1" ht="28.5" x14ac:dyDescent="0.25">
      <c r="A4" s="461" t="s">
        <v>15</v>
      </c>
      <c r="B4" s="354">
        <v>0</v>
      </c>
      <c r="C4" s="2">
        <v>0</v>
      </c>
      <c r="D4" s="354">
        <v>0</v>
      </c>
      <c r="E4" s="354">
        <f>30576*(2/3)</f>
        <v>20384</v>
      </c>
      <c r="F4" s="2">
        <v>1</v>
      </c>
      <c r="G4" s="354">
        <f t="shared" ref="G4:G12" si="0">E4*F4</f>
        <v>20384</v>
      </c>
      <c r="H4" s="463"/>
      <c r="I4" s="463"/>
      <c r="J4" s="463"/>
    </row>
    <row r="5" spans="1:10" s="328" customFormat="1" ht="15.75" x14ac:dyDescent="0.25">
      <c r="A5" s="461" t="s">
        <v>16</v>
      </c>
      <c r="B5" s="354">
        <v>0</v>
      </c>
      <c r="C5" s="2">
        <v>0</v>
      </c>
      <c r="D5" s="354">
        <v>0</v>
      </c>
      <c r="E5" s="481">
        <f>107581*(1/3)</f>
        <v>35860.333333333328</v>
      </c>
      <c r="F5" s="2">
        <v>1</v>
      </c>
      <c r="G5" s="354">
        <f t="shared" si="0"/>
        <v>35860.333333333328</v>
      </c>
      <c r="H5" s="463"/>
      <c r="I5" s="463"/>
      <c r="J5" s="463"/>
    </row>
    <row r="6" spans="1:10" s="328" customFormat="1" ht="28.5" x14ac:dyDescent="0.25">
      <c r="A6" s="461" t="s">
        <v>17</v>
      </c>
      <c r="B6" s="354">
        <v>0</v>
      </c>
      <c r="C6" s="2">
        <v>0</v>
      </c>
      <c r="D6" s="354">
        <v>0</v>
      </c>
      <c r="E6" s="354">
        <v>0</v>
      </c>
      <c r="F6" s="2">
        <v>1</v>
      </c>
      <c r="G6" s="354">
        <f t="shared" si="0"/>
        <v>0</v>
      </c>
      <c r="H6" s="463"/>
      <c r="I6" s="463"/>
      <c r="J6" s="463"/>
    </row>
    <row r="7" spans="1:10" s="328" customFormat="1" ht="15.75" x14ac:dyDescent="0.25">
      <c r="A7" s="461" t="s">
        <v>18</v>
      </c>
      <c r="B7" s="354">
        <v>0</v>
      </c>
      <c r="C7" s="2">
        <v>0</v>
      </c>
      <c r="D7" s="354">
        <v>0</v>
      </c>
      <c r="E7" s="354">
        <f>49940*(2/3)</f>
        <v>33293.333333333328</v>
      </c>
      <c r="F7" s="2">
        <v>2</v>
      </c>
      <c r="G7" s="354">
        <f t="shared" si="0"/>
        <v>66586.666666666657</v>
      </c>
      <c r="H7" s="463"/>
      <c r="I7" s="463"/>
      <c r="J7" s="463"/>
    </row>
    <row r="8" spans="1:10" s="328" customFormat="1" ht="15.75" x14ac:dyDescent="0.25">
      <c r="A8" s="461" t="s">
        <v>19</v>
      </c>
      <c r="B8" s="354">
        <v>0</v>
      </c>
      <c r="C8" s="2">
        <v>0</v>
      </c>
      <c r="D8" s="354">
        <v>0</v>
      </c>
      <c r="E8" s="354">
        <f>13000/3</f>
        <v>4333.333333333333</v>
      </c>
      <c r="F8" s="2">
        <v>8</v>
      </c>
      <c r="G8" s="354">
        <f>E8*F8</f>
        <v>34666.666666666664</v>
      </c>
      <c r="H8" s="463"/>
      <c r="I8" s="463"/>
      <c r="J8" s="463"/>
    </row>
    <row r="9" spans="1:10" s="328" customFormat="1" ht="15.75" x14ac:dyDescent="0.25">
      <c r="A9" s="461" t="s">
        <v>20</v>
      </c>
      <c r="B9" s="354">
        <v>0</v>
      </c>
      <c r="C9" s="2">
        <v>0</v>
      </c>
      <c r="D9" s="354">
        <v>0</v>
      </c>
      <c r="E9" s="354">
        <f>22800/3</f>
        <v>7600</v>
      </c>
      <c r="F9" s="2">
        <v>8</v>
      </c>
      <c r="G9" s="354">
        <f>E9*F9</f>
        <v>60800</v>
      </c>
      <c r="H9" s="463"/>
      <c r="I9" s="463"/>
      <c r="J9" s="463"/>
    </row>
    <row r="10" spans="1:10" s="328" customFormat="1" ht="15.75" x14ac:dyDescent="0.25">
      <c r="A10" s="461" t="s">
        <v>21</v>
      </c>
      <c r="B10" s="354">
        <v>0</v>
      </c>
      <c r="C10" s="2">
        <v>0</v>
      </c>
      <c r="D10" s="354">
        <v>0</v>
      </c>
      <c r="E10" s="354">
        <f>27600/3</f>
        <v>9200</v>
      </c>
      <c r="F10" s="2">
        <v>8</v>
      </c>
      <c r="G10" s="354">
        <f t="shared" si="0"/>
        <v>73600</v>
      </c>
      <c r="H10" s="463"/>
      <c r="I10" s="463"/>
      <c r="J10" s="463"/>
    </row>
    <row r="11" spans="1:10" s="328" customFormat="1" ht="28.5" x14ac:dyDescent="0.25">
      <c r="A11" s="461" t="s">
        <v>22</v>
      </c>
      <c r="B11" s="354">
        <v>0</v>
      </c>
      <c r="C11" s="2">
        <v>0</v>
      </c>
      <c r="D11" s="354">
        <v>0</v>
      </c>
      <c r="E11" s="354">
        <v>0</v>
      </c>
      <c r="F11" s="2">
        <v>0</v>
      </c>
      <c r="G11" s="354">
        <f t="shared" si="0"/>
        <v>0</v>
      </c>
      <c r="H11" s="463"/>
      <c r="I11" s="463"/>
      <c r="J11" s="463"/>
    </row>
    <row r="12" spans="1:10" s="328" customFormat="1" ht="28.5" x14ac:dyDescent="0.25">
      <c r="A12" s="462" t="s">
        <v>23</v>
      </c>
      <c r="B12" s="354">
        <v>0</v>
      </c>
      <c r="C12" s="2">
        <v>0</v>
      </c>
      <c r="D12" s="354">
        <v>0</v>
      </c>
      <c r="E12" s="354">
        <f>30000/3</f>
        <v>10000</v>
      </c>
      <c r="F12" s="2">
        <v>1</v>
      </c>
      <c r="G12" s="354">
        <f t="shared" si="0"/>
        <v>10000</v>
      </c>
      <c r="H12" s="463"/>
      <c r="I12" s="463"/>
      <c r="J12" s="463"/>
    </row>
    <row r="13" spans="1:10" ht="27" customHeight="1" x14ac:dyDescent="0.25">
      <c r="A13" s="459" t="s">
        <v>24</v>
      </c>
      <c r="B13" s="460"/>
      <c r="C13" s="507"/>
      <c r="D13" s="460">
        <f>SUM(D4:D11)</f>
        <v>0</v>
      </c>
      <c r="E13" s="507"/>
      <c r="F13" s="507"/>
      <c r="G13" s="460">
        <f>SUM(G4:G12)</f>
        <v>301897.66666666663</v>
      </c>
    </row>
    <row r="14" spans="1:10" ht="33" customHeight="1" x14ac:dyDescent="0.25">
      <c r="A14" s="519" t="s">
        <v>25</v>
      </c>
      <c r="B14" s="519"/>
      <c r="C14" s="519"/>
      <c r="D14" s="519"/>
      <c r="E14" s="519"/>
      <c r="F14" s="519"/>
      <c r="G14" s="519"/>
      <c r="H14" s="464"/>
    </row>
    <row r="15" spans="1:10" ht="41.1" customHeight="1" x14ac:dyDescent="0.25">
      <c r="A15" s="518" t="s">
        <v>26</v>
      </c>
      <c r="B15" s="518"/>
      <c r="C15" s="518"/>
      <c r="D15" s="518"/>
      <c r="E15" s="518"/>
      <c r="F15" s="518"/>
      <c r="G15" s="518"/>
      <c r="H15" s="465"/>
    </row>
    <row r="16" spans="1:10" s="328" customFormat="1" ht="35.25" customHeight="1" x14ac:dyDescent="0.25">
      <c r="A16" s="518" t="s">
        <v>27</v>
      </c>
      <c r="B16" s="518"/>
      <c r="C16" s="518"/>
      <c r="D16" s="518"/>
      <c r="E16" s="518"/>
      <c r="F16" s="518"/>
      <c r="G16" s="518"/>
      <c r="H16" s="465"/>
      <c r="I16" s="463"/>
      <c r="J16" s="463"/>
    </row>
    <row r="17" spans="1:8" ht="54.75" customHeight="1" x14ac:dyDescent="0.25">
      <c r="A17" s="518" t="s">
        <v>28</v>
      </c>
      <c r="B17" s="518"/>
      <c r="C17" s="518"/>
      <c r="D17" s="518"/>
      <c r="E17" s="518"/>
      <c r="F17" s="518"/>
      <c r="G17" s="518"/>
      <c r="H17" s="466"/>
    </row>
    <row r="18" spans="1:8" ht="48" customHeight="1" x14ac:dyDescent="0.25">
      <c r="A18" s="518" t="s">
        <v>29</v>
      </c>
      <c r="B18" s="518"/>
      <c r="C18" s="518"/>
      <c r="D18" s="518"/>
      <c r="E18" s="518"/>
      <c r="F18" s="518"/>
      <c r="G18" s="518"/>
      <c r="H18" s="465"/>
    </row>
    <row r="19" spans="1:8" ht="47.25" customHeight="1" x14ac:dyDescent="0.25">
      <c r="A19" s="518" t="s">
        <v>30</v>
      </c>
      <c r="B19" s="518"/>
      <c r="C19" s="518"/>
      <c r="D19" s="518"/>
      <c r="E19" s="518"/>
      <c r="F19" s="518"/>
      <c r="G19" s="518"/>
      <c r="H19" s="465"/>
    </row>
    <row r="20" spans="1:8" ht="47.25" customHeight="1" x14ac:dyDescent="0.25">
      <c r="A20" s="518" t="s">
        <v>31</v>
      </c>
      <c r="B20" s="518"/>
      <c r="C20" s="518"/>
      <c r="D20" s="518"/>
      <c r="E20" s="518"/>
      <c r="F20" s="518"/>
      <c r="G20" s="518"/>
      <c r="H20" s="465"/>
    </row>
    <row r="21" spans="1:8" ht="35.25" customHeight="1" x14ac:dyDescent="0.25">
      <c r="A21" s="517" t="s">
        <v>32</v>
      </c>
      <c r="B21" s="517"/>
      <c r="C21" s="517"/>
      <c r="D21" s="517"/>
      <c r="E21" s="517"/>
      <c r="F21" s="517"/>
      <c r="G21" s="517"/>
      <c r="H21" s="464"/>
    </row>
    <row r="22" spans="1:8" ht="36.75" customHeight="1" x14ac:dyDescent="0.25">
      <c r="A22" s="517" t="s">
        <v>33</v>
      </c>
      <c r="B22" s="517"/>
      <c r="C22" s="517"/>
      <c r="D22" s="517"/>
      <c r="E22" s="517"/>
      <c r="F22" s="517"/>
      <c r="G22" s="517"/>
    </row>
  </sheetData>
  <mergeCells count="10">
    <mergeCell ref="A1:G1"/>
    <mergeCell ref="A21:G21"/>
    <mergeCell ref="A16:G16"/>
    <mergeCell ref="A22:G22"/>
    <mergeCell ref="A14:G14"/>
    <mergeCell ref="A15:G15"/>
    <mergeCell ref="A17:G17"/>
    <mergeCell ref="A18:G18"/>
    <mergeCell ref="A19:G19"/>
    <mergeCell ref="A20:G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7030A0"/>
  </sheetPr>
  <dimension ref="A1:AB40"/>
  <sheetViews>
    <sheetView zoomScale="95" zoomScaleNormal="95" workbookViewId="0">
      <pane xSplit="1" ySplit="4" topLeftCell="B5" activePane="bottomRight" state="frozen"/>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ustomWidth="1"/>
    <col min="11" max="11" width="10.42578125" style="10" customWidth="1"/>
    <col min="12" max="13" width="9.140625" style="10" customWidth="1"/>
    <col min="14" max="18" width="9.140625" style="10" hidden="1" customWidth="1"/>
    <col min="19" max="19" width="12.85546875" style="10" customWidth="1"/>
    <col min="20" max="20" width="28.28515625" style="10" customWidth="1"/>
    <col min="21" max="27" width="9.140625" style="10"/>
    <col min="28" max="28" width="18.42578125" style="10" customWidth="1"/>
    <col min="29" max="16384" width="9.140625" style="10"/>
  </cols>
  <sheetData>
    <row r="1" spans="1:28" ht="15.75" x14ac:dyDescent="0.25">
      <c r="A1" s="327" t="s">
        <v>395</v>
      </c>
      <c r="T1" s="334"/>
      <c r="U1" s="334"/>
      <c r="V1" s="334"/>
      <c r="W1" s="334"/>
      <c r="X1" s="334"/>
      <c r="Y1" s="334"/>
      <c r="Z1" s="334"/>
      <c r="AA1" s="334"/>
      <c r="AB1" s="334"/>
    </row>
    <row r="2" spans="1:28" x14ac:dyDescent="0.25">
      <c r="F2" s="34">
        <v>48.75</v>
      </c>
      <c r="G2" s="34">
        <v>65.709999999999994</v>
      </c>
      <c r="H2" s="34">
        <v>26.38</v>
      </c>
      <c r="I2" s="28" t="s">
        <v>396</v>
      </c>
      <c r="K2" s="11"/>
      <c r="T2" s="334"/>
      <c r="U2" s="334"/>
      <c r="V2" s="334"/>
      <c r="W2" s="334"/>
      <c r="X2" s="334"/>
      <c r="Y2" s="335">
        <v>48.75</v>
      </c>
      <c r="Z2" s="335">
        <v>65.709999999999994</v>
      </c>
      <c r="AA2" s="335">
        <v>26.38</v>
      </c>
      <c r="AB2" s="336" t="s">
        <v>396</v>
      </c>
    </row>
    <row r="3" spans="1:28" ht="15.75" thickBot="1" x14ac:dyDescent="0.3">
      <c r="A3" s="554" t="s">
        <v>131</v>
      </c>
      <c r="B3" s="507" t="s">
        <v>1</v>
      </c>
      <c r="C3" s="507" t="s">
        <v>2</v>
      </c>
      <c r="D3" s="507" t="s">
        <v>3</v>
      </c>
      <c r="E3" s="507" t="s">
        <v>4</v>
      </c>
      <c r="F3" s="507" t="s">
        <v>5</v>
      </c>
      <c r="G3" s="507" t="s">
        <v>6</v>
      </c>
      <c r="H3" s="507" t="s">
        <v>7</v>
      </c>
      <c r="I3" s="507" t="s">
        <v>37</v>
      </c>
      <c r="T3" s="597" t="s">
        <v>131</v>
      </c>
      <c r="U3" s="510" t="s">
        <v>1</v>
      </c>
      <c r="V3" s="510" t="s">
        <v>2</v>
      </c>
      <c r="W3" s="510" t="s">
        <v>3</v>
      </c>
      <c r="X3" s="510" t="s">
        <v>4</v>
      </c>
      <c r="Y3" s="510" t="s">
        <v>5</v>
      </c>
      <c r="Z3" s="510" t="s">
        <v>6</v>
      </c>
      <c r="AA3" s="510" t="s">
        <v>7</v>
      </c>
      <c r="AB3" s="510" t="s">
        <v>37</v>
      </c>
    </row>
    <row r="4" spans="1:28" ht="69.75" customHeight="1" x14ac:dyDescent="0.25">
      <c r="A4" s="587"/>
      <c r="B4" s="507" t="s">
        <v>132</v>
      </c>
      <c r="C4" s="507" t="s">
        <v>397</v>
      </c>
      <c r="D4" s="507" t="s">
        <v>398</v>
      </c>
      <c r="E4" s="507" t="s">
        <v>399</v>
      </c>
      <c r="F4" s="507" t="s">
        <v>44</v>
      </c>
      <c r="G4" s="507" t="s">
        <v>400</v>
      </c>
      <c r="H4" s="507" t="s">
        <v>401</v>
      </c>
      <c r="I4" s="507" t="s">
        <v>402</v>
      </c>
      <c r="J4" s="36" t="s">
        <v>229</v>
      </c>
      <c r="K4" s="37" t="s">
        <v>230</v>
      </c>
      <c r="L4" s="38" t="s">
        <v>231</v>
      </c>
      <c r="M4" s="35" t="s">
        <v>403</v>
      </c>
      <c r="N4" s="317" t="s">
        <v>404</v>
      </c>
      <c r="O4" s="36" t="s">
        <v>405</v>
      </c>
      <c r="P4" s="37" t="s">
        <v>406</v>
      </c>
      <c r="Q4" s="38" t="s">
        <v>407</v>
      </c>
      <c r="R4" s="35" t="s">
        <v>403</v>
      </c>
      <c r="S4" s="301" t="s">
        <v>357</v>
      </c>
      <c r="T4" s="598"/>
      <c r="U4" s="510" t="s">
        <v>132</v>
      </c>
      <c r="V4" s="510" t="s">
        <v>397</v>
      </c>
      <c r="W4" s="510" t="s">
        <v>398</v>
      </c>
      <c r="X4" s="510" t="s">
        <v>399</v>
      </c>
      <c r="Y4" s="510" t="s">
        <v>44</v>
      </c>
      <c r="Z4" s="510" t="s">
        <v>400</v>
      </c>
      <c r="AA4" s="510" t="s">
        <v>401</v>
      </c>
      <c r="AB4" s="510" t="s">
        <v>402</v>
      </c>
    </row>
    <row r="5" spans="1:28" ht="19.5" customHeight="1" x14ac:dyDescent="0.25">
      <c r="A5" s="321" t="s">
        <v>415</v>
      </c>
      <c r="B5" s="509"/>
      <c r="C5" s="2"/>
      <c r="D5" s="2"/>
      <c r="E5" s="2"/>
      <c r="F5" s="2"/>
      <c r="G5" s="2"/>
      <c r="H5" s="2"/>
      <c r="I5" s="12"/>
      <c r="J5" s="117"/>
      <c r="K5" s="117"/>
      <c r="L5" s="117"/>
      <c r="M5" s="117"/>
      <c r="N5" s="117"/>
      <c r="O5" s="358"/>
      <c r="P5" s="358"/>
      <c r="Q5" s="358"/>
      <c r="R5" s="117"/>
      <c r="S5" s="350"/>
      <c r="T5" s="1" t="s">
        <v>415</v>
      </c>
      <c r="U5" s="509"/>
      <c r="V5" s="2"/>
      <c r="W5" s="2"/>
      <c r="X5" s="2"/>
      <c r="Y5" s="2"/>
      <c r="Z5" s="2"/>
      <c r="AA5" s="2"/>
      <c r="AB5" s="12"/>
    </row>
    <row r="6" spans="1:28" ht="19.5" customHeight="1" x14ac:dyDescent="0.25">
      <c r="A6" s="30" t="s">
        <v>418</v>
      </c>
      <c r="B6" s="509">
        <v>2</v>
      </c>
      <c r="C6" s="2">
        <v>1</v>
      </c>
      <c r="D6" s="2">
        <f>B6*C6</f>
        <v>2</v>
      </c>
      <c r="E6" s="2">
        <v>0</v>
      </c>
      <c r="F6" s="2">
        <f>D6*E6</f>
        <v>0</v>
      </c>
      <c r="G6" s="2">
        <f>F6*0.05</f>
        <v>0</v>
      </c>
      <c r="H6" s="2">
        <f>F6*0.1</f>
        <v>0</v>
      </c>
      <c r="I6" s="3">
        <f>F6*$F$2+G6*$G$2+H6*$H$2</f>
        <v>0</v>
      </c>
      <c r="J6" s="117"/>
      <c r="K6" s="117"/>
      <c r="L6" s="359">
        <f>I6</f>
        <v>0</v>
      </c>
      <c r="M6" s="117"/>
      <c r="N6" s="117">
        <f t="shared" ref="N6:N13" si="0">SUM(F6:H6)</f>
        <v>0</v>
      </c>
      <c r="O6" s="358"/>
      <c r="P6" s="358"/>
      <c r="Q6" s="358">
        <f>N6</f>
        <v>0</v>
      </c>
      <c r="R6" s="117"/>
      <c r="S6" s="350">
        <f t="shared" ref="S6:S23" si="1">I6-AB6</f>
        <v>0</v>
      </c>
      <c r="T6" s="13" t="s">
        <v>470</v>
      </c>
      <c r="U6" s="509">
        <v>4</v>
      </c>
      <c r="V6" s="2">
        <v>1</v>
      </c>
      <c r="W6" s="2">
        <f>U6*V6</f>
        <v>4</v>
      </c>
      <c r="X6" s="2">
        <v>0</v>
      </c>
      <c r="Y6" s="2">
        <f>W6*X6</f>
        <v>0</v>
      </c>
      <c r="Z6" s="2">
        <f>Y6*0.05</f>
        <v>0</v>
      </c>
      <c r="AA6" s="2">
        <f>Y6*0.1</f>
        <v>0</v>
      </c>
      <c r="AB6" s="3">
        <f>Y6*$F$2+Z6*$G$2+AA6*$H$2</f>
        <v>0</v>
      </c>
    </row>
    <row r="7" spans="1:28" ht="35.450000000000003" customHeight="1" x14ac:dyDescent="0.25">
      <c r="A7" s="30" t="s">
        <v>421</v>
      </c>
      <c r="B7" s="509">
        <v>4</v>
      </c>
      <c r="C7" s="2">
        <v>1</v>
      </c>
      <c r="D7" s="2">
        <f>B7*C7</f>
        <v>4</v>
      </c>
      <c r="E7" s="2">
        <v>0</v>
      </c>
      <c r="F7" s="2">
        <f>D7*E7</f>
        <v>0</v>
      </c>
      <c r="G7" s="2">
        <f>F7*0.05</f>
        <v>0</v>
      </c>
      <c r="H7" s="2">
        <f>F7*0.1</f>
        <v>0</v>
      </c>
      <c r="I7" s="3">
        <f>F7*$F$2+G7*$G$2+H7*$H$2</f>
        <v>0</v>
      </c>
      <c r="J7" s="117"/>
      <c r="K7" s="117"/>
      <c r="L7" s="359">
        <f t="shared" ref="L7:L12" si="2">I7</f>
        <v>0</v>
      </c>
      <c r="M7" s="117"/>
      <c r="N7" s="117">
        <f t="shared" si="0"/>
        <v>0</v>
      </c>
      <c r="O7" s="358"/>
      <c r="P7" s="358"/>
      <c r="Q7" s="358">
        <f t="shared" ref="Q7:Q12" si="3">N7</f>
        <v>0</v>
      </c>
      <c r="R7" s="117"/>
      <c r="S7" s="350">
        <f t="shared" si="1"/>
        <v>0</v>
      </c>
      <c r="T7" s="1" t="s">
        <v>471</v>
      </c>
      <c r="U7" s="509">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5.5" x14ac:dyDescent="0.25">
      <c r="A8" s="337"/>
      <c r="B8" s="338"/>
      <c r="C8" s="339"/>
      <c r="D8" s="339"/>
      <c r="E8" s="339"/>
      <c r="F8" s="339"/>
      <c r="G8" s="339"/>
      <c r="H8" s="339"/>
      <c r="I8" s="340"/>
      <c r="J8" s="360"/>
      <c r="K8" s="360"/>
      <c r="L8" s="361"/>
      <c r="M8" s="360"/>
      <c r="N8" s="360"/>
      <c r="O8" s="362"/>
      <c r="P8" s="362"/>
      <c r="Q8" s="362"/>
      <c r="R8" s="360"/>
      <c r="S8" s="350">
        <f t="shared" si="1"/>
        <v>0</v>
      </c>
      <c r="T8" s="1" t="s">
        <v>472</v>
      </c>
      <c r="U8" s="509">
        <v>2</v>
      </c>
      <c r="V8" s="2">
        <v>1</v>
      </c>
      <c r="W8" s="2">
        <f t="shared" si="4"/>
        <v>2</v>
      </c>
      <c r="X8" s="2">
        <v>0</v>
      </c>
      <c r="Y8" s="2">
        <f t="shared" si="5"/>
        <v>0</v>
      </c>
      <c r="Z8" s="2">
        <f t="shared" si="6"/>
        <v>0</v>
      </c>
      <c r="AA8" s="2">
        <f t="shared" si="7"/>
        <v>0</v>
      </c>
      <c r="AB8" s="3">
        <f t="shared" si="8"/>
        <v>0</v>
      </c>
    </row>
    <row r="9" spans="1:28" ht="35.450000000000003" customHeight="1" x14ac:dyDescent="0.25">
      <c r="A9" s="30" t="s">
        <v>423</v>
      </c>
      <c r="B9" s="509">
        <v>2</v>
      </c>
      <c r="C9" s="2">
        <v>1</v>
      </c>
      <c r="D9" s="2">
        <f>B9*C9</f>
        <v>2</v>
      </c>
      <c r="E9" s="2">
        <v>0</v>
      </c>
      <c r="F9" s="2">
        <f>D9*E9</f>
        <v>0</v>
      </c>
      <c r="G9" s="2">
        <f>F9*0.05</f>
        <v>0</v>
      </c>
      <c r="H9" s="2">
        <f>F9*0.1</f>
        <v>0</v>
      </c>
      <c r="I9" s="3">
        <f>F9*$F$2+G9*$G$2+H9*$H$2</f>
        <v>0</v>
      </c>
      <c r="J9" s="117"/>
      <c r="K9" s="117"/>
      <c r="L9" s="359">
        <f t="shared" si="2"/>
        <v>0</v>
      </c>
      <c r="M9" s="117"/>
      <c r="N9" s="117">
        <f t="shared" si="0"/>
        <v>0</v>
      </c>
      <c r="O9" s="358"/>
      <c r="P9" s="358"/>
      <c r="Q9" s="358">
        <f t="shared" si="3"/>
        <v>0</v>
      </c>
      <c r="R9" s="117"/>
      <c r="S9" s="350">
        <f t="shared" si="1"/>
        <v>0</v>
      </c>
      <c r="T9" s="1" t="s">
        <v>473</v>
      </c>
      <c r="U9" s="509">
        <v>2</v>
      </c>
      <c r="V9" s="2">
        <v>1</v>
      </c>
      <c r="W9" s="2">
        <f t="shared" si="4"/>
        <v>2</v>
      </c>
      <c r="X9" s="2">
        <v>0</v>
      </c>
      <c r="Y9" s="2">
        <f t="shared" si="5"/>
        <v>0</v>
      </c>
      <c r="Z9" s="2">
        <f t="shared" si="6"/>
        <v>0</v>
      </c>
      <c r="AA9" s="2">
        <f t="shared" si="7"/>
        <v>0</v>
      </c>
      <c r="AB9" s="3">
        <f t="shared" si="8"/>
        <v>0</v>
      </c>
    </row>
    <row r="10" spans="1:28" ht="25.5" x14ac:dyDescent="0.25">
      <c r="A10" s="30" t="s">
        <v>426</v>
      </c>
      <c r="B10" s="509">
        <v>4</v>
      </c>
      <c r="C10" s="2">
        <v>1</v>
      </c>
      <c r="D10" s="2">
        <f t="shared" ref="D10:D13" si="9">B10*C10</f>
        <v>4</v>
      </c>
      <c r="E10" s="27">
        <v>0</v>
      </c>
      <c r="F10" s="8">
        <f>D10*E10</f>
        <v>0</v>
      </c>
      <c r="G10" s="8">
        <f>F10*0.05</f>
        <v>0</v>
      </c>
      <c r="H10" s="8">
        <f>F10*0.1</f>
        <v>0</v>
      </c>
      <c r="I10" s="3">
        <f>F10*$F$2+G10*$G$2+H10*$H$2</f>
        <v>0</v>
      </c>
      <c r="J10" s="117"/>
      <c r="K10" s="117"/>
      <c r="L10" s="359">
        <f t="shared" si="2"/>
        <v>0</v>
      </c>
      <c r="M10" s="117"/>
      <c r="N10" s="117">
        <f t="shared" si="0"/>
        <v>0</v>
      </c>
      <c r="O10" s="358"/>
      <c r="P10" s="358"/>
      <c r="Q10" s="358">
        <f t="shared" si="3"/>
        <v>0</v>
      </c>
      <c r="R10" s="117"/>
      <c r="S10" s="350">
        <f t="shared" si="1"/>
        <v>0</v>
      </c>
      <c r="T10" s="1" t="s">
        <v>474</v>
      </c>
      <c r="U10" s="509">
        <v>4</v>
      </c>
      <c r="V10" s="2">
        <v>1</v>
      </c>
      <c r="W10" s="2">
        <f t="shared" si="4"/>
        <v>4</v>
      </c>
      <c r="X10" s="2">
        <v>0</v>
      </c>
      <c r="Y10" s="2">
        <f t="shared" si="5"/>
        <v>0</v>
      </c>
      <c r="Z10" s="2">
        <f t="shared" si="6"/>
        <v>0</v>
      </c>
      <c r="AA10" s="2">
        <f t="shared" si="7"/>
        <v>0</v>
      </c>
      <c r="AB10" s="3">
        <f t="shared" si="8"/>
        <v>0</v>
      </c>
    </row>
    <row r="11" spans="1:28" s="15" customFormat="1" ht="35.450000000000003" customHeight="1" x14ac:dyDescent="0.25">
      <c r="A11" s="29" t="s">
        <v>428</v>
      </c>
      <c r="B11" s="26">
        <v>4</v>
      </c>
      <c r="C11" s="24">
        <v>1</v>
      </c>
      <c r="D11" s="24">
        <f t="shared" si="9"/>
        <v>4</v>
      </c>
      <c r="E11" s="27">
        <v>0</v>
      </c>
      <c r="F11" s="27">
        <f>D11*E11</f>
        <v>0</v>
      </c>
      <c r="G11" s="27">
        <f>F11*0.05</f>
        <v>0</v>
      </c>
      <c r="H11" s="27">
        <f>F11*0.1</f>
        <v>0</v>
      </c>
      <c r="I11" s="31">
        <f>F11*$F$2+G11*$G$2+H11*$H$2</f>
        <v>0</v>
      </c>
      <c r="J11" s="117"/>
      <c r="K11" s="117"/>
      <c r="L11" s="359">
        <f t="shared" si="2"/>
        <v>0</v>
      </c>
      <c r="M11" s="117"/>
      <c r="N11" s="117">
        <f t="shared" si="0"/>
        <v>0</v>
      </c>
      <c r="O11" s="358"/>
      <c r="P11" s="358"/>
      <c r="Q11" s="358">
        <f t="shared" si="3"/>
        <v>0</v>
      </c>
      <c r="R11" s="117"/>
      <c r="S11" s="350">
        <f t="shared" si="1"/>
        <v>0</v>
      </c>
      <c r="T11" s="341"/>
      <c r="U11" s="338"/>
      <c r="V11" s="339"/>
      <c r="W11" s="339"/>
      <c r="X11" s="339"/>
      <c r="Y11" s="339"/>
      <c r="Z11" s="339"/>
      <c r="AA11" s="339"/>
      <c r="AB11" s="340"/>
    </row>
    <row r="12" spans="1:28" s="15" customFormat="1" ht="18.75" customHeight="1" x14ac:dyDescent="0.25">
      <c r="A12" s="30" t="s">
        <v>430</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63"/>
      <c r="L12" s="359">
        <f t="shared" si="2"/>
        <v>0</v>
      </c>
      <c r="M12" s="58"/>
      <c r="N12" s="117">
        <f t="shared" si="0"/>
        <v>0</v>
      </c>
      <c r="O12" s="364"/>
      <c r="P12" s="365"/>
      <c r="Q12" s="358">
        <f t="shared" si="3"/>
        <v>0</v>
      </c>
      <c r="R12" s="58"/>
      <c r="S12" s="350">
        <f t="shared" si="1"/>
        <v>0</v>
      </c>
      <c r="T12" s="341"/>
      <c r="U12" s="338"/>
      <c r="V12" s="339"/>
      <c r="W12" s="339"/>
      <c r="X12" s="339"/>
      <c r="Y12" s="339"/>
      <c r="Z12" s="339"/>
      <c r="AA12" s="339"/>
      <c r="AB12" s="340"/>
    </row>
    <row r="13" spans="1:28" ht="19.5" customHeight="1" x14ac:dyDescent="0.25">
      <c r="A13" s="33" t="s">
        <v>432</v>
      </c>
      <c r="B13" s="26">
        <v>2</v>
      </c>
      <c r="C13" s="24">
        <v>0.4</v>
      </c>
      <c r="D13" s="27">
        <f t="shared" si="9"/>
        <v>0.8</v>
      </c>
      <c r="E13" s="24">
        <v>0</v>
      </c>
      <c r="F13" s="27">
        <f t="shared" si="10"/>
        <v>0</v>
      </c>
      <c r="G13" s="27">
        <f t="shared" si="11"/>
        <v>0</v>
      </c>
      <c r="H13" s="27">
        <f t="shared" si="12"/>
        <v>0</v>
      </c>
      <c r="I13" s="31">
        <f t="shared" si="13"/>
        <v>0</v>
      </c>
      <c r="J13" s="366">
        <f>I13</f>
        <v>0</v>
      </c>
      <c r="K13" s="363"/>
      <c r="L13" s="58"/>
      <c r="M13" s="58"/>
      <c r="N13" s="117">
        <f t="shared" si="0"/>
        <v>0</v>
      </c>
      <c r="O13" s="364">
        <f>N13</f>
        <v>0</v>
      </c>
      <c r="P13" s="365"/>
      <c r="Q13" s="364"/>
      <c r="R13" s="58"/>
      <c r="S13" s="350">
        <f t="shared" si="1"/>
        <v>0</v>
      </c>
      <c r="T13" s="341"/>
      <c r="U13" s="338"/>
      <c r="V13" s="339"/>
      <c r="W13" s="339"/>
      <c r="X13" s="339"/>
      <c r="Y13" s="339"/>
      <c r="Z13" s="339"/>
      <c r="AA13" s="339"/>
      <c r="AB13" s="340"/>
    </row>
    <row r="14" spans="1:28" ht="35.450000000000003" customHeight="1" x14ac:dyDescent="0.25">
      <c r="A14" s="13" t="s">
        <v>434</v>
      </c>
      <c r="B14" s="509"/>
      <c r="C14" s="2"/>
      <c r="D14" s="2"/>
      <c r="E14" s="2"/>
      <c r="F14" s="2"/>
      <c r="G14" s="2"/>
      <c r="H14" s="2"/>
      <c r="I14" s="3"/>
      <c r="J14" s="117"/>
      <c r="K14" s="117"/>
      <c r="L14" s="117"/>
      <c r="M14" s="117"/>
      <c r="N14" s="117"/>
      <c r="O14" s="358"/>
      <c r="P14" s="358"/>
      <c r="Q14" s="358"/>
      <c r="R14" s="117"/>
      <c r="S14" s="350">
        <f t="shared" si="1"/>
        <v>0</v>
      </c>
      <c r="T14" s="13" t="s">
        <v>434</v>
      </c>
      <c r="U14" s="509"/>
      <c r="V14" s="2"/>
      <c r="W14" s="2"/>
      <c r="X14" s="2"/>
      <c r="Y14" s="2">
        <f t="shared" si="5"/>
        <v>0</v>
      </c>
      <c r="Z14" s="2">
        <f t="shared" si="6"/>
        <v>0</v>
      </c>
      <c r="AA14" s="2">
        <f t="shared" si="7"/>
        <v>0</v>
      </c>
      <c r="AB14" s="3">
        <f t="shared" si="8"/>
        <v>0</v>
      </c>
    </row>
    <row r="15" spans="1:28" ht="25.5" x14ac:dyDescent="0.25">
      <c r="A15" s="30" t="s">
        <v>436</v>
      </c>
      <c r="B15" s="509">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17"/>
      <c r="K15" s="117"/>
      <c r="L15" s="359">
        <f>I15</f>
        <v>801.87799999999993</v>
      </c>
      <c r="M15" s="117"/>
      <c r="N15" s="117">
        <f t="shared" ref="N15:N20" si="15">SUM(F15:H15)</f>
        <v>16.866666666666667</v>
      </c>
      <c r="O15" s="358"/>
      <c r="P15" s="358"/>
      <c r="Q15" s="358">
        <f>N15</f>
        <v>16.866666666666667</v>
      </c>
      <c r="R15" s="117"/>
      <c r="S15" s="350">
        <f t="shared" si="1"/>
        <v>801.87799999999993</v>
      </c>
      <c r="T15" s="342"/>
      <c r="U15" s="338"/>
      <c r="V15" s="339"/>
      <c r="W15" s="339"/>
      <c r="X15" s="339"/>
      <c r="Y15" s="339"/>
      <c r="Z15" s="339"/>
      <c r="AA15" s="339"/>
      <c r="AB15" s="340"/>
    </row>
    <row r="16" spans="1:28" s="15" customFormat="1" ht="35.450000000000003" customHeight="1" x14ac:dyDescent="0.25">
      <c r="A16" s="29" t="s">
        <v>438</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17"/>
      <c r="K16" s="117"/>
      <c r="L16" s="359">
        <f>I16</f>
        <v>801.87799999999993</v>
      </c>
      <c r="M16" s="117"/>
      <c r="N16" s="117">
        <f t="shared" si="15"/>
        <v>16.866666666666667</v>
      </c>
      <c r="O16" s="358"/>
      <c r="P16" s="358"/>
      <c r="Q16" s="358">
        <f>N16</f>
        <v>16.866666666666667</v>
      </c>
      <c r="R16" s="117"/>
      <c r="S16" s="350">
        <f t="shared" si="1"/>
        <v>801.87799999999993</v>
      </c>
      <c r="T16" s="342"/>
      <c r="U16" s="338"/>
      <c r="V16" s="339"/>
      <c r="W16" s="339"/>
      <c r="X16" s="339"/>
      <c r="Y16" s="339"/>
      <c r="Z16" s="339"/>
      <c r="AA16" s="339"/>
      <c r="AB16" s="340"/>
    </row>
    <row r="17" spans="1:28" s="15" customFormat="1" ht="28.5" x14ac:dyDescent="0.25">
      <c r="A17" s="30" t="s">
        <v>441</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63"/>
      <c r="L17" s="366">
        <f>I17</f>
        <v>2405.634</v>
      </c>
      <c r="M17" s="58"/>
      <c r="N17" s="117">
        <f t="shared" si="15"/>
        <v>50.6</v>
      </c>
      <c r="O17" s="364"/>
      <c r="P17" s="365"/>
      <c r="Q17" s="364">
        <f>N17</f>
        <v>50.6</v>
      </c>
      <c r="R17" s="58"/>
      <c r="S17" s="350">
        <f t="shared" si="1"/>
        <v>-2405.634</v>
      </c>
      <c r="T17" s="1" t="s">
        <v>475</v>
      </c>
      <c r="U17" s="509">
        <v>20</v>
      </c>
      <c r="V17" s="2">
        <v>0.4</v>
      </c>
      <c r="W17" s="8">
        <f t="shared" ref="W17:W21" si="20">U17*V17</f>
        <v>8</v>
      </c>
      <c r="X17" s="353">
        <v>11</v>
      </c>
      <c r="Y17" s="8">
        <f t="shared" si="5"/>
        <v>88</v>
      </c>
      <c r="Z17" s="14">
        <f t="shared" si="6"/>
        <v>4.4000000000000004</v>
      </c>
      <c r="AA17" s="14">
        <f t="shared" si="7"/>
        <v>8.8000000000000007</v>
      </c>
      <c r="AB17" s="3">
        <f t="shared" si="8"/>
        <v>4811.268</v>
      </c>
    </row>
    <row r="18" spans="1:28" ht="19.5" customHeight="1" x14ac:dyDescent="0.25">
      <c r="A18" s="33" t="s">
        <v>443</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66">
        <f>I18</f>
        <v>481.12680000000006</v>
      </c>
      <c r="K18" s="363"/>
      <c r="L18" s="58"/>
      <c r="M18" s="58"/>
      <c r="N18" s="117">
        <f t="shared" si="15"/>
        <v>10.120000000000001</v>
      </c>
      <c r="O18" s="364">
        <f>N18</f>
        <v>10.120000000000001</v>
      </c>
      <c r="P18" s="365"/>
      <c r="Q18" s="364"/>
      <c r="R18" s="58"/>
      <c r="S18" s="350">
        <f t="shared" si="1"/>
        <v>481.12680000000006</v>
      </c>
      <c r="T18" s="341"/>
      <c r="U18" s="338"/>
      <c r="V18" s="339"/>
      <c r="W18" s="343"/>
      <c r="X18" s="339"/>
      <c r="Y18" s="343"/>
      <c r="Z18" s="344"/>
      <c r="AA18" s="344"/>
      <c r="AB18" s="340"/>
    </row>
    <row r="19" spans="1:28" ht="19.5" customHeight="1" x14ac:dyDescent="0.25">
      <c r="A19" s="32" t="s">
        <v>445</v>
      </c>
      <c r="B19" s="509">
        <v>4</v>
      </c>
      <c r="C19" s="2">
        <v>1</v>
      </c>
      <c r="D19" s="2">
        <f>B19*C19</f>
        <v>4</v>
      </c>
      <c r="E19" s="25">
        <f>11/3</f>
        <v>3.6666666666666665</v>
      </c>
      <c r="F19" s="8">
        <f>D19*E19</f>
        <v>14.666666666666666</v>
      </c>
      <c r="G19" s="14">
        <f>F19*0.05</f>
        <v>0.73333333333333339</v>
      </c>
      <c r="H19" s="14">
        <f>F19*0.1</f>
        <v>1.4666666666666668</v>
      </c>
      <c r="I19" s="3">
        <f>F19*$F$2+G19*$G$2+H19*$H$2</f>
        <v>801.87799999999993</v>
      </c>
      <c r="J19" s="367" t="e">
        <f>I19*#REF!/100</f>
        <v>#REF!</v>
      </c>
      <c r="K19" s="117"/>
      <c r="L19" s="367" t="e">
        <f>I19-J19</f>
        <v>#REF!</v>
      </c>
      <c r="M19" s="117"/>
      <c r="N19" s="117">
        <f t="shared" si="15"/>
        <v>16.866666666666667</v>
      </c>
      <c r="O19" s="358" t="e">
        <f>N19*#REF!/100</f>
        <v>#REF!</v>
      </c>
      <c r="P19" s="358"/>
      <c r="Q19" s="358" t="e">
        <f>N19-O19</f>
        <v>#REF!</v>
      </c>
      <c r="R19" s="117"/>
      <c r="S19" s="350">
        <f t="shared" si="1"/>
        <v>801.87799999999993</v>
      </c>
      <c r="T19" s="341"/>
      <c r="U19" s="338"/>
      <c r="V19" s="339"/>
      <c r="W19" s="343"/>
      <c r="X19" s="339"/>
      <c r="Y19" s="343"/>
      <c r="Z19" s="344"/>
      <c r="AA19" s="344"/>
      <c r="AB19" s="340"/>
    </row>
    <row r="20" spans="1:28" ht="19.5" customHeight="1" x14ac:dyDescent="0.25">
      <c r="A20" s="32" t="s">
        <v>448</v>
      </c>
      <c r="B20" s="509">
        <v>8</v>
      </c>
      <c r="C20" s="2">
        <v>2</v>
      </c>
      <c r="D20" s="2">
        <f t="shared" si="14"/>
        <v>16</v>
      </c>
      <c r="E20" s="24">
        <v>11</v>
      </c>
      <c r="F20" s="8">
        <f t="shared" si="16"/>
        <v>176</v>
      </c>
      <c r="G20" s="14">
        <f t="shared" si="17"/>
        <v>8.8000000000000007</v>
      </c>
      <c r="H20" s="8">
        <f t="shared" si="18"/>
        <v>17.600000000000001</v>
      </c>
      <c r="I20" s="3">
        <f t="shared" si="19"/>
        <v>9622.5360000000001</v>
      </c>
      <c r="J20" s="117"/>
      <c r="K20" s="359">
        <f>I20</f>
        <v>9622.5360000000001</v>
      </c>
      <c r="L20" s="117"/>
      <c r="M20" s="117"/>
      <c r="N20" s="117">
        <f t="shared" si="15"/>
        <v>202.4</v>
      </c>
      <c r="O20" s="358"/>
      <c r="P20" s="358">
        <f>N20</f>
        <v>202.4</v>
      </c>
      <c r="Q20" s="358"/>
      <c r="R20" s="117"/>
      <c r="S20" s="350">
        <f t="shared" si="1"/>
        <v>0</v>
      </c>
      <c r="T20" s="13" t="s">
        <v>476</v>
      </c>
      <c r="U20" s="509">
        <v>8</v>
      </c>
      <c r="V20" s="2">
        <v>2</v>
      </c>
      <c r="W20" s="2">
        <f t="shared" si="20"/>
        <v>16</v>
      </c>
      <c r="X20" s="351">
        <v>11</v>
      </c>
      <c r="Y20" s="8">
        <f t="shared" si="5"/>
        <v>176</v>
      </c>
      <c r="Z20" s="14">
        <f t="shared" si="6"/>
        <v>8.8000000000000007</v>
      </c>
      <c r="AA20" s="14">
        <f t="shared" si="7"/>
        <v>17.600000000000001</v>
      </c>
      <c r="AB20" s="3">
        <f t="shared" si="8"/>
        <v>9622.5360000000001</v>
      </c>
    </row>
    <row r="21" spans="1:28" ht="57" customHeight="1" x14ac:dyDescent="0.25">
      <c r="A21" s="345"/>
      <c r="B21" s="338"/>
      <c r="C21" s="339"/>
      <c r="D21" s="339"/>
      <c r="E21" s="346"/>
      <c r="F21" s="347"/>
      <c r="G21" s="348"/>
      <c r="H21" s="349"/>
      <c r="I21" s="340"/>
      <c r="J21" s="360"/>
      <c r="K21" s="361"/>
      <c r="L21" s="360"/>
      <c r="M21" s="360"/>
      <c r="N21" s="360"/>
      <c r="O21" s="362"/>
      <c r="P21" s="362"/>
      <c r="Q21" s="362"/>
      <c r="R21" s="360"/>
      <c r="S21" s="350">
        <f t="shared" si="1"/>
        <v>-218.69399999999999</v>
      </c>
      <c r="T21" s="1" t="s">
        <v>477</v>
      </c>
      <c r="U21" s="509">
        <v>4</v>
      </c>
      <c r="V21" s="2">
        <v>1</v>
      </c>
      <c r="W21" s="2">
        <f t="shared" si="20"/>
        <v>4</v>
      </c>
      <c r="X21" s="2">
        <v>1</v>
      </c>
      <c r="Y21" s="8">
        <f t="shared" si="5"/>
        <v>4</v>
      </c>
      <c r="Z21" s="14">
        <f t="shared" si="6"/>
        <v>0.2</v>
      </c>
      <c r="AA21" s="14">
        <f t="shared" si="7"/>
        <v>0.4</v>
      </c>
      <c r="AB21" s="3">
        <f t="shared" si="8"/>
        <v>218.69399999999999</v>
      </c>
    </row>
    <row r="22" spans="1:28" ht="25.5" customHeight="1" x14ac:dyDescent="0.25">
      <c r="A22" s="13" t="s">
        <v>451</v>
      </c>
      <c r="B22" s="509"/>
      <c r="C22" s="2"/>
      <c r="D22" s="2"/>
      <c r="E22" s="2"/>
      <c r="F22" s="588">
        <f>SUM(F5:H20)</f>
        <v>313.72000000000003</v>
      </c>
      <c r="G22" s="589"/>
      <c r="H22" s="590"/>
      <c r="I22" s="3">
        <f>SUM(I5:I20)</f>
        <v>14914.9308</v>
      </c>
      <c r="J22" s="354" t="e">
        <f>SUM(J5:J20)</f>
        <v>#REF!</v>
      </c>
      <c r="K22" s="354">
        <f>SUM(K5:K20)</f>
        <v>9622.5360000000001</v>
      </c>
      <c r="L22" s="354" t="e">
        <f>SUM(L5:L20)</f>
        <v>#REF!</v>
      </c>
      <c r="M22" s="359" t="e">
        <f>SUM(J22:L22)</f>
        <v>#REF!</v>
      </c>
      <c r="N22" s="117"/>
      <c r="O22" s="355" t="e">
        <f>SUM(O5:O20)</f>
        <v>#REF!</v>
      </c>
      <c r="P22" s="355">
        <f>SUM(P5:P20)</f>
        <v>202.4</v>
      </c>
      <c r="Q22" s="355" t="e">
        <f>SUM(Q5:Q20)</f>
        <v>#REF!</v>
      </c>
      <c r="R22" s="117"/>
      <c r="S22" s="350">
        <f t="shared" si="1"/>
        <v>262.4328000000005</v>
      </c>
      <c r="T22" s="13" t="s">
        <v>451</v>
      </c>
      <c r="U22" s="509"/>
      <c r="V22" s="2"/>
      <c r="W22" s="2"/>
      <c r="X22" s="2"/>
      <c r="Y22" s="588">
        <f>SUM(Y6:AA21)</f>
        <v>308.2</v>
      </c>
      <c r="Z22" s="589"/>
      <c r="AA22" s="590"/>
      <c r="AB22" s="3">
        <f>SUM(AB6:AB21)</f>
        <v>14652.498</v>
      </c>
    </row>
    <row r="23" spans="1:28" ht="76.5" customHeight="1" x14ac:dyDescent="0.25">
      <c r="A23" s="5" t="s">
        <v>453</v>
      </c>
      <c r="B23" s="2"/>
      <c r="C23" s="2"/>
      <c r="D23" s="2"/>
      <c r="E23" s="2"/>
      <c r="F23" s="591">
        <f>ROUND(SUM(F5:H20),0)</f>
        <v>314</v>
      </c>
      <c r="G23" s="592"/>
      <c r="H23" s="593"/>
      <c r="I23" s="4">
        <f>ROUND(SUM(I5:I20),-2)</f>
        <v>14900</v>
      </c>
      <c r="J23" s="356" t="e">
        <f>ROUND(SUM(J5:J20),-2)</f>
        <v>#REF!</v>
      </c>
      <c r="K23" s="356">
        <f>ROUND(SUM(K5:K20),-2)</f>
        <v>9600</v>
      </c>
      <c r="L23" s="356" t="e">
        <f>ROUND(SUM(L5:L20),-2)</f>
        <v>#REF!</v>
      </c>
      <c r="M23" s="368" t="e">
        <f>SUM(J23:L23)</f>
        <v>#REF!</v>
      </c>
      <c r="N23" s="117"/>
      <c r="O23" s="357" t="e">
        <f>ROUND(SUM(O5:O20),-1)</f>
        <v>#REF!</v>
      </c>
      <c r="P23" s="357">
        <f>ROUND(SUM(P5:P20),-1)</f>
        <v>200</v>
      </c>
      <c r="Q23" s="357" t="e">
        <f>ROUND(SUM(Q5:Q20),-1)</f>
        <v>#REF!</v>
      </c>
      <c r="R23" s="117" t="e">
        <f>SUM(O23:Q23)</f>
        <v>#REF!</v>
      </c>
      <c r="S23" s="350">
        <f t="shared" si="1"/>
        <v>200</v>
      </c>
      <c r="T23" s="5" t="s">
        <v>478</v>
      </c>
      <c r="U23" s="2"/>
      <c r="V23" s="2"/>
      <c r="W23" s="2"/>
      <c r="X23" s="2"/>
      <c r="Y23" s="591">
        <f>ROUND(SUM(Y5:AA21),)</f>
        <v>308</v>
      </c>
      <c r="Z23" s="592"/>
      <c r="AA23" s="593"/>
      <c r="AB23" s="4">
        <f>ROUND(SUM(AB5:AB21),-2)</f>
        <v>14700</v>
      </c>
    </row>
    <row r="24" spans="1:28" ht="29.25" customHeight="1" x14ac:dyDescent="0.25"/>
    <row r="25" spans="1:28" ht="45.75" customHeight="1" x14ac:dyDescent="0.25">
      <c r="A25" s="6" t="s">
        <v>112</v>
      </c>
      <c r="T25" s="6" t="s">
        <v>112</v>
      </c>
    </row>
    <row r="26" spans="1:28" ht="18.75" x14ac:dyDescent="0.25">
      <c r="A26" s="594" t="s">
        <v>459</v>
      </c>
      <c r="B26" s="594"/>
      <c r="C26" s="594"/>
      <c r="D26" s="594"/>
      <c r="E26" s="594"/>
      <c r="F26" s="594"/>
      <c r="G26" s="594"/>
      <c r="H26" s="594"/>
      <c r="I26" s="594"/>
      <c r="J26" s="9"/>
      <c r="O26" s="10" t="e">
        <f>SUM(O5:O20)</f>
        <v>#REF!</v>
      </c>
      <c r="P26" s="10">
        <f>SUM(P5:P20)</f>
        <v>202.4</v>
      </c>
      <c r="Q26" s="10" t="e">
        <f>SUM(Q5:Q20)</f>
        <v>#REF!</v>
      </c>
      <c r="R26" s="10" t="e">
        <f>SUM(O26:Q26)</f>
        <v>#REF!</v>
      </c>
      <c r="T26" s="596" t="s">
        <v>479</v>
      </c>
      <c r="U26" s="596"/>
      <c r="V26" s="596"/>
      <c r="W26" s="596"/>
      <c r="X26" s="596"/>
      <c r="Y26" s="596"/>
      <c r="Z26" s="596"/>
      <c r="AA26" s="596"/>
      <c r="AB26" s="596"/>
    </row>
    <row r="27" spans="1:28" ht="29.25" customHeight="1" x14ac:dyDescent="0.25">
      <c r="A27" s="595" t="s">
        <v>460</v>
      </c>
      <c r="B27" s="595"/>
      <c r="C27" s="595"/>
      <c r="D27" s="595"/>
      <c r="E27" s="595"/>
      <c r="F27" s="595"/>
      <c r="G27" s="595"/>
      <c r="H27" s="595"/>
      <c r="I27" s="595"/>
      <c r="O27" s="329">
        <v>11</v>
      </c>
      <c r="P27" s="329">
        <v>202</v>
      </c>
      <c r="Q27" s="329">
        <v>101</v>
      </c>
      <c r="R27" s="329">
        <f>SUM(O27:Q27)</f>
        <v>314</v>
      </c>
      <c r="S27" s="329"/>
      <c r="T27" s="595" t="s">
        <v>480</v>
      </c>
      <c r="U27" s="595"/>
      <c r="V27" s="595"/>
      <c r="W27" s="595"/>
      <c r="X27" s="595"/>
      <c r="Y27" s="595"/>
      <c r="Z27" s="595"/>
      <c r="AA27" s="595"/>
      <c r="AB27" s="595"/>
    </row>
    <row r="28" spans="1:28" ht="18.75" x14ac:dyDescent="0.25">
      <c r="A28" s="595" t="s">
        <v>461</v>
      </c>
      <c r="B28" s="595"/>
      <c r="C28" s="595"/>
      <c r="D28" s="595"/>
      <c r="E28" s="595"/>
      <c r="F28" s="595"/>
      <c r="G28" s="595"/>
      <c r="H28" s="595"/>
      <c r="I28" s="595"/>
      <c r="T28" s="595" t="s">
        <v>481</v>
      </c>
      <c r="U28" s="595"/>
      <c r="V28" s="595"/>
      <c r="W28" s="595"/>
      <c r="X28" s="595"/>
      <c r="Y28" s="595"/>
      <c r="Z28" s="595"/>
      <c r="AA28" s="595"/>
      <c r="AB28" s="595"/>
    </row>
    <row r="29" spans="1:28" x14ac:dyDescent="0.25">
      <c r="A29" s="581" t="s">
        <v>463</v>
      </c>
      <c r="B29" s="582"/>
      <c r="C29" s="582"/>
      <c r="D29" s="582"/>
      <c r="E29" s="582"/>
      <c r="F29" s="582"/>
      <c r="G29" s="582"/>
      <c r="H29" s="582"/>
      <c r="I29" s="582"/>
      <c r="T29" s="583" t="s">
        <v>482</v>
      </c>
      <c r="U29" s="523"/>
      <c r="V29" s="523"/>
      <c r="W29" s="523"/>
      <c r="X29" s="523"/>
      <c r="Y29" s="523"/>
      <c r="Z29" s="523"/>
      <c r="AA29" s="523"/>
      <c r="AB29" s="523"/>
    </row>
    <row r="30" spans="1:28" x14ac:dyDescent="0.25">
      <c r="A30" s="583" t="s">
        <v>465</v>
      </c>
      <c r="B30" s="523"/>
      <c r="C30" s="523"/>
      <c r="D30" s="523"/>
      <c r="E30" s="523"/>
      <c r="F30" s="523"/>
      <c r="G30" s="523"/>
      <c r="H30" s="523"/>
      <c r="I30" s="523"/>
      <c r="T30" s="583" t="s">
        <v>465</v>
      </c>
      <c r="U30" s="523"/>
      <c r="V30" s="523"/>
      <c r="W30" s="523"/>
      <c r="X30" s="523"/>
      <c r="Y30" s="523"/>
      <c r="Z30" s="523"/>
      <c r="AA30" s="523"/>
      <c r="AB30" s="523"/>
    </row>
    <row r="31" spans="1:28" ht="15.75" x14ac:dyDescent="0.25">
      <c r="A31" s="7" t="s">
        <v>467</v>
      </c>
      <c r="T31" s="7" t="s">
        <v>483</v>
      </c>
    </row>
    <row r="32" spans="1:28" ht="15.75" x14ac:dyDescent="0.25">
      <c r="T32" s="7" t="s">
        <v>484</v>
      </c>
    </row>
    <row r="36" spans="2:27" x14ac:dyDescent="0.25">
      <c r="T36" s="10" t="s">
        <v>468</v>
      </c>
      <c r="AA36" s="20"/>
    </row>
    <row r="37" spans="2:27" ht="15.75" x14ac:dyDescent="0.25">
      <c r="B37" s="328"/>
      <c r="C37" s="328"/>
      <c r="D37" s="17"/>
      <c r="E37" s="17"/>
      <c r="T37" s="10" t="s">
        <v>340</v>
      </c>
      <c r="U37" s="328"/>
      <c r="V37" s="328"/>
      <c r="W37" s="17"/>
      <c r="X37" s="17"/>
      <c r="AA37" s="20"/>
    </row>
    <row r="38" spans="2:27" ht="15.75" x14ac:dyDescent="0.25">
      <c r="B38" s="328"/>
      <c r="C38" s="328"/>
      <c r="D38" s="17"/>
      <c r="E38" s="17"/>
      <c r="T38" s="10" t="s">
        <v>469</v>
      </c>
      <c r="U38" s="328"/>
      <c r="V38" s="328"/>
      <c r="W38" s="17"/>
      <c r="X38" s="17"/>
      <c r="AA38" s="20"/>
    </row>
    <row r="39" spans="2:27" ht="15.75" x14ac:dyDescent="0.25">
      <c r="B39" s="328"/>
      <c r="C39" s="328"/>
      <c r="D39" s="17"/>
      <c r="E39" s="17"/>
    </row>
    <row r="40" spans="2:27" x14ac:dyDescent="0.25">
      <c r="B40" s="18"/>
      <c r="C40" s="328"/>
      <c r="D40" s="328"/>
      <c r="E40" s="328"/>
    </row>
  </sheetData>
  <mergeCells count="16">
    <mergeCell ref="A3:A4"/>
    <mergeCell ref="T3:T4"/>
    <mergeCell ref="F22:H22"/>
    <mergeCell ref="F23:H23"/>
    <mergeCell ref="Y22:AA22"/>
    <mergeCell ref="Y23:AA23"/>
    <mergeCell ref="T30:AB30"/>
    <mergeCell ref="A26:I26"/>
    <mergeCell ref="A27:I27"/>
    <mergeCell ref="A28:I28"/>
    <mergeCell ref="A29:I29"/>
    <mergeCell ref="A30:I30"/>
    <mergeCell ref="T26:AB26"/>
    <mergeCell ref="T27:AB27"/>
    <mergeCell ref="T28:AB28"/>
    <mergeCell ref="T29:AB29"/>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7"/>
  </sheetPr>
  <dimension ref="A1:E119"/>
  <sheetViews>
    <sheetView workbookViewId="0">
      <selection activeCell="E14" sqref="E14"/>
    </sheetView>
  </sheetViews>
  <sheetFormatPr defaultRowHeight="15" x14ac:dyDescent="0.25"/>
  <cols>
    <col min="1" max="1" width="32.5703125" customWidth="1"/>
    <col min="3" max="3" width="66.42578125" customWidth="1"/>
    <col min="4" max="4" width="58.28515625" customWidth="1"/>
    <col min="5" max="5" width="21" customWidth="1"/>
  </cols>
  <sheetData>
    <row r="1" spans="1:5" x14ac:dyDescent="0.25">
      <c r="A1" s="328" t="s">
        <v>485</v>
      </c>
      <c r="B1" s="328" t="s">
        <v>486</v>
      </c>
      <c r="C1" s="328" t="s">
        <v>487</v>
      </c>
      <c r="D1" s="328" t="s">
        <v>488</v>
      </c>
      <c r="E1" s="328" t="s">
        <v>489</v>
      </c>
    </row>
    <row r="2" spans="1:5" x14ac:dyDescent="0.25">
      <c r="A2" s="328" t="s">
        <v>490</v>
      </c>
      <c r="B2" s="328" t="s">
        <v>491</v>
      </c>
      <c r="C2" s="328" t="s">
        <v>492</v>
      </c>
      <c r="D2" s="328" t="s">
        <v>493</v>
      </c>
      <c r="E2" s="328" t="s">
        <v>494</v>
      </c>
    </row>
    <row r="3" spans="1:5" x14ac:dyDescent="0.25">
      <c r="A3" s="328" t="s">
        <v>495</v>
      </c>
      <c r="B3" s="328" t="s">
        <v>491</v>
      </c>
      <c r="C3" s="328" t="s">
        <v>492</v>
      </c>
      <c r="D3" s="328" t="s">
        <v>493</v>
      </c>
      <c r="E3" s="328" t="s">
        <v>496</v>
      </c>
    </row>
    <row r="4" spans="1:5" x14ac:dyDescent="0.25">
      <c r="A4" s="328" t="s">
        <v>497</v>
      </c>
      <c r="B4" s="328" t="s">
        <v>491</v>
      </c>
      <c r="C4" s="328" t="s">
        <v>498</v>
      </c>
      <c r="D4" s="328" t="s">
        <v>499</v>
      </c>
      <c r="E4" s="328" t="s">
        <v>498</v>
      </c>
    </row>
    <row r="5" spans="1:5" x14ac:dyDescent="0.25">
      <c r="A5" s="328" t="s">
        <v>500</v>
      </c>
      <c r="B5" s="328" t="s">
        <v>491</v>
      </c>
      <c r="C5" s="328" t="s">
        <v>501</v>
      </c>
      <c r="D5" s="328" t="s">
        <v>502</v>
      </c>
      <c r="E5" s="328" t="s">
        <v>503</v>
      </c>
    </row>
    <row r="6" spans="1:5" x14ac:dyDescent="0.25">
      <c r="A6" s="328" t="s">
        <v>504</v>
      </c>
      <c r="B6" s="328" t="s">
        <v>491</v>
      </c>
      <c r="C6" s="328" t="s">
        <v>505</v>
      </c>
      <c r="D6" s="328" t="s">
        <v>502</v>
      </c>
      <c r="E6" s="328" t="s">
        <v>506</v>
      </c>
    </row>
    <row r="7" spans="1:5" x14ac:dyDescent="0.25">
      <c r="A7" s="328" t="s">
        <v>507</v>
      </c>
      <c r="B7" s="328" t="s">
        <v>491</v>
      </c>
      <c r="C7" s="328" t="s">
        <v>508</v>
      </c>
      <c r="D7" s="328" t="s">
        <v>509</v>
      </c>
      <c r="E7" s="328" t="s">
        <v>510</v>
      </c>
    </row>
    <row r="8" spans="1:5" x14ac:dyDescent="0.25">
      <c r="A8" s="328" t="s">
        <v>511</v>
      </c>
      <c r="B8" s="328" t="s">
        <v>491</v>
      </c>
      <c r="C8" s="328" t="s">
        <v>512</v>
      </c>
      <c r="D8" s="328" t="s">
        <v>513</v>
      </c>
      <c r="E8" s="328" t="s">
        <v>514</v>
      </c>
    </row>
    <row r="9" spans="1:5" x14ac:dyDescent="0.25">
      <c r="A9" s="328" t="s">
        <v>515</v>
      </c>
      <c r="B9" s="328" t="s">
        <v>491</v>
      </c>
      <c r="C9" s="328" t="s">
        <v>512</v>
      </c>
      <c r="D9" s="328" t="s">
        <v>513</v>
      </c>
      <c r="E9" s="328" t="s">
        <v>516</v>
      </c>
    </row>
    <row r="10" spans="1:5" x14ac:dyDescent="0.25">
      <c r="A10" s="328" t="s">
        <v>517</v>
      </c>
      <c r="B10" s="328" t="s">
        <v>518</v>
      </c>
      <c r="C10" s="328" t="s">
        <v>519</v>
      </c>
      <c r="D10" s="328" t="s">
        <v>493</v>
      </c>
      <c r="E10" s="328" t="s">
        <v>520</v>
      </c>
    </row>
    <row r="11" spans="1:5" x14ac:dyDescent="0.25">
      <c r="A11" s="328" t="s">
        <v>521</v>
      </c>
      <c r="B11" s="328" t="s">
        <v>518</v>
      </c>
      <c r="C11" s="328" t="s">
        <v>522</v>
      </c>
      <c r="D11" s="328" t="s">
        <v>499</v>
      </c>
      <c r="E11" s="328" t="s">
        <v>522</v>
      </c>
    </row>
    <row r="12" spans="1:5" x14ac:dyDescent="0.25">
      <c r="A12" s="328" t="s">
        <v>523</v>
      </c>
      <c r="B12" s="328" t="s">
        <v>518</v>
      </c>
      <c r="C12" s="328" t="s">
        <v>524</v>
      </c>
      <c r="D12" s="328" t="s">
        <v>502</v>
      </c>
      <c r="E12" s="328" t="s">
        <v>525</v>
      </c>
    </row>
    <row r="13" spans="1:5" x14ac:dyDescent="0.25">
      <c r="A13" s="328" t="s">
        <v>526</v>
      </c>
      <c r="B13" s="328" t="s">
        <v>518</v>
      </c>
      <c r="C13" s="328" t="s">
        <v>527</v>
      </c>
      <c r="D13" s="328" t="s">
        <v>502</v>
      </c>
      <c r="E13" s="328" t="s">
        <v>528</v>
      </c>
    </row>
    <row r="14" spans="1:5" x14ac:dyDescent="0.25">
      <c r="A14" s="328" t="s">
        <v>529</v>
      </c>
      <c r="B14" s="328" t="s">
        <v>518</v>
      </c>
      <c r="C14" s="328" t="s">
        <v>530</v>
      </c>
      <c r="D14" s="328" t="s">
        <v>509</v>
      </c>
      <c r="E14" s="328" t="s">
        <v>531</v>
      </c>
    </row>
    <row r="15" spans="1:5" x14ac:dyDescent="0.25">
      <c r="A15" s="328" t="s">
        <v>532</v>
      </c>
      <c r="B15" s="328" t="s">
        <v>518</v>
      </c>
      <c r="C15" s="328" t="s">
        <v>533</v>
      </c>
      <c r="D15" s="328" t="s">
        <v>534</v>
      </c>
      <c r="E15" s="328" t="s">
        <v>535</v>
      </c>
    </row>
    <row r="16" spans="1:5" x14ac:dyDescent="0.25">
      <c r="A16" s="328" t="s">
        <v>536</v>
      </c>
      <c r="B16" s="328" t="s">
        <v>518</v>
      </c>
      <c r="C16" s="328" t="s">
        <v>537</v>
      </c>
      <c r="D16" s="328" t="s">
        <v>513</v>
      </c>
      <c r="E16" s="328" t="s">
        <v>538</v>
      </c>
    </row>
    <row r="17" spans="1:5" x14ac:dyDescent="0.25">
      <c r="A17" s="328" t="s">
        <v>539</v>
      </c>
      <c r="B17" s="328" t="s">
        <v>540</v>
      </c>
      <c r="C17" s="328" t="s">
        <v>541</v>
      </c>
      <c r="D17" s="328" t="s">
        <v>493</v>
      </c>
      <c r="E17" s="328" t="s">
        <v>542</v>
      </c>
    </row>
    <row r="18" spans="1:5" x14ac:dyDescent="0.25">
      <c r="A18" s="328" t="s">
        <v>543</v>
      </c>
      <c r="B18" s="328" t="s">
        <v>540</v>
      </c>
      <c r="C18" s="328" t="s">
        <v>544</v>
      </c>
      <c r="D18" s="328" t="s">
        <v>493</v>
      </c>
      <c r="E18" s="328" t="s">
        <v>545</v>
      </c>
    </row>
    <row r="19" spans="1:5" x14ac:dyDescent="0.25">
      <c r="A19" s="328" t="s">
        <v>546</v>
      </c>
      <c r="B19" s="328" t="s">
        <v>540</v>
      </c>
      <c r="C19" s="328" t="s">
        <v>547</v>
      </c>
      <c r="D19" s="328" t="s">
        <v>499</v>
      </c>
      <c r="E19" s="328" t="s">
        <v>548</v>
      </c>
    </row>
    <row r="20" spans="1:5" x14ac:dyDescent="0.25">
      <c r="A20" s="328" t="s">
        <v>549</v>
      </c>
      <c r="B20" s="328" t="s">
        <v>540</v>
      </c>
      <c r="C20" s="328" t="s">
        <v>550</v>
      </c>
      <c r="D20" s="328" t="s">
        <v>499</v>
      </c>
      <c r="E20" s="328" t="s">
        <v>551</v>
      </c>
    </row>
    <row r="21" spans="1:5" x14ac:dyDescent="0.25">
      <c r="A21" s="328" t="s">
        <v>552</v>
      </c>
      <c r="B21" s="328" t="s">
        <v>540</v>
      </c>
      <c r="C21" s="328" t="s">
        <v>553</v>
      </c>
      <c r="D21" s="328" t="s">
        <v>502</v>
      </c>
      <c r="E21" s="328" t="s">
        <v>554</v>
      </c>
    </row>
    <row r="22" spans="1:5" x14ac:dyDescent="0.25">
      <c r="A22" s="328" t="s">
        <v>555</v>
      </c>
      <c r="B22" s="328" t="s">
        <v>540</v>
      </c>
      <c r="C22" s="328" t="s">
        <v>556</v>
      </c>
      <c r="D22" s="328" t="s">
        <v>502</v>
      </c>
      <c r="E22" s="328" t="s">
        <v>557</v>
      </c>
    </row>
    <row r="23" spans="1:5" x14ac:dyDescent="0.25">
      <c r="A23" s="328" t="s">
        <v>558</v>
      </c>
      <c r="B23" s="328" t="s">
        <v>540</v>
      </c>
      <c r="C23" s="328" t="s">
        <v>556</v>
      </c>
      <c r="D23" s="328" t="s">
        <v>502</v>
      </c>
      <c r="E23" s="328" t="s">
        <v>559</v>
      </c>
    </row>
    <row r="24" spans="1:5" x14ac:dyDescent="0.25">
      <c r="A24" s="328" t="s">
        <v>560</v>
      </c>
      <c r="B24" s="328" t="s">
        <v>540</v>
      </c>
      <c r="C24" s="328" t="s">
        <v>556</v>
      </c>
      <c r="D24" s="328" t="s">
        <v>502</v>
      </c>
      <c r="E24" s="328" t="s">
        <v>561</v>
      </c>
    </row>
    <row r="25" spans="1:5" x14ac:dyDescent="0.25">
      <c r="A25" s="328" t="s">
        <v>562</v>
      </c>
      <c r="B25" s="328" t="s">
        <v>540</v>
      </c>
      <c r="C25" s="328" t="s">
        <v>563</v>
      </c>
      <c r="D25" s="328" t="s">
        <v>564</v>
      </c>
      <c r="E25" s="328" t="s">
        <v>565</v>
      </c>
    </row>
    <row r="26" spans="1:5" x14ac:dyDescent="0.25">
      <c r="A26" s="328" t="s">
        <v>566</v>
      </c>
      <c r="B26" s="328" t="s">
        <v>540</v>
      </c>
      <c r="C26" s="328" t="s">
        <v>567</v>
      </c>
      <c r="D26" s="328" t="s">
        <v>534</v>
      </c>
      <c r="E26" s="328" t="s">
        <v>568</v>
      </c>
    </row>
    <row r="27" spans="1:5" x14ac:dyDescent="0.25">
      <c r="A27" s="328" t="s">
        <v>569</v>
      </c>
      <c r="B27" s="328" t="s">
        <v>540</v>
      </c>
      <c r="C27" s="328" t="s">
        <v>567</v>
      </c>
      <c r="D27" s="328" t="s">
        <v>534</v>
      </c>
      <c r="E27" s="328" t="s">
        <v>570</v>
      </c>
    </row>
    <row r="28" spans="1:5" x14ac:dyDescent="0.25">
      <c r="A28" s="328" t="s">
        <v>571</v>
      </c>
      <c r="B28" s="328" t="s">
        <v>540</v>
      </c>
      <c r="C28" s="328" t="s">
        <v>572</v>
      </c>
      <c r="D28" s="328" t="s">
        <v>534</v>
      </c>
      <c r="E28" s="328" t="s">
        <v>573</v>
      </c>
    </row>
    <row r="29" spans="1:5" x14ac:dyDescent="0.25">
      <c r="A29" s="328" t="s">
        <v>574</v>
      </c>
      <c r="B29" s="328" t="s">
        <v>540</v>
      </c>
      <c r="C29" s="328" t="s">
        <v>575</v>
      </c>
      <c r="D29" s="328" t="s">
        <v>513</v>
      </c>
      <c r="E29" s="328" t="s">
        <v>576</v>
      </c>
    </row>
    <row r="30" spans="1:5" x14ac:dyDescent="0.25">
      <c r="A30" s="328" t="s">
        <v>577</v>
      </c>
      <c r="B30" s="328" t="s">
        <v>540</v>
      </c>
      <c r="C30" s="328" t="s">
        <v>578</v>
      </c>
      <c r="D30" s="328" t="s">
        <v>513</v>
      </c>
      <c r="E30" s="328" t="s">
        <v>578</v>
      </c>
    </row>
    <row r="31" spans="1:5" x14ac:dyDescent="0.25">
      <c r="A31" s="328" t="s">
        <v>579</v>
      </c>
      <c r="B31" s="328" t="s">
        <v>540</v>
      </c>
      <c r="C31" s="328" t="s">
        <v>580</v>
      </c>
      <c r="D31" s="328" t="s">
        <v>581</v>
      </c>
      <c r="E31" s="328" t="s">
        <v>580</v>
      </c>
    </row>
    <row r="32" spans="1:5" x14ac:dyDescent="0.25">
      <c r="A32" s="328" t="s">
        <v>582</v>
      </c>
      <c r="B32" s="328" t="s">
        <v>540</v>
      </c>
      <c r="C32" s="328" t="s">
        <v>583</v>
      </c>
      <c r="D32" s="328" t="s">
        <v>584</v>
      </c>
      <c r="E32" s="328" t="s">
        <v>583</v>
      </c>
    </row>
    <row r="33" spans="1:5" x14ac:dyDescent="0.25">
      <c r="A33" s="328" t="s">
        <v>585</v>
      </c>
      <c r="B33" s="328" t="s">
        <v>586</v>
      </c>
      <c r="C33" s="328" t="s">
        <v>587</v>
      </c>
      <c r="D33" s="328" t="s">
        <v>493</v>
      </c>
      <c r="E33" s="328" t="s">
        <v>588</v>
      </c>
    </row>
    <row r="34" spans="1:5" x14ac:dyDescent="0.25">
      <c r="A34" s="328" t="s">
        <v>589</v>
      </c>
      <c r="B34" s="328" t="s">
        <v>586</v>
      </c>
      <c r="C34" s="328" t="s">
        <v>590</v>
      </c>
      <c r="D34" s="328" t="s">
        <v>493</v>
      </c>
      <c r="E34" s="328" t="s">
        <v>591</v>
      </c>
    </row>
    <row r="35" spans="1:5" x14ac:dyDescent="0.25">
      <c r="A35" s="328" t="s">
        <v>592</v>
      </c>
      <c r="B35" s="328" t="s">
        <v>586</v>
      </c>
      <c r="C35" s="328" t="s">
        <v>593</v>
      </c>
      <c r="D35" s="328" t="s">
        <v>499</v>
      </c>
      <c r="E35" s="328" t="s">
        <v>594</v>
      </c>
    </row>
    <row r="36" spans="1:5" x14ac:dyDescent="0.25">
      <c r="A36" s="328" t="s">
        <v>595</v>
      </c>
      <c r="B36" s="328" t="s">
        <v>586</v>
      </c>
      <c r="C36" s="328" t="s">
        <v>596</v>
      </c>
      <c r="D36" s="328" t="s">
        <v>499</v>
      </c>
      <c r="E36" s="328" t="s">
        <v>597</v>
      </c>
    </row>
    <row r="37" spans="1:5" x14ac:dyDescent="0.25">
      <c r="A37" s="328" t="s">
        <v>598</v>
      </c>
      <c r="B37" s="328" t="s">
        <v>586</v>
      </c>
      <c r="C37" s="328" t="s">
        <v>599</v>
      </c>
      <c r="D37" s="328" t="s">
        <v>502</v>
      </c>
      <c r="E37" s="328" t="s">
        <v>600</v>
      </c>
    </row>
    <row r="38" spans="1:5" x14ac:dyDescent="0.25">
      <c r="A38" s="328" t="s">
        <v>601</v>
      </c>
      <c r="B38" s="328" t="s">
        <v>586</v>
      </c>
      <c r="C38" s="328" t="s">
        <v>602</v>
      </c>
      <c r="D38" s="328" t="s">
        <v>502</v>
      </c>
      <c r="E38" s="328" t="s">
        <v>603</v>
      </c>
    </row>
    <row r="39" spans="1:5" x14ac:dyDescent="0.25">
      <c r="A39" s="328" t="s">
        <v>604</v>
      </c>
      <c r="B39" s="328" t="s">
        <v>586</v>
      </c>
      <c r="C39" s="328" t="s">
        <v>605</v>
      </c>
      <c r="D39" s="328" t="s">
        <v>502</v>
      </c>
      <c r="E39" s="328" t="s">
        <v>606</v>
      </c>
    </row>
    <row r="40" spans="1:5" x14ac:dyDescent="0.25">
      <c r="A40" s="328" t="s">
        <v>607</v>
      </c>
      <c r="B40" s="328" t="s">
        <v>586</v>
      </c>
      <c r="C40" s="328" t="s">
        <v>605</v>
      </c>
      <c r="D40" s="328" t="s">
        <v>502</v>
      </c>
      <c r="E40" s="328" t="s">
        <v>608</v>
      </c>
    </row>
    <row r="41" spans="1:5" x14ac:dyDescent="0.25">
      <c r="A41" s="328" t="s">
        <v>609</v>
      </c>
      <c r="B41" s="328" t="s">
        <v>586</v>
      </c>
      <c r="C41" s="328" t="s">
        <v>610</v>
      </c>
      <c r="D41" s="328" t="s">
        <v>509</v>
      </c>
      <c r="E41" s="328" t="s">
        <v>611</v>
      </c>
    </row>
    <row r="42" spans="1:5" x14ac:dyDescent="0.25">
      <c r="A42" s="328" t="s">
        <v>612</v>
      </c>
      <c r="B42" s="328" t="s">
        <v>586</v>
      </c>
      <c r="C42" s="328" t="s">
        <v>613</v>
      </c>
      <c r="D42" s="328" t="s">
        <v>534</v>
      </c>
      <c r="E42" s="328" t="s">
        <v>614</v>
      </c>
    </row>
    <row r="43" spans="1:5" x14ac:dyDescent="0.25">
      <c r="A43" s="328" t="s">
        <v>615</v>
      </c>
      <c r="B43" s="328" t="s">
        <v>586</v>
      </c>
      <c r="C43" s="328" t="s">
        <v>616</v>
      </c>
      <c r="D43" s="328" t="s">
        <v>513</v>
      </c>
      <c r="E43" s="328" t="s">
        <v>617</v>
      </c>
    </row>
    <row r="44" spans="1:5" x14ac:dyDescent="0.25">
      <c r="A44" s="328" t="s">
        <v>618</v>
      </c>
      <c r="B44" s="328" t="s">
        <v>586</v>
      </c>
      <c r="C44" s="328" t="s">
        <v>619</v>
      </c>
      <c r="D44" s="328" t="s">
        <v>513</v>
      </c>
      <c r="E44" s="328" t="s">
        <v>620</v>
      </c>
    </row>
    <row r="45" spans="1:5" x14ac:dyDescent="0.25">
      <c r="A45" s="328" t="s">
        <v>621</v>
      </c>
      <c r="B45" s="328" t="s">
        <v>622</v>
      </c>
      <c r="C45" s="328" t="s">
        <v>623</v>
      </c>
      <c r="D45" s="328" t="s">
        <v>493</v>
      </c>
      <c r="E45" s="328" t="s">
        <v>624</v>
      </c>
    </row>
    <row r="46" spans="1:5" x14ac:dyDescent="0.25">
      <c r="A46" s="328" t="s">
        <v>625</v>
      </c>
      <c r="B46" s="328" t="s">
        <v>622</v>
      </c>
      <c r="C46" s="328" t="s">
        <v>623</v>
      </c>
      <c r="D46" s="328" t="s">
        <v>626</v>
      </c>
      <c r="E46" s="328" t="s">
        <v>627</v>
      </c>
    </row>
    <row r="47" spans="1:5" x14ac:dyDescent="0.25">
      <c r="A47" s="328" t="s">
        <v>628</v>
      </c>
      <c r="B47" s="328" t="s">
        <v>622</v>
      </c>
      <c r="C47" s="328" t="s">
        <v>629</v>
      </c>
      <c r="D47" s="328" t="s">
        <v>499</v>
      </c>
      <c r="E47" s="328" t="s">
        <v>629</v>
      </c>
    </row>
    <row r="48" spans="1:5" x14ac:dyDescent="0.25">
      <c r="A48" s="328" t="s">
        <v>630</v>
      </c>
      <c r="B48" s="328" t="s">
        <v>622</v>
      </c>
      <c r="C48" s="328" t="s">
        <v>631</v>
      </c>
      <c r="D48" s="328" t="s">
        <v>502</v>
      </c>
      <c r="E48" s="328" t="s">
        <v>632</v>
      </c>
    </row>
    <row r="49" spans="1:5" x14ac:dyDescent="0.25">
      <c r="A49" s="328" t="s">
        <v>633</v>
      </c>
      <c r="B49" s="328" t="s">
        <v>622</v>
      </c>
      <c r="C49" s="328" t="s">
        <v>634</v>
      </c>
      <c r="D49" s="328" t="s">
        <v>502</v>
      </c>
      <c r="E49" s="328" t="s">
        <v>635</v>
      </c>
    </row>
    <row r="50" spans="1:5" x14ac:dyDescent="0.25">
      <c r="A50" s="328" t="s">
        <v>636</v>
      </c>
      <c r="B50" s="328" t="s">
        <v>622</v>
      </c>
      <c r="C50" s="328" t="s">
        <v>637</v>
      </c>
      <c r="D50" s="328" t="s">
        <v>502</v>
      </c>
      <c r="E50" s="328" t="s">
        <v>638</v>
      </c>
    </row>
    <row r="51" spans="1:5" x14ac:dyDescent="0.25">
      <c r="A51" s="328" t="s">
        <v>639</v>
      </c>
      <c r="B51" s="328" t="s">
        <v>622</v>
      </c>
      <c r="C51" s="328" t="s">
        <v>640</v>
      </c>
      <c r="D51" s="328" t="s">
        <v>641</v>
      </c>
      <c r="E51" s="328" t="s">
        <v>642</v>
      </c>
    </row>
    <row r="52" spans="1:5" x14ac:dyDescent="0.25">
      <c r="A52" s="328" t="s">
        <v>643</v>
      </c>
      <c r="B52" s="328" t="s">
        <v>622</v>
      </c>
      <c r="C52" s="328" t="s">
        <v>644</v>
      </c>
      <c r="D52" s="328" t="s">
        <v>641</v>
      </c>
      <c r="E52" s="328" t="s">
        <v>645</v>
      </c>
    </row>
    <row r="53" spans="1:5" x14ac:dyDescent="0.25">
      <c r="A53" s="328" t="s">
        <v>646</v>
      </c>
      <c r="B53" s="328" t="s">
        <v>622</v>
      </c>
      <c r="C53" s="328" t="s">
        <v>647</v>
      </c>
      <c r="D53" s="328" t="s">
        <v>534</v>
      </c>
      <c r="E53" s="328" t="s">
        <v>648</v>
      </c>
    </row>
    <row r="54" spans="1:5" x14ac:dyDescent="0.25">
      <c r="A54" s="328" t="s">
        <v>649</v>
      </c>
      <c r="B54" s="328" t="s">
        <v>622</v>
      </c>
      <c r="C54" s="328" t="s">
        <v>650</v>
      </c>
      <c r="D54" s="328" t="s">
        <v>534</v>
      </c>
      <c r="E54" s="328" t="s">
        <v>651</v>
      </c>
    </row>
    <row r="55" spans="1:5" x14ac:dyDescent="0.25">
      <c r="A55" s="328" t="s">
        <v>652</v>
      </c>
      <c r="B55" s="328" t="s">
        <v>622</v>
      </c>
      <c r="C55" s="328" t="s">
        <v>653</v>
      </c>
      <c r="D55" s="328" t="s">
        <v>534</v>
      </c>
      <c r="E55" s="328" t="s">
        <v>654</v>
      </c>
    </row>
    <row r="56" spans="1:5" x14ac:dyDescent="0.25">
      <c r="A56" s="328" t="s">
        <v>655</v>
      </c>
      <c r="B56" s="328" t="s">
        <v>622</v>
      </c>
      <c r="C56" s="328" t="s">
        <v>656</v>
      </c>
      <c r="D56" s="328" t="s">
        <v>513</v>
      </c>
      <c r="E56" s="328" t="s">
        <v>657</v>
      </c>
    </row>
    <row r="57" spans="1:5" x14ac:dyDescent="0.25">
      <c r="A57" s="328" t="s">
        <v>658</v>
      </c>
      <c r="B57" s="328" t="s">
        <v>622</v>
      </c>
      <c r="C57" s="328" t="s">
        <v>659</v>
      </c>
      <c r="D57" s="328" t="s">
        <v>581</v>
      </c>
      <c r="E57" s="328" t="s">
        <v>660</v>
      </c>
    </row>
    <row r="58" spans="1:5" x14ac:dyDescent="0.25">
      <c r="A58" s="328" t="s">
        <v>661</v>
      </c>
      <c r="B58" s="328" t="s">
        <v>622</v>
      </c>
      <c r="C58" s="328" t="s">
        <v>662</v>
      </c>
      <c r="D58" s="328" t="s">
        <v>584</v>
      </c>
      <c r="E58" s="328" t="s">
        <v>663</v>
      </c>
    </row>
    <row r="59" spans="1:5" x14ac:dyDescent="0.25">
      <c r="A59" s="328" t="s">
        <v>664</v>
      </c>
      <c r="B59" s="328" t="s">
        <v>665</v>
      </c>
      <c r="C59" s="328" t="s">
        <v>666</v>
      </c>
      <c r="D59" s="328" t="s">
        <v>493</v>
      </c>
      <c r="E59" s="328" t="s">
        <v>666</v>
      </c>
    </row>
    <row r="60" spans="1:5" x14ac:dyDescent="0.25">
      <c r="A60" s="328" t="s">
        <v>667</v>
      </c>
      <c r="B60" s="328" t="s">
        <v>665</v>
      </c>
      <c r="C60" s="328" t="s">
        <v>668</v>
      </c>
      <c r="D60" s="328" t="s">
        <v>493</v>
      </c>
      <c r="E60" s="328" t="s">
        <v>669</v>
      </c>
    </row>
    <row r="61" spans="1:5" x14ac:dyDescent="0.25">
      <c r="A61" s="328" t="s">
        <v>670</v>
      </c>
      <c r="B61" s="328" t="s">
        <v>665</v>
      </c>
      <c r="C61" s="328" t="s">
        <v>671</v>
      </c>
      <c r="D61" s="328" t="s">
        <v>499</v>
      </c>
      <c r="E61" s="328" t="s">
        <v>671</v>
      </c>
    </row>
    <row r="62" spans="1:5" x14ac:dyDescent="0.25">
      <c r="A62" s="328" t="s">
        <v>672</v>
      </c>
      <c r="B62" s="328" t="s">
        <v>665</v>
      </c>
      <c r="C62" s="328" t="s">
        <v>673</v>
      </c>
      <c r="D62" s="328" t="s">
        <v>499</v>
      </c>
      <c r="E62" s="328" t="s">
        <v>673</v>
      </c>
    </row>
    <row r="63" spans="1:5" x14ac:dyDescent="0.25">
      <c r="A63" s="328" t="s">
        <v>674</v>
      </c>
      <c r="B63" s="328" t="s">
        <v>665</v>
      </c>
      <c r="C63" s="328" t="s">
        <v>675</v>
      </c>
      <c r="D63" s="328" t="s">
        <v>502</v>
      </c>
      <c r="E63" s="328" t="s">
        <v>676</v>
      </c>
    </row>
    <row r="64" spans="1:5" x14ac:dyDescent="0.25">
      <c r="A64" s="328" t="s">
        <v>677</v>
      </c>
      <c r="B64" s="328" t="s">
        <v>665</v>
      </c>
      <c r="C64" s="328" t="s">
        <v>678</v>
      </c>
      <c r="D64" s="328" t="s">
        <v>534</v>
      </c>
      <c r="E64" s="328" t="s">
        <v>679</v>
      </c>
    </row>
    <row r="65" spans="1:5" x14ac:dyDescent="0.25">
      <c r="A65" s="328" t="s">
        <v>680</v>
      </c>
      <c r="B65" s="328" t="s">
        <v>665</v>
      </c>
      <c r="C65" s="328" t="s">
        <v>681</v>
      </c>
      <c r="D65" s="328" t="s">
        <v>513</v>
      </c>
      <c r="E65" s="328" t="s">
        <v>682</v>
      </c>
    </row>
    <row r="66" spans="1:5" x14ac:dyDescent="0.25">
      <c r="A66" s="328" t="s">
        <v>683</v>
      </c>
      <c r="B66" s="328" t="s">
        <v>684</v>
      </c>
      <c r="C66" s="328" t="s">
        <v>685</v>
      </c>
      <c r="D66" s="328" t="s">
        <v>493</v>
      </c>
      <c r="E66" s="328" t="s">
        <v>686</v>
      </c>
    </row>
    <row r="67" spans="1:5" x14ac:dyDescent="0.25">
      <c r="A67" s="328" t="s">
        <v>687</v>
      </c>
      <c r="B67" s="328" t="s">
        <v>684</v>
      </c>
      <c r="C67" s="328" t="s">
        <v>688</v>
      </c>
      <c r="D67" s="328" t="s">
        <v>499</v>
      </c>
      <c r="E67" s="328" t="s">
        <v>689</v>
      </c>
    </row>
    <row r="68" spans="1:5" x14ac:dyDescent="0.25">
      <c r="A68" s="328" t="s">
        <v>690</v>
      </c>
      <c r="B68" s="328" t="s">
        <v>684</v>
      </c>
      <c r="C68" s="328" t="s">
        <v>691</v>
      </c>
      <c r="D68" s="328" t="s">
        <v>502</v>
      </c>
      <c r="E68" s="328" t="s">
        <v>692</v>
      </c>
    </row>
    <row r="69" spans="1:5" x14ac:dyDescent="0.25">
      <c r="A69" s="328" t="s">
        <v>693</v>
      </c>
      <c r="B69" s="328" t="s">
        <v>684</v>
      </c>
      <c r="C69" s="328" t="s">
        <v>694</v>
      </c>
      <c r="D69" s="328" t="s">
        <v>509</v>
      </c>
      <c r="E69" s="328" t="s">
        <v>695</v>
      </c>
    </row>
    <row r="70" spans="1:5" x14ac:dyDescent="0.25">
      <c r="A70" s="328" t="s">
        <v>696</v>
      </c>
      <c r="B70" s="328" t="s">
        <v>684</v>
      </c>
      <c r="C70" s="328" t="s">
        <v>697</v>
      </c>
      <c r="D70" s="328" t="s">
        <v>534</v>
      </c>
      <c r="E70" s="328" t="s">
        <v>698</v>
      </c>
    </row>
    <row r="71" spans="1:5" x14ac:dyDescent="0.25">
      <c r="A71" s="328" t="s">
        <v>699</v>
      </c>
      <c r="B71" s="328" t="s">
        <v>684</v>
      </c>
      <c r="C71" s="328" t="s">
        <v>700</v>
      </c>
      <c r="D71" s="328" t="s">
        <v>513</v>
      </c>
      <c r="E71" s="328" t="s">
        <v>701</v>
      </c>
    </row>
    <row r="72" spans="1:5" x14ac:dyDescent="0.25">
      <c r="A72" s="328" t="s">
        <v>702</v>
      </c>
      <c r="B72" s="328" t="s">
        <v>684</v>
      </c>
      <c r="C72" s="328" t="s">
        <v>703</v>
      </c>
      <c r="D72" s="328" t="s">
        <v>513</v>
      </c>
      <c r="E72" s="328" t="s">
        <v>704</v>
      </c>
    </row>
    <row r="73" spans="1:5" x14ac:dyDescent="0.25">
      <c r="A73" s="328" t="s">
        <v>705</v>
      </c>
      <c r="B73" s="328" t="s">
        <v>706</v>
      </c>
      <c r="C73" s="328" t="s">
        <v>707</v>
      </c>
      <c r="D73" s="328" t="s">
        <v>493</v>
      </c>
      <c r="E73" s="328" t="s">
        <v>708</v>
      </c>
    </row>
    <row r="74" spans="1:5" x14ac:dyDescent="0.25">
      <c r="A74" s="328" t="s">
        <v>709</v>
      </c>
      <c r="B74" s="328" t="s">
        <v>706</v>
      </c>
      <c r="C74" s="328" t="s">
        <v>710</v>
      </c>
      <c r="D74" s="328" t="s">
        <v>499</v>
      </c>
      <c r="E74" s="328" t="s">
        <v>711</v>
      </c>
    </row>
    <row r="75" spans="1:5" x14ac:dyDescent="0.25">
      <c r="A75" s="328" t="s">
        <v>712</v>
      </c>
      <c r="B75" s="328" t="s">
        <v>706</v>
      </c>
      <c r="C75" s="328" t="s">
        <v>713</v>
      </c>
      <c r="D75" s="328" t="s">
        <v>499</v>
      </c>
      <c r="E75" s="328" t="s">
        <v>714</v>
      </c>
    </row>
    <row r="76" spans="1:5" x14ac:dyDescent="0.25">
      <c r="A76" s="328" t="s">
        <v>715</v>
      </c>
      <c r="B76" s="328" t="s">
        <v>706</v>
      </c>
      <c r="C76" s="328" t="s">
        <v>716</v>
      </c>
      <c r="D76" s="328" t="s">
        <v>502</v>
      </c>
      <c r="E76" s="328" t="s">
        <v>717</v>
      </c>
    </row>
    <row r="77" spans="1:5" x14ac:dyDescent="0.25">
      <c r="A77" s="328" t="s">
        <v>718</v>
      </c>
      <c r="B77" s="328" t="s">
        <v>706</v>
      </c>
      <c r="C77" s="328" t="s">
        <v>719</v>
      </c>
      <c r="D77" s="328" t="s">
        <v>641</v>
      </c>
      <c r="E77" s="328" t="s">
        <v>720</v>
      </c>
    </row>
    <row r="78" spans="1:5" x14ac:dyDescent="0.25">
      <c r="A78" s="328" t="s">
        <v>721</v>
      </c>
      <c r="B78" s="328" t="s">
        <v>706</v>
      </c>
      <c r="C78" s="328" t="s">
        <v>722</v>
      </c>
      <c r="D78" s="328" t="s">
        <v>534</v>
      </c>
      <c r="E78" s="328" t="s">
        <v>723</v>
      </c>
    </row>
    <row r="79" spans="1:5" x14ac:dyDescent="0.25">
      <c r="A79" s="328" t="s">
        <v>724</v>
      </c>
      <c r="B79" s="328" t="s">
        <v>706</v>
      </c>
      <c r="C79" s="328" t="s">
        <v>725</v>
      </c>
      <c r="D79" s="328" t="s">
        <v>513</v>
      </c>
      <c r="E79" s="328" t="s">
        <v>726</v>
      </c>
    </row>
    <row r="80" spans="1:5" x14ac:dyDescent="0.25">
      <c r="A80" s="328" t="s">
        <v>727</v>
      </c>
      <c r="B80" s="328" t="s">
        <v>728</v>
      </c>
      <c r="C80" s="328" t="s">
        <v>729</v>
      </c>
      <c r="D80" s="328" t="s">
        <v>493</v>
      </c>
      <c r="E80" s="328" t="s">
        <v>730</v>
      </c>
    </row>
    <row r="81" spans="1:5" x14ac:dyDescent="0.25">
      <c r="A81" s="328" t="s">
        <v>731</v>
      </c>
      <c r="B81" s="328" t="s">
        <v>728</v>
      </c>
      <c r="C81" s="328" t="s">
        <v>732</v>
      </c>
      <c r="D81" s="328" t="s">
        <v>493</v>
      </c>
      <c r="E81" s="328" t="s">
        <v>733</v>
      </c>
    </row>
    <row r="82" spans="1:5" x14ac:dyDescent="0.25">
      <c r="A82" s="328" t="s">
        <v>734</v>
      </c>
      <c r="B82" s="328" t="s">
        <v>728</v>
      </c>
      <c r="C82" s="328" t="s">
        <v>735</v>
      </c>
      <c r="D82" s="328" t="s">
        <v>499</v>
      </c>
      <c r="E82" s="328" t="s">
        <v>736</v>
      </c>
    </row>
    <row r="83" spans="1:5" x14ac:dyDescent="0.25">
      <c r="A83" s="328" t="s">
        <v>737</v>
      </c>
      <c r="B83" s="328" t="s">
        <v>728</v>
      </c>
      <c r="C83" s="328" t="s">
        <v>738</v>
      </c>
      <c r="D83" s="328" t="s">
        <v>499</v>
      </c>
      <c r="E83" s="328" t="s">
        <v>739</v>
      </c>
    </row>
    <row r="84" spans="1:5" x14ac:dyDescent="0.25">
      <c r="A84" s="328" t="s">
        <v>740</v>
      </c>
      <c r="B84" s="328" t="s">
        <v>728</v>
      </c>
      <c r="C84" s="328" t="s">
        <v>741</v>
      </c>
      <c r="D84" s="328" t="s">
        <v>502</v>
      </c>
      <c r="E84" s="328" t="s">
        <v>742</v>
      </c>
    </row>
    <row r="85" spans="1:5" x14ac:dyDescent="0.25">
      <c r="A85" s="328" t="s">
        <v>743</v>
      </c>
      <c r="B85" s="328" t="s">
        <v>728</v>
      </c>
      <c r="C85" s="328" t="s">
        <v>744</v>
      </c>
      <c r="D85" s="328" t="s">
        <v>641</v>
      </c>
      <c r="E85" s="328" t="s">
        <v>745</v>
      </c>
    </row>
    <row r="86" spans="1:5" x14ac:dyDescent="0.25">
      <c r="A86" s="328" t="s">
        <v>746</v>
      </c>
      <c r="B86" s="328" t="s">
        <v>728</v>
      </c>
      <c r="C86" s="328" t="s">
        <v>747</v>
      </c>
      <c r="D86" s="328" t="s">
        <v>534</v>
      </c>
      <c r="E86" s="328" t="s">
        <v>748</v>
      </c>
    </row>
    <row r="87" spans="1:5" x14ac:dyDescent="0.25">
      <c r="A87" s="328" t="s">
        <v>749</v>
      </c>
      <c r="B87" s="328" t="s">
        <v>728</v>
      </c>
      <c r="C87" s="328" t="s">
        <v>750</v>
      </c>
      <c r="D87" s="328" t="s">
        <v>513</v>
      </c>
      <c r="E87" s="328" t="s">
        <v>751</v>
      </c>
    </row>
    <row r="88" spans="1:5" x14ac:dyDescent="0.25">
      <c r="A88" s="328" t="s">
        <v>752</v>
      </c>
      <c r="B88" s="328" t="s">
        <v>728</v>
      </c>
      <c r="C88" s="328" t="s">
        <v>753</v>
      </c>
      <c r="D88" s="328" t="s">
        <v>513</v>
      </c>
      <c r="E88" s="328" t="s">
        <v>754</v>
      </c>
    </row>
    <row r="89" spans="1:5" x14ac:dyDescent="0.25">
      <c r="A89" s="328" t="s">
        <v>755</v>
      </c>
      <c r="B89" s="328" t="s">
        <v>756</v>
      </c>
      <c r="C89" s="328" t="s">
        <v>757</v>
      </c>
      <c r="D89" s="328" t="s">
        <v>493</v>
      </c>
      <c r="E89" s="328" t="s">
        <v>758</v>
      </c>
    </row>
    <row r="90" spans="1:5" x14ac:dyDescent="0.25">
      <c r="A90" s="328" t="s">
        <v>759</v>
      </c>
      <c r="B90" s="328" t="s">
        <v>756</v>
      </c>
      <c r="C90" s="328" t="s">
        <v>760</v>
      </c>
      <c r="D90" s="328" t="s">
        <v>493</v>
      </c>
      <c r="E90" s="328" t="s">
        <v>761</v>
      </c>
    </row>
    <row r="91" spans="1:5" x14ac:dyDescent="0.25">
      <c r="A91" s="328" t="s">
        <v>762</v>
      </c>
      <c r="B91" s="328" t="s">
        <v>756</v>
      </c>
      <c r="C91" s="328" t="s">
        <v>763</v>
      </c>
      <c r="D91" s="328" t="s">
        <v>493</v>
      </c>
      <c r="E91" s="328" t="s">
        <v>764</v>
      </c>
    </row>
    <row r="92" spans="1:5" x14ac:dyDescent="0.25">
      <c r="A92" s="328" t="s">
        <v>765</v>
      </c>
      <c r="B92" s="328" t="s">
        <v>756</v>
      </c>
      <c r="C92" s="328" t="s">
        <v>766</v>
      </c>
      <c r="D92" s="328" t="s">
        <v>493</v>
      </c>
      <c r="E92" s="328" t="s">
        <v>767</v>
      </c>
    </row>
    <row r="93" spans="1:5" x14ac:dyDescent="0.25">
      <c r="A93" s="328" t="s">
        <v>768</v>
      </c>
      <c r="B93" s="328" t="s">
        <v>756</v>
      </c>
      <c r="C93" s="328" t="s">
        <v>769</v>
      </c>
      <c r="D93" s="328" t="s">
        <v>770</v>
      </c>
      <c r="E93" s="328" t="s">
        <v>771</v>
      </c>
    </row>
    <row r="94" spans="1:5" x14ac:dyDescent="0.25">
      <c r="A94" s="328" t="s">
        <v>772</v>
      </c>
      <c r="B94" s="328" t="s">
        <v>756</v>
      </c>
      <c r="C94" s="328" t="s">
        <v>773</v>
      </c>
      <c r="D94" s="328" t="s">
        <v>770</v>
      </c>
      <c r="E94" s="328" t="s">
        <v>774</v>
      </c>
    </row>
    <row r="95" spans="1:5" x14ac:dyDescent="0.25">
      <c r="A95" s="328" t="s">
        <v>775</v>
      </c>
      <c r="B95" s="328" t="s">
        <v>756</v>
      </c>
      <c r="C95" s="328" t="s">
        <v>776</v>
      </c>
      <c r="D95" s="328" t="s">
        <v>770</v>
      </c>
      <c r="E95" s="328" t="s">
        <v>777</v>
      </c>
    </row>
    <row r="96" spans="1:5" x14ac:dyDescent="0.25">
      <c r="A96" s="328" t="s">
        <v>778</v>
      </c>
      <c r="B96" s="328" t="s">
        <v>756</v>
      </c>
      <c r="C96" s="328" t="s">
        <v>779</v>
      </c>
      <c r="D96" s="328" t="s">
        <v>770</v>
      </c>
      <c r="E96" s="328" t="s">
        <v>780</v>
      </c>
    </row>
    <row r="97" spans="1:5" x14ac:dyDescent="0.25">
      <c r="A97" s="328" t="s">
        <v>781</v>
      </c>
      <c r="B97" s="328" t="s">
        <v>756</v>
      </c>
      <c r="C97" s="328" t="s">
        <v>782</v>
      </c>
      <c r="D97" s="328" t="s">
        <v>783</v>
      </c>
      <c r="E97" s="328" t="s">
        <v>784</v>
      </c>
    </row>
    <row r="98" spans="1:5" x14ac:dyDescent="0.25">
      <c r="A98" s="328" t="s">
        <v>785</v>
      </c>
      <c r="B98" s="328" t="s">
        <v>756</v>
      </c>
      <c r="C98" s="328" t="s">
        <v>782</v>
      </c>
      <c r="D98" s="328" t="s">
        <v>783</v>
      </c>
      <c r="E98" s="328" t="s">
        <v>786</v>
      </c>
    </row>
    <row r="99" spans="1:5" x14ac:dyDescent="0.25">
      <c r="A99" s="328" t="s">
        <v>787</v>
      </c>
      <c r="B99" s="328" t="s">
        <v>756</v>
      </c>
      <c r="C99" s="328" t="s">
        <v>788</v>
      </c>
      <c r="D99" s="328" t="s">
        <v>502</v>
      </c>
      <c r="E99" s="328" t="s">
        <v>789</v>
      </c>
    </row>
    <row r="100" spans="1:5" x14ac:dyDescent="0.25">
      <c r="A100" s="328" t="s">
        <v>790</v>
      </c>
      <c r="B100" s="328" t="s">
        <v>756</v>
      </c>
      <c r="C100" s="328" t="s">
        <v>788</v>
      </c>
      <c r="D100" s="328" t="s">
        <v>502</v>
      </c>
      <c r="E100" s="328" t="s">
        <v>791</v>
      </c>
    </row>
    <row r="101" spans="1:5" x14ac:dyDescent="0.25">
      <c r="A101" s="328" t="s">
        <v>792</v>
      </c>
      <c r="B101" s="328" t="s">
        <v>756</v>
      </c>
      <c r="C101" s="328" t="s">
        <v>793</v>
      </c>
      <c r="D101" s="328" t="s">
        <v>794</v>
      </c>
      <c r="E101" s="328" t="s">
        <v>795</v>
      </c>
    </row>
    <row r="102" spans="1:5" x14ac:dyDescent="0.25">
      <c r="A102" s="328" t="s">
        <v>796</v>
      </c>
      <c r="B102" s="328" t="s">
        <v>756</v>
      </c>
      <c r="C102" s="328" t="s">
        <v>797</v>
      </c>
      <c r="D102" s="328" t="s">
        <v>534</v>
      </c>
      <c r="E102" s="328" t="s">
        <v>798</v>
      </c>
    </row>
    <row r="103" spans="1:5" x14ac:dyDescent="0.25">
      <c r="A103" s="328" t="s">
        <v>799</v>
      </c>
      <c r="B103" s="328" t="s">
        <v>756</v>
      </c>
      <c r="C103" s="328" t="s">
        <v>800</v>
      </c>
      <c r="D103" s="328" t="s">
        <v>534</v>
      </c>
      <c r="E103" s="328" t="s">
        <v>801</v>
      </c>
    </row>
    <row r="104" spans="1:5" x14ac:dyDescent="0.25">
      <c r="A104" s="328" t="s">
        <v>802</v>
      </c>
      <c r="B104" s="328" t="s">
        <v>756</v>
      </c>
      <c r="C104" s="328" t="s">
        <v>803</v>
      </c>
      <c r="D104" s="328" t="s">
        <v>513</v>
      </c>
      <c r="E104" s="328" t="s">
        <v>804</v>
      </c>
    </row>
    <row r="105" spans="1:5" x14ac:dyDescent="0.25">
      <c r="A105" s="328" t="s">
        <v>805</v>
      </c>
      <c r="B105" s="328" t="s">
        <v>756</v>
      </c>
      <c r="C105" s="328" t="s">
        <v>806</v>
      </c>
      <c r="D105" s="328" t="s">
        <v>513</v>
      </c>
      <c r="E105" s="328" t="s">
        <v>807</v>
      </c>
    </row>
    <row r="106" spans="1:5" x14ac:dyDescent="0.25">
      <c r="A106" s="328" t="s">
        <v>808</v>
      </c>
      <c r="B106" s="328" t="s">
        <v>756</v>
      </c>
      <c r="C106" s="328" t="s">
        <v>809</v>
      </c>
      <c r="D106" s="328" t="s">
        <v>513</v>
      </c>
      <c r="E106" s="328" t="s">
        <v>810</v>
      </c>
    </row>
    <row r="107" spans="1:5" x14ac:dyDescent="0.25">
      <c r="A107" s="328" t="s">
        <v>811</v>
      </c>
      <c r="B107" s="328" t="s">
        <v>756</v>
      </c>
      <c r="C107" s="328" t="s">
        <v>812</v>
      </c>
      <c r="D107" s="328" t="s">
        <v>513</v>
      </c>
      <c r="E107" s="328" t="s">
        <v>813</v>
      </c>
    </row>
    <row r="108" spans="1:5" x14ac:dyDescent="0.25">
      <c r="A108" s="328" t="s">
        <v>814</v>
      </c>
      <c r="B108" s="328" t="s">
        <v>756</v>
      </c>
      <c r="C108" s="328" t="s">
        <v>815</v>
      </c>
      <c r="D108" s="328" t="s">
        <v>581</v>
      </c>
      <c r="E108" s="328" t="s">
        <v>816</v>
      </c>
    </row>
    <row r="109" spans="1:5" x14ac:dyDescent="0.25">
      <c r="A109" s="328" t="s">
        <v>817</v>
      </c>
      <c r="B109" s="328" t="s">
        <v>756</v>
      </c>
      <c r="C109" s="328" t="s">
        <v>818</v>
      </c>
      <c r="D109" s="328" t="s">
        <v>581</v>
      </c>
      <c r="E109" s="328" t="s">
        <v>819</v>
      </c>
    </row>
    <row r="110" spans="1:5" x14ac:dyDescent="0.25">
      <c r="A110" s="328" t="s">
        <v>820</v>
      </c>
      <c r="B110" s="328" t="s">
        <v>756</v>
      </c>
      <c r="C110" s="328" t="s">
        <v>821</v>
      </c>
      <c r="D110" s="328" t="s">
        <v>584</v>
      </c>
      <c r="E110" s="328" t="s">
        <v>822</v>
      </c>
    </row>
    <row r="111" spans="1:5" x14ac:dyDescent="0.25">
      <c r="A111" s="328" t="s">
        <v>823</v>
      </c>
      <c r="B111" s="328" t="s">
        <v>756</v>
      </c>
      <c r="C111" s="328" t="s">
        <v>824</v>
      </c>
      <c r="D111" s="328" t="s">
        <v>584</v>
      </c>
      <c r="E111" s="328" t="s">
        <v>825</v>
      </c>
    </row>
    <row r="112" spans="1:5" x14ac:dyDescent="0.25">
      <c r="A112" s="328" t="s">
        <v>826</v>
      </c>
      <c r="B112" s="328" t="s">
        <v>827</v>
      </c>
      <c r="C112" s="328" t="s">
        <v>828</v>
      </c>
      <c r="D112" s="328" t="s">
        <v>493</v>
      </c>
      <c r="E112" s="328" t="s">
        <v>829</v>
      </c>
    </row>
    <row r="113" spans="1:5" x14ac:dyDescent="0.25">
      <c r="A113" s="328" t="s">
        <v>830</v>
      </c>
      <c r="B113" s="328" t="s">
        <v>827</v>
      </c>
      <c r="C113" s="328" t="s">
        <v>831</v>
      </c>
      <c r="D113" s="328" t="s">
        <v>493</v>
      </c>
      <c r="E113" s="328" t="s">
        <v>832</v>
      </c>
    </row>
    <row r="114" spans="1:5" x14ac:dyDescent="0.25">
      <c r="A114" s="328" t="s">
        <v>833</v>
      </c>
      <c r="B114" s="328" t="s">
        <v>827</v>
      </c>
      <c r="C114" s="328" t="s">
        <v>834</v>
      </c>
      <c r="D114" s="328" t="s">
        <v>770</v>
      </c>
      <c r="E114" s="328" t="s">
        <v>835</v>
      </c>
    </row>
    <row r="115" spans="1:5" x14ac:dyDescent="0.25">
      <c r="A115" s="328" t="s">
        <v>836</v>
      </c>
      <c r="B115" s="328" t="s">
        <v>827</v>
      </c>
      <c r="C115" s="328" t="s">
        <v>837</v>
      </c>
      <c r="D115" s="328" t="s">
        <v>770</v>
      </c>
      <c r="E115" s="328" t="s">
        <v>838</v>
      </c>
    </row>
    <row r="116" spans="1:5" x14ac:dyDescent="0.25">
      <c r="A116" s="328" t="s">
        <v>839</v>
      </c>
      <c r="B116" s="328" t="s">
        <v>827</v>
      </c>
      <c r="C116" s="328" t="s">
        <v>840</v>
      </c>
      <c r="D116" s="328" t="s">
        <v>502</v>
      </c>
      <c r="E116" s="328" t="s">
        <v>841</v>
      </c>
    </row>
    <row r="117" spans="1:5" x14ac:dyDescent="0.25">
      <c r="A117" s="328" t="s">
        <v>842</v>
      </c>
      <c r="B117" s="328" t="s">
        <v>827</v>
      </c>
      <c r="C117" s="328" t="s">
        <v>843</v>
      </c>
      <c r="D117" s="328" t="s">
        <v>534</v>
      </c>
      <c r="E117" s="328" t="s">
        <v>844</v>
      </c>
    </row>
    <row r="118" spans="1:5" x14ac:dyDescent="0.25">
      <c r="A118" s="328" t="s">
        <v>845</v>
      </c>
      <c r="B118" s="328" t="s">
        <v>827</v>
      </c>
      <c r="C118" s="328" t="s">
        <v>846</v>
      </c>
      <c r="D118" s="328" t="s">
        <v>534</v>
      </c>
      <c r="E118" s="328" t="s">
        <v>847</v>
      </c>
    </row>
    <row r="119" spans="1:5" x14ac:dyDescent="0.25">
      <c r="A119" s="328" t="s">
        <v>848</v>
      </c>
      <c r="B119" s="328" t="s">
        <v>827</v>
      </c>
      <c r="C119" s="328" t="s">
        <v>849</v>
      </c>
      <c r="D119" s="328" t="s">
        <v>513</v>
      </c>
      <c r="E119" s="328" t="s">
        <v>850</v>
      </c>
    </row>
  </sheetData>
  <autoFilter ref="A1:E119" xr:uid="{00000000-0009-0000-0000-000006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B684-9B0F-4FCA-8A42-8A919C6892A5}">
  <dimension ref="A1:O85"/>
  <sheetViews>
    <sheetView showGridLines="0" tabSelected="1" zoomScaleNormal="100" workbookViewId="0">
      <pane xSplit="1" ySplit="4" topLeftCell="B58" activePane="bottomRight" state="frozen"/>
      <selection pane="topRight" activeCell="L19" sqref="L19"/>
      <selection pane="bottomLeft" activeCell="L19" sqref="L19"/>
      <selection pane="bottomRight" activeCell="K63" sqref="K63"/>
    </sheetView>
  </sheetViews>
  <sheetFormatPr defaultColWidth="9.140625" defaultRowHeight="12.75" x14ac:dyDescent="0.2"/>
  <cols>
    <col min="1" max="1" width="43.28515625" style="486" customWidth="1"/>
    <col min="2" max="2" width="11.28515625" style="423" customWidth="1"/>
    <col min="3" max="3" width="14.28515625" style="423" customWidth="1"/>
    <col min="4" max="4" width="11.7109375" style="423" customWidth="1"/>
    <col min="5" max="5" width="12.7109375" style="423" customWidth="1"/>
    <col min="6" max="6" width="12.85546875" style="423" customWidth="1"/>
    <col min="7" max="8" width="11.28515625" style="423" customWidth="1"/>
    <col min="9" max="9" width="11.28515625" style="455" customWidth="1"/>
    <col min="10" max="10" width="5.85546875" style="423" customWidth="1"/>
    <col min="11" max="11" width="16.42578125" style="424" bestFit="1" customWidth="1"/>
    <col min="12" max="12" width="5.140625" style="423" customWidth="1"/>
    <col min="13" max="34" width="19.140625" style="423" customWidth="1"/>
    <col min="35" max="16384" width="9.140625" style="423"/>
  </cols>
  <sheetData>
    <row r="1" spans="1:15" ht="34.5" customHeight="1" x14ac:dyDescent="0.25">
      <c r="A1" s="522" t="s">
        <v>34</v>
      </c>
      <c r="B1" s="523"/>
      <c r="C1" s="523"/>
      <c r="D1" s="523"/>
      <c r="E1" s="523"/>
      <c r="F1" s="523"/>
      <c r="G1" s="523"/>
      <c r="H1" s="523"/>
      <c r="I1" s="523"/>
      <c r="L1" s="425"/>
    </row>
    <row r="2" spans="1:15" ht="25.5" x14ac:dyDescent="0.2">
      <c r="F2" s="396">
        <v>136.08000000000001</v>
      </c>
      <c r="G2" s="396">
        <v>172.07</v>
      </c>
      <c r="H2" s="396">
        <v>70.849999999999994</v>
      </c>
      <c r="I2" s="426" t="s">
        <v>35</v>
      </c>
      <c r="J2" s="427"/>
    </row>
    <row r="3" spans="1:15" x14ac:dyDescent="0.2">
      <c r="A3" s="524" t="s">
        <v>36</v>
      </c>
      <c r="B3" s="506" t="s">
        <v>1</v>
      </c>
      <c r="C3" s="506" t="s">
        <v>2</v>
      </c>
      <c r="D3" s="506" t="s">
        <v>3</v>
      </c>
      <c r="E3" s="506" t="s">
        <v>4</v>
      </c>
      <c r="F3" s="506" t="s">
        <v>5</v>
      </c>
      <c r="G3" s="506" t="s">
        <v>6</v>
      </c>
      <c r="H3" s="506" t="s">
        <v>7</v>
      </c>
      <c r="I3" s="428" t="s">
        <v>37</v>
      </c>
      <c r="M3" s="429" t="s">
        <v>38</v>
      </c>
      <c r="N3" s="429" t="s">
        <v>39</v>
      </c>
    </row>
    <row r="4" spans="1:15" ht="63.75" x14ac:dyDescent="0.2">
      <c r="A4" s="525"/>
      <c r="B4" s="506" t="s">
        <v>40</v>
      </c>
      <c r="C4" s="506" t="s">
        <v>41</v>
      </c>
      <c r="D4" s="506" t="s">
        <v>42</v>
      </c>
      <c r="E4" s="506" t="s">
        <v>43</v>
      </c>
      <c r="F4" s="506" t="s">
        <v>44</v>
      </c>
      <c r="G4" s="506" t="s">
        <v>45</v>
      </c>
      <c r="H4" s="506" t="s">
        <v>46</v>
      </c>
      <c r="I4" s="428" t="s">
        <v>47</v>
      </c>
      <c r="M4" s="429" t="s">
        <v>48</v>
      </c>
      <c r="N4" s="429" t="s">
        <v>49</v>
      </c>
    </row>
    <row r="5" spans="1:15" x14ac:dyDescent="0.2">
      <c r="A5" s="373" t="s">
        <v>50</v>
      </c>
      <c r="B5" s="430" t="s">
        <v>51</v>
      </c>
      <c r="C5" s="431"/>
      <c r="D5" s="432"/>
      <c r="E5" s="432"/>
      <c r="F5" s="432"/>
      <c r="G5" s="432"/>
      <c r="H5" s="432"/>
      <c r="I5" s="433"/>
      <c r="K5" s="434"/>
      <c r="M5" s="28"/>
      <c r="N5" s="435">
        <f t="shared" ref="N5:N8" si="0">I5</f>
        <v>0</v>
      </c>
    </row>
    <row r="6" spans="1:15" x14ac:dyDescent="0.2">
      <c r="A6" s="373" t="s">
        <v>52</v>
      </c>
      <c r="B6" s="430" t="s">
        <v>51</v>
      </c>
      <c r="C6" s="431"/>
      <c r="D6" s="432"/>
      <c r="E6" s="432"/>
      <c r="F6" s="432"/>
      <c r="G6" s="432"/>
      <c r="H6" s="432"/>
      <c r="I6" s="433"/>
      <c r="K6" s="434"/>
      <c r="M6" s="28"/>
      <c r="N6" s="435">
        <f t="shared" si="0"/>
        <v>0</v>
      </c>
    </row>
    <row r="7" spans="1:15" x14ac:dyDescent="0.2">
      <c r="A7" s="373" t="s">
        <v>53</v>
      </c>
      <c r="B7" s="430"/>
      <c r="C7" s="432"/>
      <c r="D7" s="432"/>
      <c r="E7" s="432"/>
      <c r="F7" s="432"/>
      <c r="G7" s="432"/>
      <c r="H7" s="432"/>
      <c r="I7" s="433"/>
      <c r="K7" s="434"/>
      <c r="M7" s="28"/>
      <c r="N7" s="435">
        <f t="shared" si="0"/>
        <v>0</v>
      </c>
    </row>
    <row r="8" spans="1:15" x14ac:dyDescent="0.2">
      <c r="A8" s="373" t="s">
        <v>54</v>
      </c>
      <c r="B8" s="430"/>
      <c r="C8" s="432"/>
      <c r="D8" s="432"/>
      <c r="E8" s="432"/>
      <c r="F8" s="432"/>
      <c r="G8" s="432"/>
      <c r="H8" s="432"/>
      <c r="I8" s="433"/>
      <c r="K8" s="434"/>
      <c r="M8" s="28"/>
      <c r="N8" s="435">
        <f t="shared" si="0"/>
        <v>0</v>
      </c>
    </row>
    <row r="9" spans="1:15" ht="15.75" x14ac:dyDescent="0.2">
      <c r="A9" s="394" t="s">
        <v>55</v>
      </c>
      <c r="B9" s="430">
        <v>16</v>
      </c>
      <c r="C9" s="432">
        <v>1</v>
      </c>
      <c r="D9" s="432">
        <f>B9*C9</f>
        <v>16</v>
      </c>
      <c r="E9" s="432">
        <v>2</v>
      </c>
      <c r="F9" s="432">
        <f>D9*E9</f>
        <v>32</v>
      </c>
      <c r="G9" s="432">
        <f>F9*0.05</f>
        <v>1.6</v>
      </c>
      <c r="H9" s="432">
        <f>F9*0.1</f>
        <v>3.2</v>
      </c>
      <c r="I9" s="433">
        <f>F9*$F$2+G9*$G$2+H9*$H$2</f>
        <v>4856.5920000000006</v>
      </c>
      <c r="K9" s="434"/>
      <c r="M9" s="28"/>
      <c r="N9" s="435">
        <f>I9</f>
        <v>4856.5920000000006</v>
      </c>
    </row>
    <row r="10" spans="1:15" x14ac:dyDescent="0.2">
      <c r="A10" s="373" t="s">
        <v>56</v>
      </c>
      <c r="B10" s="430">
        <v>2</v>
      </c>
      <c r="C10" s="432">
        <v>2</v>
      </c>
      <c r="D10" s="432">
        <f>B10*C10</f>
        <v>4</v>
      </c>
      <c r="E10" s="432">
        <v>2</v>
      </c>
      <c r="F10" s="432">
        <f>D10*E10</f>
        <v>8</v>
      </c>
      <c r="G10" s="432">
        <f>F10*0.05</f>
        <v>0.4</v>
      </c>
      <c r="H10" s="432">
        <f>F10*0.1</f>
        <v>0.8</v>
      </c>
      <c r="I10" s="433">
        <f>F10*$F$2+G10*$G$2+H10*$H$2</f>
        <v>1214.1480000000001</v>
      </c>
      <c r="K10" s="434"/>
      <c r="M10" s="435">
        <f>I10</f>
        <v>1214.1480000000001</v>
      </c>
      <c r="N10" s="435"/>
      <c r="O10" s="427"/>
    </row>
    <row r="11" spans="1:15" x14ac:dyDescent="0.2">
      <c r="A11" s="373" t="s">
        <v>57</v>
      </c>
      <c r="B11" s="430"/>
      <c r="C11" s="432"/>
      <c r="D11" s="432"/>
      <c r="E11" s="432"/>
      <c r="F11" s="432"/>
      <c r="G11" s="432"/>
      <c r="H11" s="432"/>
      <c r="I11" s="433"/>
      <c r="K11" s="434"/>
      <c r="M11" s="28"/>
      <c r="N11" s="435">
        <f t="shared" ref="N11:N13" si="1">I11</f>
        <v>0</v>
      </c>
    </row>
    <row r="12" spans="1:15" ht="15.75" x14ac:dyDescent="0.2">
      <c r="A12" s="373" t="s">
        <v>58</v>
      </c>
      <c r="B12" s="430">
        <v>120</v>
      </c>
      <c r="C12" s="370">
        <v>4.5</v>
      </c>
      <c r="D12" s="432">
        <f t="shared" ref="D12:D19" si="2">B12*C12</f>
        <v>540</v>
      </c>
      <c r="E12" s="432">
        <v>2</v>
      </c>
      <c r="F12" s="432">
        <f t="shared" ref="F12:F19" si="3">D12*E12</f>
        <v>1080</v>
      </c>
      <c r="G12" s="432">
        <f t="shared" ref="G12:G19" si="4">F12*0.05</f>
        <v>54</v>
      </c>
      <c r="H12" s="432">
        <f t="shared" ref="H12:H19" si="5">F12*0.1</f>
        <v>108</v>
      </c>
      <c r="I12" s="433">
        <f t="shared" ref="I12:I19" si="6">F12*$F$2+G12*$G$2+H12*$H$2</f>
        <v>163909.98000000001</v>
      </c>
      <c r="K12" s="434"/>
      <c r="M12" s="28"/>
      <c r="N12" s="435">
        <f t="shared" si="1"/>
        <v>163909.98000000001</v>
      </c>
    </row>
    <row r="13" spans="1:15" ht="28.5" x14ac:dyDescent="0.2">
      <c r="A13" s="373" t="s">
        <v>59</v>
      </c>
      <c r="B13" s="430">
        <v>240</v>
      </c>
      <c r="C13" s="416">
        <v>1</v>
      </c>
      <c r="D13" s="511">
        <f t="shared" si="2"/>
        <v>240</v>
      </c>
      <c r="E13" s="432">
        <v>2</v>
      </c>
      <c r="F13" s="511">
        <f t="shared" si="3"/>
        <v>480</v>
      </c>
      <c r="G13" s="511">
        <f t="shared" si="4"/>
        <v>24</v>
      </c>
      <c r="H13" s="511">
        <f t="shared" si="5"/>
        <v>48</v>
      </c>
      <c r="I13" s="433">
        <f t="shared" si="6"/>
        <v>72848.880000000019</v>
      </c>
      <c r="K13" s="434"/>
      <c r="M13" s="28"/>
      <c r="N13" s="435">
        <f t="shared" si="1"/>
        <v>72848.880000000019</v>
      </c>
    </row>
    <row r="14" spans="1:15" ht="31.5" customHeight="1" x14ac:dyDescent="0.2">
      <c r="A14" s="373" t="s">
        <v>60</v>
      </c>
      <c r="B14" s="369">
        <v>40</v>
      </c>
      <c r="C14" s="480">
        <f>2/3</f>
        <v>0.66666666666666663</v>
      </c>
      <c r="D14" s="416">
        <f t="shared" si="2"/>
        <v>26.666666666666664</v>
      </c>
      <c r="E14" s="479">
        <v>1</v>
      </c>
      <c r="F14" s="479">
        <f t="shared" si="3"/>
        <v>26.666666666666664</v>
      </c>
      <c r="G14" s="512">
        <f t="shared" si="4"/>
        <v>1.3333333333333333</v>
      </c>
      <c r="H14" s="512">
        <f t="shared" si="5"/>
        <v>2.6666666666666665</v>
      </c>
      <c r="I14" s="372">
        <f t="shared" si="6"/>
        <v>4047.1600000000003</v>
      </c>
      <c r="J14" s="514">
        <f t="shared" ref="J14:J19" si="7">C14*E14</f>
        <v>0.66666666666666663</v>
      </c>
      <c r="K14" s="434"/>
      <c r="M14" s="435">
        <f t="shared" ref="M14:M19" si="8">I14</f>
        <v>4047.1600000000003</v>
      </c>
      <c r="N14" s="435"/>
    </row>
    <row r="15" spans="1:15" ht="20.25" customHeight="1" x14ac:dyDescent="0.2">
      <c r="A15" s="373" t="s">
        <v>61</v>
      </c>
      <c r="B15" s="369">
        <v>40</v>
      </c>
      <c r="C15" s="480">
        <f>2/3</f>
        <v>0.66666666666666663</v>
      </c>
      <c r="D15" s="416">
        <f t="shared" si="2"/>
        <v>26.666666666666664</v>
      </c>
      <c r="E15" s="479">
        <v>2</v>
      </c>
      <c r="F15" s="479">
        <f t="shared" si="3"/>
        <v>53.333333333333329</v>
      </c>
      <c r="G15" s="512">
        <f t="shared" si="4"/>
        <v>2.6666666666666665</v>
      </c>
      <c r="H15" s="512">
        <f t="shared" si="5"/>
        <v>5.333333333333333</v>
      </c>
      <c r="I15" s="372">
        <f t="shared" si="6"/>
        <v>8094.3200000000006</v>
      </c>
      <c r="J15" s="514">
        <f t="shared" si="7"/>
        <v>1.3333333333333333</v>
      </c>
      <c r="K15" s="434"/>
      <c r="M15" s="435">
        <f t="shared" si="8"/>
        <v>8094.3200000000006</v>
      </c>
      <c r="N15" s="435"/>
    </row>
    <row r="16" spans="1:15" ht="28.5" x14ac:dyDescent="0.2">
      <c r="A16" s="373" t="s">
        <v>62</v>
      </c>
      <c r="B16" s="369">
        <v>40</v>
      </c>
      <c r="C16" s="467">
        <f>1/3</f>
        <v>0.33333333333333331</v>
      </c>
      <c r="D16" s="416">
        <f t="shared" si="2"/>
        <v>13.333333333333332</v>
      </c>
      <c r="E16" s="416">
        <v>2</v>
      </c>
      <c r="F16" s="416">
        <f t="shared" si="3"/>
        <v>26.666666666666664</v>
      </c>
      <c r="G16" s="416">
        <f t="shared" si="4"/>
        <v>1.3333333333333333</v>
      </c>
      <c r="H16" s="416">
        <f t="shared" si="5"/>
        <v>2.6666666666666665</v>
      </c>
      <c r="I16" s="372">
        <f t="shared" si="6"/>
        <v>4047.1600000000003</v>
      </c>
      <c r="J16" s="514">
        <f t="shared" si="7"/>
        <v>0.66666666666666663</v>
      </c>
      <c r="K16" s="434"/>
      <c r="M16" s="435">
        <f t="shared" si="8"/>
        <v>4047.1600000000003</v>
      </c>
      <c r="N16" s="435"/>
    </row>
    <row r="17" spans="1:15" ht="28.5" x14ac:dyDescent="0.2">
      <c r="A17" s="373" t="s">
        <v>63</v>
      </c>
      <c r="B17" s="369">
        <v>40</v>
      </c>
      <c r="C17" s="416">
        <v>0</v>
      </c>
      <c r="D17" s="416">
        <f t="shared" si="2"/>
        <v>0</v>
      </c>
      <c r="E17" s="416">
        <v>1</v>
      </c>
      <c r="F17" s="416">
        <f t="shared" si="3"/>
        <v>0</v>
      </c>
      <c r="G17" s="416">
        <f t="shared" si="4"/>
        <v>0</v>
      </c>
      <c r="H17" s="416">
        <f t="shared" si="5"/>
        <v>0</v>
      </c>
      <c r="I17" s="372">
        <f t="shared" si="6"/>
        <v>0</v>
      </c>
      <c r="J17" s="514">
        <f t="shared" si="7"/>
        <v>0</v>
      </c>
      <c r="K17" s="434"/>
      <c r="M17" s="435">
        <f t="shared" si="8"/>
        <v>0</v>
      </c>
      <c r="N17" s="435"/>
    </row>
    <row r="18" spans="1:15" ht="28.5" x14ac:dyDescent="0.2">
      <c r="A18" s="373" t="s">
        <v>64</v>
      </c>
      <c r="B18" s="369">
        <v>40</v>
      </c>
      <c r="C18" s="467">
        <f>1/3</f>
        <v>0.33333333333333331</v>
      </c>
      <c r="D18" s="416">
        <f t="shared" si="2"/>
        <v>13.333333333333332</v>
      </c>
      <c r="E18" s="416">
        <v>2</v>
      </c>
      <c r="F18" s="416">
        <f t="shared" si="3"/>
        <v>26.666666666666664</v>
      </c>
      <c r="G18" s="416">
        <f t="shared" si="4"/>
        <v>1.3333333333333333</v>
      </c>
      <c r="H18" s="416">
        <f t="shared" si="5"/>
        <v>2.6666666666666665</v>
      </c>
      <c r="I18" s="372">
        <f t="shared" si="6"/>
        <v>4047.1600000000003</v>
      </c>
      <c r="J18" s="514">
        <f t="shared" si="7"/>
        <v>0.66666666666666663</v>
      </c>
      <c r="K18" s="434"/>
      <c r="M18" s="435">
        <f t="shared" si="8"/>
        <v>4047.1600000000003</v>
      </c>
      <c r="N18" s="435"/>
    </row>
    <row r="19" spans="1:15" ht="15" customHeight="1" x14ac:dyDescent="0.2">
      <c r="A19" s="373" t="s">
        <v>65</v>
      </c>
      <c r="B19" s="369">
        <v>40</v>
      </c>
      <c r="C19" s="467">
        <f>1/3</f>
        <v>0.33333333333333331</v>
      </c>
      <c r="D19" s="416">
        <f t="shared" si="2"/>
        <v>13.333333333333332</v>
      </c>
      <c r="E19" s="416">
        <v>1</v>
      </c>
      <c r="F19" s="416">
        <f t="shared" si="3"/>
        <v>13.333333333333332</v>
      </c>
      <c r="G19" s="416">
        <f t="shared" si="4"/>
        <v>0.66666666666666663</v>
      </c>
      <c r="H19" s="416">
        <f t="shared" si="5"/>
        <v>1.3333333333333333</v>
      </c>
      <c r="I19" s="372">
        <f t="shared" si="6"/>
        <v>2023.5800000000002</v>
      </c>
      <c r="J19" s="514">
        <f t="shared" si="7"/>
        <v>0.33333333333333331</v>
      </c>
      <c r="K19" s="434"/>
      <c r="M19" s="435">
        <f t="shared" si="8"/>
        <v>2023.5800000000002</v>
      </c>
      <c r="N19" s="435"/>
    </row>
    <row r="20" spans="1:15" x14ac:dyDescent="0.2">
      <c r="A20" s="373" t="s">
        <v>66</v>
      </c>
      <c r="B20" s="436" t="s">
        <v>51</v>
      </c>
      <c r="C20" s="28"/>
      <c r="D20" s="437"/>
      <c r="E20" s="438"/>
      <c r="F20" s="439"/>
      <c r="G20" s="440"/>
      <c r="H20" s="440"/>
      <c r="I20" s="433"/>
      <c r="K20" s="434"/>
      <c r="M20" s="28"/>
      <c r="N20" s="435"/>
    </row>
    <row r="21" spans="1:15" x14ac:dyDescent="0.2">
      <c r="A21" s="373" t="s">
        <v>67</v>
      </c>
      <c r="B21" s="432" t="s">
        <v>51</v>
      </c>
      <c r="C21" s="28"/>
      <c r="D21" s="432"/>
      <c r="E21" s="432"/>
      <c r="F21" s="432"/>
      <c r="G21" s="432"/>
      <c r="H21" s="432"/>
      <c r="I21" s="433"/>
      <c r="M21" s="28"/>
      <c r="N21" s="435"/>
    </row>
    <row r="22" spans="1:15" x14ac:dyDescent="0.2">
      <c r="A22" s="373" t="s">
        <v>68</v>
      </c>
      <c r="B22" s="430"/>
      <c r="C22" s="432"/>
      <c r="D22" s="441"/>
      <c r="E22" s="432"/>
      <c r="F22" s="432"/>
      <c r="G22" s="432"/>
      <c r="H22" s="432"/>
      <c r="I22" s="433"/>
      <c r="K22" s="442" t="s">
        <v>69</v>
      </c>
      <c r="M22" s="28"/>
      <c r="N22" s="435"/>
    </row>
    <row r="23" spans="1:15" ht="15.75" x14ac:dyDescent="0.2">
      <c r="A23" s="373" t="s">
        <v>70</v>
      </c>
      <c r="B23" s="430">
        <v>2</v>
      </c>
      <c r="C23" s="432">
        <v>1</v>
      </c>
      <c r="D23" s="441">
        <f t="shared" ref="D23:D25" si="9">B23*C23</f>
        <v>2</v>
      </c>
      <c r="E23" s="432">
        <v>0</v>
      </c>
      <c r="F23" s="432">
        <f t="shared" ref="F23:F26" si="10">D23*E23</f>
        <v>0</v>
      </c>
      <c r="G23" s="432">
        <f t="shared" ref="G23:G24" si="11">F23*0.05</f>
        <v>0</v>
      </c>
      <c r="H23" s="432">
        <f t="shared" ref="H23:H24" si="12">F23*0.1</f>
        <v>0</v>
      </c>
      <c r="I23" s="433">
        <f t="shared" ref="I23:I25" si="13">F23*$F$2+G23*$G$2+H23*$H$2</f>
        <v>0</v>
      </c>
      <c r="K23" s="443">
        <f>C23*E23</f>
        <v>0</v>
      </c>
      <c r="M23" s="28"/>
      <c r="N23" s="435"/>
    </row>
    <row r="24" spans="1:15" ht="22.5" customHeight="1" x14ac:dyDescent="0.2">
      <c r="A24" s="373" t="s">
        <v>71</v>
      </c>
      <c r="B24" s="369">
        <v>2</v>
      </c>
      <c r="C24" s="370">
        <f>5.5+4</f>
        <v>9.5</v>
      </c>
      <c r="D24" s="371">
        <f t="shared" si="9"/>
        <v>19</v>
      </c>
      <c r="E24" s="370">
        <v>2</v>
      </c>
      <c r="F24" s="370">
        <f t="shared" si="10"/>
        <v>38</v>
      </c>
      <c r="G24" s="370">
        <f t="shared" si="11"/>
        <v>1.9000000000000001</v>
      </c>
      <c r="H24" s="370">
        <f t="shared" si="12"/>
        <v>3.8000000000000003</v>
      </c>
      <c r="I24" s="372">
        <f t="shared" si="13"/>
        <v>5767.2030000000013</v>
      </c>
      <c r="K24" s="443">
        <f>C24*E24</f>
        <v>19</v>
      </c>
      <c r="M24" s="28"/>
      <c r="N24" s="435">
        <f t="shared" ref="N24" si="14">I24</f>
        <v>5767.2030000000013</v>
      </c>
    </row>
    <row r="25" spans="1:15" ht="22.5" customHeight="1" x14ac:dyDescent="0.2">
      <c r="A25" s="373" t="s">
        <v>72</v>
      </c>
      <c r="B25" s="430">
        <v>40</v>
      </c>
      <c r="C25" s="432">
        <v>1</v>
      </c>
      <c r="D25" s="441">
        <f t="shared" si="9"/>
        <v>40</v>
      </c>
      <c r="E25" s="432">
        <v>0</v>
      </c>
      <c r="F25" s="432">
        <f t="shared" si="10"/>
        <v>0</v>
      </c>
      <c r="G25" s="432"/>
      <c r="H25" s="432"/>
      <c r="I25" s="433">
        <f t="shared" si="13"/>
        <v>0</v>
      </c>
      <c r="K25" s="443">
        <f>C25*E25</f>
        <v>0</v>
      </c>
      <c r="M25" s="28"/>
      <c r="N25" s="28"/>
    </row>
    <row r="26" spans="1:15" ht="28.5" x14ac:dyDescent="0.2">
      <c r="A26" s="373" t="s">
        <v>73</v>
      </c>
      <c r="B26" s="430">
        <v>2</v>
      </c>
      <c r="C26" s="370">
        <f>5.5+4</f>
        <v>9.5</v>
      </c>
      <c r="D26" s="441">
        <f>B26*C26</f>
        <v>19</v>
      </c>
      <c r="E26" s="432">
        <v>2</v>
      </c>
      <c r="F26" s="444">
        <f t="shared" si="10"/>
        <v>38</v>
      </c>
      <c r="G26" s="444">
        <f>F26*0.05</f>
        <v>1.9000000000000001</v>
      </c>
      <c r="H26" s="444">
        <f>F26*0.1</f>
        <v>3.8000000000000003</v>
      </c>
      <c r="I26" s="433">
        <f>F26*$F$2+G26*$G$2+H26*$H$2</f>
        <v>5767.2030000000013</v>
      </c>
      <c r="K26" s="443">
        <f>C26*E26</f>
        <v>19</v>
      </c>
      <c r="M26" s="435">
        <f t="shared" ref="M26" si="15">I26</f>
        <v>5767.2030000000013</v>
      </c>
      <c r="N26" s="28"/>
      <c r="O26" s="427"/>
    </row>
    <row r="27" spans="1:15" x14ac:dyDescent="0.2">
      <c r="A27" s="373" t="s">
        <v>74</v>
      </c>
      <c r="B27" s="430">
        <v>40</v>
      </c>
      <c r="C27" s="432">
        <v>2</v>
      </c>
      <c r="D27" s="441">
        <f>B27*C27</f>
        <v>80</v>
      </c>
      <c r="E27" s="432">
        <v>2</v>
      </c>
      <c r="F27" s="444">
        <f>D27*E27</f>
        <v>160</v>
      </c>
      <c r="G27" s="444">
        <f>F27*0.05</f>
        <v>8</v>
      </c>
      <c r="H27" s="444">
        <f>F27*0.1</f>
        <v>16</v>
      </c>
      <c r="I27" s="433">
        <f>F27*$F$2+G27*$G$2+H27*$H$2</f>
        <v>24282.960000000003</v>
      </c>
      <c r="K27" s="443">
        <f>C27*E27</f>
        <v>4</v>
      </c>
      <c r="M27" s="28"/>
      <c r="N27" s="435">
        <f t="shared" ref="N27" si="16">I27</f>
        <v>24282.960000000003</v>
      </c>
    </row>
    <row r="28" spans="1:15" x14ac:dyDescent="0.2">
      <c r="A28" s="373"/>
      <c r="B28" s="430"/>
      <c r="C28" s="432"/>
      <c r="D28" s="441"/>
      <c r="E28" s="432"/>
      <c r="F28" s="444"/>
      <c r="G28" s="444"/>
      <c r="H28" s="444"/>
      <c r="I28" s="433"/>
      <c r="K28" s="445">
        <f>SUM(K23:K27)</f>
        <v>42</v>
      </c>
      <c r="M28" s="28"/>
      <c r="N28" s="28"/>
    </row>
    <row r="29" spans="1:15" ht="14.25" customHeight="1" x14ac:dyDescent="0.2">
      <c r="A29" s="487" t="s">
        <v>75</v>
      </c>
      <c r="B29" s="446"/>
      <c r="C29" s="506"/>
      <c r="D29" s="441"/>
      <c r="E29" s="506"/>
      <c r="F29" s="526">
        <f>SUM(F5:H28)</f>
        <v>2280.0666666666671</v>
      </c>
      <c r="G29" s="527"/>
      <c r="H29" s="528"/>
      <c r="I29" s="447">
        <f>SUM(I5:I28)</f>
        <v>300906.34600000002</v>
      </c>
      <c r="M29" s="28"/>
      <c r="N29" s="28"/>
    </row>
    <row r="30" spans="1:15" x14ac:dyDescent="0.2">
      <c r="A30" s="373" t="s">
        <v>76</v>
      </c>
      <c r="B30" s="430"/>
      <c r="C30" s="432"/>
      <c r="D30" s="441"/>
      <c r="E30" s="432"/>
      <c r="F30" s="432"/>
      <c r="G30" s="432"/>
      <c r="H30" s="432"/>
      <c r="I30" s="433"/>
      <c r="M30" s="28"/>
      <c r="N30" s="28"/>
    </row>
    <row r="31" spans="1:15" ht="28.5" customHeight="1" x14ac:dyDescent="0.2">
      <c r="A31" s="373" t="s">
        <v>77</v>
      </c>
      <c r="B31" s="430">
        <v>40</v>
      </c>
      <c r="C31" s="432">
        <v>1</v>
      </c>
      <c r="D31" s="441">
        <f t="shared" ref="D31:D32" si="17">B31*C31</f>
        <v>40</v>
      </c>
      <c r="E31" s="432">
        <v>2</v>
      </c>
      <c r="F31" s="432">
        <f>D31*E31</f>
        <v>80</v>
      </c>
      <c r="G31" s="432">
        <f>F31*0.05</f>
        <v>4</v>
      </c>
      <c r="H31" s="432">
        <f t="shared" ref="H31:H33" si="18">F31*0.1</f>
        <v>8</v>
      </c>
      <c r="I31" s="433">
        <f>F31*$F$2+G31*$G$2+H31*$H$2</f>
        <v>12141.480000000001</v>
      </c>
      <c r="M31" s="28"/>
      <c r="N31" s="435">
        <f t="shared" ref="N31" si="19">I31</f>
        <v>12141.480000000001</v>
      </c>
    </row>
    <row r="32" spans="1:15" ht="15.75" x14ac:dyDescent="0.2">
      <c r="A32" s="373" t="s">
        <v>78</v>
      </c>
      <c r="B32" s="430">
        <v>3</v>
      </c>
      <c r="C32" s="432">
        <v>1</v>
      </c>
      <c r="D32" s="441">
        <f t="shared" si="17"/>
        <v>3</v>
      </c>
      <c r="E32" s="432">
        <v>0</v>
      </c>
      <c r="F32" s="432">
        <f>D32*E32</f>
        <v>0</v>
      </c>
      <c r="G32" s="432">
        <f>F32*0.05</f>
        <v>0</v>
      </c>
      <c r="H32" s="432">
        <f t="shared" si="18"/>
        <v>0</v>
      </c>
      <c r="I32" s="433">
        <f>F32*$F$2+G32*$G$2+H32*$H$2</f>
        <v>0</v>
      </c>
      <c r="M32" s="28"/>
      <c r="N32" s="28"/>
    </row>
    <row r="33" spans="1:14" x14ac:dyDescent="0.2">
      <c r="A33" s="488" t="s">
        <v>79</v>
      </c>
      <c r="B33" s="432">
        <v>16</v>
      </c>
      <c r="C33" s="432">
        <v>1</v>
      </c>
      <c r="D33" s="432">
        <f>B33*C33</f>
        <v>16</v>
      </c>
      <c r="E33" s="432">
        <v>0</v>
      </c>
      <c r="F33" s="432">
        <f>D33*E33</f>
        <v>0</v>
      </c>
      <c r="G33" s="432">
        <f>F33*0.05</f>
        <v>0</v>
      </c>
      <c r="H33" s="432">
        <f t="shared" si="18"/>
        <v>0</v>
      </c>
      <c r="I33" s="433">
        <f>F33*$F$2+G33*$G$2+H33*$H$2</f>
        <v>0</v>
      </c>
      <c r="M33" s="28"/>
      <c r="N33" s="28"/>
    </row>
    <row r="34" spans="1:14" x14ac:dyDescent="0.2">
      <c r="A34" s="489" t="s">
        <v>80</v>
      </c>
      <c r="B34" s="432"/>
      <c r="C34" s="432"/>
      <c r="D34" s="441"/>
      <c r="E34" s="432"/>
      <c r="F34" s="432"/>
      <c r="G34" s="432"/>
      <c r="H34" s="432"/>
      <c r="I34" s="433"/>
      <c r="M34" s="28"/>
      <c r="N34" s="28"/>
    </row>
    <row r="35" spans="1:14" ht="15.75" x14ac:dyDescent="0.2">
      <c r="A35" s="490" t="s">
        <v>81</v>
      </c>
      <c r="B35" s="432">
        <v>0.5</v>
      </c>
      <c r="C35" s="432">
        <v>365</v>
      </c>
      <c r="D35" s="432">
        <f>B35*C35</f>
        <v>182.5</v>
      </c>
      <c r="E35" s="432">
        <v>2</v>
      </c>
      <c r="F35" s="444">
        <f>D35*E35</f>
        <v>365</v>
      </c>
      <c r="G35" s="444">
        <f>F35*0.05</f>
        <v>18.25</v>
      </c>
      <c r="H35" s="444">
        <f>F35*0.1</f>
        <v>36.5</v>
      </c>
      <c r="I35" s="433">
        <f>F35*$F$2+G35*$G$2+H35*$H$2</f>
        <v>55395.502500000002</v>
      </c>
      <c r="M35" s="28"/>
      <c r="N35" s="435">
        <f t="shared" ref="N35" si="20">I35</f>
        <v>55395.502500000002</v>
      </c>
    </row>
    <row r="36" spans="1:14" x14ac:dyDescent="0.2">
      <c r="A36" s="489" t="s">
        <v>82</v>
      </c>
      <c r="B36" s="432"/>
      <c r="C36" s="432"/>
      <c r="D36" s="441"/>
      <c r="E36" s="432"/>
      <c r="F36" s="432"/>
      <c r="G36" s="432"/>
      <c r="H36" s="432"/>
      <c r="I36" s="433"/>
      <c r="M36" s="28"/>
      <c r="N36" s="28"/>
    </row>
    <row r="37" spans="1:14" ht="15.75" x14ac:dyDescent="0.2">
      <c r="A37" s="490" t="s">
        <v>83</v>
      </c>
      <c r="B37" s="432">
        <v>4</v>
      </c>
      <c r="C37" s="432">
        <v>12</v>
      </c>
      <c r="D37" s="432">
        <f>B37*C37</f>
        <v>48</v>
      </c>
      <c r="E37" s="432">
        <v>2</v>
      </c>
      <c r="F37" s="444">
        <f>D37*E37</f>
        <v>96</v>
      </c>
      <c r="G37" s="444">
        <f>F37*0.05</f>
        <v>4.8000000000000007</v>
      </c>
      <c r="H37" s="444">
        <f>F37*0.1</f>
        <v>9.6000000000000014</v>
      </c>
      <c r="I37" s="433">
        <f>F37*$F$2+G37*$G$2+H37*$H$2</f>
        <v>14569.776</v>
      </c>
      <c r="M37" s="28"/>
      <c r="N37" s="435">
        <f t="shared" ref="N37:N38" si="21">I37</f>
        <v>14569.776</v>
      </c>
    </row>
    <row r="38" spans="1:14" ht="15.75" x14ac:dyDescent="0.2">
      <c r="A38" s="490" t="s">
        <v>81</v>
      </c>
      <c r="B38" s="432">
        <v>0.5</v>
      </c>
      <c r="C38" s="432">
        <v>365</v>
      </c>
      <c r="D38" s="432">
        <f>B38*C38</f>
        <v>182.5</v>
      </c>
      <c r="E38" s="432">
        <v>2</v>
      </c>
      <c r="F38" s="444">
        <f>D38*E38</f>
        <v>365</v>
      </c>
      <c r="G38" s="444">
        <f>F38*0.05</f>
        <v>18.25</v>
      </c>
      <c r="H38" s="444">
        <f>F38*0.1</f>
        <v>36.5</v>
      </c>
      <c r="I38" s="433">
        <f>F38*$F$2+G38*$G$2+H38*$H$2</f>
        <v>55395.502500000002</v>
      </c>
      <c r="M38" s="28"/>
      <c r="N38" s="435">
        <f t="shared" si="21"/>
        <v>55395.502500000002</v>
      </c>
    </row>
    <row r="39" spans="1:14" x14ac:dyDescent="0.2">
      <c r="A39" s="489" t="s">
        <v>84</v>
      </c>
      <c r="B39" s="432"/>
      <c r="C39" s="432"/>
      <c r="D39" s="441"/>
      <c r="E39" s="432"/>
      <c r="F39" s="432"/>
      <c r="G39" s="432"/>
      <c r="H39" s="432"/>
      <c r="I39" s="433"/>
      <c r="M39" s="28"/>
      <c r="N39" s="28"/>
    </row>
    <row r="40" spans="1:14" ht="15.75" x14ac:dyDescent="0.2">
      <c r="A40" s="490" t="s">
        <v>85</v>
      </c>
      <c r="B40" s="432">
        <v>4</v>
      </c>
      <c r="C40" s="432">
        <v>12</v>
      </c>
      <c r="D40" s="432">
        <f>B40*C40</f>
        <v>48</v>
      </c>
      <c r="E40" s="432">
        <v>1</v>
      </c>
      <c r="F40" s="444">
        <f>D40*E40</f>
        <v>48</v>
      </c>
      <c r="G40" s="444">
        <f>F40*0.05</f>
        <v>2.4000000000000004</v>
      </c>
      <c r="H40" s="444">
        <f>F40*0.1</f>
        <v>4.8000000000000007</v>
      </c>
      <c r="I40" s="433">
        <f>F40*$F$2+G40*$G$2+H40*$H$2</f>
        <v>7284.8879999999999</v>
      </c>
      <c r="M40" s="28"/>
      <c r="N40" s="435">
        <f t="shared" ref="N40:N41" si="22">I40</f>
        <v>7284.8879999999999</v>
      </c>
    </row>
    <row r="41" spans="1:14" ht="15.75" x14ac:dyDescent="0.2">
      <c r="A41" s="490" t="s">
        <v>86</v>
      </c>
      <c r="B41" s="432">
        <v>0.5</v>
      </c>
      <c r="C41" s="432">
        <v>365</v>
      </c>
      <c r="D41" s="432">
        <f t="shared" ref="D41" si="23">B41*C41</f>
        <v>182.5</v>
      </c>
      <c r="E41" s="432">
        <v>1</v>
      </c>
      <c r="F41" s="444">
        <f t="shared" ref="F41" si="24">D41*E41</f>
        <v>182.5</v>
      </c>
      <c r="G41" s="444">
        <f t="shared" ref="G41:G45" si="25">F41*0.05</f>
        <v>9.125</v>
      </c>
      <c r="H41" s="444">
        <f t="shared" ref="H41" si="26">F41*0.1</f>
        <v>18.25</v>
      </c>
      <c r="I41" s="433">
        <f t="shared" ref="I41" si="27">F41*$F$2+G41*$G$2+H41*$H$2</f>
        <v>27697.751250000001</v>
      </c>
      <c r="M41" s="28"/>
      <c r="N41" s="435">
        <f t="shared" si="22"/>
        <v>27697.751250000001</v>
      </c>
    </row>
    <row r="42" spans="1:14" x14ac:dyDescent="0.2">
      <c r="A42" s="489" t="s">
        <v>87</v>
      </c>
      <c r="B42" s="432"/>
      <c r="C42" s="432"/>
      <c r="D42" s="432"/>
      <c r="E42" s="432"/>
      <c r="F42" s="444"/>
      <c r="G42" s="444"/>
      <c r="H42" s="444"/>
      <c r="I42" s="433"/>
      <c r="M42" s="28"/>
      <c r="N42" s="28"/>
    </row>
    <row r="43" spans="1:14" ht="15.75" x14ac:dyDescent="0.2">
      <c r="A43" s="490" t="s">
        <v>88</v>
      </c>
      <c r="B43" s="432">
        <v>4</v>
      </c>
      <c r="C43" s="432">
        <v>12</v>
      </c>
      <c r="D43" s="432">
        <f t="shared" ref="D43:D46" si="28">B43*C43</f>
        <v>48</v>
      </c>
      <c r="E43" s="432">
        <v>2</v>
      </c>
      <c r="F43" s="444">
        <f t="shared" ref="F43:F45" si="29">D43*E43</f>
        <v>96</v>
      </c>
      <c r="G43" s="444">
        <f t="shared" si="25"/>
        <v>4.8000000000000007</v>
      </c>
      <c r="H43" s="444">
        <f t="shared" ref="H43:H46" si="30">F43*0.1</f>
        <v>9.6000000000000014</v>
      </c>
      <c r="I43" s="433">
        <f t="shared" ref="I43:I46" si="31">F43*$F$2+G43*$G$2+H43*$H$2</f>
        <v>14569.776</v>
      </c>
      <c r="M43" s="28"/>
      <c r="N43" s="435">
        <f t="shared" ref="N43:N61" si="32">I43</f>
        <v>14569.776</v>
      </c>
    </row>
    <row r="44" spans="1:14" ht="15.75" x14ac:dyDescent="0.2">
      <c r="A44" s="490" t="s">
        <v>89</v>
      </c>
      <c r="B44" s="432">
        <v>0.5</v>
      </c>
      <c r="C44" s="432">
        <v>365</v>
      </c>
      <c r="D44" s="441">
        <f t="shared" si="28"/>
        <v>182.5</v>
      </c>
      <c r="E44" s="432">
        <v>2</v>
      </c>
      <c r="F44" s="444">
        <f t="shared" si="29"/>
        <v>365</v>
      </c>
      <c r="G44" s="444">
        <f t="shared" si="25"/>
        <v>18.25</v>
      </c>
      <c r="H44" s="444">
        <f t="shared" si="30"/>
        <v>36.5</v>
      </c>
      <c r="I44" s="433">
        <f t="shared" si="31"/>
        <v>55395.502500000002</v>
      </c>
      <c r="M44" s="28"/>
      <c r="N44" s="435">
        <f t="shared" si="32"/>
        <v>55395.502500000002</v>
      </c>
    </row>
    <row r="45" spans="1:14" ht="15.75" x14ac:dyDescent="0.2">
      <c r="A45" s="490" t="s">
        <v>90</v>
      </c>
      <c r="B45" s="432">
        <v>0.5</v>
      </c>
      <c r="C45" s="432">
        <v>365</v>
      </c>
      <c r="D45" s="441">
        <f t="shared" si="28"/>
        <v>182.5</v>
      </c>
      <c r="E45" s="432">
        <v>2</v>
      </c>
      <c r="F45" s="432">
        <f t="shared" si="29"/>
        <v>365</v>
      </c>
      <c r="G45" s="432">
        <f t="shared" si="25"/>
        <v>18.25</v>
      </c>
      <c r="H45" s="432">
        <f t="shared" si="30"/>
        <v>36.5</v>
      </c>
      <c r="I45" s="433">
        <f t="shared" si="31"/>
        <v>55395.502500000002</v>
      </c>
      <c r="M45" s="435"/>
      <c r="N45" s="435">
        <f t="shared" si="32"/>
        <v>55395.502500000002</v>
      </c>
    </row>
    <row r="46" spans="1:14" x14ac:dyDescent="0.2">
      <c r="A46" s="489" t="s">
        <v>91</v>
      </c>
      <c r="B46" s="443">
        <v>100</v>
      </c>
      <c r="C46" s="443">
        <v>1</v>
      </c>
      <c r="D46" s="441">
        <f t="shared" si="28"/>
        <v>100</v>
      </c>
      <c r="E46" s="443">
        <v>0</v>
      </c>
      <c r="F46" s="468">
        <v>0</v>
      </c>
      <c r="G46" s="468">
        <v>0</v>
      </c>
      <c r="H46" s="468">
        <f t="shared" si="30"/>
        <v>0</v>
      </c>
      <c r="I46" s="448">
        <f t="shared" si="31"/>
        <v>0</v>
      </c>
      <c r="M46" s="28"/>
      <c r="N46" s="435">
        <f t="shared" si="32"/>
        <v>0</v>
      </c>
    </row>
    <row r="47" spans="1:14" ht="31.5" customHeight="1" x14ac:dyDescent="0.2">
      <c r="A47" s="491" t="s">
        <v>92</v>
      </c>
      <c r="B47" s="28"/>
      <c r="C47" s="28"/>
      <c r="D47" s="28"/>
      <c r="E47" s="28"/>
      <c r="F47" s="469"/>
      <c r="G47" s="469"/>
      <c r="H47" s="469"/>
      <c r="I47" s="28"/>
      <c r="M47" s="28"/>
      <c r="N47" s="435">
        <f t="shared" si="32"/>
        <v>0</v>
      </c>
    </row>
    <row r="48" spans="1:14" x14ac:dyDescent="0.2">
      <c r="A48" s="417" t="s">
        <v>93</v>
      </c>
      <c r="B48" s="418">
        <v>0.5</v>
      </c>
      <c r="C48" s="419">
        <v>30</v>
      </c>
      <c r="D48" s="420">
        <f t="shared" ref="D48:D61" si="33">B48*C48</f>
        <v>15</v>
      </c>
      <c r="E48" s="421">
        <v>2</v>
      </c>
      <c r="F48" s="421">
        <f t="shared" ref="F48:F61" si="34">D48*E48</f>
        <v>30</v>
      </c>
      <c r="G48" s="421">
        <f t="shared" ref="G48:G61" si="35">F48*0.05</f>
        <v>1.5</v>
      </c>
      <c r="H48" s="421">
        <f t="shared" ref="H48:H61" si="36">F48*0.1</f>
        <v>3</v>
      </c>
      <c r="I48" s="422">
        <f t="shared" ref="I48:I61" si="37">F48*$F$2+G48*$G$2+H48*$H$2</f>
        <v>4553.0550000000012</v>
      </c>
      <c r="K48" s="449"/>
      <c r="M48" s="435">
        <f t="shared" ref="M48:M58" si="38">I48</f>
        <v>4553.0550000000012</v>
      </c>
      <c r="N48" s="435"/>
    </row>
    <row r="49" spans="1:15" x14ac:dyDescent="0.2">
      <c r="A49" s="417" t="s">
        <v>94</v>
      </c>
      <c r="B49" s="374">
        <v>0.5</v>
      </c>
      <c r="C49" s="375">
        <v>48</v>
      </c>
      <c r="D49" s="371">
        <f t="shared" si="33"/>
        <v>24</v>
      </c>
      <c r="E49" s="370">
        <v>2</v>
      </c>
      <c r="F49" s="370">
        <f t="shared" si="34"/>
        <v>48</v>
      </c>
      <c r="G49" s="370">
        <f t="shared" si="35"/>
        <v>2.4000000000000004</v>
      </c>
      <c r="H49" s="370">
        <f t="shared" si="36"/>
        <v>4.8000000000000007</v>
      </c>
      <c r="I49" s="372">
        <f t="shared" si="37"/>
        <v>7284.8879999999999</v>
      </c>
      <c r="M49" s="435">
        <f t="shared" si="38"/>
        <v>7284.8879999999999</v>
      </c>
      <c r="N49" s="435"/>
    </row>
    <row r="50" spans="1:15" ht="25.5" x14ac:dyDescent="0.2">
      <c r="A50" s="417" t="s">
        <v>95</v>
      </c>
      <c r="B50" s="374"/>
      <c r="C50" s="375"/>
      <c r="D50" s="371"/>
      <c r="E50" s="370"/>
      <c r="F50" s="370"/>
      <c r="G50" s="370"/>
      <c r="H50" s="370"/>
      <c r="I50" s="372"/>
      <c r="M50" s="435">
        <f t="shared" si="38"/>
        <v>0</v>
      </c>
      <c r="N50" s="435"/>
    </row>
    <row r="51" spans="1:15" ht="15.75" x14ac:dyDescent="0.2">
      <c r="A51" s="490" t="s">
        <v>90</v>
      </c>
      <c r="B51" s="432">
        <v>0.5</v>
      </c>
      <c r="C51" s="432">
        <v>365</v>
      </c>
      <c r="D51" s="441">
        <f t="shared" si="33"/>
        <v>182.5</v>
      </c>
      <c r="E51" s="432">
        <v>1</v>
      </c>
      <c r="F51" s="432">
        <f t="shared" si="34"/>
        <v>182.5</v>
      </c>
      <c r="G51" s="432">
        <f t="shared" si="35"/>
        <v>9.125</v>
      </c>
      <c r="H51" s="432">
        <f t="shared" si="36"/>
        <v>18.25</v>
      </c>
      <c r="I51" s="433">
        <f t="shared" si="37"/>
        <v>27697.751250000001</v>
      </c>
      <c r="M51" s="435">
        <f t="shared" si="38"/>
        <v>27697.751250000001</v>
      </c>
      <c r="N51" s="435"/>
    </row>
    <row r="52" spans="1:15" ht="25.5" x14ac:dyDescent="0.2">
      <c r="A52" s="417" t="s">
        <v>96</v>
      </c>
      <c r="B52" s="374"/>
      <c r="C52" s="375"/>
      <c r="D52" s="371"/>
      <c r="E52" s="370"/>
      <c r="F52" s="370"/>
      <c r="G52" s="370"/>
      <c r="H52" s="370"/>
      <c r="I52" s="372"/>
      <c r="M52" s="435">
        <f t="shared" si="38"/>
        <v>0</v>
      </c>
      <c r="N52" s="435"/>
    </row>
    <row r="53" spans="1:15" ht="15.75" x14ac:dyDescent="0.2">
      <c r="A53" s="490" t="s">
        <v>90</v>
      </c>
      <c r="B53" s="432">
        <v>0.5</v>
      </c>
      <c r="C53" s="432">
        <v>365</v>
      </c>
      <c r="D53" s="441">
        <f t="shared" ref="D53:D54" si="39">B53*C53</f>
        <v>182.5</v>
      </c>
      <c r="E53" s="432">
        <v>1</v>
      </c>
      <c r="F53" s="432">
        <f t="shared" ref="F53:F54" si="40">D53*E53</f>
        <v>182.5</v>
      </c>
      <c r="G53" s="432">
        <f t="shared" ref="G53:G54" si="41">F53*0.05</f>
        <v>9.125</v>
      </c>
      <c r="H53" s="432">
        <f t="shared" ref="H53:H54" si="42">F53*0.1</f>
        <v>18.25</v>
      </c>
      <c r="I53" s="433">
        <f t="shared" ref="I53:I54" si="43">F53*$F$2+G53*$G$2+H53*$H$2</f>
        <v>27697.751250000001</v>
      </c>
      <c r="M53" s="435">
        <f t="shared" si="38"/>
        <v>27697.751250000001</v>
      </c>
      <c r="N53" s="435"/>
    </row>
    <row r="54" spans="1:15" ht="25.5" x14ac:dyDescent="0.2">
      <c r="A54" s="492" t="s">
        <v>97</v>
      </c>
      <c r="B54" s="432">
        <v>4</v>
      </c>
      <c r="C54" s="432">
        <v>12</v>
      </c>
      <c r="D54" s="432">
        <f t="shared" si="39"/>
        <v>48</v>
      </c>
      <c r="E54" s="432">
        <v>1</v>
      </c>
      <c r="F54" s="444">
        <f t="shared" si="40"/>
        <v>48</v>
      </c>
      <c r="G54" s="444">
        <f t="shared" si="41"/>
        <v>2.4000000000000004</v>
      </c>
      <c r="H54" s="444">
        <f t="shared" si="42"/>
        <v>4.8000000000000007</v>
      </c>
      <c r="I54" s="433">
        <f t="shared" si="43"/>
        <v>7284.8879999999999</v>
      </c>
      <c r="M54" s="435">
        <f t="shared" si="38"/>
        <v>7284.8879999999999</v>
      </c>
      <c r="N54" s="435"/>
    </row>
    <row r="55" spans="1:15" x14ac:dyDescent="0.2">
      <c r="A55" s="492" t="s">
        <v>98</v>
      </c>
      <c r="B55" s="432">
        <v>4</v>
      </c>
      <c r="C55" s="432">
        <v>12</v>
      </c>
      <c r="D55" s="432">
        <f t="shared" ref="D55:D56" si="44">B55*C55</f>
        <v>48</v>
      </c>
      <c r="E55" s="432">
        <v>1</v>
      </c>
      <c r="F55" s="444">
        <f t="shared" ref="F55:F56" si="45">D55*E55</f>
        <v>48</v>
      </c>
      <c r="G55" s="444">
        <f t="shared" ref="G55:G56" si="46">F55*0.05</f>
        <v>2.4000000000000004</v>
      </c>
      <c r="H55" s="444">
        <f t="shared" ref="H55:H56" si="47">F55*0.1</f>
        <v>4.8000000000000007</v>
      </c>
      <c r="I55" s="433">
        <f t="shared" ref="I55:I56" si="48">F55*$F$2+G55*$G$2+H55*$H$2</f>
        <v>7284.8879999999999</v>
      </c>
      <c r="M55" s="435">
        <f t="shared" si="38"/>
        <v>7284.8879999999999</v>
      </c>
      <c r="N55" s="435"/>
    </row>
    <row r="56" spans="1:15" ht="38.25" x14ac:dyDescent="0.2">
      <c r="A56" s="492" t="s">
        <v>99</v>
      </c>
      <c r="B56" s="432">
        <v>4</v>
      </c>
      <c r="C56" s="432">
        <v>12</v>
      </c>
      <c r="D56" s="432">
        <f t="shared" si="44"/>
        <v>48</v>
      </c>
      <c r="E56" s="432">
        <v>1</v>
      </c>
      <c r="F56" s="444">
        <f t="shared" si="45"/>
        <v>48</v>
      </c>
      <c r="G56" s="444">
        <f t="shared" si="46"/>
        <v>2.4000000000000004</v>
      </c>
      <c r="H56" s="444">
        <f t="shared" si="47"/>
        <v>4.8000000000000007</v>
      </c>
      <c r="I56" s="433">
        <f t="shared" si="48"/>
        <v>7284.8879999999999</v>
      </c>
      <c r="M56" s="435">
        <f t="shared" si="38"/>
        <v>7284.8879999999999</v>
      </c>
      <c r="N56" s="435"/>
    </row>
    <row r="57" spans="1:15" x14ac:dyDescent="0.2">
      <c r="A57" s="417" t="s">
        <v>100</v>
      </c>
      <c r="B57" s="430"/>
      <c r="C57" s="432"/>
      <c r="D57" s="441"/>
      <c r="E57" s="432"/>
      <c r="F57" s="432"/>
      <c r="G57" s="432"/>
      <c r="H57" s="432"/>
      <c r="I57" s="433"/>
      <c r="M57" s="435">
        <f t="shared" si="38"/>
        <v>0</v>
      </c>
      <c r="N57" s="435"/>
    </row>
    <row r="58" spans="1:15" x14ac:dyDescent="0.2">
      <c r="A58" s="417" t="s">
        <v>101</v>
      </c>
      <c r="B58" s="432">
        <v>0.5</v>
      </c>
      <c r="C58" s="432">
        <v>365</v>
      </c>
      <c r="D58" s="441">
        <f t="shared" ref="D58" si="49">B58*C58</f>
        <v>182.5</v>
      </c>
      <c r="E58" s="432">
        <v>1</v>
      </c>
      <c r="F58" s="432">
        <f t="shared" ref="F58" si="50">D58*E58</f>
        <v>182.5</v>
      </c>
      <c r="G58" s="432">
        <f t="shared" ref="G58" si="51">F58*0.05</f>
        <v>9.125</v>
      </c>
      <c r="H58" s="432">
        <f t="shared" ref="H58" si="52">F58*0.1</f>
        <v>18.25</v>
      </c>
      <c r="I58" s="433">
        <f t="shared" ref="I58" si="53">F58*$F$2+G58*$G$2+H58*$H$2</f>
        <v>27697.751250000001</v>
      </c>
      <c r="M58" s="435">
        <f t="shared" si="38"/>
        <v>27697.751250000001</v>
      </c>
      <c r="N58" s="435"/>
    </row>
    <row r="59" spans="1:15" ht="15.75" x14ac:dyDescent="0.2">
      <c r="A59" s="417" t="s">
        <v>102</v>
      </c>
      <c r="B59" s="450">
        <v>100</v>
      </c>
      <c r="C59" s="451">
        <v>1</v>
      </c>
      <c r="D59" s="441">
        <f t="shared" si="33"/>
        <v>100</v>
      </c>
      <c r="E59" s="432">
        <v>0</v>
      </c>
      <c r="F59" s="432">
        <f t="shared" si="34"/>
        <v>0</v>
      </c>
      <c r="G59" s="432">
        <f t="shared" si="35"/>
        <v>0</v>
      </c>
      <c r="H59" s="432">
        <f t="shared" si="36"/>
        <v>0</v>
      </c>
      <c r="I59" s="433">
        <f t="shared" si="37"/>
        <v>0</v>
      </c>
      <c r="M59" s="435"/>
      <c r="N59" s="435"/>
    </row>
    <row r="60" spans="1:15" ht="15.75" x14ac:dyDescent="0.2">
      <c r="A60" s="417" t="s">
        <v>103</v>
      </c>
      <c r="B60" s="450">
        <v>1</v>
      </c>
      <c r="C60" s="451">
        <v>365</v>
      </c>
      <c r="D60" s="441">
        <f t="shared" si="33"/>
        <v>365</v>
      </c>
      <c r="E60" s="432">
        <v>2</v>
      </c>
      <c r="F60" s="432">
        <f t="shared" si="34"/>
        <v>730</v>
      </c>
      <c r="G60" s="432">
        <f t="shared" si="35"/>
        <v>36.5</v>
      </c>
      <c r="H60" s="432">
        <f t="shared" si="36"/>
        <v>73</v>
      </c>
      <c r="I60" s="433">
        <f t="shared" si="37"/>
        <v>110791.005</v>
      </c>
      <c r="M60" s="435"/>
      <c r="N60" s="435">
        <f t="shared" si="32"/>
        <v>110791.005</v>
      </c>
    </row>
    <row r="61" spans="1:15" ht="15.75" x14ac:dyDescent="0.2">
      <c r="A61" s="417" t="s">
        <v>104</v>
      </c>
      <c r="B61" s="450">
        <v>100</v>
      </c>
      <c r="C61" s="451">
        <v>1</v>
      </c>
      <c r="D61" s="441">
        <f t="shared" si="33"/>
        <v>100</v>
      </c>
      <c r="E61" s="432">
        <v>2</v>
      </c>
      <c r="F61" s="432">
        <f t="shared" si="34"/>
        <v>200</v>
      </c>
      <c r="G61" s="432">
        <f t="shared" si="35"/>
        <v>10</v>
      </c>
      <c r="H61" s="432">
        <f t="shared" si="36"/>
        <v>20</v>
      </c>
      <c r="I61" s="433">
        <f t="shared" si="37"/>
        <v>30353.700000000004</v>
      </c>
      <c r="M61" s="435"/>
      <c r="N61" s="435">
        <f t="shared" si="32"/>
        <v>30353.700000000004</v>
      </c>
    </row>
    <row r="62" spans="1:15" x14ac:dyDescent="0.2">
      <c r="A62" s="487" t="s">
        <v>105</v>
      </c>
      <c r="B62" s="430"/>
      <c r="C62" s="432"/>
      <c r="D62" s="441"/>
      <c r="E62" s="432"/>
      <c r="F62" s="529">
        <f>SUM(F30:H61)</f>
        <v>4211.3000000000011</v>
      </c>
      <c r="G62" s="529"/>
      <c r="H62" s="529"/>
      <c r="I62" s="447">
        <f>SUM(I30:I61)</f>
        <v>555776.24699999986</v>
      </c>
      <c r="M62" s="28"/>
      <c r="N62" s="28"/>
    </row>
    <row r="63" spans="1:15" x14ac:dyDescent="0.2">
      <c r="A63" s="487" t="s">
        <v>106</v>
      </c>
      <c r="B63" s="430"/>
      <c r="C63" s="432"/>
      <c r="D63" s="441"/>
      <c r="E63" s="432"/>
      <c r="F63" s="505"/>
      <c r="G63" s="505"/>
      <c r="H63" s="505"/>
      <c r="I63" s="470" t="s">
        <v>51</v>
      </c>
      <c r="M63" s="28"/>
      <c r="N63" s="28"/>
    </row>
    <row r="64" spans="1:15" x14ac:dyDescent="0.2">
      <c r="A64" s="474" t="s">
        <v>107</v>
      </c>
      <c r="B64" s="475"/>
      <c r="C64" s="476"/>
      <c r="D64" s="376"/>
      <c r="E64" s="376"/>
      <c r="F64" s="377"/>
      <c r="G64" s="378"/>
      <c r="H64" s="378"/>
      <c r="I64" s="477">
        <f>'O+M'!G13</f>
        <v>301897.66666666663</v>
      </c>
      <c r="K64" s="434"/>
      <c r="M64" s="435"/>
      <c r="N64" s="435"/>
      <c r="O64" s="427"/>
    </row>
    <row r="65" spans="1:14" ht="27" x14ac:dyDescent="0.2">
      <c r="A65" s="493" t="s">
        <v>108</v>
      </c>
      <c r="B65" s="452"/>
      <c r="C65" s="441"/>
      <c r="D65" s="441"/>
      <c r="E65" s="441"/>
      <c r="F65" s="505"/>
      <c r="G65" s="505"/>
      <c r="H65" s="505"/>
      <c r="I65" s="453">
        <f>I29+I62</f>
        <v>856682.59299999988</v>
      </c>
      <c r="K65" s="442" t="s">
        <v>109</v>
      </c>
      <c r="M65" s="454">
        <f>SUM(M5:M63)</f>
        <v>146026.59175000002</v>
      </c>
      <c r="N65" s="454">
        <f>SUM(N5:N62)</f>
        <v>710656.00125000009</v>
      </c>
    </row>
    <row r="66" spans="1:14" ht="15.75" x14ac:dyDescent="0.2">
      <c r="A66" s="494" t="s">
        <v>110</v>
      </c>
      <c r="B66" s="506"/>
      <c r="C66" s="506"/>
      <c r="D66" s="506"/>
      <c r="E66" s="506"/>
      <c r="F66" s="529">
        <f>ROUND(F62+F29,-2)</f>
        <v>6500</v>
      </c>
      <c r="G66" s="530"/>
      <c r="H66" s="530"/>
      <c r="I66" s="447">
        <f>ROUND(I29+I62,-4)</f>
        <v>860000</v>
      </c>
      <c r="K66" s="442"/>
      <c r="M66" s="447">
        <f>ROUND(M65,-4)</f>
        <v>150000</v>
      </c>
      <c r="N66" s="447">
        <f>ROUND(N65,-4)</f>
        <v>710000</v>
      </c>
    </row>
    <row r="67" spans="1:14" ht="15.75" x14ac:dyDescent="0.2">
      <c r="A67" s="495" t="s">
        <v>111</v>
      </c>
      <c r="B67" s="471"/>
      <c r="C67" s="471"/>
      <c r="D67" s="471"/>
      <c r="E67" s="471"/>
      <c r="F67" s="472"/>
      <c r="G67" s="471"/>
      <c r="H67" s="471"/>
      <c r="I67" s="473">
        <f>ROUND(SUM(I64:I65),-4)</f>
        <v>1160000</v>
      </c>
      <c r="K67" s="445">
        <f>F66/K28</f>
        <v>154.76190476190476</v>
      </c>
    </row>
    <row r="68" spans="1:14" x14ac:dyDescent="0.2">
      <c r="A68" s="496" t="s">
        <v>112</v>
      </c>
      <c r="K68" s="456"/>
    </row>
    <row r="69" spans="1:14" ht="15.75" x14ac:dyDescent="0.2">
      <c r="A69" s="531" t="s">
        <v>113</v>
      </c>
      <c r="B69" s="531"/>
      <c r="C69" s="531"/>
      <c r="D69" s="531"/>
      <c r="E69" s="531"/>
      <c r="F69" s="531"/>
      <c r="G69" s="531"/>
      <c r="H69" s="531"/>
      <c r="I69" s="531"/>
    </row>
    <row r="70" spans="1:14" ht="39" customHeight="1" x14ac:dyDescent="0.2">
      <c r="A70" s="532" t="s">
        <v>114</v>
      </c>
      <c r="B70" s="532"/>
      <c r="C70" s="532"/>
      <c r="D70" s="532"/>
      <c r="E70" s="532"/>
      <c r="F70" s="532"/>
      <c r="G70" s="532"/>
      <c r="H70" s="532"/>
      <c r="I70" s="532"/>
    </row>
    <row r="71" spans="1:14" ht="36" customHeight="1" x14ac:dyDescent="0.2">
      <c r="A71" s="533" t="s">
        <v>115</v>
      </c>
      <c r="B71" s="533"/>
      <c r="C71" s="533"/>
      <c r="D71" s="533"/>
      <c r="E71" s="533"/>
      <c r="F71" s="533"/>
      <c r="G71" s="533"/>
      <c r="H71" s="533"/>
      <c r="I71" s="533"/>
    </row>
    <row r="72" spans="1:14" ht="15.75" x14ac:dyDescent="0.2">
      <c r="A72" s="534" t="s">
        <v>116</v>
      </c>
      <c r="B72" s="535"/>
      <c r="C72" s="535"/>
      <c r="D72" s="535"/>
      <c r="E72" s="535"/>
      <c r="F72" s="535"/>
      <c r="G72" s="535"/>
      <c r="H72" s="535"/>
      <c r="I72" s="535"/>
    </row>
    <row r="73" spans="1:14" ht="15.75" x14ac:dyDescent="0.2">
      <c r="A73" s="534" t="s">
        <v>117</v>
      </c>
      <c r="B73" s="535"/>
      <c r="C73" s="535"/>
      <c r="D73" s="535"/>
      <c r="E73" s="535"/>
      <c r="F73" s="535"/>
      <c r="G73" s="535"/>
      <c r="H73" s="535"/>
      <c r="I73" s="535"/>
    </row>
    <row r="74" spans="1:14" ht="15.75" x14ac:dyDescent="0.2">
      <c r="A74" s="534" t="s">
        <v>118</v>
      </c>
      <c r="B74" s="535"/>
      <c r="C74" s="535"/>
      <c r="D74" s="535"/>
      <c r="E74" s="535"/>
      <c r="F74" s="535"/>
      <c r="G74" s="535"/>
      <c r="H74" s="535"/>
      <c r="I74" s="535"/>
    </row>
    <row r="75" spans="1:14" ht="120.75" customHeight="1" x14ac:dyDescent="0.2">
      <c r="A75" s="520" t="s">
        <v>119</v>
      </c>
      <c r="B75" s="521"/>
      <c r="C75" s="521"/>
      <c r="D75" s="521"/>
      <c r="E75" s="521"/>
      <c r="F75" s="521"/>
      <c r="G75" s="521"/>
      <c r="H75" s="521"/>
      <c r="I75" s="521"/>
    </row>
    <row r="76" spans="1:14" ht="18" customHeight="1" x14ac:dyDescent="0.2">
      <c r="A76" s="540" t="s">
        <v>120</v>
      </c>
      <c r="B76" s="538"/>
      <c r="C76" s="538"/>
      <c r="D76" s="538"/>
      <c r="E76" s="538"/>
      <c r="F76" s="538"/>
      <c r="G76" s="538"/>
      <c r="H76" s="538"/>
      <c r="I76" s="538"/>
    </row>
    <row r="77" spans="1:14" ht="30.75" customHeight="1" x14ac:dyDescent="0.2">
      <c r="A77" s="540" t="s">
        <v>121</v>
      </c>
      <c r="B77" s="541"/>
      <c r="C77" s="541"/>
      <c r="D77" s="541"/>
      <c r="E77" s="541"/>
      <c r="F77" s="541"/>
      <c r="G77" s="541"/>
      <c r="H77" s="541"/>
      <c r="I77" s="541"/>
    </row>
    <row r="78" spans="1:14" ht="46.5" customHeight="1" x14ac:dyDescent="0.2">
      <c r="A78" s="533" t="s">
        <v>122</v>
      </c>
      <c r="B78" s="533"/>
      <c r="C78" s="533"/>
      <c r="D78" s="533"/>
      <c r="E78" s="533"/>
      <c r="F78" s="533"/>
      <c r="G78" s="533"/>
      <c r="H78" s="533"/>
      <c r="I78" s="533"/>
    </row>
    <row r="79" spans="1:14" x14ac:dyDescent="0.2">
      <c r="A79" s="540" t="s">
        <v>123</v>
      </c>
      <c r="B79" s="538"/>
      <c r="C79" s="538"/>
      <c r="D79" s="538"/>
      <c r="E79" s="538"/>
      <c r="F79" s="538"/>
      <c r="G79" s="538"/>
      <c r="H79" s="538"/>
      <c r="I79" s="538"/>
    </row>
    <row r="80" spans="1:14" ht="15" x14ac:dyDescent="0.25">
      <c r="A80" s="538" t="s">
        <v>124</v>
      </c>
      <c r="B80" s="523"/>
      <c r="C80" s="523"/>
      <c r="D80" s="523"/>
      <c r="E80" s="523"/>
      <c r="F80" s="523"/>
      <c r="G80" s="523"/>
      <c r="H80" s="523"/>
      <c r="I80" s="523"/>
    </row>
    <row r="81" spans="1:9" ht="15" x14ac:dyDescent="0.25">
      <c r="A81" s="538" t="s">
        <v>125</v>
      </c>
      <c r="B81" s="523"/>
      <c r="C81" s="523"/>
      <c r="D81" s="523"/>
      <c r="E81" s="523"/>
      <c r="F81" s="523"/>
      <c r="G81" s="523"/>
      <c r="H81" s="523"/>
      <c r="I81" s="523"/>
    </row>
    <row r="82" spans="1:9" ht="28.5" customHeight="1" x14ac:dyDescent="0.2">
      <c r="A82" s="536" t="s">
        <v>126</v>
      </c>
      <c r="B82" s="537"/>
      <c r="C82" s="537"/>
      <c r="D82" s="537"/>
      <c r="E82" s="537"/>
      <c r="F82" s="537"/>
      <c r="G82" s="537"/>
      <c r="H82" s="537"/>
      <c r="I82" s="537"/>
    </row>
    <row r="83" spans="1:9" ht="15" x14ac:dyDescent="0.25">
      <c r="A83" s="538" t="s">
        <v>127</v>
      </c>
      <c r="B83" s="523"/>
      <c r="C83" s="523"/>
      <c r="D83" s="523"/>
      <c r="E83" s="523"/>
      <c r="F83" s="523"/>
      <c r="G83" s="523"/>
      <c r="H83" s="523"/>
      <c r="I83" s="523"/>
    </row>
    <row r="84" spans="1:9" ht="15" x14ac:dyDescent="0.25">
      <c r="A84" s="538" t="s">
        <v>128</v>
      </c>
      <c r="B84" s="523"/>
      <c r="C84" s="523"/>
      <c r="D84" s="523"/>
      <c r="E84" s="523"/>
      <c r="F84" s="523"/>
      <c r="G84" s="523"/>
      <c r="H84" s="523"/>
      <c r="I84" s="523"/>
    </row>
    <row r="85" spans="1:9" ht="15" x14ac:dyDescent="0.25">
      <c r="A85" s="539" t="s">
        <v>129</v>
      </c>
      <c r="B85" s="523"/>
      <c r="C85" s="523"/>
      <c r="D85" s="523"/>
      <c r="E85" s="523"/>
      <c r="F85" s="523"/>
      <c r="G85" s="523"/>
      <c r="H85" s="523"/>
      <c r="I85" s="523"/>
    </row>
  </sheetData>
  <autoFilter ref="A4:O27" xr:uid="{00000000-0001-0000-0000-000000000000}"/>
  <mergeCells count="22">
    <mergeCell ref="A82:I82"/>
    <mergeCell ref="A83:I83"/>
    <mergeCell ref="A84:I84"/>
    <mergeCell ref="A85:I85"/>
    <mergeCell ref="A76:I76"/>
    <mergeCell ref="A77:I77"/>
    <mergeCell ref="A78:I78"/>
    <mergeCell ref="A79:I79"/>
    <mergeCell ref="A80:I80"/>
    <mergeCell ref="A81:I81"/>
    <mergeCell ref="A75:I75"/>
    <mergeCell ref="A1:I1"/>
    <mergeCell ref="A3:A4"/>
    <mergeCell ref="F29:H29"/>
    <mergeCell ref="F62:H62"/>
    <mergeCell ref="F66:H66"/>
    <mergeCell ref="A69:I69"/>
    <mergeCell ref="A70:I70"/>
    <mergeCell ref="A71:I71"/>
    <mergeCell ref="A72:I72"/>
    <mergeCell ref="A73:I73"/>
    <mergeCell ref="A74:I74"/>
  </mergeCells>
  <pageMargins left="0.7" right="0.7" top="0.75" bottom="0.75" header="0.3" footer="0.3"/>
  <pageSetup orientation="portrait" horizontalDpi="4294967293"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topLeftCell="A5" workbookViewId="0">
      <selection activeCell="A18" sqref="A18:I18"/>
    </sheetView>
  </sheetViews>
  <sheetFormatPr defaultColWidth="9.140625" defaultRowHeight="15" x14ac:dyDescent="0.25"/>
  <cols>
    <col min="1" max="1" width="36.5703125" style="393" bestFit="1" customWidth="1"/>
    <col min="2" max="2" width="9.5703125" style="393" customWidth="1"/>
    <col min="3" max="3" width="11" style="393" customWidth="1"/>
    <col min="4" max="4" width="11.7109375" style="328" customWidth="1"/>
    <col min="5" max="6" width="10" style="328" customWidth="1"/>
    <col min="7" max="7" width="11" style="328" customWidth="1"/>
    <col min="8" max="8" width="9.42578125" style="328" customWidth="1"/>
    <col min="9" max="9" width="9.28515625" style="328" bestFit="1" customWidth="1"/>
    <col min="10" max="16384" width="9.140625" style="328"/>
  </cols>
  <sheetData>
    <row r="1" spans="1:13" ht="15.75" x14ac:dyDescent="0.25">
      <c r="A1" s="497" t="s">
        <v>130</v>
      </c>
    </row>
    <row r="2" spans="1:13" ht="39" x14ac:dyDescent="0.25">
      <c r="F2" s="513">
        <v>57.07</v>
      </c>
      <c r="G2" s="513">
        <v>76.91</v>
      </c>
      <c r="H2" s="513">
        <v>30.88</v>
      </c>
      <c r="I2" s="426" t="s">
        <v>35</v>
      </c>
      <c r="J2" s="395"/>
      <c r="K2" s="393"/>
      <c r="L2" s="393"/>
      <c r="M2" s="393"/>
    </row>
    <row r="3" spans="1:13" x14ac:dyDescent="0.25">
      <c r="A3" s="547" t="s">
        <v>131</v>
      </c>
      <c r="B3" s="498" t="s">
        <v>1</v>
      </c>
      <c r="C3" s="498" t="s">
        <v>2</v>
      </c>
      <c r="D3" s="380" t="s">
        <v>3</v>
      </c>
      <c r="E3" s="380" t="s">
        <v>4</v>
      </c>
      <c r="F3" s="380" t="s">
        <v>5</v>
      </c>
      <c r="G3" s="380" t="s">
        <v>6</v>
      </c>
      <c r="H3" s="380" t="s">
        <v>7</v>
      </c>
      <c r="I3" s="380" t="s">
        <v>37</v>
      </c>
    </row>
    <row r="4" spans="1:13" ht="63.75" x14ac:dyDescent="0.25">
      <c r="A4" s="548"/>
      <c r="B4" s="499" t="s">
        <v>132</v>
      </c>
      <c r="C4" s="499" t="s">
        <v>133</v>
      </c>
      <c r="D4" s="382" t="s">
        <v>134</v>
      </c>
      <c r="E4" s="382" t="s">
        <v>135</v>
      </c>
      <c r="F4" s="382" t="s">
        <v>136</v>
      </c>
      <c r="G4" s="383" t="s">
        <v>137</v>
      </c>
      <c r="H4" s="383" t="s">
        <v>138</v>
      </c>
      <c r="I4" s="382" t="s">
        <v>139</v>
      </c>
    </row>
    <row r="5" spans="1:13" x14ac:dyDescent="0.25">
      <c r="A5" s="500" t="s">
        <v>131</v>
      </c>
      <c r="B5" s="482" t="s">
        <v>51</v>
      </c>
      <c r="C5" s="482"/>
      <c r="D5" s="385"/>
      <c r="E5" s="385"/>
      <c r="F5" s="385"/>
      <c r="G5" s="385"/>
      <c r="H5" s="385"/>
      <c r="I5" s="386"/>
    </row>
    <row r="6" spans="1:13" x14ac:dyDescent="0.25">
      <c r="A6" s="500" t="s">
        <v>140</v>
      </c>
      <c r="B6" s="482"/>
      <c r="C6" s="482"/>
      <c r="D6" s="385"/>
      <c r="E6" s="385"/>
      <c r="F6" s="385"/>
      <c r="G6" s="385"/>
      <c r="H6" s="385"/>
      <c r="I6" s="386"/>
    </row>
    <row r="7" spans="1:13" x14ac:dyDescent="0.25">
      <c r="A7" s="501" t="s">
        <v>141</v>
      </c>
      <c r="B7" s="482">
        <v>2</v>
      </c>
      <c r="C7" s="482">
        <v>1</v>
      </c>
      <c r="D7" s="385">
        <f>B7*C7</f>
        <v>2</v>
      </c>
      <c r="E7" s="385">
        <v>0</v>
      </c>
      <c r="F7" s="385">
        <f>D7*E7</f>
        <v>0</v>
      </c>
      <c r="G7" s="385">
        <f>F7*0.05</f>
        <v>0</v>
      </c>
      <c r="H7" s="385">
        <f>F7*0.1</f>
        <v>0</v>
      </c>
      <c r="I7" s="388">
        <f>$F$2*F7+$G$2*G7+$H$2*H7</f>
        <v>0</v>
      </c>
    </row>
    <row r="8" spans="1:13" s="393" customFormat="1" ht="16.5" x14ac:dyDescent="0.25">
      <c r="A8" s="501" t="s">
        <v>142</v>
      </c>
      <c r="B8" s="482">
        <v>2</v>
      </c>
      <c r="C8" s="502">
        <f>5.5+4</f>
        <v>9.5</v>
      </c>
      <c r="D8" s="482">
        <f t="shared" ref="D8:D10" si="0">B8*C8</f>
        <v>19</v>
      </c>
      <c r="E8" s="482">
        <v>2</v>
      </c>
      <c r="F8" s="482">
        <f t="shared" ref="F8:F10" si="1">D8*E8</f>
        <v>38</v>
      </c>
      <c r="G8" s="482">
        <f t="shared" ref="G8:G10" si="2">F8*0.05</f>
        <v>1.9000000000000001</v>
      </c>
      <c r="H8" s="482">
        <f t="shared" ref="H8:H10" si="3">F8*0.1</f>
        <v>3.8000000000000003</v>
      </c>
      <c r="I8" s="484">
        <f t="shared" ref="I8:I10" si="4">$F$2*F8+$G$2*G8+$H$2*H8</f>
        <v>2432.1329999999998</v>
      </c>
    </row>
    <row r="9" spans="1:13" s="393" customFormat="1" ht="16.5" x14ac:dyDescent="0.25">
      <c r="A9" s="501" t="s">
        <v>143</v>
      </c>
      <c r="B9" s="485">
        <v>16</v>
      </c>
      <c r="C9" s="503">
        <v>9.5</v>
      </c>
      <c r="D9" s="483">
        <f>B9*C9</f>
        <v>152</v>
      </c>
      <c r="E9" s="485">
        <v>2</v>
      </c>
      <c r="F9" s="483">
        <f>D9*E9</f>
        <v>304</v>
      </c>
      <c r="G9" s="483">
        <f t="shared" si="2"/>
        <v>15.200000000000001</v>
      </c>
      <c r="H9" s="483">
        <f t="shared" si="3"/>
        <v>30.400000000000002</v>
      </c>
      <c r="I9" s="484">
        <f t="shared" si="4"/>
        <v>19457.063999999998</v>
      </c>
    </row>
    <row r="10" spans="1:13" ht="16.5" x14ac:dyDescent="0.25">
      <c r="A10" s="501" t="s">
        <v>144</v>
      </c>
      <c r="B10" s="485">
        <v>8</v>
      </c>
      <c r="C10" s="485">
        <v>2</v>
      </c>
      <c r="D10" s="385">
        <f t="shared" si="0"/>
        <v>16</v>
      </c>
      <c r="E10" s="390">
        <v>2</v>
      </c>
      <c r="F10" s="385">
        <f t="shared" si="1"/>
        <v>32</v>
      </c>
      <c r="G10" s="385">
        <f t="shared" si="2"/>
        <v>1.6</v>
      </c>
      <c r="H10" s="385">
        <f t="shared" si="3"/>
        <v>3.2</v>
      </c>
      <c r="I10" s="389">
        <f t="shared" si="4"/>
        <v>2048.1120000000001</v>
      </c>
    </row>
    <row r="11" spans="1:13" ht="16.5" x14ac:dyDescent="0.25">
      <c r="A11" s="501" t="s">
        <v>145</v>
      </c>
      <c r="B11" s="482">
        <v>8</v>
      </c>
      <c r="C11" s="482">
        <v>1</v>
      </c>
      <c r="D11" s="385">
        <f>B11*C11</f>
        <v>8</v>
      </c>
      <c r="E11" s="385">
        <v>0</v>
      </c>
      <c r="F11" s="385">
        <f>D11*E11</f>
        <v>0</v>
      </c>
      <c r="G11" s="385">
        <f>F11*0.05</f>
        <v>0</v>
      </c>
      <c r="H11" s="385">
        <f>F11*0.1</f>
        <v>0</v>
      </c>
      <c r="I11" s="388">
        <f>$F$2*F11+$G$2*G11+$H$2*H11</f>
        <v>0</v>
      </c>
    </row>
    <row r="12" spans="1:13" ht="29.25" x14ac:dyDescent="0.25">
      <c r="A12" s="504" t="s">
        <v>146</v>
      </c>
      <c r="B12" s="498"/>
      <c r="C12" s="498"/>
      <c r="D12" s="380"/>
      <c r="E12" s="380"/>
      <c r="F12" s="549">
        <f>ROUND(SUM(F5:H11),0)</f>
        <v>430</v>
      </c>
      <c r="G12" s="550"/>
      <c r="H12" s="551"/>
      <c r="I12" s="392">
        <f>ROUND(SUM(I5:I11),-2)</f>
        <v>23900</v>
      </c>
      <c r="J12" s="515">
        <f>SUM(I7:I11)</f>
        <v>23937.309000000001</v>
      </c>
    </row>
    <row r="14" spans="1:13" x14ac:dyDescent="0.25">
      <c r="A14" s="544" t="s">
        <v>112</v>
      </c>
      <c r="B14" s="523"/>
      <c r="C14" s="523"/>
      <c r="D14" s="523"/>
      <c r="E14" s="523"/>
      <c r="F14" s="523"/>
      <c r="G14" s="523"/>
      <c r="H14" s="523"/>
      <c r="I14" s="523"/>
    </row>
    <row r="15" spans="1:13" ht="18.75" customHeight="1" x14ac:dyDescent="0.25">
      <c r="A15" s="552" t="s">
        <v>147</v>
      </c>
      <c r="B15" s="537"/>
      <c r="C15" s="537"/>
      <c r="D15" s="537"/>
      <c r="E15" s="537"/>
      <c r="F15" s="537"/>
      <c r="G15" s="537"/>
      <c r="H15" s="537"/>
      <c r="I15" s="537"/>
    </row>
    <row r="16" spans="1:13" ht="42" customHeight="1" x14ac:dyDescent="0.25">
      <c r="A16" s="545" t="s">
        <v>148</v>
      </c>
      <c r="B16" s="546"/>
      <c r="C16" s="546"/>
      <c r="D16" s="546"/>
      <c r="E16" s="546"/>
      <c r="F16" s="546"/>
      <c r="G16" s="546"/>
      <c r="H16" s="546"/>
      <c r="I16" s="546"/>
      <c r="J16" s="395"/>
    </row>
    <row r="17" spans="1:10" s="393" customFormat="1" ht="49.5" customHeight="1" x14ac:dyDescent="0.25">
      <c r="A17" s="520" t="s">
        <v>149</v>
      </c>
      <c r="B17" s="553"/>
      <c r="C17" s="553"/>
      <c r="D17" s="553"/>
      <c r="E17" s="553"/>
      <c r="F17" s="553"/>
      <c r="G17" s="553"/>
      <c r="H17" s="553"/>
      <c r="I17" s="553"/>
    </row>
    <row r="18" spans="1:10" s="393" customFormat="1" ht="186" customHeight="1" x14ac:dyDescent="0.25">
      <c r="A18" s="545" t="s">
        <v>150</v>
      </c>
      <c r="B18" s="546"/>
      <c r="C18" s="546"/>
      <c r="D18" s="546"/>
      <c r="E18" s="546"/>
      <c r="F18" s="546"/>
      <c r="G18" s="546"/>
      <c r="H18" s="546"/>
      <c r="I18" s="546"/>
      <c r="J18" s="397"/>
    </row>
    <row r="19" spans="1:10" x14ac:dyDescent="0.25">
      <c r="A19" s="542" t="s">
        <v>151</v>
      </c>
      <c r="B19" s="537"/>
      <c r="C19" s="537"/>
      <c r="D19" s="537"/>
      <c r="E19" s="537"/>
      <c r="F19" s="537"/>
      <c r="G19" s="537"/>
      <c r="H19" s="537"/>
      <c r="I19" s="537"/>
    </row>
    <row r="20" spans="1:10" x14ac:dyDescent="0.25">
      <c r="A20" s="543" t="s">
        <v>152</v>
      </c>
      <c r="B20" s="523"/>
      <c r="C20" s="523"/>
      <c r="D20" s="523"/>
      <c r="E20" s="523"/>
      <c r="F20" s="523"/>
      <c r="G20" s="523"/>
      <c r="H20" s="523"/>
      <c r="I20" s="523"/>
    </row>
    <row r="21" spans="1:10" ht="30.75" customHeight="1" x14ac:dyDescent="0.25">
      <c r="A21" s="542" t="s">
        <v>153</v>
      </c>
      <c r="B21" s="537"/>
      <c r="C21" s="537"/>
      <c r="D21" s="537"/>
      <c r="E21" s="537"/>
      <c r="F21" s="537"/>
      <c r="G21" s="537"/>
      <c r="H21" s="537"/>
      <c r="I21" s="537"/>
    </row>
  </sheetData>
  <mergeCells count="10">
    <mergeCell ref="A3:A4"/>
    <mergeCell ref="F12:H12"/>
    <mergeCell ref="A15:I15"/>
    <mergeCell ref="A16:I16"/>
    <mergeCell ref="A17:I17"/>
    <mergeCell ref="A19:I19"/>
    <mergeCell ref="A20:I20"/>
    <mergeCell ref="A21:I21"/>
    <mergeCell ref="A14:I14"/>
    <mergeCell ref="A18:I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4AE1-16E6-4390-A099-D2FA304B0B6D}">
  <dimension ref="A1"/>
  <sheetViews>
    <sheetView workbookViewId="0">
      <selection activeCell="G27" sqref="G27"/>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B5F1-2E31-4015-B64F-CFE743B34A36}">
  <dimension ref="A1:R62"/>
  <sheetViews>
    <sheetView topLeftCell="A32" zoomScaleNormal="100" workbookViewId="0">
      <selection activeCell="E27" sqref="E27"/>
    </sheetView>
  </sheetViews>
  <sheetFormatPr defaultColWidth="9.140625" defaultRowHeight="15" x14ac:dyDescent="0.25"/>
  <cols>
    <col min="1" max="1" width="48" style="398" customWidth="1"/>
    <col min="2" max="2" width="10.28515625" style="398" customWidth="1"/>
    <col min="3" max="3" width="10.85546875" style="398" customWidth="1"/>
    <col min="4" max="4" width="9.42578125" style="398" customWidth="1"/>
    <col min="5" max="5" width="10.85546875" style="398" customWidth="1"/>
    <col min="6" max="6" width="9.85546875" style="398" customWidth="1"/>
    <col min="7" max="7" width="11.85546875" style="398" customWidth="1"/>
    <col min="8" max="8" width="9.5703125" style="398" customWidth="1"/>
    <col min="9" max="9" width="11.28515625" style="398" customWidth="1"/>
    <col min="10" max="17" width="9.140625" style="398"/>
    <col min="18" max="18" width="22" style="398" customWidth="1"/>
    <col min="19" max="16384" width="9.140625" style="398"/>
  </cols>
  <sheetData>
    <row r="1" spans="1:10" ht="15.75" x14ac:dyDescent="0.25">
      <c r="A1" s="379" t="s">
        <v>154</v>
      </c>
    </row>
    <row r="2" spans="1:10" x14ac:dyDescent="0.25">
      <c r="F2" s="398">
        <v>122.66</v>
      </c>
      <c r="G2" s="398">
        <v>149.84</v>
      </c>
      <c r="H2" s="398">
        <v>60.88</v>
      </c>
    </row>
    <row r="3" spans="1:10" x14ac:dyDescent="0.25">
      <c r="A3" s="554" t="s">
        <v>36</v>
      </c>
      <c r="B3" s="399" t="s">
        <v>1</v>
      </c>
      <c r="C3" s="399" t="s">
        <v>2</v>
      </c>
      <c r="D3" s="399" t="s">
        <v>3</v>
      </c>
      <c r="E3" s="399" t="s">
        <v>4</v>
      </c>
      <c r="F3" s="399" t="s">
        <v>155</v>
      </c>
      <c r="G3" s="399" t="s">
        <v>6</v>
      </c>
      <c r="H3" s="399" t="s">
        <v>156</v>
      </c>
      <c r="I3" s="399" t="s">
        <v>37</v>
      </c>
    </row>
    <row r="4" spans="1:10" ht="63.75" x14ac:dyDescent="0.25">
      <c r="A4" s="554"/>
      <c r="B4" s="507" t="s">
        <v>40</v>
      </c>
      <c r="C4" s="507" t="s">
        <v>41</v>
      </c>
      <c r="D4" s="507" t="s">
        <v>157</v>
      </c>
      <c r="E4" s="507" t="s">
        <v>158</v>
      </c>
      <c r="F4" s="507" t="s">
        <v>136</v>
      </c>
      <c r="G4" s="507" t="s">
        <v>159</v>
      </c>
      <c r="H4" s="507" t="s">
        <v>160</v>
      </c>
      <c r="I4" s="507" t="s">
        <v>161</v>
      </c>
    </row>
    <row r="5" spans="1:10" x14ac:dyDescent="0.25">
      <c r="A5" s="400" t="s">
        <v>50</v>
      </c>
      <c r="B5" s="2" t="s">
        <v>51</v>
      </c>
      <c r="C5" s="2"/>
      <c r="D5" s="2"/>
      <c r="E5" s="2"/>
      <c r="F5" s="2"/>
      <c r="G5" s="2"/>
      <c r="H5" s="2"/>
      <c r="I5" s="401"/>
    </row>
    <row r="6" spans="1:10" x14ac:dyDescent="0.25">
      <c r="A6" s="400" t="s">
        <v>52</v>
      </c>
      <c r="B6" s="2" t="s">
        <v>51</v>
      </c>
      <c r="C6" s="2"/>
      <c r="D6" s="2"/>
      <c r="E6" s="2"/>
      <c r="F6" s="2"/>
      <c r="G6" s="2"/>
      <c r="H6" s="2"/>
      <c r="I6" s="401"/>
    </row>
    <row r="7" spans="1:10" x14ac:dyDescent="0.25">
      <c r="A7" s="400" t="s">
        <v>162</v>
      </c>
      <c r="B7" s="2"/>
      <c r="C7" s="2"/>
      <c r="D7" s="2"/>
      <c r="E7" s="2"/>
      <c r="F7" s="2"/>
      <c r="G7" s="2"/>
      <c r="H7" s="2"/>
      <c r="I7" s="401"/>
    </row>
    <row r="8" spans="1:10" ht="16.5" x14ac:dyDescent="0.25">
      <c r="A8" s="402" t="s">
        <v>163</v>
      </c>
      <c r="B8" s="2">
        <v>16</v>
      </c>
      <c r="C8" s="2">
        <v>1</v>
      </c>
      <c r="D8" s="2">
        <f>B8*C8</f>
        <v>16</v>
      </c>
      <c r="E8" s="2">
        <v>2</v>
      </c>
      <c r="F8" s="2">
        <f>D8*E8</f>
        <v>32</v>
      </c>
      <c r="G8" s="2">
        <f>F8*0.05</f>
        <v>1.6</v>
      </c>
      <c r="H8" s="2">
        <f>F8*0.1</f>
        <v>3.2</v>
      </c>
      <c r="I8" s="403">
        <f>$F$2*F8+$G$2*G8+$H$2*H8</f>
        <v>4359.6799999999994</v>
      </c>
      <c r="J8" s="11"/>
    </row>
    <row r="9" spans="1:10" x14ac:dyDescent="0.25">
      <c r="A9" s="402" t="s">
        <v>57</v>
      </c>
      <c r="B9" s="2"/>
      <c r="C9" s="2"/>
      <c r="D9" s="2"/>
      <c r="E9" s="2"/>
      <c r="F9" s="2"/>
      <c r="G9" s="2"/>
      <c r="H9" s="2"/>
      <c r="I9" s="401"/>
    </row>
    <row r="10" spans="1:10" ht="16.5" x14ac:dyDescent="0.25">
      <c r="A10" s="404" t="s">
        <v>164</v>
      </c>
      <c r="B10" s="2">
        <v>120</v>
      </c>
      <c r="C10" s="2">
        <v>4.5</v>
      </c>
      <c r="D10" s="2">
        <f t="shared" ref="D10:D42" si="0">B10*C10</f>
        <v>540</v>
      </c>
      <c r="E10" s="2">
        <v>2</v>
      </c>
      <c r="F10" s="405">
        <f t="shared" ref="F10:F20" si="1">D10*E10</f>
        <v>1080</v>
      </c>
      <c r="G10" s="2">
        <f t="shared" ref="G10:G20" si="2">F10*0.05</f>
        <v>54</v>
      </c>
      <c r="H10" s="2">
        <f t="shared" ref="H10:H20" si="3">F10*0.1</f>
        <v>108</v>
      </c>
      <c r="I10" s="403">
        <f>$F$2*F10+$G$2*G10+$H$2*H10</f>
        <v>147139.19999999998</v>
      </c>
    </row>
    <row r="11" spans="1:10" ht="16.5" x14ac:dyDescent="0.25">
      <c r="A11" s="404" t="s">
        <v>165</v>
      </c>
      <c r="B11" s="2">
        <v>240</v>
      </c>
      <c r="C11" s="2">
        <v>1</v>
      </c>
      <c r="D11" s="2">
        <f t="shared" si="0"/>
        <v>240</v>
      </c>
      <c r="E11" s="2">
        <v>2</v>
      </c>
      <c r="F11" s="2">
        <f t="shared" si="1"/>
        <v>480</v>
      </c>
      <c r="G11" s="2">
        <f t="shared" si="2"/>
        <v>24</v>
      </c>
      <c r="H11" s="2">
        <f t="shared" si="3"/>
        <v>48</v>
      </c>
      <c r="I11" s="403">
        <f t="shared" ref="I11:I20" si="4">$F$2*F11+$G$2*G11+$H$2*H11</f>
        <v>65395.19999999999</v>
      </c>
    </row>
    <row r="12" spans="1:10" x14ac:dyDescent="0.25">
      <c r="A12" s="402" t="s">
        <v>66</v>
      </c>
      <c r="B12" s="2" t="s">
        <v>166</v>
      </c>
      <c r="C12" s="2"/>
      <c r="D12" s="2"/>
      <c r="E12" s="2"/>
      <c r="F12" s="2"/>
      <c r="G12" s="2"/>
      <c r="H12" s="2"/>
      <c r="I12" s="401"/>
    </row>
    <row r="13" spans="1:10" x14ac:dyDescent="0.25">
      <c r="A13" s="402" t="s">
        <v>67</v>
      </c>
      <c r="B13" s="2" t="s">
        <v>166</v>
      </c>
      <c r="C13" s="2"/>
      <c r="D13" s="2"/>
      <c r="E13" s="2"/>
      <c r="F13" s="2"/>
      <c r="G13" s="2"/>
      <c r="H13" s="2"/>
      <c r="I13" s="401"/>
    </row>
    <row r="14" spans="1:10" x14ac:dyDescent="0.25">
      <c r="A14" s="402" t="s">
        <v>167</v>
      </c>
      <c r="B14" s="2"/>
      <c r="C14" s="2"/>
      <c r="D14" s="2"/>
      <c r="E14" s="2"/>
      <c r="F14" s="2"/>
      <c r="G14" s="2"/>
      <c r="H14" s="2"/>
      <c r="I14" s="401"/>
    </row>
    <row r="15" spans="1:10" x14ac:dyDescent="0.25">
      <c r="A15" s="404" t="s">
        <v>168</v>
      </c>
      <c r="B15" s="2">
        <v>8</v>
      </c>
      <c r="C15" s="2">
        <v>1</v>
      </c>
      <c r="D15" s="2">
        <f t="shared" si="0"/>
        <v>8</v>
      </c>
      <c r="E15" s="2">
        <v>0</v>
      </c>
      <c r="F15" s="2">
        <f t="shared" si="1"/>
        <v>0</v>
      </c>
      <c r="G15" s="2">
        <f t="shared" si="2"/>
        <v>0</v>
      </c>
      <c r="H15" s="2">
        <f t="shared" si="3"/>
        <v>0</v>
      </c>
      <c r="I15" s="3">
        <f t="shared" si="4"/>
        <v>0</v>
      </c>
    </row>
    <row r="16" spans="1:10" x14ac:dyDescent="0.25">
      <c r="A16" s="404" t="s">
        <v>169</v>
      </c>
      <c r="B16" s="2">
        <v>2</v>
      </c>
      <c r="C16" s="2">
        <v>5.5</v>
      </c>
      <c r="D16" s="2">
        <f t="shared" si="0"/>
        <v>11</v>
      </c>
      <c r="E16" s="2">
        <v>2</v>
      </c>
      <c r="F16" s="2">
        <f t="shared" si="1"/>
        <v>22</v>
      </c>
      <c r="G16" s="2">
        <f t="shared" si="2"/>
        <v>1.1000000000000001</v>
      </c>
      <c r="H16" s="2">
        <f t="shared" si="3"/>
        <v>2.2000000000000002</v>
      </c>
      <c r="I16" s="403">
        <f t="shared" si="4"/>
        <v>2997.28</v>
      </c>
    </row>
    <row r="17" spans="1:18" ht="15" customHeight="1" x14ac:dyDescent="0.25">
      <c r="A17" s="404" t="s">
        <v>170</v>
      </c>
      <c r="B17" s="2">
        <v>40</v>
      </c>
      <c r="C17" s="2">
        <v>1</v>
      </c>
      <c r="D17" s="2">
        <f t="shared" si="0"/>
        <v>40</v>
      </c>
      <c r="E17" s="2">
        <v>0</v>
      </c>
      <c r="F17" s="2">
        <f t="shared" si="1"/>
        <v>0</v>
      </c>
      <c r="G17" s="2">
        <f t="shared" si="2"/>
        <v>0</v>
      </c>
      <c r="H17" s="2">
        <f t="shared" si="3"/>
        <v>0</v>
      </c>
      <c r="I17" s="3">
        <f t="shared" si="4"/>
        <v>0</v>
      </c>
      <c r="J17" s="406"/>
      <c r="K17" s="407"/>
      <c r="L17" s="407"/>
      <c r="M17" s="407"/>
      <c r="N17" s="407"/>
      <c r="O17" s="407"/>
      <c r="P17" s="407"/>
      <c r="Q17" s="407"/>
      <c r="R17" s="407"/>
    </row>
    <row r="18" spans="1:18" ht="16.5" x14ac:dyDescent="0.25">
      <c r="A18" s="404" t="s">
        <v>171</v>
      </c>
      <c r="B18" s="2">
        <v>80</v>
      </c>
      <c r="C18" s="2">
        <v>5.5</v>
      </c>
      <c r="D18" s="2">
        <f t="shared" si="0"/>
        <v>440</v>
      </c>
      <c r="E18" s="2">
        <v>2</v>
      </c>
      <c r="F18" s="405">
        <f t="shared" si="1"/>
        <v>880</v>
      </c>
      <c r="G18" s="2">
        <f t="shared" si="2"/>
        <v>44</v>
      </c>
      <c r="H18" s="2">
        <f t="shared" si="3"/>
        <v>88</v>
      </c>
      <c r="I18" s="403"/>
      <c r="J18" s="406"/>
      <c r="K18" s="407"/>
      <c r="L18" s="407"/>
      <c r="M18" s="407"/>
      <c r="N18" s="407"/>
      <c r="O18" s="407"/>
      <c r="P18" s="407"/>
      <c r="Q18" s="407"/>
      <c r="R18" s="407"/>
    </row>
    <row r="19" spans="1:18" ht="16.5" x14ac:dyDescent="0.25">
      <c r="A19" s="404" t="s">
        <v>172</v>
      </c>
      <c r="B19" s="2">
        <v>40</v>
      </c>
      <c r="C19" s="2">
        <v>2</v>
      </c>
      <c r="D19" s="2">
        <f t="shared" si="0"/>
        <v>80</v>
      </c>
      <c r="E19" s="2">
        <v>2</v>
      </c>
      <c r="F19" s="2">
        <f t="shared" si="1"/>
        <v>160</v>
      </c>
      <c r="G19" s="2">
        <f t="shared" si="2"/>
        <v>8</v>
      </c>
      <c r="H19" s="2">
        <f t="shared" si="3"/>
        <v>16</v>
      </c>
      <c r="I19" s="403">
        <f t="shared" si="4"/>
        <v>21798.400000000001</v>
      </c>
      <c r="J19" s="406"/>
      <c r="K19" s="407"/>
      <c r="L19" s="407"/>
      <c r="M19" s="407"/>
      <c r="N19" s="407"/>
      <c r="O19" s="407"/>
      <c r="P19" s="407"/>
      <c r="Q19" s="407"/>
      <c r="R19" s="407"/>
    </row>
    <row r="20" spans="1:18" ht="16.5" x14ac:dyDescent="0.25">
      <c r="A20" s="404" t="s">
        <v>173</v>
      </c>
      <c r="B20" s="2">
        <v>8</v>
      </c>
      <c r="C20" s="2">
        <v>1</v>
      </c>
      <c r="D20" s="2">
        <f t="shared" si="0"/>
        <v>8</v>
      </c>
      <c r="E20" s="2">
        <v>0</v>
      </c>
      <c r="F20" s="2">
        <f t="shared" si="1"/>
        <v>0</v>
      </c>
      <c r="G20" s="2">
        <f t="shared" si="2"/>
        <v>0</v>
      </c>
      <c r="H20" s="2">
        <f t="shared" si="3"/>
        <v>0</v>
      </c>
      <c r="I20" s="3">
        <f t="shared" si="4"/>
        <v>0</v>
      </c>
      <c r="J20" s="406"/>
      <c r="K20" s="407"/>
      <c r="L20" s="407"/>
      <c r="M20" s="407"/>
      <c r="N20" s="407"/>
      <c r="O20" s="407"/>
      <c r="P20" s="407"/>
      <c r="Q20" s="407"/>
      <c r="R20" s="407"/>
    </row>
    <row r="21" spans="1:18" x14ac:dyDescent="0.25">
      <c r="A21" s="408" t="s">
        <v>174</v>
      </c>
      <c r="B21" s="408"/>
      <c r="C21" s="408"/>
      <c r="D21" s="2"/>
      <c r="E21" s="408"/>
      <c r="F21" s="555">
        <f>SUM(F5:H19)</f>
        <v>3052.1</v>
      </c>
      <c r="G21" s="554"/>
      <c r="H21" s="554"/>
      <c r="I21" s="4">
        <f>SUM(I5:I20)</f>
        <v>241689.75999999995</v>
      </c>
      <c r="J21" s="406"/>
      <c r="K21" s="407"/>
      <c r="L21" s="407"/>
      <c r="M21" s="407"/>
      <c r="N21" s="407"/>
      <c r="O21" s="407"/>
      <c r="P21" s="407"/>
      <c r="Q21" s="407"/>
      <c r="R21" s="407"/>
    </row>
    <row r="22" spans="1:18" x14ac:dyDescent="0.25">
      <c r="A22" s="400" t="s">
        <v>175</v>
      </c>
      <c r="B22" s="2"/>
      <c r="C22" s="2"/>
      <c r="D22" s="2"/>
      <c r="E22" s="2"/>
      <c r="F22" s="2"/>
      <c r="G22" s="2"/>
      <c r="H22" s="2"/>
      <c r="I22" s="401"/>
      <c r="J22" s="406"/>
      <c r="K22" s="407"/>
      <c r="L22" s="407"/>
      <c r="M22" s="407"/>
      <c r="N22" s="407"/>
      <c r="O22" s="407"/>
      <c r="P22" s="407"/>
      <c r="Q22" s="407"/>
      <c r="R22" s="407"/>
    </row>
    <row r="23" spans="1:18" ht="16.5" x14ac:dyDescent="0.25">
      <c r="A23" s="402" t="s">
        <v>163</v>
      </c>
      <c r="B23" s="2">
        <v>40</v>
      </c>
      <c r="C23" s="2">
        <v>1</v>
      </c>
      <c r="D23" s="2">
        <f t="shared" si="0"/>
        <v>40</v>
      </c>
      <c r="E23" s="2">
        <v>2</v>
      </c>
      <c r="F23" s="2">
        <f t="shared" ref="F23:F42" si="5">D23*E23</f>
        <v>80</v>
      </c>
      <c r="G23" s="2">
        <f t="shared" ref="G23:G42" si="6">F23*0.05</f>
        <v>4</v>
      </c>
      <c r="H23" s="2">
        <f t="shared" ref="H23:H42" si="7">F23*0.1</f>
        <v>8</v>
      </c>
      <c r="I23" s="403">
        <f t="shared" ref="I23:I42" si="8">$F$2*F23+$G$2*G23+$H$2*H23</f>
        <v>10899.2</v>
      </c>
    </row>
    <row r="24" spans="1:18" x14ac:dyDescent="0.25">
      <c r="A24" s="402" t="s">
        <v>176</v>
      </c>
      <c r="B24" s="2">
        <v>100</v>
      </c>
      <c r="C24" s="2">
        <v>1</v>
      </c>
      <c r="D24" s="2">
        <f t="shared" si="0"/>
        <v>100</v>
      </c>
      <c r="E24" s="2">
        <v>0</v>
      </c>
      <c r="F24" s="2">
        <f t="shared" si="5"/>
        <v>0</v>
      </c>
      <c r="G24" s="2">
        <f t="shared" si="6"/>
        <v>0</v>
      </c>
      <c r="H24" s="2">
        <f t="shared" si="7"/>
        <v>0</v>
      </c>
      <c r="I24" s="3">
        <f t="shared" si="8"/>
        <v>0</v>
      </c>
    </row>
    <row r="25" spans="1:18" x14ac:dyDescent="0.25">
      <c r="A25" s="402" t="s">
        <v>177</v>
      </c>
      <c r="B25" s="2"/>
      <c r="C25" s="2"/>
      <c r="D25" s="2"/>
      <c r="E25" s="2"/>
      <c r="F25" s="2"/>
      <c r="G25" s="2"/>
      <c r="H25" s="2"/>
      <c r="I25" s="401"/>
    </row>
    <row r="26" spans="1:18" x14ac:dyDescent="0.25">
      <c r="A26" s="404" t="s">
        <v>178</v>
      </c>
      <c r="B26" s="2">
        <v>80</v>
      </c>
      <c r="C26" s="2">
        <v>1</v>
      </c>
      <c r="D26" s="2">
        <f t="shared" si="0"/>
        <v>80</v>
      </c>
      <c r="E26" s="2">
        <v>0</v>
      </c>
      <c r="F26" s="2">
        <f t="shared" si="5"/>
        <v>0</v>
      </c>
      <c r="G26" s="2">
        <f t="shared" si="6"/>
        <v>0</v>
      </c>
      <c r="H26" s="2">
        <f t="shared" si="7"/>
        <v>0</v>
      </c>
      <c r="I26" s="3">
        <f t="shared" si="8"/>
        <v>0</v>
      </c>
    </row>
    <row r="27" spans="1:18" x14ac:dyDescent="0.25">
      <c r="A27" s="404" t="s">
        <v>179</v>
      </c>
      <c r="B27" s="2"/>
      <c r="C27" s="2"/>
      <c r="D27" s="2"/>
      <c r="E27" s="2"/>
      <c r="F27" s="2"/>
      <c r="G27" s="2"/>
      <c r="H27" s="2"/>
      <c r="I27" s="401"/>
    </row>
    <row r="28" spans="1:18" ht="16.5" x14ac:dyDescent="0.25">
      <c r="A28" s="409" t="s">
        <v>180</v>
      </c>
      <c r="B28" s="2">
        <v>0.5</v>
      </c>
      <c r="C28" s="2">
        <v>365</v>
      </c>
      <c r="D28" s="2">
        <f t="shared" si="0"/>
        <v>182.5</v>
      </c>
      <c r="E28" s="2">
        <v>2</v>
      </c>
      <c r="F28" s="2">
        <f t="shared" si="5"/>
        <v>365</v>
      </c>
      <c r="G28" s="410">
        <f t="shared" si="6"/>
        <v>18.25</v>
      </c>
      <c r="H28" s="2">
        <f t="shared" si="7"/>
        <v>36.5</v>
      </c>
      <c r="I28" s="403">
        <f t="shared" si="8"/>
        <v>49727.600000000006</v>
      </c>
    </row>
    <row r="29" spans="1:18" x14ac:dyDescent="0.25">
      <c r="A29" s="404" t="s">
        <v>181</v>
      </c>
      <c r="B29" s="2"/>
      <c r="C29" s="2"/>
      <c r="D29" s="2"/>
      <c r="E29" s="2"/>
      <c r="F29" s="2"/>
      <c r="G29" s="2"/>
      <c r="H29" s="2"/>
      <c r="I29" s="401"/>
    </row>
    <row r="30" spans="1:18" ht="16.5" x14ac:dyDescent="0.25">
      <c r="A30" s="409" t="s">
        <v>182</v>
      </c>
      <c r="B30" s="2">
        <v>4</v>
      </c>
      <c r="C30" s="2">
        <v>12</v>
      </c>
      <c r="D30" s="2">
        <f t="shared" si="0"/>
        <v>48</v>
      </c>
      <c r="E30" s="2">
        <v>2</v>
      </c>
      <c r="F30" s="2">
        <f t="shared" si="5"/>
        <v>96</v>
      </c>
      <c r="G30" s="2">
        <f t="shared" si="6"/>
        <v>4.8000000000000007</v>
      </c>
      <c r="H30" s="2">
        <f t="shared" si="7"/>
        <v>9.6000000000000014</v>
      </c>
      <c r="I30" s="403">
        <f t="shared" si="8"/>
        <v>13079.04</v>
      </c>
    </row>
    <row r="31" spans="1:18" ht="16.5" x14ac:dyDescent="0.25">
      <c r="A31" s="409" t="s">
        <v>180</v>
      </c>
      <c r="B31" s="2">
        <v>0.5</v>
      </c>
      <c r="C31" s="2">
        <v>365</v>
      </c>
      <c r="D31" s="2">
        <f t="shared" si="0"/>
        <v>182.5</v>
      </c>
      <c r="E31" s="2">
        <v>2</v>
      </c>
      <c r="F31" s="2">
        <f t="shared" si="5"/>
        <v>365</v>
      </c>
      <c r="G31" s="410">
        <f t="shared" si="6"/>
        <v>18.25</v>
      </c>
      <c r="H31" s="2">
        <f t="shared" si="7"/>
        <v>36.5</v>
      </c>
      <c r="I31" s="403">
        <f t="shared" si="8"/>
        <v>49727.600000000006</v>
      </c>
    </row>
    <row r="32" spans="1:18" x14ac:dyDescent="0.25">
      <c r="A32" s="404" t="s">
        <v>183</v>
      </c>
      <c r="B32" s="2"/>
      <c r="C32" s="2"/>
      <c r="D32" s="2"/>
      <c r="E32" s="2"/>
      <c r="F32" s="2"/>
      <c r="G32" s="2"/>
      <c r="H32" s="2"/>
      <c r="I32" s="401"/>
    </row>
    <row r="33" spans="1:12" ht="16.5" x14ac:dyDescent="0.25">
      <c r="A33" s="409" t="s">
        <v>184</v>
      </c>
      <c r="B33" s="2">
        <v>4</v>
      </c>
      <c r="C33" s="2">
        <v>12</v>
      </c>
      <c r="D33" s="2">
        <f t="shared" si="0"/>
        <v>48</v>
      </c>
      <c r="E33" s="2">
        <v>1</v>
      </c>
      <c r="F33" s="2">
        <f t="shared" si="5"/>
        <v>48</v>
      </c>
      <c r="G33" s="2">
        <f t="shared" si="6"/>
        <v>2.4000000000000004</v>
      </c>
      <c r="H33" s="2">
        <f t="shared" si="7"/>
        <v>4.8000000000000007</v>
      </c>
      <c r="I33" s="403">
        <f t="shared" si="8"/>
        <v>6539.52</v>
      </c>
    </row>
    <row r="34" spans="1:12" ht="16.5" x14ac:dyDescent="0.25">
      <c r="A34" s="409" t="s">
        <v>185</v>
      </c>
      <c r="B34" s="2">
        <v>0.5</v>
      </c>
      <c r="C34" s="2">
        <v>365</v>
      </c>
      <c r="D34" s="2">
        <f t="shared" si="0"/>
        <v>182.5</v>
      </c>
      <c r="E34" s="2">
        <v>1</v>
      </c>
      <c r="F34" s="2">
        <f t="shared" si="5"/>
        <v>182.5</v>
      </c>
      <c r="G34" s="410">
        <f t="shared" si="6"/>
        <v>9.125</v>
      </c>
      <c r="H34" s="2">
        <f t="shared" si="7"/>
        <v>18.25</v>
      </c>
      <c r="I34" s="403">
        <f t="shared" si="8"/>
        <v>24863.800000000003</v>
      </c>
    </row>
    <row r="35" spans="1:12" x14ac:dyDescent="0.25">
      <c r="A35" s="404" t="s">
        <v>186</v>
      </c>
      <c r="B35" s="2"/>
      <c r="C35" s="2"/>
      <c r="D35" s="2"/>
      <c r="E35" s="2"/>
      <c r="F35" s="2"/>
      <c r="G35" s="2"/>
      <c r="H35" s="2"/>
      <c r="I35" s="401"/>
    </row>
    <row r="36" spans="1:12" ht="16.5" x14ac:dyDescent="0.25">
      <c r="A36" s="409" t="s">
        <v>187</v>
      </c>
      <c r="B36" s="2">
        <v>4</v>
      </c>
      <c r="C36" s="2">
        <v>12</v>
      </c>
      <c r="D36" s="2">
        <f t="shared" si="0"/>
        <v>48</v>
      </c>
      <c r="E36" s="2">
        <v>2</v>
      </c>
      <c r="F36" s="2">
        <f t="shared" si="5"/>
        <v>96</v>
      </c>
      <c r="G36" s="2">
        <f t="shared" si="6"/>
        <v>4.8000000000000007</v>
      </c>
      <c r="H36" s="2">
        <f t="shared" si="7"/>
        <v>9.6000000000000014</v>
      </c>
      <c r="I36" s="403">
        <f t="shared" si="8"/>
        <v>13079.04</v>
      </c>
    </row>
    <row r="37" spans="1:12" ht="16.5" x14ac:dyDescent="0.25">
      <c r="A37" s="409" t="s">
        <v>188</v>
      </c>
      <c r="B37" s="2">
        <v>0.5</v>
      </c>
      <c r="C37" s="2">
        <v>365</v>
      </c>
      <c r="D37" s="2">
        <f t="shared" si="0"/>
        <v>182.5</v>
      </c>
      <c r="E37" s="2">
        <v>2</v>
      </c>
      <c r="F37" s="2">
        <f t="shared" si="5"/>
        <v>365</v>
      </c>
      <c r="G37" s="410">
        <f t="shared" si="6"/>
        <v>18.25</v>
      </c>
      <c r="H37" s="2">
        <f t="shared" si="7"/>
        <v>36.5</v>
      </c>
      <c r="I37" s="403">
        <f t="shared" si="8"/>
        <v>49727.600000000006</v>
      </c>
    </row>
    <row r="38" spans="1:12" ht="16.5" x14ac:dyDescent="0.25">
      <c r="A38" s="409" t="s">
        <v>180</v>
      </c>
      <c r="B38" s="2">
        <v>0.5</v>
      </c>
      <c r="C38" s="2">
        <v>365</v>
      </c>
      <c r="D38" s="2">
        <f t="shared" si="0"/>
        <v>182.5</v>
      </c>
      <c r="E38" s="2">
        <v>2</v>
      </c>
      <c r="F38" s="2">
        <f t="shared" si="5"/>
        <v>365</v>
      </c>
      <c r="G38" s="410">
        <f t="shared" si="6"/>
        <v>18.25</v>
      </c>
      <c r="H38" s="2">
        <f t="shared" si="7"/>
        <v>36.5</v>
      </c>
      <c r="I38" s="403">
        <f t="shared" si="8"/>
        <v>49727.600000000006</v>
      </c>
    </row>
    <row r="39" spans="1:12" x14ac:dyDescent="0.25">
      <c r="A39" s="404" t="s">
        <v>189</v>
      </c>
      <c r="B39" s="2">
        <v>100</v>
      </c>
      <c r="C39" s="2">
        <v>1</v>
      </c>
      <c r="D39" s="2">
        <f t="shared" si="0"/>
        <v>100</v>
      </c>
      <c r="E39" s="2">
        <v>0</v>
      </c>
      <c r="F39" s="2">
        <f t="shared" si="5"/>
        <v>0</v>
      </c>
      <c r="G39" s="2">
        <f t="shared" si="6"/>
        <v>0</v>
      </c>
      <c r="H39" s="2">
        <f t="shared" si="7"/>
        <v>0</v>
      </c>
      <c r="I39" s="3">
        <f t="shared" si="8"/>
        <v>0</v>
      </c>
    </row>
    <row r="40" spans="1:12" x14ac:dyDescent="0.25">
      <c r="A40" s="402" t="s">
        <v>190</v>
      </c>
      <c r="B40" s="2">
        <v>100</v>
      </c>
      <c r="C40" s="2">
        <v>1</v>
      </c>
      <c r="D40" s="2">
        <f t="shared" si="0"/>
        <v>100</v>
      </c>
      <c r="E40" s="2">
        <v>0</v>
      </c>
      <c r="F40" s="2">
        <f t="shared" si="5"/>
        <v>0</v>
      </c>
      <c r="G40" s="2">
        <f t="shared" si="6"/>
        <v>0</v>
      </c>
      <c r="H40" s="2">
        <f t="shared" si="7"/>
        <v>0</v>
      </c>
      <c r="I40" s="3">
        <f t="shared" si="8"/>
        <v>0</v>
      </c>
    </row>
    <row r="41" spans="1:12" ht="16.5" x14ac:dyDescent="0.25">
      <c r="A41" s="402" t="s">
        <v>191</v>
      </c>
      <c r="B41" s="2">
        <v>1</v>
      </c>
      <c r="C41" s="2">
        <v>365</v>
      </c>
      <c r="D41" s="2">
        <f t="shared" si="0"/>
        <v>365</v>
      </c>
      <c r="E41" s="2">
        <v>2</v>
      </c>
      <c r="F41" s="405">
        <f t="shared" si="5"/>
        <v>730</v>
      </c>
      <c r="G41" s="2">
        <f t="shared" si="6"/>
        <v>36.5</v>
      </c>
      <c r="H41" s="2">
        <f t="shared" si="7"/>
        <v>73</v>
      </c>
      <c r="I41" s="403">
        <f t="shared" si="8"/>
        <v>99455.200000000012</v>
      </c>
    </row>
    <row r="42" spans="1:12" ht="16.5" x14ac:dyDescent="0.25">
      <c r="A42" s="402" t="s">
        <v>192</v>
      </c>
      <c r="B42" s="2">
        <v>100</v>
      </c>
      <c r="C42" s="2">
        <v>1</v>
      </c>
      <c r="D42" s="2">
        <f t="shared" si="0"/>
        <v>100</v>
      </c>
      <c r="E42" s="2">
        <v>2</v>
      </c>
      <c r="F42" s="2">
        <f t="shared" si="5"/>
        <v>200</v>
      </c>
      <c r="G42" s="2">
        <f t="shared" si="6"/>
        <v>10</v>
      </c>
      <c r="H42" s="2">
        <f t="shared" si="7"/>
        <v>20</v>
      </c>
      <c r="I42" s="403">
        <f t="shared" si="8"/>
        <v>27248</v>
      </c>
    </row>
    <row r="43" spans="1:12" x14ac:dyDescent="0.25">
      <c r="A43" s="408" t="s">
        <v>193</v>
      </c>
      <c r="B43" s="408"/>
      <c r="C43" s="408"/>
      <c r="D43" s="408"/>
      <c r="E43" s="408"/>
      <c r="F43" s="555">
        <f>SUM(F22:H42)</f>
        <v>3326.375</v>
      </c>
      <c r="G43" s="554"/>
      <c r="H43" s="554"/>
      <c r="I43" s="4">
        <f>SUM(I22:I42)</f>
        <v>394074.2</v>
      </c>
      <c r="K43" s="328" t="s">
        <v>194</v>
      </c>
      <c r="L43" s="328" t="s">
        <v>195</v>
      </c>
    </row>
    <row r="44" spans="1:12" ht="16.5" x14ac:dyDescent="0.25">
      <c r="A44" s="408" t="s">
        <v>196</v>
      </c>
      <c r="B44" s="408"/>
      <c r="C44" s="408"/>
      <c r="D44" s="408"/>
      <c r="E44" s="408"/>
      <c r="F44" s="555">
        <f>ROUND(F21+F43,-1)</f>
        <v>6380</v>
      </c>
      <c r="G44" s="554"/>
      <c r="H44" s="554"/>
      <c r="I44" s="4">
        <f>ROUND(I21+I43,-3)</f>
        <v>636000</v>
      </c>
      <c r="K44" s="398">
        <v>26</v>
      </c>
      <c r="L44" s="398">
        <f>+F44/K44</f>
        <v>245.38461538461539</v>
      </c>
    </row>
    <row r="45" spans="1:12" ht="16.5" x14ac:dyDescent="0.25">
      <c r="A45" s="408" t="s">
        <v>197</v>
      </c>
      <c r="B45" s="411"/>
      <c r="C45" s="411"/>
      <c r="D45" s="411"/>
      <c r="E45" s="411"/>
      <c r="F45" s="411"/>
      <c r="G45" s="411"/>
      <c r="H45" s="411"/>
      <c r="I45" s="4">
        <v>5480</v>
      </c>
      <c r="J45" s="11"/>
    </row>
    <row r="46" spans="1:12" ht="16.5" x14ac:dyDescent="0.25">
      <c r="A46" s="408" t="s">
        <v>198</v>
      </c>
      <c r="B46" s="411"/>
      <c r="C46" s="411"/>
      <c r="D46" s="411"/>
      <c r="E46" s="411"/>
      <c r="F46" s="411"/>
      <c r="G46" s="411"/>
      <c r="H46" s="411"/>
      <c r="I46" s="4">
        <f>ROUND(I44+I45,-3)</f>
        <v>641000</v>
      </c>
    </row>
    <row r="48" spans="1:12" x14ac:dyDescent="0.25">
      <c r="A48" s="412" t="s">
        <v>112</v>
      </c>
    </row>
    <row r="49" spans="1:10" ht="16.5" x14ac:dyDescent="0.25">
      <c r="A49" s="413" t="s">
        <v>199</v>
      </c>
      <c r="J49" s="11"/>
    </row>
    <row r="50" spans="1:10" ht="16.5" x14ac:dyDescent="0.25">
      <c r="A50" s="413" t="s">
        <v>200</v>
      </c>
    </row>
    <row r="51" spans="1:10" ht="16.5" x14ac:dyDescent="0.25">
      <c r="A51" s="413" t="s">
        <v>201</v>
      </c>
    </row>
    <row r="52" spans="1:10" ht="16.5" x14ac:dyDescent="0.25">
      <c r="A52" s="413" t="s">
        <v>202</v>
      </c>
    </row>
    <row r="53" spans="1:10" ht="16.5" x14ac:dyDescent="0.25">
      <c r="A53" s="413" t="s">
        <v>203</v>
      </c>
    </row>
    <row r="54" spans="1:10" ht="16.5" x14ac:dyDescent="0.25">
      <c r="A54" s="413" t="s">
        <v>204</v>
      </c>
    </row>
    <row r="55" spans="1:10" ht="16.5" x14ac:dyDescent="0.25">
      <c r="A55" s="413" t="s">
        <v>205</v>
      </c>
    </row>
    <row r="56" spans="1:10" ht="16.5" x14ac:dyDescent="0.25">
      <c r="A56" s="413" t="s">
        <v>206</v>
      </c>
    </row>
    <row r="57" spans="1:10" ht="16.5" x14ac:dyDescent="0.25">
      <c r="A57" s="413" t="s">
        <v>207</v>
      </c>
    </row>
    <row r="58" spans="1:10" ht="16.5" x14ac:dyDescent="0.25">
      <c r="A58" s="413" t="s">
        <v>208</v>
      </c>
    </row>
    <row r="59" spans="1:10" ht="16.5" x14ac:dyDescent="0.25">
      <c r="A59" s="414" t="s">
        <v>209</v>
      </c>
    </row>
    <row r="60" spans="1:10" ht="16.5" x14ac:dyDescent="0.25">
      <c r="A60" s="413" t="s">
        <v>210</v>
      </c>
    </row>
    <row r="61" spans="1:10" ht="16.5" x14ac:dyDescent="0.25">
      <c r="A61" s="413" t="s">
        <v>211</v>
      </c>
    </row>
    <row r="62" spans="1:10" ht="16.5" x14ac:dyDescent="0.25">
      <c r="A62" s="415" t="s">
        <v>212</v>
      </c>
    </row>
  </sheetData>
  <mergeCells count="4">
    <mergeCell ref="A3:A4"/>
    <mergeCell ref="F21:H21"/>
    <mergeCell ref="F43:H43"/>
    <mergeCell ref="F44:H44"/>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403FF-D171-4692-AF3A-9A016FD746D5}">
  <dimension ref="A1:J22"/>
  <sheetViews>
    <sheetView workbookViewId="0">
      <selection activeCell="G21" sqref="G21"/>
    </sheetView>
  </sheetViews>
  <sheetFormatPr defaultColWidth="9.140625" defaultRowHeight="15" x14ac:dyDescent="0.25"/>
  <cols>
    <col min="1" max="1" width="36.5703125" style="328" bestFit="1" customWidth="1"/>
    <col min="2" max="2" width="9.5703125" style="328" customWidth="1"/>
    <col min="3" max="3" width="11" style="328" customWidth="1"/>
    <col min="4" max="4" width="11.7109375" style="328" customWidth="1"/>
    <col min="5" max="6" width="10" style="328" customWidth="1"/>
    <col min="7" max="7" width="11" style="328" customWidth="1"/>
    <col min="8" max="8" width="9.42578125" style="328" customWidth="1"/>
    <col min="9" max="9" width="9.28515625" style="328" bestFit="1" customWidth="1"/>
    <col min="10" max="16384" width="9.140625" style="328"/>
  </cols>
  <sheetData>
    <row r="1" spans="1:10" ht="15.75" x14ac:dyDescent="0.25">
      <c r="A1" s="379" t="s">
        <v>213</v>
      </c>
    </row>
    <row r="2" spans="1:10" x14ac:dyDescent="0.25">
      <c r="F2" s="328">
        <v>51.23</v>
      </c>
      <c r="G2" s="328">
        <v>69.040000000000006</v>
      </c>
      <c r="H2" s="328">
        <v>27.73</v>
      </c>
    </row>
    <row r="3" spans="1:10" x14ac:dyDescent="0.25">
      <c r="A3" s="556" t="s">
        <v>131</v>
      </c>
      <c r="B3" s="380" t="s">
        <v>1</v>
      </c>
      <c r="C3" s="380" t="s">
        <v>2</v>
      </c>
      <c r="D3" s="380" t="s">
        <v>3</v>
      </c>
      <c r="E3" s="380" t="s">
        <v>4</v>
      </c>
      <c r="F3" s="380" t="s">
        <v>5</v>
      </c>
      <c r="G3" s="380" t="s">
        <v>6</v>
      </c>
      <c r="H3" s="380" t="s">
        <v>7</v>
      </c>
      <c r="I3" s="381" t="s">
        <v>37</v>
      </c>
    </row>
    <row r="4" spans="1:10" ht="63.75" x14ac:dyDescent="0.25">
      <c r="A4" s="557"/>
      <c r="B4" s="382" t="s">
        <v>132</v>
      </c>
      <c r="C4" s="382" t="s">
        <v>133</v>
      </c>
      <c r="D4" s="382" t="s">
        <v>134</v>
      </c>
      <c r="E4" s="382" t="s">
        <v>135</v>
      </c>
      <c r="F4" s="382" t="s">
        <v>136</v>
      </c>
      <c r="G4" s="383" t="s">
        <v>137</v>
      </c>
      <c r="H4" s="383" t="s">
        <v>138</v>
      </c>
      <c r="I4" s="382" t="s">
        <v>139</v>
      </c>
    </row>
    <row r="5" spans="1:10" x14ac:dyDescent="0.25">
      <c r="A5" s="384" t="s">
        <v>131</v>
      </c>
      <c r="B5" s="385" t="s">
        <v>51</v>
      </c>
      <c r="C5" s="385"/>
      <c r="D5" s="385"/>
      <c r="E5" s="385"/>
      <c r="F5" s="385"/>
      <c r="G5" s="385"/>
      <c r="H5" s="385"/>
      <c r="I5" s="386"/>
    </row>
    <row r="6" spans="1:10" x14ac:dyDescent="0.25">
      <c r="A6" s="384" t="s">
        <v>140</v>
      </c>
      <c r="B6" s="385"/>
      <c r="C6" s="385"/>
      <c r="D6" s="385"/>
      <c r="E6" s="385"/>
      <c r="F6" s="385"/>
      <c r="G6" s="385"/>
      <c r="H6" s="385"/>
      <c r="I6" s="386"/>
    </row>
    <row r="7" spans="1:10" x14ac:dyDescent="0.25">
      <c r="A7" s="387" t="s">
        <v>141</v>
      </c>
      <c r="B7" s="385">
        <v>2</v>
      </c>
      <c r="C7" s="385">
        <v>1</v>
      </c>
      <c r="D7" s="385">
        <f>B7*C7</f>
        <v>2</v>
      </c>
      <c r="E7" s="385">
        <v>0</v>
      </c>
      <c r="F7" s="385">
        <f>D7*E7</f>
        <v>0</v>
      </c>
      <c r="G7" s="385">
        <f>F7*0.05</f>
        <v>0</v>
      </c>
      <c r="H7" s="385">
        <f>F7*0.1</f>
        <v>0</v>
      </c>
      <c r="I7" s="388">
        <f>$F$2*F7+$G$2*G7+$H$2*H7</f>
        <v>0</v>
      </c>
    </row>
    <row r="8" spans="1:10" ht="16.5" x14ac:dyDescent="0.25">
      <c r="A8" s="387" t="s">
        <v>142</v>
      </c>
      <c r="B8" s="385">
        <v>2</v>
      </c>
      <c r="C8" s="385">
        <v>5.5</v>
      </c>
      <c r="D8" s="385">
        <f t="shared" ref="D8:D11" si="0">B8*C8</f>
        <v>11</v>
      </c>
      <c r="E8" s="385">
        <v>2</v>
      </c>
      <c r="F8" s="385">
        <f t="shared" ref="F8:F12" si="1">D8*E8</f>
        <v>22</v>
      </c>
      <c r="G8" s="385">
        <f t="shared" ref="G8:G12" si="2">F8*0.05</f>
        <v>1.1000000000000001</v>
      </c>
      <c r="H8" s="385">
        <f t="shared" ref="H8:H12" si="3">F8*0.1</f>
        <v>2.2000000000000002</v>
      </c>
      <c r="I8" s="389">
        <f t="shared" ref="I8:I12" si="4">$F$2*F8+$G$2*G8+$H$2*H8</f>
        <v>1264.01</v>
      </c>
      <c r="J8" s="11"/>
    </row>
    <row r="9" spans="1:10" x14ac:dyDescent="0.25">
      <c r="A9" s="387" t="s">
        <v>214</v>
      </c>
      <c r="B9" s="385">
        <v>8</v>
      </c>
      <c r="C9" s="385">
        <v>1</v>
      </c>
      <c r="D9" s="385">
        <f t="shared" si="0"/>
        <v>8</v>
      </c>
      <c r="E9" s="385">
        <v>0</v>
      </c>
      <c r="F9" s="385">
        <f t="shared" si="1"/>
        <v>0</v>
      </c>
      <c r="G9" s="385">
        <f t="shared" si="2"/>
        <v>0</v>
      </c>
      <c r="H9" s="385">
        <f t="shared" si="3"/>
        <v>0</v>
      </c>
      <c r="I9" s="388">
        <f t="shared" si="4"/>
        <v>0</v>
      </c>
    </row>
    <row r="10" spans="1:10" ht="14.25" customHeight="1" x14ac:dyDescent="0.25">
      <c r="A10" s="387" t="s">
        <v>215</v>
      </c>
      <c r="B10" s="390">
        <v>16</v>
      </c>
      <c r="C10" s="390">
        <v>5.5</v>
      </c>
      <c r="D10" s="385">
        <f t="shared" si="0"/>
        <v>88</v>
      </c>
      <c r="E10" s="390">
        <v>2</v>
      </c>
      <c r="F10" s="385">
        <f t="shared" si="1"/>
        <v>176</v>
      </c>
      <c r="G10" s="385">
        <f t="shared" si="2"/>
        <v>8.8000000000000007</v>
      </c>
      <c r="H10" s="385">
        <f t="shared" si="3"/>
        <v>17.600000000000001</v>
      </c>
      <c r="I10" s="389">
        <f t="shared" si="4"/>
        <v>10112.08</v>
      </c>
    </row>
    <row r="11" spans="1:10" ht="16.5" x14ac:dyDescent="0.25">
      <c r="A11" s="387" t="s">
        <v>144</v>
      </c>
      <c r="B11" s="390">
        <v>8</v>
      </c>
      <c r="C11" s="390">
        <v>2</v>
      </c>
      <c r="D11" s="385">
        <f t="shared" si="0"/>
        <v>16</v>
      </c>
      <c r="E11" s="390">
        <v>2</v>
      </c>
      <c r="F11" s="385">
        <f t="shared" si="1"/>
        <v>32</v>
      </c>
      <c r="G11" s="385">
        <f t="shared" si="2"/>
        <v>1.6</v>
      </c>
      <c r="H11" s="385">
        <f t="shared" si="3"/>
        <v>3.2</v>
      </c>
      <c r="I11" s="389">
        <f t="shared" si="4"/>
        <v>1838.56</v>
      </c>
      <c r="J11" s="11"/>
    </row>
    <row r="12" spans="1:10" ht="16.5" x14ac:dyDescent="0.25">
      <c r="A12" s="387" t="s">
        <v>216</v>
      </c>
      <c r="B12" s="390">
        <v>8</v>
      </c>
      <c r="C12" s="390">
        <v>1</v>
      </c>
      <c r="D12" s="385">
        <f>B12*C12</f>
        <v>8</v>
      </c>
      <c r="E12" s="390">
        <v>0</v>
      </c>
      <c r="F12" s="385">
        <f t="shared" si="1"/>
        <v>0</v>
      </c>
      <c r="G12" s="385">
        <f t="shared" si="2"/>
        <v>0</v>
      </c>
      <c r="H12" s="385">
        <f t="shared" si="3"/>
        <v>0</v>
      </c>
      <c r="I12" s="388">
        <f t="shared" si="4"/>
        <v>0</v>
      </c>
    </row>
    <row r="13" spans="1:10" ht="29.25" x14ac:dyDescent="0.25">
      <c r="A13" s="391" t="s">
        <v>146</v>
      </c>
      <c r="B13" s="380"/>
      <c r="C13" s="380"/>
      <c r="D13" s="380"/>
      <c r="E13" s="380"/>
      <c r="F13" s="549">
        <f>ROUND(SUM(F5:H12),0)</f>
        <v>265</v>
      </c>
      <c r="G13" s="550"/>
      <c r="H13" s="551"/>
      <c r="I13" s="392">
        <f>ROUND(SUM(I5:I12),-2)</f>
        <v>13200</v>
      </c>
    </row>
    <row r="15" spans="1:10" x14ac:dyDescent="0.25">
      <c r="A15" s="412" t="s">
        <v>112</v>
      </c>
    </row>
    <row r="16" spans="1:10" ht="18.75" x14ac:dyDescent="0.25">
      <c r="A16" s="478" t="s">
        <v>217</v>
      </c>
    </row>
    <row r="17" spans="1:1" ht="16.5" x14ac:dyDescent="0.25">
      <c r="A17" s="415" t="s">
        <v>218</v>
      </c>
    </row>
    <row r="18" spans="1:1" ht="16.5" x14ac:dyDescent="0.25">
      <c r="A18" s="415" t="s">
        <v>219</v>
      </c>
    </row>
    <row r="19" spans="1:1" ht="16.5" x14ac:dyDescent="0.25">
      <c r="A19" s="415" t="s">
        <v>220</v>
      </c>
    </row>
    <row r="20" spans="1:1" ht="16.5" x14ac:dyDescent="0.25">
      <c r="A20" s="415" t="s">
        <v>151</v>
      </c>
    </row>
    <row r="21" spans="1:1" ht="16.5" x14ac:dyDescent="0.25">
      <c r="A21" s="413" t="s">
        <v>221</v>
      </c>
    </row>
    <row r="22" spans="1:1" ht="16.5" x14ac:dyDescent="0.25">
      <c r="A22" s="415" t="s">
        <v>222</v>
      </c>
    </row>
  </sheetData>
  <mergeCells count="2">
    <mergeCell ref="A3:A4"/>
    <mergeCell ref="F13:H13"/>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sheetPr>
  <dimension ref="A1:V74"/>
  <sheetViews>
    <sheetView zoomScale="90" zoomScaleNormal="90" workbookViewId="0">
      <pane xSplit="1" ySplit="4" topLeftCell="B38" activePane="bottomRight" state="frozen"/>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7" customWidth="1"/>
    <col min="13" max="13" width="10.7109375" style="282" customWidth="1"/>
    <col min="14" max="14" width="35.7109375" style="10" customWidth="1"/>
    <col min="15" max="21" width="10.7109375" style="10" customWidth="1"/>
    <col min="22" max="22" width="10.7109375" style="282" customWidth="1"/>
    <col min="23" max="16384" width="9.140625" style="10"/>
  </cols>
  <sheetData>
    <row r="1" spans="1:22" x14ac:dyDescent="0.25">
      <c r="A1" s="567" t="s">
        <v>223</v>
      </c>
      <c r="B1" s="568"/>
      <c r="C1" s="568"/>
      <c r="D1" s="568"/>
      <c r="E1" s="568"/>
      <c r="F1" s="568"/>
      <c r="G1" s="568"/>
      <c r="H1" s="568"/>
      <c r="I1" s="568"/>
      <c r="J1" s="264"/>
      <c r="K1" s="264"/>
      <c r="L1" s="265"/>
      <c r="M1" s="299"/>
      <c r="N1" s="247" t="s">
        <v>224</v>
      </c>
      <c r="O1" s="248"/>
      <c r="P1" s="248"/>
      <c r="Q1" s="248"/>
      <c r="R1" s="248"/>
      <c r="S1" s="248"/>
      <c r="T1" s="248"/>
      <c r="U1" s="248"/>
      <c r="V1" s="283"/>
    </row>
    <row r="2" spans="1:22" x14ac:dyDescent="0.25">
      <c r="A2" s="316" t="s">
        <v>225</v>
      </c>
      <c r="B2" s="266"/>
      <c r="C2" s="266"/>
      <c r="D2" s="266"/>
      <c r="E2" s="266"/>
      <c r="F2" s="39">
        <v>119.46900000000001</v>
      </c>
      <c r="G2" s="39">
        <v>139.62899999999999</v>
      </c>
      <c r="H2" s="39">
        <v>58.149000000000001</v>
      </c>
      <c r="I2" s="40" t="s">
        <v>35</v>
      </c>
      <c r="J2" s="267" t="s">
        <v>226</v>
      </c>
      <c r="K2" s="268"/>
      <c r="L2" s="269"/>
      <c r="M2" s="300"/>
      <c r="N2" s="249"/>
      <c r="O2" s="250"/>
      <c r="P2" s="250"/>
      <c r="Q2" s="250"/>
      <c r="R2" s="250"/>
      <c r="S2" s="250"/>
      <c r="T2" s="250"/>
      <c r="U2" s="250"/>
      <c r="V2" s="284"/>
    </row>
    <row r="3" spans="1:22" ht="15.75" thickBot="1" x14ac:dyDescent="0.3">
      <c r="A3" s="569" t="s">
        <v>36</v>
      </c>
      <c r="B3" s="42" t="s">
        <v>1</v>
      </c>
      <c r="C3" s="42" t="s">
        <v>2</v>
      </c>
      <c r="D3" s="42" t="s">
        <v>3</v>
      </c>
      <c r="E3" s="42" t="s">
        <v>4</v>
      </c>
      <c r="F3" s="42" t="s">
        <v>5</v>
      </c>
      <c r="G3" s="42" t="s">
        <v>6</v>
      </c>
      <c r="H3" s="42" t="s">
        <v>7</v>
      </c>
      <c r="I3" s="42" t="s">
        <v>37</v>
      </c>
      <c r="J3" s="270">
        <f>69/(98+43+4+69)*100</f>
        <v>32.242990654205606</v>
      </c>
      <c r="K3" s="268"/>
      <c r="L3" s="269"/>
      <c r="M3" s="300"/>
      <c r="N3" s="560" t="s">
        <v>36</v>
      </c>
      <c r="O3" s="43" t="s">
        <v>1</v>
      </c>
      <c r="P3" s="43" t="s">
        <v>2</v>
      </c>
      <c r="Q3" s="43" t="s">
        <v>3</v>
      </c>
      <c r="R3" s="43" t="s">
        <v>4</v>
      </c>
      <c r="S3" s="43" t="s">
        <v>5</v>
      </c>
      <c r="T3" s="43" t="s">
        <v>6</v>
      </c>
      <c r="U3" s="43" t="s">
        <v>7</v>
      </c>
      <c r="V3" s="251" t="s">
        <v>37</v>
      </c>
    </row>
    <row r="4" spans="1:22" ht="85.5" x14ac:dyDescent="0.25">
      <c r="A4" s="570"/>
      <c r="B4" s="42" t="s">
        <v>40</v>
      </c>
      <c r="C4" s="42" t="s">
        <v>41</v>
      </c>
      <c r="D4" s="42" t="s">
        <v>42</v>
      </c>
      <c r="E4" s="42" t="s">
        <v>227</v>
      </c>
      <c r="F4" s="42" t="s">
        <v>44</v>
      </c>
      <c r="G4" s="42" t="s">
        <v>45</v>
      </c>
      <c r="H4" s="42" t="s">
        <v>46</v>
      </c>
      <c r="I4" s="45" t="s">
        <v>228</v>
      </c>
      <c r="J4" s="46" t="s">
        <v>229</v>
      </c>
      <c r="K4" s="47" t="s">
        <v>230</v>
      </c>
      <c r="L4" s="48" t="s">
        <v>231</v>
      </c>
      <c r="M4" s="301" t="s">
        <v>232</v>
      </c>
      <c r="N4" s="561"/>
      <c r="O4" s="43" t="s">
        <v>40</v>
      </c>
      <c r="P4" s="43" t="s">
        <v>41</v>
      </c>
      <c r="Q4" s="43" t="s">
        <v>42</v>
      </c>
      <c r="R4" s="43" t="s">
        <v>233</v>
      </c>
      <c r="S4" s="43" t="s">
        <v>44</v>
      </c>
      <c r="T4" s="43" t="s">
        <v>45</v>
      </c>
      <c r="U4" s="43" t="s">
        <v>46</v>
      </c>
      <c r="V4" s="251" t="s">
        <v>234</v>
      </c>
    </row>
    <row r="5" spans="1:22" x14ac:dyDescent="0.25">
      <c r="A5" s="242" t="s">
        <v>235</v>
      </c>
      <c r="B5" s="49" t="s">
        <v>51</v>
      </c>
      <c r="C5" s="50"/>
      <c r="D5" s="51"/>
      <c r="E5" s="51"/>
      <c r="F5" s="51"/>
      <c r="G5" s="51"/>
      <c r="H5" s="51"/>
      <c r="I5" s="52"/>
      <c r="J5" s="53"/>
      <c r="K5" s="54"/>
      <c r="L5" s="55"/>
      <c r="M5" s="302">
        <f t="shared" ref="M5:M58" si="0">I5-V5</f>
        <v>0</v>
      </c>
      <c r="N5" s="242" t="s">
        <v>50</v>
      </c>
      <c r="O5" s="56" t="s">
        <v>51</v>
      </c>
      <c r="P5" s="57"/>
      <c r="Q5" s="58"/>
      <c r="R5" s="58"/>
      <c r="S5" s="58"/>
      <c r="T5" s="58"/>
      <c r="U5" s="58"/>
      <c r="V5" s="285"/>
    </row>
    <row r="6" spans="1:22" x14ac:dyDescent="0.25">
      <c r="A6" s="242" t="s">
        <v>236</v>
      </c>
      <c r="B6" s="49" t="s">
        <v>51</v>
      </c>
      <c r="C6" s="50"/>
      <c r="D6" s="51"/>
      <c r="E6" s="51"/>
      <c r="F6" s="51"/>
      <c r="G6" s="51"/>
      <c r="H6" s="51"/>
      <c r="I6" s="52"/>
      <c r="J6" s="53"/>
      <c r="K6" s="54"/>
      <c r="L6" s="55"/>
      <c r="M6" s="302">
        <f t="shared" si="0"/>
        <v>0</v>
      </c>
      <c r="N6" s="242" t="s">
        <v>52</v>
      </c>
      <c r="O6" s="56" t="s">
        <v>51</v>
      </c>
      <c r="P6" s="57"/>
      <c r="Q6" s="58"/>
      <c r="R6" s="58"/>
      <c r="S6" s="58"/>
      <c r="T6" s="58"/>
      <c r="U6" s="58"/>
      <c r="V6" s="285"/>
    </row>
    <row r="7" spans="1:22" ht="45" x14ac:dyDescent="0.25">
      <c r="A7" s="243"/>
      <c r="B7" s="59"/>
      <c r="C7" s="60"/>
      <c r="D7" s="61"/>
      <c r="E7" s="61"/>
      <c r="F7" s="61"/>
      <c r="G7" s="61"/>
      <c r="H7" s="61"/>
      <c r="I7" s="62"/>
      <c r="J7" s="63"/>
      <c r="K7" s="64"/>
      <c r="L7" s="65"/>
      <c r="M7" s="302">
        <f t="shared" si="0"/>
        <v>-16350</v>
      </c>
      <c r="N7" s="242" t="s">
        <v>237</v>
      </c>
      <c r="O7" s="56">
        <v>40</v>
      </c>
      <c r="P7" s="58">
        <v>1</v>
      </c>
      <c r="Q7" s="58">
        <v>40</v>
      </c>
      <c r="R7" s="58" t="s">
        <v>238</v>
      </c>
      <c r="S7" s="58">
        <v>240</v>
      </c>
      <c r="T7" s="58">
        <v>12</v>
      </c>
      <c r="U7" s="58">
        <v>24</v>
      </c>
      <c r="V7" s="286">
        <v>16350</v>
      </c>
    </row>
    <row r="8" spans="1:22" x14ac:dyDescent="0.25">
      <c r="A8" s="242" t="s">
        <v>239</v>
      </c>
      <c r="B8" s="49"/>
      <c r="C8" s="51"/>
      <c r="D8" s="51"/>
      <c r="E8" s="51"/>
      <c r="F8" s="51"/>
      <c r="G8" s="51"/>
      <c r="H8" s="51"/>
      <c r="I8" s="52"/>
      <c r="J8" s="53"/>
      <c r="K8" s="54"/>
      <c r="L8" s="55"/>
      <c r="M8" s="302">
        <f t="shared" si="0"/>
        <v>0</v>
      </c>
      <c r="N8" s="242" t="s">
        <v>240</v>
      </c>
      <c r="O8" s="56"/>
      <c r="P8" s="58"/>
      <c r="Q8" s="58"/>
      <c r="R8" s="58"/>
      <c r="S8" s="58"/>
      <c r="T8" s="58"/>
      <c r="U8" s="58"/>
      <c r="V8" s="285"/>
    </row>
    <row r="9" spans="1:22" ht="30" x14ac:dyDescent="0.25">
      <c r="A9" s="255" t="s">
        <v>241</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2">
        <f t="shared" si="0"/>
        <v>3519.7565500000001</v>
      </c>
      <c r="N9" s="242" t="s">
        <v>242</v>
      </c>
      <c r="O9" s="56">
        <v>2</v>
      </c>
      <c r="P9" s="58">
        <v>1</v>
      </c>
      <c r="Q9" s="58">
        <v>2</v>
      </c>
      <c r="R9" s="58" t="s">
        <v>238</v>
      </c>
      <c r="S9" s="58">
        <v>12</v>
      </c>
      <c r="T9" s="58">
        <v>1</v>
      </c>
      <c r="U9" s="58">
        <v>1</v>
      </c>
      <c r="V9" s="286">
        <v>845</v>
      </c>
    </row>
    <row r="10" spans="1:22" ht="18" x14ac:dyDescent="0.25">
      <c r="A10" s="255" t="s">
        <v>243</v>
      </c>
      <c r="B10" s="49"/>
      <c r="C10" s="51"/>
      <c r="D10" s="51"/>
      <c r="E10" s="51"/>
      <c r="F10" s="51"/>
      <c r="G10" s="51"/>
      <c r="H10" s="51"/>
      <c r="I10" s="52"/>
      <c r="J10" s="53"/>
      <c r="K10" s="54"/>
      <c r="L10" s="55"/>
      <c r="M10" s="302">
        <f t="shared" si="0"/>
        <v>0</v>
      </c>
      <c r="N10" s="242" t="s">
        <v>244</v>
      </c>
      <c r="O10" s="56"/>
      <c r="P10" s="58"/>
      <c r="Q10" s="58"/>
      <c r="R10" s="58"/>
      <c r="S10" s="58"/>
      <c r="T10" s="58"/>
      <c r="U10" s="58"/>
      <c r="V10" s="286"/>
    </row>
    <row r="11" spans="1:22" ht="18" x14ac:dyDescent="0.25">
      <c r="A11" s="271" t="s">
        <v>245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2">
        <f t="shared" si="0"/>
        <v>48420.370199999976</v>
      </c>
      <c r="N11" s="242" t="s">
        <v>246</v>
      </c>
      <c r="O11" s="56">
        <v>40</v>
      </c>
      <c r="P11" s="58" t="s">
        <v>247</v>
      </c>
      <c r="Q11" s="76">
        <v>304</v>
      </c>
      <c r="R11" s="58" t="s">
        <v>238</v>
      </c>
      <c r="S11" s="77">
        <v>1824</v>
      </c>
      <c r="T11" s="77">
        <v>91</v>
      </c>
      <c r="U11" s="78">
        <v>182</v>
      </c>
      <c r="V11" s="287">
        <v>124230</v>
      </c>
    </row>
    <row r="12" spans="1:22" ht="18" x14ac:dyDescent="0.25">
      <c r="A12" s="271" t="s">
        <v>248</v>
      </c>
      <c r="B12" s="49">
        <v>8</v>
      </c>
      <c r="C12" s="51">
        <v>3.9</v>
      </c>
      <c r="D12" s="79">
        <f>B12*C12</f>
        <v>31.2</v>
      </c>
      <c r="E12" s="69">
        <f>11/3</f>
        <v>3.6666666666666665</v>
      </c>
      <c r="F12" s="74">
        <f t="shared" ref="F12:F17" si="3">D12*E12</f>
        <v>114.39999999999999</v>
      </c>
      <c r="G12" s="80">
        <f>F12*0.05</f>
        <v>5.72</v>
      </c>
      <c r="H12" s="74">
        <f>F12*0.1</f>
        <v>11.44</v>
      </c>
      <c r="I12" s="52">
        <f t="shared" si="2"/>
        <v>15131.15604</v>
      </c>
      <c r="J12" s="53"/>
      <c r="K12" s="54"/>
      <c r="L12" s="75">
        <f>I12</f>
        <v>15131.15604</v>
      </c>
      <c r="M12" s="302">
        <f t="shared" si="0"/>
        <v>3326.1560399999998</v>
      </c>
      <c r="N12" s="242" t="s">
        <v>249</v>
      </c>
      <c r="O12" s="56">
        <v>8</v>
      </c>
      <c r="P12" s="58" t="s">
        <v>250</v>
      </c>
      <c r="Q12" s="81">
        <v>28.8</v>
      </c>
      <c r="R12" s="58" t="s">
        <v>238</v>
      </c>
      <c r="S12" s="78">
        <v>173</v>
      </c>
      <c r="T12" s="77">
        <v>9</v>
      </c>
      <c r="U12" s="82">
        <v>17</v>
      </c>
      <c r="V12" s="287">
        <v>11805</v>
      </c>
    </row>
    <row r="13" spans="1:22" ht="33" x14ac:dyDescent="0.25">
      <c r="A13" s="271" t="s">
        <v>251</v>
      </c>
      <c r="B13" s="49">
        <v>2</v>
      </c>
      <c r="C13" s="51">
        <v>365</v>
      </c>
      <c r="D13" s="83">
        <f>B13*C13</f>
        <v>730</v>
      </c>
      <c r="E13" s="73">
        <v>4</v>
      </c>
      <c r="F13" s="74">
        <f t="shared" si="3"/>
        <v>2920</v>
      </c>
      <c r="G13" s="74">
        <f>F13*0.05</f>
        <v>146</v>
      </c>
      <c r="H13" s="74">
        <f>F13*0.1</f>
        <v>292</v>
      </c>
      <c r="I13" s="52">
        <f t="shared" si="2"/>
        <v>386214.82200000004</v>
      </c>
      <c r="J13" s="53"/>
      <c r="K13" s="54"/>
      <c r="L13" s="75">
        <f>I13</f>
        <v>386214.82200000004</v>
      </c>
      <c r="M13" s="302">
        <f t="shared" si="0"/>
        <v>386214.82200000004</v>
      </c>
      <c r="N13" s="242" t="s">
        <v>252</v>
      </c>
      <c r="O13" s="56">
        <v>2</v>
      </c>
      <c r="P13" s="58" t="s">
        <v>253</v>
      </c>
      <c r="Q13" s="84">
        <v>730</v>
      </c>
      <c r="R13" s="58" t="s">
        <v>254</v>
      </c>
      <c r="S13" s="77">
        <v>0</v>
      </c>
      <c r="T13" s="77">
        <v>0</v>
      </c>
      <c r="U13" s="77">
        <v>0</v>
      </c>
      <c r="V13" s="287">
        <v>0</v>
      </c>
    </row>
    <row r="14" spans="1:22" ht="30" x14ac:dyDescent="0.25">
      <c r="A14" s="272"/>
      <c r="B14" s="85"/>
      <c r="C14" s="86"/>
      <c r="D14" s="86"/>
      <c r="E14" s="87"/>
      <c r="F14" s="88"/>
      <c r="G14" s="88"/>
      <c r="H14" s="88"/>
      <c r="I14" s="89"/>
      <c r="J14" s="90"/>
      <c r="K14" s="91"/>
      <c r="L14" s="92"/>
      <c r="M14" s="302">
        <f t="shared" si="0"/>
        <v>-16350</v>
      </c>
      <c r="N14" s="242" t="s">
        <v>255</v>
      </c>
      <c r="O14" s="56">
        <v>40</v>
      </c>
      <c r="P14" s="58">
        <v>1</v>
      </c>
      <c r="Q14" s="84">
        <v>40</v>
      </c>
      <c r="R14" s="58" t="s">
        <v>238</v>
      </c>
      <c r="S14" s="58">
        <v>240</v>
      </c>
      <c r="T14" s="58">
        <v>12</v>
      </c>
      <c r="U14" s="58">
        <v>24</v>
      </c>
      <c r="V14" s="286">
        <v>16350</v>
      </c>
    </row>
    <row r="15" spans="1:22" ht="18" x14ac:dyDescent="0.25">
      <c r="A15" s="273" t="s">
        <v>256</v>
      </c>
      <c r="B15" s="93">
        <v>40</v>
      </c>
      <c r="C15" s="94">
        <v>6.3</v>
      </c>
      <c r="D15" s="94">
        <f t="shared" ref="D15:D16" si="4">B15*C15</f>
        <v>252</v>
      </c>
      <c r="E15" s="95">
        <v>0</v>
      </c>
      <c r="F15" s="96">
        <f>D15*E15</f>
        <v>0</v>
      </c>
      <c r="G15" s="96">
        <f t="shared" ref="G15:G16" si="5">F15*0.05</f>
        <v>0</v>
      </c>
      <c r="H15" s="96">
        <f t="shared" ref="H15:H16" si="6">F15*0.1</f>
        <v>0</v>
      </c>
      <c r="I15" s="97">
        <f t="shared" si="2"/>
        <v>0</v>
      </c>
      <c r="J15" s="70">
        <f>I15</f>
        <v>0</v>
      </c>
      <c r="K15" s="71"/>
      <c r="L15" s="72"/>
      <c r="M15" s="302">
        <f t="shared" si="0"/>
        <v>0</v>
      </c>
      <c r="N15" s="244"/>
      <c r="O15" s="85"/>
      <c r="P15" s="86"/>
      <c r="Q15" s="86"/>
      <c r="R15" s="86"/>
      <c r="S15" s="68"/>
      <c r="T15" s="68"/>
      <c r="U15" s="68"/>
      <c r="V15" s="288"/>
    </row>
    <row r="16" spans="1:22" ht="33" x14ac:dyDescent="0.25">
      <c r="A16" s="273" t="s">
        <v>257</v>
      </c>
      <c r="B16" s="93">
        <v>4</v>
      </c>
      <c r="C16" s="94">
        <v>1</v>
      </c>
      <c r="D16" s="94">
        <f t="shared" si="4"/>
        <v>4</v>
      </c>
      <c r="E16" s="98">
        <v>11</v>
      </c>
      <c r="F16" s="96">
        <f t="shared" ref="F16" si="7">D16*E16</f>
        <v>44</v>
      </c>
      <c r="G16" s="99">
        <f t="shared" si="5"/>
        <v>2.2000000000000002</v>
      </c>
      <c r="H16" s="99">
        <f t="shared" si="6"/>
        <v>4.4000000000000004</v>
      </c>
      <c r="I16" s="97">
        <f t="shared" si="2"/>
        <v>5819.6754000000001</v>
      </c>
      <c r="J16" s="70">
        <f>I16</f>
        <v>5819.6754000000001</v>
      </c>
      <c r="K16" s="71"/>
      <c r="L16" s="72"/>
      <c r="M16" s="302">
        <f t="shared" si="0"/>
        <v>5819.6754000000001</v>
      </c>
      <c r="N16" s="244"/>
      <c r="O16" s="85"/>
      <c r="P16" s="86"/>
      <c r="Q16" s="86"/>
      <c r="R16" s="86"/>
      <c r="S16" s="68"/>
      <c r="T16" s="68"/>
      <c r="U16" s="68"/>
      <c r="V16" s="288"/>
    </row>
    <row r="17" spans="1:22" ht="45" x14ac:dyDescent="0.25">
      <c r="A17" s="274" t="s">
        <v>258</v>
      </c>
      <c r="B17" s="100">
        <v>2</v>
      </c>
      <c r="C17" s="84">
        <v>12</v>
      </c>
      <c r="D17" s="84">
        <f>B17*C17</f>
        <v>24</v>
      </c>
      <c r="E17" s="51">
        <v>11</v>
      </c>
      <c r="F17" s="77">
        <f t="shared" si="3"/>
        <v>264</v>
      </c>
      <c r="G17" s="77">
        <f>F17*0.05</f>
        <v>13.200000000000001</v>
      </c>
      <c r="H17" s="77">
        <f>F17*0.1</f>
        <v>26.400000000000002</v>
      </c>
      <c r="I17" s="101">
        <f t="shared" si="2"/>
        <v>34918.0524</v>
      </c>
      <c r="J17" s="102"/>
      <c r="K17" s="103"/>
      <c r="L17" s="104">
        <f>I17</f>
        <v>34918.0524</v>
      </c>
      <c r="M17" s="302">
        <f t="shared" si="0"/>
        <v>34918.0524</v>
      </c>
      <c r="N17" s="245" t="s">
        <v>259</v>
      </c>
      <c r="O17" s="100">
        <v>2</v>
      </c>
      <c r="P17" s="84">
        <v>12</v>
      </c>
      <c r="Q17" s="84">
        <v>24</v>
      </c>
      <c r="R17" s="84" t="s">
        <v>254</v>
      </c>
      <c r="S17" s="77">
        <v>0</v>
      </c>
      <c r="T17" s="77">
        <v>0</v>
      </c>
      <c r="U17" s="77">
        <v>0</v>
      </c>
      <c r="V17" s="287">
        <v>0</v>
      </c>
    </row>
    <row r="18" spans="1:22" s="223" customFormat="1" x14ac:dyDescent="0.25">
      <c r="A18" s="253" t="s">
        <v>260</v>
      </c>
      <c r="B18" s="105" t="s">
        <v>261</v>
      </c>
      <c r="C18" s="106"/>
      <c r="D18" s="106"/>
      <c r="E18" s="107"/>
      <c r="F18" s="108"/>
      <c r="G18" s="109"/>
      <c r="H18" s="109"/>
      <c r="I18" s="110"/>
      <c r="J18" s="111"/>
      <c r="K18" s="112"/>
      <c r="L18" s="113"/>
      <c r="M18" s="302">
        <f t="shared" si="0"/>
        <v>0</v>
      </c>
      <c r="N18" s="253" t="s">
        <v>260</v>
      </c>
      <c r="O18" s="114" t="s">
        <v>262</v>
      </c>
      <c r="P18" s="106"/>
      <c r="Q18" s="106"/>
      <c r="R18" s="106"/>
      <c r="S18" s="108"/>
      <c r="T18" s="108"/>
      <c r="U18" s="108"/>
      <c r="V18" s="289"/>
    </row>
    <row r="19" spans="1:22" s="223" customFormat="1" x14ac:dyDescent="0.25">
      <c r="A19" s="253" t="s">
        <v>263</v>
      </c>
      <c r="B19" s="105" t="s">
        <v>261</v>
      </c>
      <c r="C19" s="116"/>
      <c r="D19" s="116"/>
      <c r="E19" s="116"/>
      <c r="F19" s="116"/>
      <c r="G19" s="116"/>
      <c r="H19" s="116"/>
      <c r="I19" s="110"/>
      <c r="J19" s="111"/>
      <c r="K19" s="112"/>
      <c r="L19" s="113"/>
      <c r="M19" s="302">
        <f t="shared" si="0"/>
        <v>0</v>
      </c>
      <c r="N19" s="254" t="s">
        <v>264</v>
      </c>
      <c r="O19" s="114" t="s">
        <v>262</v>
      </c>
      <c r="P19" s="116"/>
      <c r="Q19" s="116"/>
      <c r="R19" s="116"/>
      <c r="S19" s="116"/>
      <c r="T19" s="116"/>
      <c r="U19" s="116"/>
      <c r="V19" s="290"/>
    </row>
    <row r="20" spans="1:22" s="223" customFormat="1" ht="18" x14ac:dyDescent="0.25">
      <c r="A20" s="253" t="s">
        <v>265</v>
      </c>
      <c r="B20" s="116"/>
      <c r="C20" s="106"/>
      <c r="D20" s="106"/>
      <c r="E20" s="106"/>
      <c r="F20" s="116"/>
      <c r="G20" s="116"/>
      <c r="H20" s="116"/>
      <c r="I20" s="110"/>
      <c r="J20" s="111"/>
      <c r="K20" s="112"/>
      <c r="L20" s="113"/>
      <c r="M20" s="302">
        <f t="shared" si="0"/>
        <v>0</v>
      </c>
      <c r="N20" s="254" t="s">
        <v>266</v>
      </c>
      <c r="O20" s="105"/>
      <c r="P20" s="116"/>
      <c r="Q20" s="106"/>
      <c r="R20" s="116"/>
      <c r="S20" s="116"/>
      <c r="T20" s="116"/>
      <c r="U20" s="116"/>
      <c r="V20" s="291"/>
    </row>
    <row r="21" spans="1:22" ht="33" x14ac:dyDescent="0.25">
      <c r="A21" s="271" t="s">
        <v>267</v>
      </c>
      <c r="B21" s="56">
        <v>4</v>
      </c>
      <c r="C21" s="117">
        <v>1</v>
      </c>
      <c r="D21" s="117">
        <f t="shared" ref="D21:D45" si="8">B21*C21</f>
        <v>4</v>
      </c>
      <c r="E21" s="117">
        <v>0</v>
      </c>
      <c r="F21" s="58">
        <f>D21*E21</f>
        <v>0</v>
      </c>
      <c r="G21" s="58">
        <f>F21*0.05</f>
        <v>0</v>
      </c>
      <c r="H21" s="58">
        <f>F21*0.1</f>
        <v>0</v>
      </c>
      <c r="I21" s="101">
        <f>F21*$F$2+G21*$G$2+H21*$H$2</f>
        <v>0</v>
      </c>
      <c r="J21" s="102"/>
      <c r="K21" s="103"/>
      <c r="L21" s="104">
        <f t="shared" ref="L21:L29" si="9">I21</f>
        <v>0</v>
      </c>
      <c r="M21" s="302">
        <f t="shared" si="0"/>
        <v>0</v>
      </c>
      <c r="N21" s="242" t="s">
        <v>268</v>
      </c>
      <c r="O21" s="56" t="s">
        <v>51</v>
      </c>
      <c r="P21" s="58"/>
      <c r="Q21" s="84"/>
      <c r="R21" s="58"/>
      <c r="S21" s="58"/>
      <c r="T21" s="58"/>
      <c r="U21" s="58"/>
      <c r="V21" s="286"/>
    </row>
    <row r="22" spans="1:22" ht="48" x14ac:dyDescent="0.25">
      <c r="A22" s="271" t="s">
        <v>269</v>
      </c>
      <c r="B22" s="56">
        <v>4</v>
      </c>
      <c r="C22" s="58">
        <v>1</v>
      </c>
      <c r="D22" s="84">
        <f t="shared" si="8"/>
        <v>4</v>
      </c>
      <c r="E22" s="58">
        <v>0</v>
      </c>
      <c r="F22" s="58">
        <f>D22*E22</f>
        <v>0</v>
      </c>
      <c r="G22" s="58">
        <f>F22*0.05</f>
        <v>0</v>
      </c>
      <c r="H22" s="58">
        <f>F22*0.1</f>
        <v>0</v>
      </c>
      <c r="I22" s="101">
        <f>F22*$F$2+G22*$G$2+H22*$H$2</f>
        <v>0</v>
      </c>
      <c r="J22" s="102"/>
      <c r="K22" s="103"/>
      <c r="L22" s="104">
        <f t="shared" si="9"/>
        <v>0</v>
      </c>
      <c r="M22" s="302">
        <f t="shared" si="0"/>
        <v>0</v>
      </c>
      <c r="N22" s="242" t="s">
        <v>270</v>
      </c>
      <c r="O22" s="56" t="s">
        <v>51</v>
      </c>
      <c r="P22" s="58"/>
      <c r="Q22" s="84"/>
      <c r="R22" s="58"/>
      <c r="S22" s="58"/>
      <c r="T22" s="58"/>
      <c r="U22" s="58"/>
      <c r="V22" s="286"/>
    </row>
    <row r="23" spans="1:22" ht="18" x14ac:dyDescent="0.25">
      <c r="A23" s="271" t="s">
        <v>271</v>
      </c>
      <c r="B23" s="56">
        <v>2</v>
      </c>
      <c r="C23" s="58">
        <v>1</v>
      </c>
      <c r="D23" s="84">
        <f t="shared" si="8"/>
        <v>2</v>
      </c>
      <c r="E23" s="58">
        <v>0</v>
      </c>
      <c r="F23" s="58">
        <f>D23*E23</f>
        <v>0</v>
      </c>
      <c r="G23" s="58">
        <f>F23*0.05</f>
        <v>0</v>
      </c>
      <c r="H23" s="58">
        <f>F23*0.1</f>
        <v>0</v>
      </c>
      <c r="I23" s="101">
        <f>F23*$F$2+G23*$G$2+H23*$H$2</f>
        <v>0</v>
      </c>
      <c r="J23" s="102"/>
      <c r="K23" s="103"/>
      <c r="L23" s="104">
        <f t="shared" si="9"/>
        <v>0</v>
      </c>
      <c r="M23" s="302">
        <f t="shared" si="0"/>
        <v>-845</v>
      </c>
      <c r="N23" s="242" t="s">
        <v>272</v>
      </c>
      <c r="O23" s="56">
        <v>2</v>
      </c>
      <c r="P23" s="58">
        <v>1</v>
      </c>
      <c r="Q23" s="84">
        <v>2</v>
      </c>
      <c r="R23" s="58" t="s">
        <v>238</v>
      </c>
      <c r="S23" s="58">
        <v>12</v>
      </c>
      <c r="T23" s="58">
        <v>1</v>
      </c>
      <c r="U23" s="58">
        <v>1</v>
      </c>
      <c r="V23" s="286">
        <v>845</v>
      </c>
    </row>
    <row r="24" spans="1:22" ht="18" x14ac:dyDescent="0.25">
      <c r="A24" s="271" t="s">
        <v>273</v>
      </c>
      <c r="B24" s="56">
        <v>4</v>
      </c>
      <c r="C24" s="58">
        <v>1</v>
      </c>
      <c r="D24" s="84">
        <f t="shared" si="8"/>
        <v>4</v>
      </c>
      <c r="E24" s="58">
        <v>0</v>
      </c>
      <c r="F24" s="58">
        <f>D24*E24</f>
        <v>0</v>
      </c>
      <c r="G24" s="58">
        <f>F24*0.05</f>
        <v>0</v>
      </c>
      <c r="H24" s="58">
        <f>F24*0.1</f>
        <v>0</v>
      </c>
      <c r="I24" s="101">
        <f>F24*$F$2+G24*$G$2+H24*$H$2</f>
        <v>0</v>
      </c>
      <c r="J24" s="102"/>
      <c r="K24" s="103"/>
      <c r="L24" s="104">
        <f t="shared" si="9"/>
        <v>0</v>
      </c>
      <c r="M24" s="302">
        <f t="shared" si="0"/>
        <v>0</v>
      </c>
      <c r="N24" s="242" t="s">
        <v>274</v>
      </c>
      <c r="O24" s="56" t="s">
        <v>51</v>
      </c>
      <c r="P24" s="58"/>
      <c r="Q24" s="84"/>
      <c r="R24" s="58"/>
      <c r="S24" s="58"/>
      <c r="T24" s="58"/>
      <c r="U24" s="58"/>
      <c r="V24" s="286"/>
    </row>
    <row r="25" spans="1:22" ht="30" x14ac:dyDescent="0.25">
      <c r="A25" s="275"/>
      <c r="B25" s="66"/>
      <c r="C25" s="68"/>
      <c r="D25" s="86"/>
      <c r="E25" s="68"/>
      <c r="F25" s="68"/>
      <c r="G25" s="68"/>
      <c r="H25" s="68"/>
      <c r="I25" s="89"/>
      <c r="J25" s="90"/>
      <c r="K25" s="91"/>
      <c r="L25" s="92"/>
      <c r="M25" s="302">
        <f t="shared" si="0"/>
        <v>0</v>
      </c>
      <c r="N25" s="242" t="s">
        <v>275</v>
      </c>
      <c r="O25" s="56" t="s">
        <v>51</v>
      </c>
      <c r="P25" s="58"/>
      <c r="Q25" s="84"/>
      <c r="R25" s="58"/>
      <c r="S25" s="58"/>
      <c r="T25" s="58"/>
      <c r="U25" s="58"/>
      <c r="V25" s="286"/>
    </row>
    <row r="26" spans="1:22" x14ac:dyDescent="0.25">
      <c r="A26" s="275"/>
      <c r="B26" s="66"/>
      <c r="C26" s="68"/>
      <c r="D26" s="86"/>
      <c r="E26" s="68"/>
      <c r="F26" s="68"/>
      <c r="G26" s="68"/>
      <c r="H26" s="68"/>
      <c r="I26" s="89"/>
      <c r="J26" s="90"/>
      <c r="K26" s="91"/>
      <c r="L26" s="92"/>
      <c r="M26" s="302">
        <f t="shared" si="0"/>
        <v>-845</v>
      </c>
      <c r="N26" s="255" t="s">
        <v>276</v>
      </c>
      <c r="O26" s="56">
        <v>2</v>
      </c>
      <c r="P26" s="58">
        <v>1</v>
      </c>
      <c r="Q26" s="84">
        <v>2</v>
      </c>
      <c r="R26" s="58" t="s">
        <v>238</v>
      </c>
      <c r="S26" s="58">
        <v>12</v>
      </c>
      <c r="T26" s="58">
        <v>1</v>
      </c>
      <c r="U26" s="58">
        <v>1</v>
      </c>
      <c r="V26" s="286">
        <v>845</v>
      </c>
    </row>
    <row r="27" spans="1:22" ht="30" x14ac:dyDescent="0.25">
      <c r="A27" s="275"/>
      <c r="B27" s="66"/>
      <c r="C27" s="68"/>
      <c r="D27" s="86"/>
      <c r="E27" s="68"/>
      <c r="F27" s="68"/>
      <c r="G27" s="68"/>
      <c r="H27" s="68"/>
      <c r="I27" s="89"/>
      <c r="J27" s="90"/>
      <c r="K27" s="91"/>
      <c r="L27" s="92"/>
      <c r="M27" s="302">
        <f t="shared" si="0"/>
        <v>-845</v>
      </c>
      <c r="N27" s="242" t="s">
        <v>277</v>
      </c>
      <c r="O27" s="56">
        <v>2</v>
      </c>
      <c r="P27" s="58">
        <v>1</v>
      </c>
      <c r="Q27" s="84">
        <v>2</v>
      </c>
      <c r="R27" s="58" t="s">
        <v>238</v>
      </c>
      <c r="S27" s="58">
        <v>12</v>
      </c>
      <c r="T27" s="58">
        <v>1</v>
      </c>
      <c r="U27" s="58">
        <v>1</v>
      </c>
      <c r="V27" s="286">
        <v>845</v>
      </c>
    </row>
    <row r="28" spans="1:22" ht="30" x14ac:dyDescent="0.25">
      <c r="A28" s="276" t="s">
        <v>278</v>
      </c>
      <c r="B28" s="119">
        <v>4</v>
      </c>
      <c r="C28" s="95">
        <v>1</v>
      </c>
      <c r="D28" s="94">
        <f t="shared" si="8"/>
        <v>4</v>
      </c>
      <c r="E28" s="120">
        <f>11/3</f>
        <v>3.6666666666666665</v>
      </c>
      <c r="F28" s="98">
        <f>D28*E28</f>
        <v>14.666666666666666</v>
      </c>
      <c r="G28" s="120">
        <f t="shared" ref="G28:G29" si="10">F28*0.05</f>
        <v>0.73333333333333339</v>
      </c>
      <c r="H28" s="120">
        <f t="shared" ref="H28:H29" si="11">F28*0.1</f>
        <v>1.4666666666666668</v>
      </c>
      <c r="I28" s="97">
        <f>F28*$F$2+G28*$G$2+H28*$H$2</f>
        <v>1939.8918000000001</v>
      </c>
      <c r="J28" s="102"/>
      <c r="K28" s="103"/>
      <c r="L28" s="104">
        <f t="shared" si="9"/>
        <v>1939.8918000000001</v>
      </c>
      <c r="M28" s="302">
        <f t="shared" si="0"/>
        <v>1094.8918000000001</v>
      </c>
      <c r="N28" s="242" t="s">
        <v>279</v>
      </c>
      <c r="O28" s="56">
        <v>2</v>
      </c>
      <c r="P28" s="58">
        <v>1</v>
      </c>
      <c r="Q28" s="84">
        <v>2</v>
      </c>
      <c r="R28" s="58" t="s">
        <v>238</v>
      </c>
      <c r="S28" s="58">
        <v>12</v>
      </c>
      <c r="T28" s="58">
        <v>1</v>
      </c>
      <c r="U28" s="58">
        <v>1</v>
      </c>
      <c r="V28" s="286">
        <v>845</v>
      </c>
    </row>
    <row r="29" spans="1:22" ht="30" x14ac:dyDescent="0.25">
      <c r="A29" s="276" t="s">
        <v>280</v>
      </c>
      <c r="B29" s="119">
        <v>4</v>
      </c>
      <c r="C29" s="95">
        <v>1</v>
      </c>
      <c r="D29" s="94">
        <f t="shared" si="8"/>
        <v>4</v>
      </c>
      <c r="E29" s="120">
        <f>11/3</f>
        <v>3.6666666666666665</v>
      </c>
      <c r="F29" s="98">
        <f t="shared" ref="F29:F36" si="12">D29*E29</f>
        <v>14.666666666666666</v>
      </c>
      <c r="G29" s="120">
        <f t="shared" si="10"/>
        <v>0.73333333333333339</v>
      </c>
      <c r="H29" s="120">
        <f t="shared" si="11"/>
        <v>1.4666666666666668</v>
      </c>
      <c r="I29" s="97">
        <f t="shared" ref="I29" si="13">F29*$F$2+G29*$G$2+H29*$H$2</f>
        <v>1939.8918000000001</v>
      </c>
      <c r="J29" s="122"/>
      <c r="K29" s="123"/>
      <c r="L29" s="104">
        <f t="shared" si="9"/>
        <v>1939.8918000000001</v>
      </c>
      <c r="M29" s="302">
        <f t="shared" si="0"/>
        <v>1939.8918000000001</v>
      </c>
      <c r="N29" s="243"/>
      <c r="O29" s="66"/>
      <c r="P29" s="68"/>
      <c r="Q29" s="86"/>
      <c r="R29" s="68"/>
      <c r="S29" s="68"/>
      <c r="T29" s="68"/>
      <c r="U29" s="68"/>
      <c r="V29" s="288"/>
    </row>
    <row r="30" spans="1:22" x14ac:dyDescent="0.25">
      <c r="A30" s="275"/>
      <c r="B30" s="124"/>
      <c r="C30" s="125"/>
      <c r="D30" s="126"/>
      <c r="E30" s="127"/>
      <c r="F30" s="87"/>
      <c r="G30" s="127"/>
      <c r="H30" s="127"/>
      <c r="I30" s="128"/>
      <c r="J30" s="129"/>
      <c r="K30" s="130"/>
      <c r="L30" s="92"/>
      <c r="M30" s="302">
        <f t="shared" si="0"/>
        <v>-16350</v>
      </c>
      <c r="N30" s="255" t="s">
        <v>281</v>
      </c>
      <c r="O30" s="56">
        <v>40</v>
      </c>
      <c r="P30" s="58">
        <v>1</v>
      </c>
      <c r="Q30" s="84">
        <v>40</v>
      </c>
      <c r="R30" s="58" t="s">
        <v>238</v>
      </c>
      <c r="S30" s="58">
        <v>240</v>
      </c>
      <c r="T30" s="58">
        <v>12</v>
      </c>
      <c r="U30" s="58">
        <v>24</v>
      </c>
      <c r="V30" s="286">
        <v>16350</v>
      </c>
    </row>
    <row r="31" spans="1:22" x14ac:dyDescent="0.25">
      <c r="A31" s="275"/>
      <c r="B31" s="124"/>
      <c r="C31" s="125"/>
      <c r="D31" s="126"/>
      <c r="E31" s="127"/>
      <c r="F31" s="87"/>
      <c r="G31" s="127"/>
      <c r="H31" s="127"/>
      <c r="I31" s="128"/>
      <c r="J31" s="129"/>
      <c r="K31" s="130"/>
      <c r="L31" s="92"/>
      <c r="M31" s="302">
        <f t="shared" si="0"/>
        <v>-16350</v>
      </c>
      <c r="N31" s="255" t="s">
        <v>282</v>
      </c>
      <c r="O31" s="56">
        <v>40</v>
      </c>
      <c r="P31" s="58">
        <v>1</v>
      </c>
      <c r="Q31" s="84">
        <v>40</v>
      </c>
      <c r="R31" s="58" t="s">
        <v>238</v>
      </c>
      <c r="S31" s="58">
        <v>240</v>
      </c>
      <c r="T31" s="58">
        <v>12</v>
      </c>
      <c r="U31" s="58">
        <v>24</v>
      </c>
      <c r="V31" s="286">
        <v>16350</v>
      </c>
    </row>
    <row r="32" spans="1:22" x14ac:dyDescent="0.25">
      <c r="A32" s="275"/>
      <c r="B32" s="124"/>
      <c r="C32" s="125"/>
      <c r="D32" s="126"/>
      <c r="E32" s="127"/>
      <c r="F32" s="87"/>
      <c r="G32" s="127"/>
      <c r="H32" s="127"/>
      <c r="I32" s="128"/>
      <c r="J32" s="129"/>
      <c r="K32" s="130"/>
      <c r="L32" s="92"/>
      <c r="M32" s="302">
        <f t="shared" si="0"/>
        <v>-3242</v>
      </c>
      <c r="N32" s="255" t="s">
        <v>283</v>
      </c>
      <c r="O32" s="56">
        <v>8</v>
      </c>
      <c r="P32" s="58">
        <v>1</v>
      </c>
      <c r="Q32" s="84">
        <v>8</v>
      </c>
      <c r="R32" s="58" t="s">
        <v>238</v>
      </c>
      <c r="S32" s="58">
        <v>48</v>
      </c>
      <c r="T32" s="58">
        <v>2</v>
      </c>
      <c r="U32" s="58">
        <v>5</v>
      </c>
      <c r="V32" s="286">
        <v>3242</v>
      </c>
    </row>
    <row r="33" spans="1:22" x14ac:dyDescent="0.25">
      <c r="A33" s="275"/>
      <c r="B33" s="124"/>
      <c r="C33" s="125"/>
      <c r="D33" s="126"/>
      <c r="E33" s="127"/>
      <c r="F33" s="87"/>
      <c r="G33" s="127"/>
      <c r="H33" s="127"/>
      <c r="I33" s="128"/>
      <c r="J33" s="129"/>
      <c r="K33" s="130"/>
      <c r="L33" s="92"/>
      <c r="M33" s="302">
        <f t="shared" si="0"/>
        <v>0</v>
      </c>
      <c r="N33" s="255" t="s">
        <v>284</v>
      </c>
      <c r="O33" s="56" t="s">
        <v>51</v>
      </c>
      <c r="P33" s="58"/>
      <c r="Q33" s="84"/>
      <c r="R33" s="58"/>
      <c r="S33" s="58"/>
      <c r="T33" s="58"/>
      <c r="U33" s="58"/>
      <c r="V33" s="286"/>
    </row>
    <row r="34" spans="1:22" ht="48" x14ac:dyDescent="0.25">
      <c r="A34" s="277" t="s">
        <v>285</v>
      </c>
      <c r="B34" s="49">
        <v>8</v>
      </c>
      <c r="C34" s="51">
        <v>1</v>
      </c>
      <c r="D34" s="83">
        <f t="shared" si="8"/>
        <v>8</v>
      </c>
      <c r="E34" s="69">
        <f>11/3</f>
        <v>3.6666666666666665</v>
      </c>
      <c r="F34" s="74">
        <f t="shared" si="12"/>
        <v>29.333333333333332</v>
      </c>
      <c r="G34" s="80">
        <f>F34*0.05</f>
        <v>1.4666666666666668</v>
      </c>
      <c r="H34" s="80">
        <f>F34*0.1</f>
        <v>2.9333333333333336</v>
      </c>
      <c r="I34" s="52">
        <f>F34*$F$2+G34*$G$2+H34*$H$2</f>
        <v>3879.7836000000002</v>
      </c>
      <c r="J34" s="131"/>
      <c r="K34" s="132">
        <f>I34</f>
        <v>3879.7836000000002</v>
      </c>
      <c r="L34" s="133"/>
      <c r="M34" s="302">
        <f t="shared" si="0"/>
        <v>3879.7836000000002</v>
      </c>
      <c r="N34" s="255" t="s">
        <v>286</v>
      </c>
      <c r="O34" s="56" t="s">
        <v>262</v>
      </c>
      <c r="P34" s="58"/>
      <c r="Q34" s="84"/>
      <c r="R34" s="58"/>
      <c r="S34" s="58"/>
      <c r="T34" s="58"/>
      <c r="U34" s="58"/>
      <c r="V34" s="286"/>
    </row>
    <row r="35" spans="1:22" ht="30" x14ac:dyDescent="0.25">
      <c r="A35" s="271" t="s">
        <v>287</v>
      </c>
      <c r="B35" s="56">
        <v>2</v>
      </c>
      <c r="C35" s="58">
        <v>1</v>
      </c>
      <c r="D35" s="84">
        <f t="shared" si="8"/>
        <v>2</v>
      </c>
      <c r="E35" s="69">
        <f>11/3</f>
        <v>3.6666666666666665</v>
      </c>
      <c r="F35" s="134">
        <f t="shared" si="12"/>
        <v>7.333333333333333</v>
      </c>
      <c r="G35" s="134">
        <f t="shared" ref="G35" si="14">F35*0.05</f>
        <v>0.3666666666666667</v>
      </c>
      <c r="H35" s="134">
        <f t="shared" ref="H35" si="15">F35*0.1</f>
        <v>0.73333333333333339</v>
      </c>
      <c r="I35" s="101">
        <f t="shared" ref="I35" si="16">F35*$F$2+G35*$G$2+H35*$H$2</f>
        <v>969.94590000000005</v>
      </c>
      <c r="J35" s="131">
        <f>I35*$J$3/100</f>
        <v>312.73956588785046</v>
      </c>
      <c r="K35" s="132"/>
      <c r="L35" s="133">
        <f>I35*(100-$J$3)/100</f>
        <v>657.20633411214953</v>
      </c>
      <c r="M35" s="302">
        <f t="shared" si="0"/>
        <v>969.94590000000005</v>
      </c>
      <c r="N35" s="256"/>
      <c r="O35" s="66"/>
      <c r="P35" s="68"/>
      <c r="Q35" s="86"/>
      <c r="R35" s="68"/>
      <c r="S35" s="68"/>
      <c r="T35" s="68"/>
      <c r="U35" s="68"/>
      <c r="V35" s="288"/>
    </row>
    <row r="36" spans="1:22" ht="33" x14ac:dyDescent="0.25">
      <c r="A36" s="271" t="s">
        <v>288</v>
      </c>
      <c r="B36" s="56">
        <v>40</v>
      </c>
      <c r="C36" s="58">
        <v>2</v>
      </c>
      <c r="D36" s="84">
        <f t="shared" si="8"/>
        <v>80</v>
      </c>
      <c r="E36" s="51">
        <v>11</v>
      </c>
      <c r="F36" s="77">
        <f t="shared" si="12"/>
        <v>880</v>
      </c>
      <c r="G36" s="77">
        <f>F36*0.05</f>
        <v>44</v>
      </c>
      <c r="H36" s="77">
        <f>F36*0.1</f>
        <v>88</v>
      </c>
      <c r="I36" s="101">
        <f>F36*$F$2+G36*$G$2+H36*$H$2</f>
        <v>116393.508</v>
      </c>
      <c r="J36" s="131"/>
      <c r="K36" s="132">
        <f>I36</f>
        <v>116393.508</v>
      </c>
      <c r="L36" s="133"/>
      <c r="M36" s="302">
        <f t="shared" si="0"/>
        <v>116393.508</v>
      </c>
      <c r="N36" s="255" t="s">
        <v>289</v>
      </c>
      <c r="O36" s="56">
        <v>40</v>
      </c>
      <c r="P36" s="58" t="s">
        <v>290</v>
      </c>
      <c r="Q36" s="84">
        <v>80</v>
      </c>
      <c r="R36" s="58" t="s">
        <v>254</v>
      </c>
      <c r="S36" s="58">
        <v>0</v>
      </c>
      <c r="T36" s="58">
        <v>0</v>
      </c>
      <c r="U36" s="58">
        <v>0</v>
      </c>
      <c r="V36" s="286">
        <v>0</v>
      </c>
    </row>
    <row r="37" spans="1:22" ht="30.75" thickBot="1" x14ac:dyDescent="0.3">
      <c r="A37" s="272"/>
      <c r="B37" s="85"/>
      <c r="C37" s="86"/>
      <c r="D37" s="86"/>
      <c r="E37" s="126"/>
      <c r="F37" s="135"/>
      <c r="G37" s="136"/>
      <c r="H37" s="137"/>
      <c r="I37" s="138"/>
      <c r="J37" s="139"/>
      <c r="K37" s="140"/>
      <c r="L37" s="141"/>
      <c r="M37" s="302">
        <f t="shared" si="0"/>
        <v>0</v>
      </c>
      <c r="N37" s="257" t="s">
        <v>291</v>
      </c>
      <c r="O37" s="142">
        <v>4</v>
      </c>
      <c r="P37" s="84">
        <v>1</v>
      </c>
      <c r="Q37" s="84">
        <v>4</v>
      </c>
      <c r="R37" s="84" t="s">
        <v>254</v>
      </c>
      <c r="S37" s="84">
        <v>0</v>
      </c>
      <c r="T37" s="84">
        <v>0</v>
      </c>
      <c r="U37" s="84">
        <v>0</v>
      </c>
      <c r="V37" s="292">
        <v>0</v>
      </c>
    </row>
    <row r="38" spans="1:22" ht="29.25" thickBot="1" x14ac:dyDescent="0.3">
      <c r="A38" s="145" t="s">
        <v>75</v>
      </c>
      <c r="B38" s="508"/>
      <c r="C38" s="146"/>
      <c r="D38" s="147"/>
      <c r="E38" s="146"/>
      <c r="F38" s="571">
        <f>SUM(F9:H36)</f>
        <v>6470.743333333332</v>
      </c>
      <c r="G38" s="572"/>
      <c r="H38" s="573"/>
      <c r="I38" s="148">
        <f>SUM(I9:I36)</f>
        <v>744221.85369000002</v>
      </c>
      <c r="J38" s="149">
        <f>SUM(J9:J36)</f>
        <v>7539.7430123831773</v>
      </c>
      <c r="K38" s="150">
        <f>SUM(K9:K36)</f>
        <v>120273.2916</v>
      </c>
      <c r="L38" s="151">
        <f>SUM(L9:L36)</f>
        <v>616408.81907761679</v>
      </c>
      <c r="M38" s="302">
        <f t="shared" si="0"/>
        <v>535319.85369000002</v>
      </c>
      <c r="N38" s="258"/>
      <c r="O38" s="152"/>
      <c r="P38" s="147"/>
      <c r="Q38" s="147"/>
      <c r="R38" s="147"/>
      <c r="S38" s="147"/>
      <c r="T38" s="147"/>
      <c r="U38" s="147"/>
      <c r="V38" s="293">
        <f>SUM(V5:V37)</f>
        <v>208902</v>
      </c>
    </row>
    <row r="39" spans="1:22" x14ac:dyDescent="0.25">
      <c r="A39" s="246" t="s">
        <v>292</v>
      </c>
      <c r="B39" s="153"/>
      <c r="C39" s="154"/>
      <c r="D39" s="155"/>
      <c r="E39" s="154"/>
      <c r="F39" s="154"/>
      <c r="G39" s="154"/>
      <c r="H39" s="154"/>
      <c r="I39" s="156"/>
      <c r="J39" s="157"/>
      <c r="K39" s="158"/>
      <c r="L39" s="159"/>
      <c r="M39" s="302">
        <f t="shared" si="0"/>
        <v>0</v>
      </c>
      <c r="N39" s="246" t="s">
        <v>293</v>
      </c>
      <c r="O39" s="153"/>
      <c r="P39" s="154"/>
      <c r="Q39" s="155"/>
      <c r="R39" s="154"/>
      <c r="S39" s="154"/>
      <c r="T39" s="154"/>
      <c r="U39" s="154"/>
      <c r="V39" s="294"/>
    </row>
    <row r="40" spans="1:22" ht="30" x14ac:dyDescent="0.25">
      <c r="A40" s="255" t="s">
        <v>294</v>
      </c>
      <c r="B40" s="56" t="s">
        <v>295</v>
      </c>
      <c r="C40" s="58"/>
      <c r="D40" s="84"/>
      <c r="E40" s="58"/>
      <c r="F40" s="58"/>
      <c r="G40" s="58"/>
      <c r="H40" s="58"/>
      <c r="I40" s="101"/>
      <c r="J40" s="102"/>
      <c r="K40" s="103"/>
      <c r="L40" s="160"/>
      <c r="M40" s="302">
        <f t="shared" si="0"/>
        <v>0</v>
      </c>
      <c r="N40" s="242" t="s">
        <v>296</v>
      </c>
      <c r="O40" s="56" t="s">
        <v>297</v>
      </c>
      <c r="P40" s="58"/>
      <c r="Q40" s="84"/>
      <c r="R40" s="58"/>
      <c r="S40" s="58"/>
      <c r="T40" s="58"/>
      <c r="U40" s="58"/>
      <c r="V40" s="285"/>
    </row>
    <row r="41" spans="1:22" ht="18" x14ac:dyDescent="0.25">
      <c r="A41" s="255" t="s">
        <v>298</v>
      </c>
      <c r="B41" s="56">
        <v>10</v>
      </c>
      <c r="C41" s="58">
        <v>1</v>
      </c>
      <c r="D41" s="84">
        <f t="shared" si="8"/>
        <v>10</v>
      </c>
      <c r="E41" s="58">
        <v>0</v>
      </c>
      <c r="F41" s="58">
        <f>D41*E41</f>
        <v>0</v>
      </c>
      <c r="G41" s="58">
        <f>F41*0.05</f>
        <v>0</v>
      </c>
      <c r="H41" s="58">
        <f t="shared" ref="H41" si="17">F41*0.1</f>
        <v>0</v>
      </c>
      <c r="I41" s="101">
        <f>F41*$F$2+G41*$G$2+H41*$H$2</f>
        <v>0</v>
      </c>
      <c r="J41" s="102"/>
      <c r="K41" s="103"/>
      <c r="L41" s="104">
        <f>I41</f>
        <v>0</v>
      </c>
      <c r="M41" s="302">
        <f t="shared" si="0"/>
        <v>-1243</v>
      </c>
      <c r="N41" s="242" t="s">
        <v>299</v>
      </c>
      <c r="O41" s="56">
        <v>3</v>
      </c>
      <c r="P41" s="58">
        <v>1</v>
      </c>
      <c r="Q41" s="84">
        <v>3</v>
      </c>
      <c r="R41" s="58" t="s">
        <v>238</v>
      </c>
      <c r="S41" s="58">
        <v>18</v>
      </c>
      <c r="T41" s="58">
        <v>1</v>
      </c>
      <c r="U41" s="58">
        <v>2</v>
      </c>
      <c r="V41" s="286">
        <v>1243</v>
      </c>
    </row>
    <row r="42" spans="1:22" x14ac:dyDescent="0.25">
      <c r="A42" s="255" t="s">
        <v>300</v>
      </c>
      <c r="B42" s="56" t="s">
        <v>261</v>
      </c>
      <c r="C42" s="58"/>
      <c r="D42" s="84"/>
      <c r="E42" s="58"/>
      <c r="F42" s="58"/>
      <c r="G42" s="58"/>
      <c r="H42" s="58"/>
      <c r="I42" s="101"/>
      <c r="J42" s="102"/>
      <c r="K42" s="103"/>
      <c r="L42" s="160"/>
      <c r="M42" s="302">
        <f t="shared" si="0"/>
        <v>-4933</v>
      </c>
      <c r="N42" s="242" t="s">
        <v>301</v>
      </c>
      <c r="O42" s="56">
        <v>12</v>
      </c>
      <c r="P42" s="58">
        <v>1</v>
      </c>
      <c r="Q42" s="84">
        <v>12</v>
      </c>
      <c r="R42" s="58" t="s">
        <v>238</v>
      </c>
      <c r="S42" s="58">
        <v>72</v>
      </c>
      <c r="T42" s="58">
        <v>4</v>
      </c>
      <c r="U42" s="58">
        <v>7</v>
      </c>
      <c r="V42" s="286">
        <v>4933</v>
      </c>
    </row>
    <row r="43" spans="1:22" ht="33" x14ac:dyDescent="0.25">
      <c r="A43" s="278" t="s">
        <v>302</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2">
        <f t="shared" si="0"/>
        <v>4576.6754000000001</v>
      </c>
      <c r="N43" s="242" t="s">
        <v>303</v>
      </c>
      <c r="O43" s="56">
        <v>3</v>
      </c>
      <c r="P43" s="58">
        <v>1</v>
      </c>
      <c r="Q43" s="84">
        <v>3</v>
      </c>
      <c r="R43" s="58" t="s">
        <v>238</v>
      </c>
      <c r="S43" s="58">
        <v>18</v>
      </c>
      <c r="T43" s="58">
        <v>1</v>
      </c>
      <c r="U43" s="58">
        <v>2</v>
      </c>
      <c r="V43" s="286">
        <v>1243</v>
      </c>
    </row>
    <row r="44" spans="1:22" ht="45" x14ac:dyDescent="0.25">
      <c r="A44" s="278" t="s">
        <v>304</v>
      </c>
      <c r="B44" s="54"/>
      <c r="C44" s="54"/>
      <c r="D44" s="54"/>
      <c r="E44" s="54"/>
      <c r="F44" s="54"/>
      <c r="G44" s="54"/>
      <c r="H44" s="54"/>
      <c r="I44" s="224"/>
      <c r="J44" s="102"/>
      <c r="K44" s="103"/>
      <c r="L44" s="160"/>
      <c r="M44" s="302">
        <f t="shared" si="0"/>
        <v>-63800</v>
      </c>
      <c r="N44" s="242" t="s">
        <v>305</v>
      </c>
      <c r="O44" s="56" t="s">
        <v>306</v>
      </c>
      <c r="P44" s="58" t="s">
        <v>307</v>
      </c>
      <c r="Q44" s="161">
        <v>156</v>
      </c>
      <c r="R44" s="58" t="s">
        <v>238</v>
      </c>
      <c r="S44" s="77">
        <v>936</v>
      </c>
      <c r="T44" s="78">
        <v>47</v>
      </c>
      <c r="U44" s="78">
        <v>94</v>
      </c>
      <c r="V44" s="286">
        <v>63800</v>
      </c>
    </row>
    <row r="45" spans="1:22" ht="48" x14ac:dyDescent="0.25">
      <c r="A45" s="279" t="s">
        <v>308</v>
      </c>
      <c r="B45" s="51">
        <v>2</v>
      </c>
      <c r="C45" s="51">
        <v>12</v>
      </c>
      <c r="D45" s="51">
        <f t="shared" si="8"/>
        <v>24</v>
      </c>
      <c r="E45" s="73">
        <v>1</v>
      </c>
      <c r="F45" s="74">
        <f t="shared" ref="F45" si="18">D45*E45</f>
        <v>24</v>
      </c>
      <c r="G45" s="80">
        <f t="shared" ref="G45" si="19">F45*0.05</f>
        <v>1.2000000000000002</v>
      </c>
      <c r="H45" s="74">
        <f t="shared" ref="H45" si="20">F45*0.1</f>
        <v>2.4000000000000004</v>
      </c>
      <c r="I45" s="52">
        <f>F45*$F$2+G45*$G$2+H45*$H$2</f>
        <v>3174.3684000000003</v>
      </c>
      <c r="J45" s="131"/>
      <c r="K45" s="132"/>
      <c r="L45" s="133">
        <f>I45</f>
        <v>3174.3684000000003</v>
      </c>
      <c r="M45" s="302">
        <f t="shared" si="0"/>
        <v>3174.3684000000003</v>
      </c>
      <c r="N45" s="243"/>
      <c r="O45" s="66"/>
      <c r="P45" s="68"/>
      <c r="Q45" s="162"/>
      <c r="R45" s="68"/>
      <c r="S45" s="88"/>
      <c r="T45" s="115"/>
      <c r="U45" s="115"/>
      <c r="V45" s="288"/>
    </row>
    <row r="46" spans="1:22" ht="18" x14ac:dyDescent="0.25">
      <c r="A46" s="279" t="s">
        <v>309</v>
      </c>
      <c r="B46" s="49">
        <v>3.25</v>
      </c>
      <c r="C46" s="51">
        <v>52</v>
      </c>
      <c r="D46" s="163">
        <f>B46*C46</f>
        <v>169</v>
      </c>
      <c r="E46" s="51">
        <v>11</v>
      </c>
      <c r="F46" s="74">
        <f>D46*E46</f>
        <v>1859</v>
      </c>
      <c r="G46" s="74">
        <f>F46*0.05</f>
        <v>92.95</v>
      </c>
      <c r="H46" s="74">
        <f>F46*0.1</f>
        <v>185.9</v>
      </c>
      <c r="I46" s="52">
        <f>F46*$F$2+G46*$G$2+H46*$H$2</f>
        <v>245881.28565000003</v>
      </c>
      <c r="J46" s="102"/>
      <c r="K46" s="103"/>
      <c r="L46" s="104">
        <f>I46</f>
        <v>245881.28565000003</v>
      </c>
      <c r="M46" s="302">
        <f t="shared" si="0"/>
        <v>245881.28565000003</v>
      </c>
      <c r="N46" s="243"/>
      <c r="O46" s="66"/>
      <c r="P46" s="68"/>
      <c r="Q46" s="162"/>
      <c r="R46" s="68"/>
      <c r="S46" s="88"/>
      <c r="T46" s="115"/>
      <c r="U46" s="115"/>
      <c r="V46" s="288"/>
    </row>
    <row r="47" spans="1:22" x14ac:dyDescent="0.25">
      <c r="A47" s="253" t="s">
        <v>310</v>
      </c>
      <c r="B47" s="49"/>
      <c r="C47" s="51"/>
      <c r="D47" s="83"/>
      <c r="E47" s="51"/>
      <c r="F47" s="51"/>
      <c r="G47" s="51"/>
      <c r="H47" s="51"/>
      <c r="I47" s="52"/>
      <c r="J47" s="102"/>
      <c r="K47" s="103"/>
      <c r="L47" s="160"/>
      <c r="M47" s="302">
        <f t="shared" si="0"/>
        <v>-1243</v>
      </c>
      <c r="N47" s="242" t="s">
        <v>311</v>
      </c>
      <c r="O47" s="56">
        <v>3</v>
      </c>
      <c r="P47" s="58">
        <v>1</v>
      </c>
      <c r="Q47" s="84">
        <v>3</v>
      </c>
      <c r="R47" s="58" t="s">
        <v>238</v>
      </c>
      <c r="S47" s="58">
        <v>18</v>
      </c>
      <c r="T47" s="58">
        <v>1</v>
      </c>
      <c r="U47" s="58">
        <v>2</v>
      </c>
      <c r="V47" s="286">
        <v>1243</v>
      </c>
    </row>
    <row r="48" spans="1:22" ht="18" x14ac:dyDescent="0.25">
      <c r="A48" s="280" t="s">
        <v>312</v>
      </c>
      <c r="B48" s="51">
        <v>3</v>
      </c>
      <c r="C48" s="51">
        <v>1</v>
      </c>
      <c r="D48" s="51">
        <f>B48*C48</f>
        <v>3</v>
      </c>
      <c r="E48" s="51">
        <v>0</v>
      </c>
      <c r="F48" s="74">
        <f>D48*E48</f>
        <v>0</v>
      </c>
      <c r="G48" s="74">
        <f>F48*0.05</f>
        <v>0</v>
      </c>
      <c r="H48" s="74">
        <f>F48*0.1</f>
        <v>0</v>
      </c>
      <c r="I48" s="52">
        <f>F48*$F$2+G48*$G$2+H48*$H$2</f>
        <v>0</v>
      </c>
      <c r="J48" s="102"/>
      <c r="K48" s="103"/>
      <c r="L48" s="104">
        <f>I48</f>
        <v>0</v>
      </c>
      <c r="M48" s="302">
        <f t="shared" si="0"/>
        <v>0</v>
      </c>
      <c r="N48" s="243"/>
      <c r="O48" s="66"/>
      <c r="P48" s="68"/>
      <c r="Q48" s="86"/>
      <c r="R48" s="68"/>
      <c r="S48" s="68"/>
      <c r="T48" s="68"/>
      <c r="U48" s="68"/>
      <c r="V48" s="288"/>
    </row>
    <row r="49" spans="1:22" ht="18" x14ac:dyDescent="0.25">
      <c r="A49" s="280" t="s">
        <v>313</v>
      </c>
      <c r="B49" s="51">
        <v>1</v>
      </c>
      <c r="C49" s="51">
        <v>1</v>
      </c>
      <c r="D49" s="51">
        <f t="shared" ref="D49" si="21">B49*C49</f>
        <v>1</v>
      </c>
      <c r="E49" s="51">
        <v>11</v>
      </c>
      <c r="F49" s="74">
        <f t="shared" ref="F49:F51" si="22">D49*E49</f>
        <v>11</v>
      </c>
      <c r="G49" s="80">
        <f t="shared" ref="G49:G50" si="23">F49*0.05</f>
        <v>0.55000000000000004</v>
      </c>
      <c r="H49" s="80">
        <f t="shared" ref="H49:H50" si="24">F49*0.1</f>
        <v>1.1000000000000001</v>
      </c>
      <c r="I49" s="52">
        <f>F49*$F$2+G49*$G$2+H49*$H$2</f>
        <v>1454.91885</v>
      </c>
      <c r="J49" s="131"/>
      <c r="K49" s="132">
        <f>I49</f>
        <v>1454.91885</v>
      </c>
      <c r="L49" s="133"/>
      <c r="M49" s="302">
        <f t="shared" si="0"/>
        <v>1454.91885</v>
      </c>
      <c r="N49" s="243"/>
      <c r="O49" s="66"/>
      <c r="P49" s="68"/>
      <c r="Q49" s="86"/>
      <c r="R49" s="68"/>
      <c r="S49" s="68"/>
      <c r="T49" s="68"/>
      <c r="U49" s="68"/>
      <c r="V49" s="288"/>
    </row>
    <row r="50" spans="1:22" ht="45" x14ac:dyDescent="0.25">
      <c r="A50" s="281" t="s">
        <v>314</v>
      </c>
      <c r="B50" s="51">
        <v>20</v>
      </c>
      <c r="C50" s="51">
        <v>1</v>
      </c>
      <c r="D50" s="51">
        <f>B50*C50</f>
        <v>20</v>
      </c>
      <c r="E50" s="69">
        <f>11/3</f>
        <v>3.6666666666666665</v>
      </c>
      <c r="F50" s="74">
        <f t="shared" si="22"/>
        <v>73.333333333333329</v>
      </c>
      <c r="G50" s="80">
        <f t="shared" si="23"/>
        <v>3.6666666666666665</v>
      </c>
      <c r="H50" s="80">
        <f t="shared" si="24"/>
        <v>7.333333333333333</v>
      </c>
      <c r="I50" s="52">
        <f>F50*$F$2+G50*$G$2+H50*$H$2</f>
        <v>9699.4589999999989</v>
      </c>
      <c r="J50" s="131"/>
      <c r="K50" s="132">
        <f>I50</f>
        <v>9699.4589999999989</v>
      </c>
      <c r="L50" s="133"/>
      <c r="M50" s="302">
        <f t="shared" si="0"/>
        <v>8456.4589999999989</v>
      </c>
      <c r="N50" s="242" t="s">
        <v>315</v>
      </c>
      <c r="O50" s="56">
        <v>3</v>
      </c>
      <c r="P50" s="58">
        <v>1</v>
      </c>
      <c r="Q50" s="84">
        <v>3</v>
      </c>
      <c r="R50" s="58" t="s">
        <v>238</v>
      </c>
      <c r="S50" s="58">
        <v>18</v>
      </c>
      <c r="T50" s="58">
        <v>1</v>
      </c>
      <c r="U50" s="58">
        <v>2</v>
      </c>
      <c r="V50" s="286">
        <v>1243</v>
      </c>
    </row>
    <row r="51" spans="1:22" ht="33" x14ac:dyDescent="0.25">
      <c r="A51" s="281" t="s">
        <v>316</v>
      </c>
      <c r="B51" s="49">
        <v>8</v>
      </c>
      <c r="C51" s="51">
        <v>2</v>
      </c>
      <c r="D51" s="83">
        <f t="shared" ref="D51" si="25">B51*C51</f>
        <v>16</v>
      </c>
      <c r="E51" s="73">
        <v>11</v>
      </c>
      <c r="F51" s="74">
        <f t="shared" si="22"/>
        <v>176</v>
      </c>
      <c r="G51" s="80">
        <f>F51*0.05</f>
        <v>8.8000000000000007</v>
      </c>
      <c r="H51" s="74">
        <f>F51*0.1</f>
        <v>17.600000000000001</v>
      </c>
      <c r="I51" s="52">
        <f>F51*$F$2+G51*$G$2+H51*$H$2</f>
        <v>23278.7016</v>
      </c>
      <c r="J51" s="131"/>
      <c r="K51" s="132">
        <f>I51</f>
        <v>23278.7016</v>
      </c>
      <c r="L51" s="133"/>
      <c r="M51" s="302">
        <f t="shared" si="0"/>
        <v>23074.7016</v>
      </c>
      <c r="N51" s="242" t="s">
        <v>317</v>
      </c>
      <c r="O51" s="56" t="s">
        <v>318</v>
      </c>
      <c r="P51" s="58">
        <v>2</v>
      </c>
      <c r="Q51" s="84">
        <v>0.5</v>
      </c>
      <c r="R51" s="58" t="s">
        <v>238</v>
      </c>
      <c r="S51" s="58">
        <v>3</v>
      </c>
      <c r="T51" s="58">
        <v>0.15</v>
      </c>
      <c r="U51" s="58">
        <v>0.3</v>
      </c>
      <c r="V51" s="286">
        <v>204</v>
      </c>
    </row>
    <row r="52" spans="1:22" ht="15.75" thickBot="1" x14ac:dyDescent="0.3">
      <c r="A52" s="257" t="s">
        <v>319</v>
      </c>
      <c r="B52" s="164" t="s">
        <v>51</v>
      </c>
      <c r="C52" s="165"/>
      <c r="D52" s="84"/>
      <c r="E52" s="165"/>
      <c r="F52" s="169"/>
      <c r="G52" s="169"/>
      <c r="H52" s="169"/>
      <c r="I52" s="225"/>
      <c r="J52" s="166"/>
      <c r="K52" s="167"/>
      <c r="L52" s="168"/>
      <c r="M52" s="302">
        <f t="shared" si="0"/>
        <v>0</v>
      </c>
      <c r="N52" s="245" t="s">
        <v>320</v>
      </c>
      <c r="O52" s="164" t="s">
        <v>51</v>
      </c>
      <c r="P52" s="165"/>
      <c r="Q52" s="84"/>
      <c r="R52" s="165"/>
      <c r="S52" s="169"/>
      <c r="T52" s="169"/>
      <c r="U52" s="169"/>
      <c r="V52" s="295"/>
    </row>
    <row r="53" spans="1:22" ht="29.25" thickBot="1" x14ac:dyDescent="0.3">
      <c r="A53" s="145" t="s">
        <v>321</v>
      </c>
      <c r="B53" s="152"/>
      <c r="C53" s="147"/>
      <c r="D53" s="147"/>
      <c r="E53" s="147"/>
      <c r="F53" s="571">
        <f>SUM(F40:H52)</f>
        <v>2515.4333333333338</v>
      </c>
      <c r="G53" s="572"/>
      <c r="H53" s="573"/>
      <c r="I53" s="148">
        <f>SUM(I40:I52)</f>
        <v>289308.40890000004</v>
      </c>
      <c r="J53" s="149">
        <f>SUM(J40:J52)</f>
        <v>5819.6754000000001</v>
      </c>
      <c r="K53" s="150">
        <f>SUM(K40:K52)</f>
        <v>34433.079449999997</v>
      </c>
      <c r="L53" s="151">
        <f>SUM(L40:L52)</f>
        <v>249055.65405000004</v>
      </c>
      <c r="M53" s="302">
        <f t="shared" si="0"/>
        <v>215399.40890000004</v>
      </c>
      <c r="N53" s="259"/>
      <c r="O53" s="170"/>
      <c r="P53" s="171"/>
      <c r="Q53" s="147"/>
      <c r="R53" s="171"/>
      <c r="S53" s="209"/>
      <c r="T53" s="209"/>
      <c r="U53" s="209"/>
      <c r="V53" s="293">
        <f>SUM(V39:V52)</f>
        <v>73909</v>
      </c>
    </row>
    <row r="54" spans="1:22" ht="31.5" thickBot="1" x14ac:dyDescent="0.3">
      <c r="A54" s="145" t="s">
        <v>322</v>
      </c>
      <c r="B54" s="508"/>
      <c r="C54" s="146"/>
      <c r="D54" s="146"/>
      <c r="E54" s="146"/>
      <c r="F54" s="571">
        <f>ROUND(F53+F38,-2)</f>
        <v>9000</v>
      </c>
      <c r="G54" s="574"/>
      <c r="H54" s="575"/>
      <c r="I54" s="148">
        <f>ROUND(I38+I53,-4)</f>
        <v>1030000</v>
      </c>
      <c r="J54" s="149">
        <f>ROUND(J38+J53,-4)</f>
        <v>10000</v>
      </c>
      <c r="K54" s="150">
        <f>ROUND(K38+K53,-4)</f>
        <v>150000</v>
      </c>
      <c r="L54" s="151">
        <f>ROUND(L38+L53,-4)</f>
        <v>870000</v>
      </c>
      <c r="M54" s="302">
        <f t="shared" si="0"/>
        <v>747185</v>
      </c>
      <c r="N54" s="260" t="s">
        <v>323</v>
      </c>
      <c r="O54" s="146"/>
      <c r="P54" s="146"/>
      <c r="Q54" s="146"/>
      <c r="R54" s="146"/>
      <c r="S54" s="172">
        <v>4148</v>
      </c>
      <c r="T54" s="226">
        <v>210</v>
      </c>
      <c r="U54" s="226">
        <v>414</v>
      </c>
      <c r="V54" s="293">
        <v>282815</v>
      </c>
    </row>
    <row r="55" spans="1:22" x14ac:dyDescent="0.25">
      <c r="A55" s="173"/>
      <c r="B55" s="174"/>
      <c r="C55" s="175"/>
      <c r="D55" s="175"/>
      <c r="E55" s="175"/>
      <c r="F55" s="176"/>
      <c r="G55" s="227"/>
      <c r="H55" s="174"/>
      <c r="I55" s="177"/>
      <c r="J55" s="178"/>
      <c r="K55" s="179"/>
      <c r="L55" s="180"/>
      <c r="M55" s="302"/>
      <c r="N55" s="261" t="s">
        <v>324</v>
      </c>
      <c r="O55" s="181"/>
      <c r="P55" s="181"/>
      <c r="Q55" s="181"/>
      <c r="R55" s="181"/>
      <c r="S55" s="182"/>
      <c r="T55" s="228"/>
      <c r="U55" s="228"/>
      <c r="V55" s="296">
        <v>42000</v>
      </c>
    </row>
    <row r="56" spans="1:22" ht="28.5" x14ac:dyDescent="0.25">
      <c r="A56" s="187"/>
      <c r="B56" s="188"/>
      <c r="C56" s="189"/>
      <c r="D56" s="189"/>
      <c r="E56" s="189"/>
      <c r="F56" s="190"/>
      <c r="G56" s="230"/>
      <c r="H56" s="188"/>
      <c r="I56" s="191"/>
      <c r="J56" s="192"/>
      <c r="K56" s="193"/>
      <c r="L56" s="194"/>
      <c r="M56" s="302"/>
      <c r="N56" s="262" t="s">
        <v>325</v>
      </c>
      <c r="O56" s="58"/>
      <c r="P56" s="58"/>
      <c r="Q56" s="58"/>
      <c r="R56" s="58"/>
      <c r="S56" s="77"/>
      <c r="T56" s="58"/>
      <c r="U56" s="58"/>
      <c r="V56" s="297">
        <v>22300</v>
      </c>
    </row>
    <row r="57" spans="1:22" ht="31.5" thickBot="1" x14ac:dyDescent="0.3">
      <c r="A57" s="199" t="s">
        <v>326</v>
      </c>
      <c r="B57" s="200"/>
      <c r="C57" s="200"/>
      <c r="D57" s="200"/>
      <c r="E57" s="200"/>
      <c r="F57" s="201"/>
      <c r="G57" s="200"/>
      <c r="H57" s="200"/>
      <c r="I57" s="202" t="e">
        <f>#REF!</f>
        <v>#REF!</v>
      </c>
      <c r="J57" s="203">
        <v>0</v>
      </c>
      <c r="K57" s="204">
        <v>0</v>
      </c>
      <c r="L57" s="205" t="e">
        <f>I57</f>
        <v>#REF!</v>
      </c>
      <c r="M57" s="302" t="e">
        <f t="shared" si="0"/>
        <v>#REF!</v>
      </c>
      <c r="N57" s="199" t="s">
        <v>327</v>
      </c>
      <c r="O57" s="206"/>
      <c r="P57" s="206"/>
      <c r="Q57" s="206"/>
      <c r="R57" s="206"/>
      <c r="S57" s="207"/>
      <c r="T57" s="206"/>
      <c r="U57" s="206"/>
      <c r="V57" s="298">
        <v>64300</v>
      </c>
    </row>
    <row r="58" spans="1:22" ht="17.25" thickBot="1" x14ac:dyDescent="0.3">
      <c r="A58" s="208" t="s">
        <v>328</v>
      </c>
      <c r="B58" s="209"/>
      <c r="C58" s="209"/>
      <c r="D58" s="209"/>
      <c r="E58" s="209"/>
      <c r="F58" s="210"/>
      <c r="G58" s="209"/>
      <c r="H58" s="209"/>
      <c r="I58" s="211" t="e">
        <f>ROUND(I54+I57, -4)</f>
        <v>#REF!</v>
      </c>
      <c r="J58" s="212">
        <f>ROUND(J54+J57, -4)</f>
        <v>10000</v>
      </c>
      <c r="K58" s="213">
        <f>ROUND(K54+K57, -4)</f>
        <v>150000</v>
      </c>
      <c r="L58" s="214" t="e">
        <f>ROUND(L54+L57, -4)</f>
        <v>#REF!</v>
      </c>
      <c r="M58" s="303" t="e">
        <f t="shared" si="0"/>
        <v>#REF!</v>
      </c>
      <c r="N58" s="263"/>
      <c r="O58" s="232"/>
      <c r="P58" s="232"/>
      <c r="Q58" s="232"/>
      <c r="R58" s="232"/>
      <c r="S58" s="233"/>
      <c r="T58" s="232"/>
      <c r="U58" s="232"/>
      <c r="V58" s="293">
        <f>V54+V57</f>
        <v>347115</v>
      </c>
    </row>
    <row r="59" spans="1:22" x14ac:dyDescent="0.25">
      <c r="A59" s="216"/>
      <c r="F59" s="234"/>
      <c r="N59" s="216"/>
    </row>
    <row r="60" spans="1:22" x14ac:dyDescent="0.25">
      <c r="A60" s="218" t="s">
        <v>112</v>
      </c>
      <c r="N60" s="216"/>
    </row>
    <row r="61" spans="1:22" ht="18" x14ac:dyDescent="0.25">
      <c r="A61" s="219" t="s">
        <v>329</v>
      </c>
      <c r="J61" s="220"/>
      <c r="K61" s="220"/>
      <c r="L61" s="220"/>
      <c r="N61" s="10" t="s">
        <v>330</v>
      </c>
    </row>
    <row r="62" spans="1:22" ht="18" x14ac:dyDescent="0.25">
      <c r="A62" s="559" t="s">
        <v>331</v>
      </c>
      <c r="B62" s="559"/>
      <c r="C62" s="559"/>
      <c r="D62" s="559"/>
      <c r="E62" s="559"/>
      <c r="F62" s="559"/>
      <c r="G62" s="559"/>
      <c r="H62" s="559"/>
      <c r="I62" s="559"/>
      <c r="N62" s="10" t="s">
        <v>332</v>
      </c>
    </row>
    <row r="63" spans="1:22" x14ac:dyDescent="0.25">
      <c r="A63" s="562" t="s">
        <v>333</v>
      </c>
      <c r="B63" s="563"/>
      <c r="C63" s="563"/>
      <c r="D63" s="563"/>
      <c r="E63" s="563"/>
      <c r="F63" s="563"/>
      <c r="G63" s="563"/>
      <c r="H63" s="563"/>
      <c r="I63" s="563"/>
      <c r="J63" s="220"/>
      <c r="K63" s="220"/>
      <c r="L63" s="220"/>
      <c r="N63" s="10" t="s">
        <v>334</v>
      </c>
    </row>
    <row r="64" spans="1:22" x14ac:dyDescent="0.25">
      <c r="A64" s="562" t="s">
        <v>335</v>
      </c>
      <c r="B64" s="563"/>
      <c r="C64" s="563"/>
      <c r="D64" s="563"/>
      <c r="E64" s="563"/>
      <c r="F64" s="563"/>
      <c r="G64" s="563"/>
      <c r="H64" s="563"/>
      <c r="I64" s="563"/>
      <c r="J64" s="220"/>
      <c r="K64" s="220"/>
      <c r="L64" s="220"/>
      <c r="N64" s="10" t="s">
        <v>336</v>
      </c>
    </row>
    <row r="65" spans="1:14" x14ac:dyDescent="0.25">
      <c r="A65" s="564" t="s">
        <v>337</v>
      </c>
      <c r="B65" s="565"/>
      <c r="C65" s="565"/>
      <c r="D65" s="565"/>
      <c r="E65" s="565"/>
      <c r="F65" s="565"/>
      <c r="G65" s="565"/>
      <c r="H65" s="565"/>
      <c r="I65" s="565"/>
      <c r="N65" s="10" t="s">
        <v>338</v>
      </c>
    </row>
    <row r="66" spans="1:14" x14ac:dyDescent="0.25">
      <c r="A66" s="566" t="s">
        <v>339</v>
      </c>
      <c r="B66" s="566"/>
      <c r="C66" s="566"/>
      <c r="D66" s="566"/>
      <c r="E66" s="566"/>
      <c r="F66" s="566"/>
      <c r="G66" s="566"/>
      <c r="H66" s="566"/>
      <c r="I66" s="566"/>
      <c r="N66" s="10" t="s">
        <v>340</v>
      </c>
    </row>
    <row r="67" spans="1:14" ht="18" x14ac:dyDescent="0.25">
      <c r="A67" s="559" t="s">
        <v>341</v>
      </c>
      <c r="B67" s="559"/>
      <c r="C67" s="559"/>
      <c r="D67" s="559"/>
      <c r="E67" s="559"/>
      <c r="F67" s="559"/>
      <c r="G67" s="559"/>
      <c r="H67" s="559"/>
      <c r="I67" s="559"/>
      <c r="N67" s="10" t="s">
        <v>342</v>
      </c>
    </row>
    <row r="68" spans="1:14" ht="18" x14ac:dyDescent="0.25">
      <c r="A68" s="559" t="s">
        <v>343</v>
      </c>
      <c r="B68" s="559"/>
      <c r="C68" s="559"/>
      <c r="D68" s="559"/>
      <c r="E68" s="559"/>
      <c r="F68" s="559"/>
      <c r="G68" s="559"/>
      <c r="H68" s="559"/>
      <c r="I68" s="559"/>
      <c r="N68" s="10" t="s">
        <v>344</v>
      </c>
    </row>
    <row r="69" spans="1:14" ht="18" x14ac:dyDescent="0.25">
      <c r="A69" s="558" t="s">
        <v>345</v>
      </c>
      <c r="B69" s="558"/>
      <c r="C69" s="558"/>
      <c r="D69" s="558"/>
      <c r="E69" s="558"/>
      <c r="F69" s="558"/>
      <c r="G69" s="558"/>
      <c r="H69" s="558"/>
      <c r="I69" s="558"/>
      <c r="N69" s="10" t="s">
        <v>346</v>
      </c>
    </row>
    <row r="70" spans="1:14" ht="18" x14ac:dyDescent="0.25">
      <c r="A70" s="219" t="s">
        <v>347</v>
      </c>
      <c r="G70" s="9"/>
      <c r="N70" s="10" t="s">
        <v>348</v>
      </c>
    </row>
    <row r="71" spans="1:14" ht="18" x14ac:dyDescent="0.25">
      <c r="A71" s="219" t="s">
        <v>349</v>
      </c>
      <c r="N71" s="10" t="s">
        <v>350</v>
      </c>
    </row>
    <row r="72" spans="1:14" ht="18" x14ac:dyDescent="0.25">
      <c r="A72" s="559" t="s">
        <v>351</v>
      </c>
      <c r="B72" s="559"/>
      <c r="C72" s="559"/>
      <c r="D72" s="559"/>
      <c r="E72" s="559"/>
      <c r="F72" s="559"/>
      <c r="G72" s="559"/>
      <c r="H72" s="559"/>
      <c r="I72" s="559"/>
      <c r="N72" s="10" t="s">
        <v>352</v>
      </c>
    </row>
    <row r="73" spans="1:14" ht="18" x14ac:dyDescent="0.25">
      <c r="A73" s="222" t="s">
        <v>353</v>
      </c>
      <c r="N73" s="10" t="s">
        <v>354</v>
      </c>
    </row>
    <row r="74" spans="1:14" ht="18" x14ac:dyDescent="0.25">
      <c r="A74" s="221" t="s">
        <v>355</v>
      </c>
    </row>
  </sheetData>
  <mergeCells count="15">
    <mergeCell ref="A1:I1"/>
    <mergeCell ref="A3:A4"/>
    <mergeCell ref="F38:H38"/>
    <mergeCell ref="F53:H53"/>
    <mergeCell ref="F54:H54"/>
    <mergeCell ref="A69:I69"/>
    <mergeCell ref="A72:I72"/>
    <mergeCell ref="N3:N4"/>
    <mergeCell ref="A63:I63"/>
    <mergeCell ref="A64:I64"/>
    <mergeCell ref="A65:I65"/>
    <mergeCell ref="A66:I66"/>
    <mergeCell ref="A67:I67"/>
    <mergeCell ref="A68:I68"/>
    <mergeCell ref="A62:I62"/>
  </mergeCells>
  <pageMargins left="0.7" right="0.7" top="0.75" bottom="0.75" header="0.3" footer="0.3"/>
  <pageSetup orientation="portrait" horizontalDpi="4294967293"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7030A0"/>
  </sheetPr>
  <dimension ref="A1:Y74"/>
  <sheetViews>
    <sheetView zoomScale="90" zoomScaleNormal="90" workbookViewId="0">
      <pane xSplit="1" ySplit="4" topLeftCell="B50" activePane="bottomRight" state="frozen"/>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7" customWidth="1"/>
    <col min="13" max="13" width="12" style="282" customWidth="1"/>
    <col min="14" max="14" width="35.7109375" style="10" customWidth="1"/>
    <col min="15" max="21" width="10.7109375" style="10" customWidth="1"/>
    <col min="22" max="22" width="10.7109375" style="234" customWidth="1"/>
    <col min="23" max="16384" width="9.140625" style="10"/>
  </cols>
  <sheetData>
    <row r="1" spans="1:25" x14ac:dyDescent="0.25">
      <c r="A1" s="567" t="s">
        <v>223</v>
      </c>
      <c r="B1" s="568"/>
      <c r="C1" s="568"/>
      <c r="D1" s="568"/>
      <c r="E1" s="568"/>
      <c r="F1" s="568"/>
      <c r="G1" s="568"/>
      <c r="H1" s="568"/>
      <c r="I1" s="568"/>
      <c r="J1" s="264"/>
      <c r="K1" s="264"/>
      <c r="L1" s="265"/>
      <c r="M1" s="299"/>
      <c r="N1" s="235" t="s">
        <v>356</v>
      </c>
      <c r="O1" s="236"/>
      <c r="P1" s="236"/>
      <c r="Q1" s="236"/>
      <c r="R1" s="236"/>
      <c r="S1" s="236"/>
      <c r="T1" s="236"/>
      <c r="U1" s="236"/>
      <c r="V1" s="237"/>
    </row>
    <row r="2" spans="1:25" x14ac:dyDescent="0.25">
      <c r="A2" s="316" t="s">
        <v>225</v>
      </c>
      <c r="B2" s="266"/>
      <c r="C2" s="266"/>
      <c r="D2" s="266"/>
      <c r="E2" s="266"/>
      <c r="F2" s="39">
        <v>119.46900000000001</v>
      </c>
      <c r="G2" s="39">
        <v>139.62899999999999</v>
      </c>
      <c r="H2" s="39">
        <v>58.149000000000001</v>
      </c>
      <c r="I2" s="40" t="s">
        <v>35</v>
      </c>
      <c r="J2" s="267" t="s">
        <v>226</v>
      </c>
      <c r="K2" s="268"/>
      <c r="L2" s="269"/>
      <c r="M2" s="304"/>
      <c r="N2" s="238"/>
      <c r="O2" s="239"/>
      <c r="P2" s="239"/>
      <c r="Q2" s="239"/>
      <c r="R2" s="239"/>
      <c r="S2" s="41">
        <v>117.92</v>
      </c>
      <c r="T2" s="41">
        <v>147.4</v>
      </c>
      <c r="U2" s="41">
        <v>57.02</v>
      </c>
      <c r="V2" s="240" t="s">
        <v>35</v>
      </c>
    </row>
    <row r="3" spans="1:25" ht="15.75" thickBot="1" x14ac:dyDescent="0.3">
      <c r="A3" s="569" t="s">
        <v>36</v>
      </c>
      <c r="B3" s="42" t="s">
        <v>1</v>
      </c>
      <c r="C3" s="42" t="s">
        <v>2</v>
      </c>
      <c r="D3" s="42" t="s">
        <v>3</v>
      </c>
      <c r="E3" s="42" t="s">
        <v>4</v>
      </c>
      <c r="F3" s="42" t="s">
        <v>5</v>
      </c>
      <c r="G3" s="42" t="s">
        <v>6</v>
      </c>
      <c r="H3" s="42" t="s">
        <v>7</v>
      </c>
      <c r="I3" s="42" t="s">
        <v>37</v>
      </c>
      <c r="J3" s="270">
        <f>69/(98+43+4+69)*100</f>
        <v>32.242990654205606</v>
      </c>
      <c r="K3" s="268"/>
      <c r="L3" s="269"/>
      <c r="M3" s="305"/>
      <c r="N3" s="579" t="s">
        <v>36</v>
      </c>
      <c r="O3" s="44" t="s">
        <v>1</v>
      </c>
      <c r="P3" s="44" t="s">
        <v>2</v>
      </c>
      <c r="Q3" s="44" t="s">
        <v>3</v>
      </c>
      <c r="R3" s="44" t="s">
        <v>4</v>
      </c>
      <c r="S3" s="44" t="s">
        <v>5</v>
      </c>
      <c r="T3" s="44" t="s">
        <v>6</v>
      </c>
      <c r="U3" s="44" t="s">
        <v>7</v>
      </c>
      <c r="V3" s="241" t="s">
        <v>37</v>
      </c>
    </row>
    <row r="4" spans="1:25" ht="114" x14ac:dyDescent="0.25">
      <c r="A4" s="570"/>
      <c r="B4" s="42" t="s">
        <v>40</v>
      </c>
      <c r="C4" s="42" t="s">
        <v>41</v>
      </c>
      <c r="D4" s="42" t="s">
        <v>42</v>
      </c>
      <c r="E4" s="42" t="s">
        <v>227</v>
      </c>
      <c r="F4" s="42" t="s">
        <v>44</v>
      </c>
      <c r="G4" s="42" t="s">
        <v>45</v>
      </c>
      <c r="H4" s="42" t="s">
        <v>46</v>
      </c>
      <c r="I4" s="45" t="s">
        <v>228</v>
      </c>
      <c r="J4" s="46" t="s">
        <v>229</v>
      </c>
      <c r="K4" s="47" t="s">
        <v>230</v>
      </c>
      <c r="L4" s="48" t="s">
        <v>231</v>
      </c>
      <c r="M4" s="301" t="s">
        <v>357</v>
      </c>
      <c r="N4" s="580"/>
      <c r="O4" s="44" t="s">
        <v>40</v>
      </c>
      <c r="P4" s="44" t="s">
        <v>41</v>
      </c>
      <c r="Q4" s="44" t="s">
        <v>42</v>
      </c>
      <c r="R4" s="44" t="s">
        <v>358</v>
      </c>
      <c r="S4" s="44" t="s">
        <v>44</v>
      </c>
      <c r="T4" s="44" t="s">
        <v>45</v>
      </c>
      <c r="U4" s="44" t="s">
        <v>46</v>
      </c>
      <c r="V4" s="241" t="s">
        <v>359</v>
      </c>
      <c r="W4" s="46" t="s">
        <v>229</v>
      </c>
      <c r="X4" s="47" t="s">
        <v>230</v>
      </c>
      <c r="Y4" s="48" t="s">
        <v>231</v>
      </c>
    </row>
    <row r="5" spans="1:25" x14ac:dyDescent="0.25">
      <c r="A5" s="242" t="s">
        <v>235</v>
      </c>
      <c r="B5" s="49" t="s">
        <v>51</v>
      </c>
      <c r="C5" s="50"/>
      <c r="D5" s="51"/>
      <c r="E5" s="51"/>
      <c r="F5" s="51"/>
      <c r="G5" s="51"/>
      <c r="H5" s="51"/>
      <c r="I5" s="52"/>
      <c r="J5" s="53"/>
      <c r="K5" s="54"/>
      <c r="L5" s="55"/>
      <c r="M5" s="306">
        <f t="shared" ref="M5:M36" si="0">I5-V5</f>
        <v>0</v>
      </c>
      <c r="N5" s="242" t="s">
        <v>50</v>
      </c>
      <c r="O5" s="56" t="s">
        <v>51</v>
      </c>
      <c r="P5" s="57"/>
      <c r="Q5" s="58"/>
      <c r="R5" s="58"/>
      <c r="S5" s="58"/>
      <c r="T5" s="58"/>
      <c r="U5" s="58"/>
      <c r="V5" s="252"/>
    </row>
    <row r="6" spans="1:25" x14ac:dyDescent="0.25">
      <c r="A6" s="242" t="s">
        <v>236</v>
      </c>
      <c r="B6" s="49" t="s">
        <v>51</v>
      </c>
      <c r="C6" s="50"/>
      <c r="D6" s="51"/>
      <c r="E6" s="51"/>
      <c r="F6" s="51"/>
      <c r="G6" s="51"/>
      <c r="H6" s="51"/>
      <c r="I6" s="52"/>
      <c r="J6" s="53"/>
      <c r="K6" s="54"/>
      <c r="L6" s="55"/>
      <c r="M6" s="306">
        <f t="shared" si="0"/>
        <v>0</v>
      </c>
      <c r="N6" s="242" t="s">
        <v>52</v>
      </c>
      <c r="O6" s="56" t="s">
        <v>51</v>
      </c>
      <c r="P6" s="57"/>
      <c r="Q6" s="58"/>
      <c r="R6" s="58"/>
      <c r="S6" s="58"/>
      <c r="T6" s="58"/>
      <c r="U6" s="58"/>
      <c r="V6" s="252"/>
    </row>
    <row r="7" spans="1:25" x14ac:dyDescent="0.25">
      <c r="A7" s="243"/>
      <c r="B7" s="59"/>
      <c r="C7" s="60"/>
      <c r="D7" s="61"/>
      <c r="E7" s="61"/>
      <c r="F7" s="61"/>
      <c r="G7" s="61"/>
      <c r="H7" s="61"/>
      <c r="I7" s="62"/>
      <c r="J7" s="63"/>
      <c r="K7" s="64"/>
      <c r="L7" s="65"/>
      <c r="M7" s="306">
        <f t="shared" si="0"/>
        <v>0</v>
      </c>
      <c r="N7" s="243"/>
      <c r="O7" s="66"/>
      <c r="P7" s="67"/>
      <c r="Q7" s="68"/>
      <c r="R7" s="68"/>
      <c r="S7" s="68"/>
      <c r="T7" s="68"/>
      <c r="U7" s="68"/>
      <c r="V7" s="308"/>
    </row>
    <row r="8" spans="1:25" x14ac:dyDescent="0.25">
      <c r="A8" s="242" t="s">
        <v>239</v>
      </c>
      <c r="B8" s="49"/>
      <c r="C8" s="51"/>
      <c r="D8" s="51"/>
      <c r="E8" s="51"/>
      <c r="F8" s="51"/>
      <c r="G8" s="51"/>
      <c r="H8" s="51"/>
      <c r="I8" s="52"/>
      <c r="J8" s="53"/>
      <c r="K8" s="54"/>
      <c r="L8" s="55"/>
      <c r="M8" s="306">
        <f t="shared" si="0"/>
        <v>0</v>
      </c>
      <c r="N8" s="242" t="s">
        <v>53</v>
      </c>
      <c r="O8" s="56"/>
      <c r="P8" s="58"/>
      <c r="Q8" s="58"/>
      <c r="R8" s="58"/>
      <c r="S8" s="58"/>
      <c r="T8" s="58"/>
      <c r="U8" s="58"/>
      <c r="V8" s="252"/>
    </row>
    <row r="9" spans="1:25" ht="30" x14ac:dyDescent="0.25">
      <c r="A9" s="255" t="s">
        <v>241</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6">
        <f t="shared" si="0"/>
        <v>1190.3881499999998</v>
      </c>
      <c r="N9" s="242" t="s">
        <v>360</v>
      </c>
      <c r="O9" s="56">
        <v>2</v>
      </c>
      <c r="P9" s="58">
        <v>1</v>
      </c>
      <c r="Q9" s="58">
        <f>O9*P9</f>
        <v>2</v>
      </c>
      <c r="R9" s="352">
        <v>12</v>
      </c>
      <c r="S9" s="58">
        <f>Q9*R9</f>
        <v>24</v>
      </c>
      <c r="T9" s="58">
        <f>S9*0.05</f>
        <v>1.2000000000000002</v>
      </c>
      <c r="U9" s="58">
        <f>S9*0.1</f>
        <v>2.4000000000000004</v>
      </c>
      <c r="V9" s="252">
        <f>S9*$F$2+T9*$G$2+U9*$H$2</f>
        <v>3174.3684000000003</v>
      </c>
      <c r="Y9" s="20">
        <f>V9</f>
        <v>3174.3684000000003</v>
      </c>
    </row>
    <row r="10" spans="1:25" ht="18" x14ac:dyDescent="0.25">
      <c r="A10" s="255" t="s">
        <v>243</v>
      </c>
      <c r="B10" s="49"/>
      <c r="C10" s="51"/>
      <c r="D10" s="51"/>
      <c r="E10" s="51"/>
      <c r="F10" s="51"/>
      <c r="G10" s="51"/>
      <c r="H10" s="51"/>
      <c r="I10" s="52"/>
      <c r="J10" s="53"/>
      <c r="K10" s="54"/>
      <c r="L10" s="55"/>
      <c r="M10" s="306">
        <f t="shared" si="0"/>
        <v>0</v>
      </c>
      <c r="N10" s="242" t="s">
        <v>361</v>
      </c>
      <c r="O10" s="56"/>
      <c r="P10" s="58"/>
      <c r="Q10" s="58"/>
      <c r="R10" s="58"/>
      <c r="S10" s="58"/>
      <c r="T10" s="58"/>
      <c r="U10" s="58"/>
      <c r="V10" s="252"/>
    </row>
    <row r="11" spans="1:25" ht="18" x14ac:dyDescent="0.25">
      <c r="A11" s="271" t="s">
        <v>245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6">
        <f t="shared" si="0"/>
        <v>-309853.62660000008</v>
      </c>
      <c r="N11" s="242" t="s">
        <v>362</v>
      </c>
      <c r="O11" s="56">
        <v>40</v>
      </c>
      <c r="P11" s="352">
        <v>7.6</v>
      </c>
      <c r="Q11" s="76">
        <f t="shared" ref="Q11" si="3">O11*P11</f>
        <v>304</v>
      </c>
      <c r="R11" s="352">
        <v>12</v>
      </c>
      <c r="S11" s="77">
        <f>Q11*R11</f>
        <v>3648</v>
      </c>
      <c r="T11" s="78">
        <f>S11*0.05</f>
        <v>182.4</v>
      </c>
      <c r="U11" s="78">
        <f>S11*0.1</f>
        <v>364.8</v>
      </c>
      <c r="V11" s="252">
        <f>S11*$F$2+T11*$G$2+U11*$H$2</f>
        <v>482503.99680000002</v>
      </c>
      <c r="Y11" s="20">
        <f>V11</f>
        <v>482503.99680000002</v>
      </c>
    </row>
    <row r="12" spans="1:25" ht="18" x14ac:dyDescent="0.25">
      <c r="A12" s="271" t="s">
        <v>248</v>
      </c>
      <c r="B12" s="49">
        <v>8</v>
      </c>
      <c r="C12" s="51">
        <v>3.9</v>
      </c>
      <c r="D12" s="79">
        <f>B12*C12</f>
        <v>31.2</v>
      </c>
      <c r="E12" s="69">
        <f>11/3</f>
        <v>3.6666666666666665</v>
      </c>
      <c r="F12" s="74">
        <f t="shared" ref="F12:F17" si="4">D12*E12</f>
        <v>114.39999999999999</v>
      </c>
      <c r="G12" s="80">
        <f>F12*0.05</f>
        <v>5.72</v>
      </c>
      <c r="H12" s="74">
        <f>F12*0.1</f>
        <v>11.44</v>
      </c>
      <c r="I12" s="52">
        <f t="shared" si="2"/>
        <v>15131.15604</v>
      </c>
      <c r="J12" s="53"/>
      <c r="K12" s="54"/>
      <c r="L12" s="75">
        <f>I12</f>
        <v>15131.15604</v>
      </c>
      <c r="M12" s="306">
        <f t="shared" si="0"/>
        <v>-30579.748920000005</v>
      </c>
      <c r="N12" s="242" t="s">
        <v>363</v>
      </c>
      <c r="O12" s="56">
        <v>8</v>
      </c>
      <c r="P12" s="352">
        <v>3.6</v>
      </c>
      <c r="Q12" s="81">
        <f>O12*P12</f>
        <v>28.8</v>
      </c>
      <c r="R12" s="352">
        <v>12</v>
      </c>
      <c r="S12" s="78">
        <f t="shared" ref="S12:S17" si="5">Q12*R12</f>
        <v>345.6</v>
      </c>
      <c r="T12" s="82">
        <f>S12*0.05</f>
        <v>17.28</v>
      </c>
      <c r="U12" s="82">
        <f>S12*0.1</f>
        <v>34.56</v>
      </c>
      <c r="V12" s="252">
        <f t="shared" ref="V12:V14" si="6">S12*$F$2+T12*$G$2+U12*$H$2</f>
        <v>45710.904960000007</v>
      </c>
      <c r="Y12" s="20">
        <f>V12</f>
        <v>45710.904960000007</v>
      </c>
    </row>
    <row r="13" spans="1:25" ht="33" x14ac:dyDescent="0.25">
      <c r="A13" s="271" t="s">
        <v>251</v>
      </c>
      <c r="B13" s="49">
        <v>2</v>
      </c>
      <c r="C13" s="51">
        <v>365</v>
      </c>
      <c r="D13" s="83">
        <f>B13*C13</f>
        <v>730</v>
      </c>
      <c r="E13" s="73">
        <v>4</v>
      </c>
      <c r="F13" s="74">
        <f t="shared" si="4"/>
        <v>2920</v>
      </c>
      <c r="G13" s="74">
        <f>F13*0.05</f>
        <v>146</v>
      </c>
      <c r="H13" s="74">
        <f>F13*0.1</f>
        <v>292</v>
      </c>
      <c r="I13" s="52">
        <f t="shared" si="2"/>
        <v>386214.82200000004</v>
      </c>
      <c r="J13" s="53"/>
      <c r="K13" s="54"/>
      <c r="L13" s="75">
        <f>I13</f>
        <v>386214.82200000004</v>
      </c>
      <c r="M13" s="306">
        <f t="shared" si="0"/>
        <v>0</v>
      </c>
      <c r="N13" s="242" t="s">
        <v>364</v>
      </c>
      <c r="O13" s="56">
        <v>2</v>
      </c>
      <c r="P13" s="58">
        <v>365</v>
      </c>
      <c r="Q13" s="84">
        <f>O13*P13</f>
        <v>730</v>
      </c>
      <c r="R13" s="58">
        <v>4</v>
      </c>
      <c r="S13" s="77">
        <f t="shared" si="5"/>
        <v>2920</v>
      </c>
      <c r="T13" s="78">
        <f>S13*0.05</f>
        <v>146</v>
      </c>
      <c r="U13" s="77">
        <f>S13*0.1</f>
        <v>292</v>
      </c>
      <c r="V13" s="252">
        <f t="shared" si="6"/>
        <v>386214.82200000004</v>
      </c>
      <c r="Y13" s="20">
        <f>V13</f>
        <v>386214.82200000004</v>
      </c>
    </row>
    <row r="14" spans="1:25" ht="33" x14ac:dyDescent="0.25">
      <c r="A14" s="272"/>
      <c r="B14" s="85"/>
      <c r="C14" s="86"/>
      <c r="D14" s="86"/>
      <c r="E14" s="87"/>
      <c r="F14" s="88"/>
      <c r="G14" s="88"/>
      <c r="H14" s="88"/>
      <c r="I14" s="89"/>
      <c r="J14" s="90"/>
      <c r="K14" s="91"/>
      <c r="L14" s="92"/>
      <c r="M14" s="306">
        <f t="shared" si="0"/>
        <v>0</v>
      </c>
      <c r="N14" s="242" t="s">
        <v>365</v>
      </c>
      <c r="O14" s="56">
        <v>40</v>
      </c>
      <c r="P14" s="58">
        <v>1</v>
      </c>
      <c r="Q14" s="84">
        <f>O14*P14</f>
        <v>40</v>
      </c>
      <c r="R14" s="58">
        <v>0</v>
      </c>
      <c r="S14" s="58">
        <f t="shared" si="5"/>
        <v>0</v>
      </c>
      <c r="T14" s="58">
        <f t="shared" ref="T14" si="7">S14*0.05</f>
        <v>0</v>
      </c>
      <c r="U14" s="58">
        <f t="shared" ref="U14" si="8">S14*0.1</f>
        <v>0</v>
      </c>
      <c r="V14" s="252">
        <f t="shared" si="6"/>
        <v>0</v>
      </c>
      <c r="Y14" s="20">
        <f>V14</f>
        <v>0</v>
      </c>
    </row>
    <row r="15" spans="1:25" ht="18" x14ac:dyDescent="0.25">
      <c r="A15" s="273" t="s">
        <v>256</v>
      </c>
      <c r="B15" s="93">
        <v>40</v>
      </c>
      <c r="C15" s="94">
        <v>6.3</v>
      </c>
      <c r="D15" s="94">
        <f t="shared" ref="D15:D16" si="9">B15*C15</f>
        <v>252</v>
      </c>
      <c r="E15" s="95">
        <v>0</v>
      </c>
      <c r="F15" s="96">
        <f>D15*E15</f>
        <v>0</v>
      </c>
      <c r="G15" s="96">
        <f t="shared" ref="G15:G16" si="10">F15*0.05</f>
        <v>0</v>
      </c>
      <c r="H15" s="96">
        <f t="shared" ref="H15:H16" si="11">F15*0.1</f>
        <v>0</v>
      </c>
      <c r="I15" s="97">
        <f t="shared" si="2"/>
        <v>0</v>
      </c>
      <c r="J15" s="70">
        <f>I15</f>
        <v>0</v>
      </c>
      <c r="K15" s="71"/>
      <c r="L15" s="72"/>
      <c r="M15" s="306">
        <f t="shared" si="0"/>
        <v>0</v>
      </c>
      <c r="N15" s="244"/>
      <c r="O15" s="85"/>
      <c r="P15" s="86"/>
      <c r="Q15" s="86"/>
      <c r="R15" s="86"/>
      <c r="S15" s="68"/>
      <c r="T15" s="68"/>
      <c r="U15" s="68"/>
      <c r="V15" s="308"/>
    </row>
    <row r="16" spans="1:25" ht="33" x14ac:dyDescent="0.25">
      <c r="A16" s="273" t="s">
        <v>257</v>
      </c>
      <c r="B16" s="93">
        <v>4</v>
      </c>
      <c r="C16" s="94">
        <v>1</v>
      </c>
      <c r="D16" s="94">
        <f t="shared" si="9"/>
        <v>4</v>
      </c>
      <c r="E16" s="98">
        <v>11</v>
      </c>
      <c r="F16" s="96">
        <f t="shared" ref="F16" si="12">D16*E16</f>
        <v>44</v>
      </c>
      <c r="G16" s="99">
        <f t="shared" si="10"/>
        <v>2.2000000000000002</v>
      </c>
      <c r="H16" s="99">
        <f t="shared" si="11"/>
        <v>4.4000000000000004</v>
      </c>
      <c r="I16" s="97">
        <f t="shared" si="2"/>
        <v>5819.6754000000001</v>
      </c>
      <c r="J16" s="70">
        <f>I16</f>
        <v>5819.6754000000001</v>
      </c>
      <c r="K16" s="71"/>
      <c r="L16" s="72"/>
      <c r="M16" s="306">
        <f t="shared" si="0"/>
        <v>5819.6754000000001</v>
      </c>
      <c r="N16" s="244"/>
      <c r="O16" s="85"/>
      <c r="P16" s="86"/>
      <c r="Q16" s="86"/>
      <c r="R16" s="86"/>
      <c r="S16" s="68"/>
      <c r="T16" s="68"/>
      <c r="U16" s="68"/>
      <c r="V16" s="308"/>
    </row>
    <row r="17" spans="1:25" ht="45" x14ac:dyDescent="0.25">
      <c r="A17" s="274" t="s">
        <v>258</v>
      </c>
      <c r="B17" s="100">
        <v>2</v>
      </c>
      <c r="C17" s="84">
        <v>12</v>
      </c>
      <c r="D17" s="84">
        <f>B17*C17</f>
        <v>24</v>
      </c>
      <c r="E17" s="51">
        <v>11</v>
      </c>
      <c r="F17" s="77">
        <f t="shared" si="4"/>
        <v>264</v>
      </c>
      <c r="G17" s="77">
        <f>F17*0.05</f>
        <v>13.200000000000001</v>
      </c>
      <c r="H17" s="77">
        <f>F17*0.1</f>
        <v>26.400000000000002</v>
      </c>
      <c r="I17" s="101">
        <f t="shared" si="2"/>
        <v>34918.0524</v>
      </c>
      <c r="J17" s="102"/>
      <c r="K17" s="103"/>
      <c r="L17" s="104">
        <f>I17</f>
        <v>34918.0524</v>
      </c>
      <c r="M17" s="306">
        <f t="shared" si="0"/>
        <v>-3174.3683999999994</v>
      </c>
      <c r="N17" s="245" t="s">
        <v>366</v>
      </c>
      <c r="O17" s="100">
        <v>2</v>
      </c>
      <c r="P17" s="84">
        <v>12</v>
      </c>
      <c r="Q17" s="84">
        <f>O17*P17</f>
        <v>24</v>
      </c>
      <c r="R17" s="352">
        <v>12</v>
      </c>
      <c r="S17" s="77">
        <f t="shared" si="5"/>
        <v>288</v>
      </c>
      <c r="T17" s="78">
        <f>S17*0.05</f>
        <v>14.4</v>
      </c>
      <c r="U17" s="78">
        <f>S17*0.1</f>
        <v>28.8</v>
      </c>
      <c r="V17" s="252">
        <f>S17*$F$2+T17*$G$2+U17*$H$2</f>
        <v>38092.4208</v>
      </c>
      <c r="Y17" s="20">
        <f>V17</f>
        <v>38092.4208</v>
      </c>
    </row>
    <row r="18" spans="1:25" s="223" customFormat="1" x14ac:dyDescent="0.25">
      <c r="A18" s="253" t="s">
        <v>260</v>
      </c>
      <c r="B18" s="105" t="s">
        <v>261</v>
      </c>
      <c r="C18" s="106"/>
      <c r="D18" s="106"/>
      <c r="E18" s="107"/>
      <c r="F18" s="108"/>
      <c r="G18" s="109"/>
      <c r="H18" s="109"/>
      <c r="I18" s="110"/>
      <c r="J18" s="111"/>
      <c r="K18" s="112"/>
      <c r="L18" s="113"/>
      <c r="M18" s="306">
        <f t="shared" si="0"/>
        <v>0</v>
      </c>
      <c r="N18" s="244"/>
      <c r="O18" s="85"/>
      <c r="P18" s="86"/>
      <c r="Q18" s="86"/>
      <c r="R18" s="86"/>
      <c r="S18" s="88"/>
      <c r="T18" s="115"/>
      <c r="U18" s="115"/>
      <c r="V18" s="308"/>
    </row>
    <row r="19" spans="1:25" s="223" customFormat="1" x14ac:dyDescent="0.25">
      <c r="A19" s="253" t="s">
        <v>263</v>
      </c>
      <c r="B19" s="105" t="s">
        <v>261</v>
      </c>
      <c r="C19" s="116"/>
      <c r="D19" s="116"/>
      <c r="E19" s="116"/>
      <c r="F19" s="116"/>
      <c r="G19" s="116"/>
      <c r="H19" s="116"/>
      <c r="I19" s="110"/>
      <c r="J19" s="111"/>
      <c r="K19" s="112"/>
      <c r="L19" s="113"/>
      <c r="M19" s="306">
        <f t="shared" si="0"/>
        <v>0</v>
      </c>
      <c r="N19" s="242" t="s">
        <v>367</v>
      </c>
      <c r="O19" s="56" t="s">
        <v>368</v>
      </c>
      <c r="P19" s="58"/>
      <c r="Q19" s="58"/>
      <c r="R19" s="58"/>
      <c r="S19" s="58"/>
      <c r="T19" s="58"/>
      <c r="U19" s="58"/>
      <c r="V19" s="252"/>
    </row>
    <row r="20" spans="1:25" s="223" customFormat="1" ht="18" x14ac:dyDescent="0.25">
      <c r="A20" s="253" t="s">
        <v>265</v>
      </c>
      <c r="B20" s="116"/>
      <c r="C20" s="106"/>
      <c r="D20" s="106"/>
      <c r="E20" s="106"/>
      <c r="F20" s="116"/>
      <c r="G20" s="116"/>
      <c r="H20" s="116"/>
      <c r="I20" s="110"/>
      <c r="J20" s="111"/>
      <c r="K20" s="112"/>
      <c r="L20" s="113"/>
      <c r="M20" s="306">
        <f t="shared" si="0"/>
        <v>0</v>
      </c>
      <c r="N20" s="242" t="s">
        <v>369</v>
      </c>
      <c r="O20" s="56"/>
      <c r="P20" s="58"/>
      <c r="Q20" s="84"/>
      <c r="R20" s="58"/>
      <c r="S20" s="58"/>
      <c r="T20" s="58"/>
      <c r="U20" s="58"/>
      <c r="V20" s="252"/>
    </row>
    <row r="21" spans="1:25" ht="33" x14ac:dyDescent="0.25">
      <c r="A21" s="271" t="s">
        <v>267</v>
      </c>
      <c r="B21" s="56">
        <v>4</v>
      </c>
      <c r="C21" s="117">
        <v>1</v>
      </c>
      <c r="D21" s="117">
        <f t="shared" ref="D21:D45" si="13">B21*C21</f>
        <v>4</v>
      </c>
      <c r="E21" s="117">
        <v>0</v>
      </c>
      <c r="F21" s="58">
        <f>D21*E21</f>
        <v>0</v>
      </c>
      <c r="G21" s="58">
        <f>F21*0.05</f>
        <v>0</v>
      </c>
      <c r="H21" s="58">
        <f>F21*0.1</f>
        <v>0</v>
      </c>
      <c r="I21" s="101">
        <f>F21*$F$2+G21*$G$2+H21*$H$2</f>
        <v>0</v>
      </c>
      <c r="J21" s="102"/>
      <c r="K21" s="103"/>
      <c r="L21" s="104">
        <f t="shared" ref="L21:L29" si="14">I21</f>
        <v>0</v>
      </c>
      <c r="M21" s="306">
        <f t="shared" si="0"/>
        <v>0</v>
      </c>
      <c r="N21" s="242" t="s">
        <v>370</v>
      </c>
      <c r="O21" s="56">
        <v>4</v>
      </c>
      <c r="P21" s="58">
        <v>1</v>
      </c>
      <c r="Q21" s="84">
        <f>O21*P21</f>
        <v>4</v>
      </c>
      <c r="R21" s="58">
        <v>0</v>
      </c>
      <c r="S21" s="58">
        <f>Q21*R21</f>
        <v>0</v>
      </c>
      <c r="T21" s="58"/>
      <c r="U21" s="58"/>
      <c r="V21" s="252">
        <f>S21*$F$2+T21*$G$2+U21*$H$2</f>
        <v>0</v>
      </c>
      <c r="Y21" s="20">
        <f>V21</f>
        <v>0</v>
      </c>
    </row>
    <row r="22" spans="1:25" ht="48" x14ac:dyDescent="0.25">
      <c r="A22" s="271" t="s">
        <v>269</v>
      </c>
      <c r="B22" s="56">
        <v>4</v>
      </c>
      <c r="C22" s="58">
        <v>1</v>
      </c>
      <c r="D22" s="84">
        <f t="shared" si="13"/>
        <v>4</v>
      </c>
      <c r="E22" s="58">
        <v>0</v>
      </c>
      <c r="F22" s="58">
        <f>D22*E22</f>
        <v>0</v>
      </c>
      <c r="G22" s="58">
        <f>F22*0.05</f>
        <v>0</v>
      </c>
      <c r="H22" s="58">
        <f>F22*0.1</f>
        <v>0</v>
      </c>
      <c r="I22" s="101">
        <f>F22*$F$2+G22*$G$2+H22*$H$2</f>
        <v>0</v>
      </c>
      <c r="J22" s="102"/>
      <c r="K22" s="103"/>
      <c r="L22" s="104">
        <f t="shared" si="14"/>
        <v>0</v>
      </c>
      <c r="M22" s="306">
        <f t="shared" si="0"/>
        <v>0</v>
      </c>
      <c r="N22" s="242" t="s">
        <v>371</v>
      </c>
      <c r="O22" s="56">
        <v>4</v>
      </c>
      <c r="P22" s="58">
        <v>1</v>
      </c>
      <c r="Q22" s="84">
        <f>O22*P22</f>
        <v>4</v>
      </c>
      <c r="R22" s="58">
        <v>0</v>
      </c>
      <c r="S22" s="58">
        <f>Q22*R22</f>
        <v>0</v>
      </c>
      <c r="T22" s="58">
        <f>S22*0.05</f>
        <v>0</v>
      </c>
      <c r="U22" s="58">
        <f>S22*0.1</f>
        <v>0</v>
      </c>
      <c r="V22" s="252">
        <f>S22*$F$2+T22*$G$2+U22*$H$2</f>
        <v>0</v>
      </c>
      <c r="Y22" s="20">
        <f>V22</f>
        <v>0</v>
      </c>
    </row>
    <row r="23" spans="1:25" ht="18" x14ac:dyDescent="0.25">
      <c r="A23" s="271" t="s">
        <v>271</v>
      </c>
      <c r="B23" s="56">
        <v>2</v>
      </c>
      <c r="C23" s="58">
        <v>1</v>
      </c>
      <c r="D23" s="84">
        <f t="shared" si="13"/>
        <v>2</v>
      </c>
      <c r="E23" s="58">
        <v>0</v>
      </c>
      <c r="F23" s="58">
        <f>D23*E23</f>
        <v>0</v>
      </c>
      <c r="G23" s="58">
        <f>F23*0.05</f>
        <v>0</v>
      </c>
      <c r="H23" s="58">
        <f>F23*0.1</f>
        <v>0</v>
      </c>
      <c r="I23" s="101">
        <f>F23*$F$2+G23*$G$2+H23*$H$2</f>
        <v>0</v>
      </c>
      <c r="J23" s="102"/>
      <c r="K23" s="103"/>
      <c r="L23" s="104">
        <f t="shared" si="14"/>
        <v>0</v>
      </c>
      <c r="M23" s="306">
        <f t="shared" si="0"/>
        <v>0</v>
      </c>
      <c r="N23" s="242" t="s">
        <v>372</v>
      </c>
      <c r="O23" s="56">
        <v>2</v>
      </c>
      <c r="P23" s="58">
        <v>1</v>
      </c>
      <c r="Q23" s="84">
        <f t="shared" ref="Q23:Q47" si="15">O23*P23</f>
        <v>2</v>
      </c>
      <c r="R23" s="58">
        <v>0</v>
      </c>
      <c r="S23" s="58">
        <f t="shared" ref="S23:S28" si="16">Q23*R23</f>
        <v>0</v>
      </c>
      <c r="T23" s="58">
        <f t="shared" ref="T23" si="17">S23*0.05</f>
        <v>0</v>
      </c>
      <c r="U23" s="58">
        <f t="shared" ref="U23" si="18">S23*0.1</f>
        <v>0</v>
      </c>
      <c r="V23" s="252">
        <f t="shared" ref="V23:V28" si="19">S23*$F$2+T23*$G$2+U23*$H$2</f>
        <v>0</v>
      </c>
      <c r="Y23" s="20">
        <f>V23</f>
        <v>0</v>
      </c>
    </row>
    <row r="24" spans="1:25" ht="33" x14ac:dyDescent="0.25">
      <c r="A24" s="271" t="s">
        <v>273</v>
      </c>
      <c r="B24" s="56">
        <v>4</v>
      </c>
      <c r="C24" s="58">
        <v>1</v>
      </c>
      <c r="D24" s="84">
        <f t="shared" si="13"/>
        <v>4</v>
      </c>
      <c r="E24" s="58">
        <v>0</v>
      </c>
      <c r="F24" s="58">
        <f>D24*E24</f>
        <v>0</v>
      </c>
      <c r="G24" s="58">
        <f>F24*0.05</f>
        <v>0</v>
      </c>
      <c r="H24" s="58">
        <f>F24*0.1</f>
        <v>0</v>
      </c>
      <c r="I24" s="101">
        <f>F24*$F$2+G24*$G$2+H24*$H$2</f>
        <v>0</v>
      </c>
      <c r="J24" s="102"/>
      <c r="K24" s="103"/>
      <c r="L24" s="104">
        <f t="shared" si="14"/>
        <v>0</v>
      </c>
      <c r="M24" s="306">
        <f t="shared" si="0"/>
        <v>0</v>
      </c>
      <c r="N24" s="242" t="s">
        <v>373</v>
      </c>
      <c r="O24" s="56">
        <v>4</v>
      </c>
      <c r="P24" s="58">
        <v>1</v>
      </c>
      <c r="Q24" s="84">
        <f>O24*P24</f>
        <v>4</v>
      </c>
      <c r="R24" s="58">
        <v>0</v>
      </c>
      <c r="S24" s="58">
        <f>Q24*R24</f>
        <v>0</v>
      </c>
      <c r="T24" s="58">
        <f>S24*0.05</f>
        <v>0</v>
      </c>
      <c r="U24" s="58">
        <f>S24*0.1</f>
        <v>0</v>
      </c>
      <c r="V24" s="252">
        <f>S24*$F$2+T24*$G$2+U24*$H$2</f>
        <v>0</v>
      </c>
      <c r="Y24" s="20">
        <f>V24</f>
        <v>0</v>
      </c>
    </row>
    <row r="25" spans="1:25" x14ac:dyDescent="0.25">
      <c r="A25" s="275"/>
      <c r="B25" s="66"/>
      <c r="C25" s="68"/>
      <c r="D25" s="86"/>
      <c r="E25" s="68"/>
      <c r="F25" s="68"/>
      <c r="G25" s="68"/>
      <c r="H25" s="68"/>
      <c r="I25" s="89"/>
      <c r="J25" s="90"/>
      <c r="K25" s="91"/>
      <c r="L25" s="92"/>
      <c r="M25" s="306">
        <f t="shared" si="0"/>
        <v>0</v>
      </c>
      <c r="N25" s="243"/>
      <c r="O25" s="118"/>
      <c r="P25" s="68"/>
      <c r="Q25" s="86"/>
      <c r="R25" s="68"/>
      <c r="S25" s="68"/>
      <c r="T25" s="68"/>
      <c r="U25" s="68"/>
      <c r="V25" s="308"/>
    </row>
    <row r="26" spans="1:25" x14ac:dyDescent="0.25">
      <c r="A26" s="275"/>
      <c r="B26" s="66"/>
      <c r="C26" s="68"/>
      <c r="D26" s="86"/>
      <c r="E26" s="68"/>
      <c r="F26" s="68"/>
      <c r="G26" s="68"/>
      <c r="H26" s="68"/>
      <c r="I26" s="89"/>
      <c r="J26" s="90"/>
      <c r="K26" s="91"/>
      <c r="L26" s="92"/>
      <c r="M26" s="306">
        <f t="shared" si="0"/>
        <v>0</v>
      </c>
      <c r="N26" s="243"/>
      <c r="O26" s="118"/>
      <c r="P26" s="68"/>
      <c r="Q26" s="86"/>
      <c r="R26" s="68"/>
      <c r="S26" s="68"/>
      <c r="T26" s="68"/>
      <c r="U26" s="68"/>
      <c r="V26" s="308"/>
    </row>
    <row r="27" spans="1:25" x14ac:dyDescent="0.25">
      <c r="A27" s="275"/>
      <c r="B27" s="66"/>
      <c r="C27" s="68"/>
      <c r="D27" s="86"/>
      <c r="E27" s="68"/>
      <c r="F27" s="68"/>
      <c r="G27" s="68"/>
      <c r="H27" s="68"/>
      <c r="I27" s="89"/>
      <c r="J27" s="90"/>
      <c r="K27" s="91"/>
      <c r="L27" s="92"/>
      <c r="M27" s="306">
        <f t="shared" si="0"/>
        <v>0</v>
      </c>
      <c r="N27" s="243"/>
      <c r="O27" s="118"/>
      <c r="P27" s="68"/>
      <c r="Q27" s="86"/>
      <c r="R27" s="68"/>
      <c r="S27" s="68"/>
      <c r="T27" s="68"/>
      <c r="U27" s="68"/>
      <c r="V27" s="308"/>
    </row>
    <row r="28" spans="1:25" ht="33" x14ac:dyDescent="0.25">
      <c r="A28" s="276" t="s">
        <v>278</v>
      </c>
      <c r="B28" s="119">
        <v>4</v>
      </c>
      <c r="C28" s="95">
        <v>1</v>
      </c>
      <c r="D28" s="94">
        <f t="shared" si="13"/>
        <v>4</v>
      </c>
      <c r="E28" s="120">
        <f>11/3</f>
        <v>3.6666666666666665</v>
      </c>
      <c r="F28" s="98">
        <f>D28*E28</f>
        <v>14.666666666666666</v>
      </c>
      <c r="G28" s="120">
        <f t="shared" ref="G28:G29" si="20">F28*0.05</f>
        <v>0.73333333333333339</v>
      </c>
      <c r="H28" s="120">
        <f t="shared" ref="H28:H29" si="21">F28*0.1</f>
        <v>1.4666666666666668</v>
      </c>
      <c r="I28" s="97">
        <f>F28*$F$2+G28*$G$2+H28*$H$2</f>
        <v>1939.8918000000001</v>
      </c>
      <c r="J28" s="102"/>
      <c r="K28" s="103"/>
      <c r="L28" s="104">
        <f t="shared" si="14"/>
        <v>1939.8918000000001</v>
      </c>
      <c r="M28" s="306">
        <f t="shared" si="0"/>
        <v>1939.8918000000001</v>
      </c>
      <c r="N28" s="242" t="s">
        <v>374</v>
      </c>
      <c r="O28" s="121">
        <v>4</v>
      </c>
      <c r="P28" s="58">
        <v>1</v>
      </c>
      <c r="Q28" s="84">
        <f>O28*P28</f>
        <v>4</v>
      </c>
      <c r="R28" s="58">
        <v>0</v>
      </c>
      <c r="S28" s="58">
        <f t="shared" si="16"/>
        <v>0</v>
      </c>
      <c r="T28" s="58">
        <f t="shared" ref="T28" si="22">S28*0.05</f>
        <v>0</v>
      </c>
      <c r="U28" s="58">
        <f t="shared" ref="U28" si="23">S28*0.1</f>
        <v>0</v>
      </c>
      <c r="V28" s="252">
        <f t="shared" si="19"/>
        <v>0</v>
      </c>
      <c r="Y28" s="20">
        <f>V28</f>
        <v>0</v>
      </c>
    </row>
    <row r="29" spans="1:25" ht="30" x14ac:dyDescent="0.25">
      <c r="A29" s="276" t="s">
        <v>280</v>
      </c>
      <c r="B29" s="119">
        <v>4</v>
      </c>
      <c r="C29" s="95">
        <v>1</v>
      </c>
      <c r="D29" s="94">
        <f t="shared" si="13"/>
        <v>4</v>
      </c>
      <c r="E29" s="120">
        <f>11/3</f>
        <v>3.6666666666666665</v>
      </c>
      <c r="F29" s="98">
        <f t="shared" ref="F29:F36" si="24">D29*E29</f>
        <v>14.666666666666666</v>
      </c>
      <c r="G29" s="120">
        <f t="shared" si="20"/>
        <v>0.73333333333333339</v>
      </c>
      <c r="H29" s="120">
        <f t="shared" si="21"/>
        <v>1.4666666666666668</v>
      </c>
      <c r="I29" s="97">
        <f t="shared" ref="I29" si="25">F29*$F$2+G29*$G$2+H29*$H$2</f>
        <v>1939.8918000000001</v>
      </c>
      <c r="J29" s="122"/>
      <c r="K29" s="123"/>
      <c r="L29" s="104">
        <f t="shared" si="14"/>
        <v>1939.8918000000001</v>
      </c>
      <c r="M29" s="306">
        <f t="shared" si="0"/>
        <v>1939.8918000000001</v>
      </c>
      <c r="N29" s="243"/>
      <c r="O29" s="118"/>
      <c r="P29" s="68"/>
      <c r="Q29" s="86"/>
      <c r="R29" s="68"/>
      <c r="S29" s="68"/>
      <c r="T29" s="68"/>
      <c r="U29" s="68"/>
      <c r="V29" s="308"/>
    </row>
    <row r="30" spans="1:25" x14ac:dyDescent="0.25">
      <c r="A30" s="275"/>
      <c r="B30" s="124"/>
      <c r="C30" s="125"/>
      <c r="D30" s="126"/>
      <c r="E30" s="127"/>
      <c r="F30" s="87"/>
      <c r="G30" s="127"/>
      <c r="H30" s="127"/>
      <c r="I30" s="128"/>
      <c r="J30" s="129"/>
      <c r="K30" s="130"/>
      <c r="L30" s="92"/>
      <c r="M30" s="306">
        <f t="shared" si="0"/>
        <v>0</v>
      </c>
      <c r="N30" s="243"/>
      <c r="O30" s="118"/>
      <c r="P30" s="68"/>
      <c r="Q30" s="86"/>
      <c r="R30" s="68"/>
      <c r="S30" s="68"/>
      <c r="T30" s="68"/>
      <c r="U30" s="68"/>
      <c r="V30" s="308"/>
    </row>
    <row r="31" spans="1:25" x14ac:dyDescent="0.25">
      <c r="A31" s="275"/>
      <c r="B31" s="124"/>
      <c r="C31" s="125"/>
      <c r="D31" s="126"/>
      <c r="E31" s="127"/>
      <c r="F31" s="87"/>
      <c r="G31" s="127"/>
      <c r="H31" s="127"/>
      <c r="I31" s="128"/>
      <c r="J31" s="129"/>
      <c r="K31" s="130"/>
      <c r="L31" s="92"/>
      <c r="M31" s="306">
        <f t="shared" si="0"/>
        <v>0</v>
      </c>
      <c r="N31" s="243"/>
      <c r="O31" s="118"/>
      <c r="P31" s="68"/>
      <c r="Q31" s="86"/>
      <c r="R31" s="68"/>
      <c r="S31" s="68"/>
      <c r="T31" s="68"/>
      <c r="U31" s="68"/>
      <c r="V31" s="308"/>
    </row>
    <row r="32" spans="1:25" x14ac:dyDescent="0.25">
      <c r="A32" s="275"/>
      <c r="B32" s="124"/>
      <c r="C32" s="125"/>
      <c r="D32" s="126"/>
      <c r="E32" s="127"/>
      <c r="F32" s="87"/>
      <c r="G32" s="127"/>
      <c r="H32" s="127"/>
      <c r="I32" s="128"/>
      <c r="J32" s="129"/>
      <c r="K32" s="130"/>
      <c r="L32" s="92"/>
      <c r="M32" s="306">
        <f t="shared" si="0"/>
        <v>0</v>
      </c>
      <c r="N32" s="243"/>
      <c r="O32" s="118"/>
      <c r="P32" s="68"/>
      <c r="Q32" s="86"/>
      <c r="R32" s="68"/>
      <c r="S32" s="68"/>
      <c r="T32" s="68"/>
      <c r="U32" s="68"/>
      <c r="V32" s="308"/>
    </row>
    <row r="33" spans="1:25" x14ac:dyDescent="0.25">
      <c r="A33" s="275"/>
      <c r="B33" s="124"/>
      <c r="C33" s="125"/>
      <c r="D33" s="126"/>
      <c r="E33" s="127"/>
      <c r="F33" s="87"/>
      <c r="G33" s="127"/>
      <c r="H33" s="127"/>
      <c r="I33" s="128"/>
      <c r="J33" s="129"/>
      <c r="K33" s="130"/>
      <c r="L33" s="92"/>
      <c r="M33" s="306">
        <f t="shared" si="0"/>
        <v>0</v>
      </c>
      <c r="N33" s="243"/>
      <c r="O33" s="118"/>
      <c r="P33" s="68"/>
      <c r="Q33" s="86"/>
      <c r="R33" s="68"/>
      <c r="S33" s="68"/>
      <c r="T33" s="68"/>
      <c r="U33" s="68"/>
      <c r="V33" s="308"/>
    </row>
    <row r="34" spans="1:25" ht="48" x14ac:dyDescent="0.25">
      <c r="A34" s="277" t="s">
        <v>285</v>
      </c>
      <c r="B34" s="49">
        <v>8</v>
      </c>
      <c r="C34" s="51">
        <v>1</v>
      </c>
      <c r="D34" s="83">
        <f t="shared" si="13"/>
        <v>8</v>
      </c>
      <c r="E34" s="69">
        <f>11/3</f>
        <v>3.6666666666666665</v>
      </c>
      <c r="F34" s="74">
        <f t="shared" si="24"/>
        <v>29.333333333333332</v>
      </c>
      <c r="G34" s="80">
        <f>F34*0.05</f>
        <v>1.4666666666666668</v>
      </c>
      <c r="H34" s="80">
        <f>F34*0.1</f>
        <v>2.9333333333333336</v>
      </c>
      <c r="I34" s="52">
        <f>F34*$F$2+G34*$G$2+H34*$H$2</f>
        <v>3879.7836000000002</v>
      </c>
      <c r="J34" s="131"/>
      <c r="K34" s="132">
        <f>I34</f>
        <v>3879.7836000000002</v>
      </c>
      <c r="L34" s="133"/>
      <c r="M34" s="306">
        <f t="shared" si="0"/>
        <v>3879.7836000000002</v>
      </c>
      <c r="N34" s="242" t="s">
        <v>375</v>
      </c>
      <c r="O34" s="56" t="s">
        <v>376</v>
      </c>
      <c r="P34" s="58"/>
      <c r="Q34" s="84"/>
      <c r="R34" s="58"/>
      <c r="S34" s="58"/>
      <c r="T34" s="58"/>
      <c r="U34" s="58"/>
      <c r="V34" s="252"/>
    </row>
    <row r="35" spans="1:25" ht="33" x14ac:dyDescent="0.25">
      <c r="A35" s="271" t="s">
        <v>287</v>
      </c>
      <c r="B35" s="56">
        <v>2</v>
      </c>
      <c r="C35" s="58">
        <v>1</v>
      </c>
      <c r="D35" s="84">
        <f t="shared" si="13"/>
        <v>2</v>
      </c>
      <c r="E35" s="69">
        <f>11/3</f>
        <v>3.6666666666666665</v>
      </c>
      <c r="F35" s="134">
        <f t="shared" si="24"/>
        <v>7.333333333333333</v>
      </c>
      <c r="G35" s="134">
        <f t="shared" ref="G35" si="26">F35*0.05</f>
        <v>0.3666666666666667</v>
      </c>
      <c r="H35" s="134">
        <f t="shared" ref="H35" si="27">F35*0.1</f>
        <v>0.73333333333333339</v>
      </c>
      <c r="I35" s="101">
        <f t="shared" ref="I35" si="28">F35*$F$2+G35*$G$2+H35*$H$2</f>
        <v>969.94590000000005</v>
      </c>
      <c r="J35" s="131">
        <f>I35*$J$3/100</f>
        <v>312.73956588785046</v>
      </c>
      <c r="K35" s="132"/>
      <c r="L35" s="133">
        <f>I35*(100-$J$3)/100</f>
        <v>657.20633411214953</v>
      </c>
      <c r="M35" s="306">
        <f t="shared" si="0"/>
        <v>969.94590000000005</v>
      </c>
      <c r="N35" s="242" t="s">
        <v>377</v>
      </c>
      <c r="O35" s="56">
        <v>2</v>
      </c>
      <c r="P35" s="58">
        <v>1</v>
      </c>
      <c r="Q35" s="84">
        <f>O35*P35</f>
        <v>2</v>
      </c>
      <c r="R35" s="58">
        <v>0</v>
      </c>
      <c r="S35" s="58">
        <f>Q35*R35</f>
        <v>0</v>
      </c>
      <c r="T35" s="58">
        <f>S35*0.05</f>
        <v>0</v>
      </c>
      <c r="U35" s="58">
        <f>S35*0.1</f>
        <v>0</v>
      </c>
      <c r="V35" s="252">
        <f>S35*$F$2+T35*$G$2+U35*$H$2</f>
        <v>0</v>
      </c>
      <c r="Y35" s="20">
        <f>V35</f>
        <v>0</v>
      </c>
    </row>
    <row r="36" spans="1:25" ht="33" x14ac:dyDescent="0.25">
      <c r="A36" s="271" t="s">
        <v>288</v>
      </c>
      <c r="B36" s="56">
        <v>40</v>
      </c>
      <c r="C36" s="58">
        <v>2</v>
      </c>
      <c r="D36" s="84">
        <f t="shared" si="13"/>
        <v>80</v>
      </c>
      <c r="E36" s="51">
        <v>11</v>
      </c>
      <c r="F36" s="77">
        <f t="shared" si="24"/>
        <v>880</v>
      </c>
      <c r="G36" s="77">
        <f>F36*0.05</f>
        <v>44</v>
      </c>
      <c r="H36" s="77">
        <f>F36*0.1</f>
        <v>88</v>
      </c>
      <c r="I36" s="101">
        <f>F36*$F$2+G36*$G$2+H36*$H$2</f>
        <v>116393.508</v>
      </c>
      <c r="J36" s="131"/>
      <c r="K36" s="132">
        <f>I36</f>
        <v>116393.508</v>
      </c>
      <c r="L36" s="133"/>
      <c r="M36" s="306">
        <f t="shared" si="0"/>
        <v>-10581.228000000003</v>
      </c>
      <c r="N36" s="242" t="s">
        <v>378</v>
      </c>
      <c r="O36" s="56">
        <v>40</v>
      </c>
      <c r="P36" s="58">
        <v>2</v>
      </c>
      <c r="Q36" s="84">
        <f t="shared" si="15"/>
        <v>80</v>
      </c>
      <c r="R36" s="352">
        <v>12</v>
      </c>
      <c r="S36" s="77">
        <f t="shared" ref="S36:S37" si="29">Q36*R36</f>
        <v>960</v>
      </c>
      <c r="T36" s="77">
        <f>S36*0.05</f>
        <v>48</v>
      </c>
      <c r="U36" s="77">
        <f>S36*0.1</f>
        <v>96</v>
      </c>
      <c r="V36" s="252">
        <f>S36*$F$2+T36*$G$2+U36*$H$2</f>
        <v>126974.736</v>
      </c>
      <c r="Y36" s="20">
        <f>V36</f>
        <v>126974.736</v>
      </c>
    </row>
    <row r="37" spans="1:25" ht="33.75" thickBot="1" x14ac:dyDescent="0.3">
      <c r="A37" s="272"/>
      <c r="B37" s="85"/>
      <c r="C37" s="86"/>
      <c r="D37" s="86"/>
      <c r="E37" s="126"/>
      <c r="F37" s="135"/>
      <c r="G37" s="136"/>
      <c r="H37" s="137"/>
      <c r="I37" s="138"/>
      <c r="J37" s="139"/>
      <c r="K37" s="140"/>
      <c r="L37" s="141"/>
      <c r="M37" s="306">
        <f t="shared" ref="M37:M54" si="30">I37-V37</f>
        <v>-529.06140000000005</v>
      </c>
      <c r="N37" s="245" t="s">
        <v>379</v>
      </c>
      <c r="O37" s="142">
        <v>4</v>
      </c>
      <c r="P37" s="84">
        <v>1</v>
      </c>
      <c r="Q37" s="84">
        <f t="shared" si="15"/>
        <v>4</v>
      </c>
      <c r="R37" s="84">
        <v>1</v>
      </c>
      <c r="S37" s="143">
        <f t="shared" si="29"/>
        <v>4</v>
      </c>
      <c r="T37" s="144">
        <f>S37*0.05</f>
        <v>0.2</v>
      </c>
      <c r="U37" s="144">
        <f>S37*0.1</f>
        <v>0.4</v>
      </c>
      <c r="V37" s="309">
        <f>S37*$F$2+T37*$G$2+U37*$H$2</f>
        <v>529.06140000000005</v>
      </c>
      <c r="Y37" s="20">
        <f>V37</f>
        <v>529.06140000000005</v>
      </c>
    </row>
    <row r="38" spans="1:25" ht="29.25" thickBot="1" x14ac:dyDescent="0.3">
      <c r="A38" s="145" t="s">
        <v>75</v>
      </c>
      <c r="B38" s="508"/>
      <c r="C38" s="146"/>
      <c r="D38" s="147"/>
      <c r="E38" s="146"/>
      <c r="F38" s="571">
        <f>SUM(F9:H36)</f>
        <v>6470.743333333332</v>
      </c>
      <c r="G38" s="572"/>
      <c r="H38" s="573"/>
      <c r="I38" s="148">
        <f>SUM(I9:I36)</f>
        <v>744221.85369000002</v>
      </c>
      <c r="J38" s="149">
        <f>SUM(J9:J36)</f>
        <v>7539.7430123831773</v>
      </c>
      <c r="K38" s="150">
        <f>SUM(K9:K36)</f>
        <v>120273.2916</v>
      </c>
      <c r="L38" s="151">
        <f>SUM(L9:L36)</f>
        <v>616408.81907761679</v>
      </c>
      <c r="M38" s="306">
        <f t="shared" si="30"/>
        <v>-338978.45666999999</v>
      </c>
      <c r="N38" s="145" t="s">
        <v>75</v>
      </c>
      <c r="O38" s="508"/>
      <c r="P38" s="146"/>
      <c r="Q38" s="147"/>
      <c r="R38" s="146"/>
      <c r="S38" s="571">
        <f>SUM(S9:U37)</f>
        <v>9418.0400000000009</v>
      </c>
      <c r="T38" s="572"/>
      <c r="U38" s="573"/>
      <c r="V38" s="310">
        <f>SUM(V9:V37)</f>
        <v>1083200.31036</v>
      </c>
      <c r="W38" s="310">
        <f>SUM(W9:W37)</f>
        <v>0</v>
      </c>
      <c r="X38" s="310">
        <f>SUM(X9:X37)</f>
        <v>0</v>
      </c>
      <c r="Y38" s="310">
        <f>SUM(Y9:Y37)</f>
        <v>1083200.31036</v>
      </c>
    </row>
    <row r="39" spans="1:25" x14ac:dyDescent="0.25">
      <c r="A39" s="246" t="s">
        <v>292</v>
      </c>
      <c r="B39" s="153"/>
      <c r="C39" s="154"/>
      <c r="D39" s="155"/>
      <c r="E39" s="154"/>
      <c r="F39" s="154"/>
      <c r="G39" s="154"/>
      <c r="H39" s="154"/>
      <c r="I39" s="156"/>
      <c r="J39" s="157"/>
      <c r="K39" s="158"/>
      <c r="L39" s="159"/>
      <c r="M39" s="306">
        <f t="shared" si="30"/>
        <v>0</v>
      </c>
      <c r="N39" s="246" t="s">
        <v>76</v>
      </c>
      <c r="O39" s="153"/>
      <c r="P39" s="154"/>
      <c r="Q39" s="155"/>
      <c r="R39" s="154"/>
      <c r="S39" s="154"/>
      <c r="T39" s="154"/>
      <c r="U39" s="154"/>
      <c r="V39" s="311"/>
    </row>
    <row r="40" spans="1:25" ht="30" x14ac:dyDescent="0.25">
      <c r="A40" s="255" t="s">
        <v>294</v>
      </c>
      <c r="B40" s="56" t="s">
        <v>295</v>
      </c>
      <c r="C40" s="58"/>
      <c r="D40" s="84"/>
      <c r="E40" s="58"/>
      <c r="F40" s="58"/>
      <c r="G40" s="58"/>
      <c r="H40" s="58"/>
      <c r="I40" s="101"/>
      <c r="J40" s="102"/>
      <c r="K40" s="103"/>
      <c r="L40" s="160"/>
      <c r="M40" s="306">
        <f t="shared" si="30"/>
        <v>0</v>
      </c>
      <c r="N40" s="242" t="s">
        <v>360</v>
      </c>
      <c r="O40" s="56" t="s">
        <v>295</v>
      </c>
      <c r="P40" s="58"/>
      <c r="Q40" s="84"/>
      <c r="R40" s="58"/>
      <c r="S40" s="58"/>
      <c r="T40" s="58"/>
      <c r="U40" s="58"/>
      <c r="V40" s="252"/>
    </row>
    <row r="41" spans="1:25" ht="18" x14ac:dyDescent="0.25">
      <c r="A41" s="255" t="s">
        <v>298</v>
      </c>
      <c r="B41" s="56">
        <v>10</v>
      </c>
      <c r="C41" s="58">
        <v>1</v>
      </c>
      <c r="D41" s="84">
        <f t="shared" si="13"/>
        <v>10</v>
      </c>
      <c r="E41" s="58">
        <v>0</v>
      </c>
      <c r="F41" s="58">
        <f>D41*E41</f>
        <v>0</v>
      </c>
      <c r="G41" s="58">
        <f>F41*0.05</f>
        <v>0</v>
      </c>
      <c r="H41" s="58">
        <f t="shared" ref="H41" si="31">F41*0.1</f>
        <v>0</v>
      </c>
      <c r="I41" s="101">
        <f>F41*$F$2+G41*$G$2+H41*$H$2</f>
        <v>0</v>
      </c>
      <c r="J41" s="102"/>
      <c r="K41" s="103"/>
      <c r="L41" s="104">
        <f>I41</f>
        <v>0</v>
      </c>
      <c r="M41" s="306">
        <f t="shared" si="30"/>
        <v>0</v>
      </c>
      <c r="N41" s="242" t="s">
        <v>380</v>
      </c>
      <c r="O41" s="56">
        <v>10</v>
      </c>
      <c r="P41" s="58">
        <v>1</v>
      </c>
      <c r="Q41" s="84">
        <f t="shared" si="15"/>
        <v>10</v>
      </c>
      <c r="R41" s="58">
        <v>0</v>
      </c>
      <c r="S41" s="58">
        <f>Q41*R41</f>
        <v>0</v>
      </c>
      <c r="T41" s="58">
        <f>S41*0.05</f>
        <v>0</v>
      </c>
      <c r="U41" s="58">
        <f t="shared" ref="U41" si="32">S41*0.1</f>
        <v>0</v>
      </c>
      <c r="V41" s="252">
        <f t="shared" ref="V41" si="33">S41*$F$2+T41*$G$2+U41*$H$2</f>
        <v>0</v>
      </c>
    </row>
    <row r="42" spans="1:25" x14ac:dyDescent="0.25">
      <c r="A42" s="255" t="s">
        <v>300</v>
      </c>
      <c r="B42" s="56" t="s">
        <v>261</v>
      </c>
      <c r="C42" s="58"/>
      <c r="D42" s="84"/>
      <c r="E42" s="58"/>
      <c r="F42" s="58"/>
      <c r="G42" s="58"/>
      <c r="H42" s="58"/>
      <c r="I42" s="101"/>
      <c r="J42" s="102"/>
      <c r="K42" s="103"/>
      <c r="L42" s="160"/>
      <c r="M42" s="306">
        <f t="shared" si="30"/>
        <v>0</v>
      </c>
      <c r="N42" s="242" t="s">
        <v>301</v>
      </c>
      <c r="O42" s="56" t="s">
        <v>261</v>
      </c>
      <c r="P42" s="58"/>
      <c r="Q42" s="84"/>
      <c r="R42" s="58"/>
      <c r="S42" s="58"/>
      <c r="T42" s="58"/>
      <c r="U42" s="58"/>
      <c r="V42" s="252"/>
    </row>
    <row r="43" spans="1:25" ht="33" x14ac:dyDescent="0.25">
      <c r="A43" s="278" t="s">
        <v>302</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6">
        <f t="shared" si="30"/>
        <v>5819.6754000000001</v>
      </c>
      <c r="N43" s="242" t="s">
        <v>303</v>
      </c>
      <c r="O43" s="56" t="s">
        <v>51</v>
      </c>
      <c r="P43" s="58"/>
      <c r="Q43" s="84"/>
      <c r="R43" s="58"/>
      <c r="S43" s="58"/>
      <c r="T43" s="58"/>
      <c r="U43" s="58"/>
      <c r="V43" s="252"/>
    </row>
    <row r="44" spans="1:25" ht="33" x14ac:dyDescent="0.25">
      <c r="A44" s="278" t="s">
        <v>304</v>
      </c>
      <c r="B44" s="54"/>
      <c r="C44" s="54"/>
      <c r="D44" s="54"/>
      <c r="E44" s="54"/>
      <c r="F44" s="54"/>
      <c r="G44" s="54"/>
      <c r="H44" s="54"/>
      <c r="I44" s="224"/>
      <c r="J44" s="102"/>
      <c r="K44" s="103"/>
      <c r="L44" s="160"/>
      <c r="M44" s="306">
        <f t="shared" si="30"/>
        <v>-268234.1298</v>
      </c>
      <c r="N44" s="242" t="s">
        <v>381</v>
      </c>
      <c r="O44" s="56">
        <v>3.25</v>
      </c>
      <c r="P44" s="58">
        <v>52</v>
      </c>
      <c r="Q44" s="161">
        <f t="shared" si="15"/>
        <v>169</v>
      </c>
      <c r="R44" s="352">
        <v>12</v>
      </c>
      <c r="S44" s="77">
        <f t="shared" ref="S44:S47" si="34">Q44*R44</f>
        <v>2028</v>
      </c>
      <c r="T44" s="78">
        <f>S44*0.05</f>
        <v>101.4</v>
      </c>
      <c r="U44" s="78">
        <f>S44*0.1</f>
        <v>202.8</v>
      </c>
      <c r="V44" s="252">
        <f>S44*$F$2+T44*$G$2+U44*$H$2</f>
        <v>268234.1298</v>
      </c>
    </row>
    <row r="45" spans="1:25" ht="48" x14ac:dyDescent="0.25">
      <c r="A45" s="279" t="s">
        <v>308</v>
      </c>
      <c r="B45" s="51">
        <v>2</v>
      </c>
      <c r="C45" s="51">
        <v>12</v>
      </c>
      <c r="D45" s="51">
        <f t="shared" si="13"/>
        <v>24</v>
      </c>
      <c r="E45" s="73">
        <v>1</v>
      </c>
      <c r="F45" s="74">
        <f t="shared" ref="F45" si="35">D45*E45</f>
        <v>24</v>
      </c>
      <c r="G45" s="80">
        <f t="shared" ref="G45" si="36">F45*0.05</f>
        <v>1.2000000000000002</v>
      </c>
      <c r="H45" s="74">
        <f t="shared" ref="H45" si="37">F45*0.1</f>
        <v>2.4000000000000004</v>
      </c>
      <c r="I45" s="52">
        <f>F45*$F$2+G45*$G$2+H45*$H$2</f>
        <v>3174.3684000000003</v>
      </c>
      <c r="J45" s="131"/>
      <c r="K45" s="132"/>
      <c r="L45" s="133">
        <f>I45</f>
        <v>3174.3684000000003</v>
      </c>
      <c r="M45" s="306">
        <f t="shared" si="30"/>
        <v>3174.3684000000003</v>
      </c>
      <c r="N45" s="243"/>
      <c r="O45" s="66"/>
      <c r="P45" s="68"/>
      <c r="Q45" s="162"/>
      <c r="R45" s="68"/>
      <c r="S45" s="88"/>
      <c r="T45" s="115"/>
      <c r="U45" s="115"/>
      <c r="V45" s="308"/>
    </row>
    <row r="46" spans="1:25" ht="18" x14ac:dyDescent="0.25">
      <c r="A46" s="279" t="s">
        <v>309</v>
      </c>
      <c r="B46" s="49">
        <v>3.25</v>
      </c>
      <c r="C46" s="51">
        <v>52</v>
      </c>
      <c r="D46" s="163">
        <f>B46*C46</f>
        <v>169</v>
      </c>
      <c r="E46" s="51">
        <v>11</v>
      </c>
      <c r="F46" s="74">
        <f>D46*E46</f>
        <v>1859</v>
      </c>
      <c r="G46" s="74">
        <f>F46*0.05</f>
        <v>92.95</v>
      </c>
      <c r="H46" s="74">
        <f>F46*0.1</f>
        <v>185.9</v>
      </c>
      <c r="I46" s="52">
        <f>F46*$F$2+G46*$G$2+H46*$H$2</f>
        <v>245881.28565000003</v>
      </c>
      <c r="J46" s="102"/>
      <c r="K46" s="103"/>
      <c r="L46" s="104">
        <f>I46</f>
        <v>245881.28565000003</v>
      </c>
      <c r="M46" s="306">
        <f t="shared" si="30"/>
        <v>245881.28565000003</v>
      </c>
      <c r="N46" s="243"/>
      <c r="O46" s="66"/>
      <c r="P46" s="68"/>
      <c r="Q46" s="162"/>
      <c r="R46" s="68"/>
      <c r="S46" s="88"/>
      <c r="T46" s="115"/>
      <c r="U46" s="115"/>
      <c r="V46" s="308"/>
    </row>
    <row r="47" spans="1:25" ht="18" x14ac:dyDescent="0.25">
      <c r="A47" s="253" t="s">
        <v>310</v>
      </c>
      <c r="B47" s="49"/>
      <c r="C47" s="51"/>
      <c r="D47" s="83"/>
      <c r="E47" s="51"/>
      <c r="F47" s="51"/>
      <c r="G47" s="51"/>
      <c r="H47" s="51"/>
      <c r="I47" s="52"/>
      <c r="J47" s="102"/>
      <c r="K47" s="103"/>
      <c r="L47" s="160"/>
      <c r="M47" s="306">
        <f t="shared" si="30"/>
        <v>0</v>
      </c>
      <c r="N47" s="242" t="s">
        <v>382</v>
      </c>
      <c r="O47" s="56">
        <v>3</v>
      </c>
      <c r="P47" s="58">
        <v>1</v>
      </c>
      <c r="Q47" s="84">
        <f t="shared" si="15"/>
        <v>3</v>
      </c>
      <c r="R47" s="58">
        <v>0</v>
      </c>
      <c r="S47" s="58">
        <f t="shared" si="34"/>
        <v>0</v>
      </c>
      <c r="T47" s="58">
        <f t="shared" ref="T47" si="38">S47*0.05</f>
        <v>0</v>
      </c>
      <c r="U47" s="58">
        <f t="shared" ref="U47" si="39">S47*0.1</f>
        <v>0</v>
      </c>
      <c r="V47" s="252">
        <f>S47*$F$2+T47*$G$2+U47*$H$2</f>
        <v>0</v>
      </c>
    </row>
    <row r="48" spans="1:25" ht="18" x14ac:dyDescent="0.25">
      <c r="A48" s="280" t="s">
        <v>312</v>
      </c>
      <c r="B48" s="51">
        <v>3</v>
      </c>
      <c r="C48" s="51">
        <v>1</v>
      </c>
      <c r="D48" s="51">
        <f>B48*C48</f>
        <v>3</v>
      </c>
      <c r="E48" s="51">
        <v>0</v>
      </c>
      <c r="F48" s="74">
        <f>D48*E48</f>
        <v>0</v>
      </c>
      <c r="G48" s="74">
        <f>F48*0.05</f>
        <v>0</v>
      </c>
      <c r="H48" s="74">
        <f>F48*0.1</f>
        <v>0</v>
      </c>
      <c r="I48" s="52">
        <f>F48*$F$2+G48*$G$2+H48*$H$2</f>
        <v>0</v>
      </c>
      <c r="J48" s="102"/>
      <c r="K48" s="103"/>
      <c r="L48" s="104">
        <f>I48</f>
        <v>0</v>
      </c>
      <c r="M48" s="306">
        <f t="shared" si="30"/>
        <v>0</v>
      </c>
      <c r="N48" s="243"/>
      <c r="O48" s="66"/>
      <c r="P48" s="68"/>
      <c r="Q48" s="86"/>
      <c r="R48" s="68"/>
      <c r="S48" s="68"/>
      <c r="T48" s="68"/>
      <c r="U48" s="68"/>
      <c r="V48" s="308"/>
    </row>
    <row r="49" spans="1:22" ht="18" x14ac:dyDescent="0.25">
      <c r="A49" s="280" t="s">
        <v>313</v>
      </c>
      <c r="B49" s="51">
        <v>1</v>
      </c>
      <c r="C49" s="51">
        <v>1</v>
      </c>
      <c r="D49" s="51">
        <f t="shared" ref="D49" si="40">B49*C49</f>
        <v>1</v>
      </c>
      <c r="E49" s="51">
        <v>11</v>
      </c>
      <c r="F49" s="74">
        <f t="shared" ref="F49:F51" si="41">D49*E49</f>
        <v>11</v>
      </c>
      <c r="G49" s="80">
        <f t="shared" ref="G49:G50" si="42">F49*0.05</f>
        <v>0.55000000000000004</v>
      </c>
      <c r="H49" s="80">
        <f t="shared" ref="H49:H50" si="43">F49*0.1</f>
        <v>1.1000000000000001</v>
      </c>
      <c r="I49" s="52">
        <f>F49*$F$2+G49*$G$2+H49*$H$2</f>
        <v>1454.91885</v>
      </c>
      <c r="J49" s="131"/>
      <c r="K49" s="132">
        <f>I49</f>
        <v>1454.91885</v>
      </c>
      <c r="L49" s="133"/>
      <c r="M49" s="306">
        <f t="shared" si="30"/>
        <v>1454.91885</v>
      </c>
      <c r="N49" s="243"/>
      <c r="O49" s="66"/>
      <c r="P49" s="68"/>
      <c r="Q49" s="86"/>
      <c r="R49" s="68"/>
      <c r="S49" s="68"/>
      <c r="T49" s="68"/>
      <c r="U49" s="68"/>
      <c r="V49" s="308"/>
    </row>
    <row r="50" spans="1:22" ht="33" x14ac:dyDescent="0.25">
      <c r="A50" s="281" t="s">
        <v>314</v>
      </c>
      <c r="B50" s="51">
        <v>20</v>
      </c>
      <c r="C50" s="51">
        <v>1</v>
      </c>
      <c r="D50" s="51">
        <f>B50*C50</f>
        <v>20</v>
      </c>
      <c r="E50" s="69">
        <f>11/3</f>
        <v>3.6666666666666665</v>
      </c>
      <c r="F50" s="74">
        <f t="shared" si="41"/>
        <v>73.333333333333329</v>
      </c>
      <c r="G50" s="80">
        <f t="shared" si="42"/>
        <v>3.6666666666666665</v>
      </c>
      <c r="H50" s="80">
        <f t="shared" si="43"/>
        <v>7.333333333333333</v>
      </c>
      <c r="I50" s="52">
        <f>F50*$F$2+G50*$G$2+H50*$H$2</f>
        <v>9699.4589999999989</v>
      </c>
      <c r="J50" s="131"/>
      <c r="K50" s="132">
        <f>I50</f>
        <v>9699.4589999999989</v>
      </c>
      <c r="L50" s="133"/>
      <c r="M50" s="306">
        <f t="shared" si="30"/>
        <v>9699.4589999999989</v>
      </c>
      <c r="N50" s="243"/>
      <c r="O50" s="66"/>
      <c r="P50" s="68"/>
      <c r="Q50" s="86"/>
      <c r="R50" s="68"/>
      <c r="S50" s="68"/>
      <c r="T50" s="68"/>
      <c r="U50" s="68"/>
      <c r="V50" s="308"/>
    </row>
    <row r="51" spans="1:22" ht="33" x14ac:dyDescent="0.25">
      <c r="A51" s="281" t="s">
        <v>316</v>
      </c>
      <c r="B51" s="49">
        <v>8</v>
      </c>
      <c r="C51" s="51">
        <v>2</v>
      </c>
      <c r="D51" s="83">
        <f t="shared" ref="D51" si="44">B51*C51</f>
        <v>16</v>
      </c>
      <c r="E51" s="73">
        <v>11</v>
      </c>
      <c r="F51" s="74">
        <f t="shared" si="41"/>
        <v>176</v>
      </c>
      <c r="G51" s="80">
        <f>F51*0.05</f>
        <v>8.8000000000000007</v>
      </c>
      <c r="H51" s="74">
        <f>F51*0.1</f>
        <v>17.600000000000001</v>
      </c>
      <c r="I51" s="52">
        <f>F51*$F$2+G51*$G$2+H51*$H$2</f>
        <v>23278.7016</v>
      </c>
      <c r="J51" s="131"/>
      <c r="K51" s="132">
        <f>I51</f>
        <v>23278.7016</v>
      </c>
      <c r="L51" s="133"/>
      <c r="M51" s="306">
        <f t="shared" si="30"/>
        <v>23278.7016</v>
      </c>
      <c r="N51" s="243"/>
      <c r="O51" s="66"/>
      <c r="P51" s="68"/>
      <c r="Q51" s="86"/>
      <c r="R51" s="68"/>
      <c r="S51" s="68"/>
      <c r="T51" s="68"/>
      <c r="U51" s="68"/>
      <c r="V51" s="308"/>
    </row>
    <row r="52" spans="1:22" ht="15.75" thickBot="1" x14ac:dyDescent="0.3">
      <c r="A52" s="257" t="s">
        <v>319</v>
      </c>
      <c r="B52" s="164" t="s">
        <v>51</v>
      </c>
      <c r="C52" s="165"/>
      <c r="D52" s="84"/>
      <c r="E52" s="165"/>
      <c r="F52" s="169"/>
      <c r="G52" s="169"/>
      <c r="H52" s="169"/>
      <c r="I52" s="225"/>
      <c r="J52" s="166"/>
      <c r="K52" s="167"/>
      <c r="L52" s="168"/>
      <c r="M52" s="306">
        <f t="shared" si="30"/>
        <v>0</v>
      </c>
      <c r="N52" s="245" t="s">
        <v>383</v>
      </c>
      <c r="O52" s="164" t="s">
        <v>51</v>
      </c>
      <c r="P52" s="165"/>
      <c r="Q52" s="84"/>
      <c r="R52" s="165"/>
      <c r="S52" s="169"/>
      <c r="T52" s="169"/>
      <c r="U52" s="169"/>
      <c r="V52" s="312"/>
    </row>
    <row r="53" spans="1:22" ht="29.25" thickBot="1" x14ac:dyDescent="0.3">
      <c r="A53" s="145" t="s">
        <v>321</v>
      </c>
      <c r="B53" s="152"/>
      <c r="C53" s="147"/>
      <c r="D53" s="147"/>
      <c r="E53" s="147"/>
      <c r="F53" s="571">
        <f>SUM(F40:H52)</f>
        <v>2515.4333333333338</v>
      </c>
      <c r="G53" s="572"/>
      <c r="H53" s="573"/>
      <c r="I53" s="148">
        <f>SUM(I40:I52)</f>
        <v>289308.40890000004</v>
      </c>
      <c r="J53" s="149">
        <f>SUM(J40:J52)</f>
        <v>5819.6754000000001</v>
      </c>
      <c r="K53" s="150">
        <f>SUM(K40:K52)</f>
        <v>34433.079449999997</v>
      </c>
      <c r="L53" s="151">
        <f>SUM(L40:L52)</f>
        <v>249055.65405000004</v>
      </c>
      <c r="M53" s="306">
        <f t="shared" si="30"/>
        <v>21074.279100000043</v>
      </c>
      <c r="N53" s="145" t="s">
        <v>321</v>
      </c>
      <c r="O53" s="152"/>
      <c r="P53" s="147"/>
      <c r="Q53" s="147"/>
      <c r="R53" s="147"/>
      <c r="S53" s="571">
        <f>SUM(S40:U52)</f>
        <v>2332.2000000000003</v>
      </c>
      <c r="T53" s="572"/>
      <c r="U53" s="573"/>
      <c r="V53" s="310">
        <f>SUM(V40:V52)</f>
        <v>268234.1298</v>
      </c>
    </row>
    <row r="54" spans="1:22" ht="31.5" thickBot="1" x14ac:dyDescent="0.3">
      <c r="A54" s="145" t="s">
        <v>322</v>
      </c>
      <c r="B54" s="508"/>
      <c r="C54" s="146"/>
      <c r="D54" s="146"/>
      <c r="E54" s="146"/>
      <c r="F54" s="571">
        <f>ROUND(F53+F38,-2)</f>
        <v>9000</v>
      </c>
      <c r="G54" s="574"/>
      <c r="H54" s="575"/>
      <c r="I54" s="148">
        <f>ROUND(I38+I53,-4)</f>
        <v>1030000</v>
      </c>
      <c r="J54" s="149">
        <f>ROUND(J38+J53,-4)</f>
        <v>10000</v>
      </c>
      <c r="K54" s="150">
        <f>ROUND(K38+K53,-4)</f>
        <v>150000</v>
      </c>
      <c r="L54" s="151">
        <f>ROUND(L38+L53,-4)</f>
        <v>870000</v>
      </c>
      <c r="M54" s="306">
        <f t="shared" si="30"/>
        <v>-320000</v>
      </c>
      <c r="N54" s="145" t="s">
        <v>384</v>
      </c>
      <c r="O54" s="508"/>
      <c r="P54" s="146"/>
      <c r="Q54" s="146"/>
      <c r="R54" s="146"/>
      <c r="S54" s="571">
        <f>ROUND(S53+S38,-2)</f>
        <v>11800</v>
      </c>
      <c r="T54" s="574"/>
      <c r="U54" s="575"/>
      <c r="V54" s="310">
        <f>ROUND(V38+V53,-4)</f>
        <v>1350000</v>
      </c>
    </row>
    <row r="55" spans="1:22" x14ac:dyDescent="0.25">
      <c r="A55" s="173"/>
      <c r="B55" s="174"/>
      <c r="C55" s="175"/>
      <c r="D55" s="175"/>
      <c r="E55" s="175"/>
      <c r="F55" s="176"/>
      <c r="G55" s="227"/>
      <c r="H55" s="174"/>
      <c r="I55" s="177"/>
      <c r="J55" s="178"/>
      <c r="K55" s="179"/>
      <c r="L55" s="180"/>
      <c r="M55" s="306"/>
      <c r="N55" s="183"/>
      <c r="O55" s="184"/>
      <c r="P55" s="185"/>
      <c r="Q55" s="185"/>
      <c r="R55" s="185"/>
      <c r="S55" s="186"/>
      <c r="T55" s="229"/>
      <c r="U55" s="184"/>
      <c r="V55" s="313"/>
    </row>
    <row r="56" spans="1:22" x14ac:dyDescent="0.25">
      <c r="A56" s="187"/>
      <c r="B56" s="188"/>
      <c r="C56" s="189"/>
      <c r="D56" s="189"/>
      <c r="E56" s="189"/>
      <c r="F56" s="190"/>
      <c r="G56" s="230"/>
      <c r="H56" s="188"/>
      <c r="I56" s="191"/>
      <c r="J56" s="192"/>
      <c r="K56" s="193"/>
      <c r="L56" s="194"/>
      <c r="M56" s="306"/>
      <c r="N56" s="195"/>
      <c r="O56" s="196"/>
      <c r="P56" s="197"/>
      <c r="Q56" s="197"/>
      <c r="R56" s="197"/>
      <c r="S56" s="198"/>
      <c r="T56" s="231"/>
      <c r="U56" s="196"/>
      <c r="V56" s="314"/>
    </row>
    <row r="57" spans="1:22" ht="31.5" thickBot="1" x14ac:dyDescent="0.3">
      <c r="A57" s="199" t="s">
        <v>326</v>
      </c>
      <c r="B57" s="200"/>
      <c r="C57" s="200"/>
      <c r="D57" s="200"/>
      <c r="E57" s="200"/>
      <c r="F57" s="201"/>
      <c r="G57" s="200"/>
      <c r="H57" s="200"/>
      <c r="I57" s="202" t="e">
        <f>#REF!</f>
        <v>#REF!</v>
      </c>
      <c r="J57" s="203">
        <v>0</v>
      </c>
      <c r="K57" s="204">
        <v>0</v>
      </c>
      <c r="L57" s="205">
        <v>0</v>
      </c>
      <c r="M57" s="306" t="e">
        <f>I57-V57</f>
        <v>#REF!</v>
      </c>
      <c r="N57" s="199" t="s">
        <v>385</v>
      </c>
      <c r="O57" s="200"/>
      <c r="P57" s="200"/>
      <c r="Q57" s="200"/>
      <c r="R57" s="200"/>
      <c r="S57" s="201"/>
      <c r="T57" s="200"/>
      <c r="U57" s="200"/>
      <c r="V57" s="315" t="e">
        <f>#REF!</f>
        <v>#REF!</v>
      </c>
    </row>
    <row r="58" spans="1:22" ht="17.25" thickBot="1" x14ac:dyDescent="0.3">
      <c r="A58" s="208" t="s">
        <v>328</v>
      </c>
      <c r="B58" s="209"/>
      <c r="C58" s="209"/>
      <c r="D58" s="209"/>
      <c r="E58" s="209"/>
      <c r="F58" s="210"/>
      <c r="G58" s="209"/>
      <c r="H58" s="209"/>
      <c r="I58" s="211" t="e">
        <f>ROUND(I54+I57, -4)</f>
        <v>#REF!</v>
      </c>
      <c r="J58" s="212">
        <f>ROUND(J54+J57, -4)</f>
        <v>10000</v>
      </c>
      <c r="K58" s="213">
        <f>ROUND(K54+K57, -4)</f>
        <v>150000</v>
      </c>
      <c r="L58" s="214">
        <f>ROUND(L54+L57, -4)</f>
        <v>870000</v>
      </c>
      <c r="M58" s="307" t="e">
        <f>I58-V58</f>
        <v>#REF!</v>
      </c>
      <c r="N58" s="208" t="s">
        <v>386</v>
      </c>
      <c r="O58" s="209"/>
      <c r="P58" s="209"/>
      <c r="Q58" s="209"/>
      <c r="R58" s="209"/>
      <c r="S58" s="210"/>
      <c r="T58" s="209"/>
      <c r="U58" s="209"/>
      <c r="V58" s="215" t="e">
        <f>ROUND(V54+V57, -4)</f>
        <v>#REF!</v>
      </c>
    </row>
    <row r="59" spans="1:22" x14ac:dyDescent="0.25">
      <c r="A59" s="216"/>
      <c r="F59" s="234"/>
      <c r="N59" s="216"/>
      <c r="S59" s="234"/>
    </row>
    <row r="60" spans="1:22" x14ac:dyDescent="0.25">
      <c r="A60" s="218" t="s">
        <v>112</v>
      </c>
      <c r="N60" s="218" t="s">
        <v>112</v>
      </c>
    </row>
    <row r="61" spans="1:22" ht="18" x14ac:dyDescent="0.25">
      <c r="A61" s="219" t="s">
        <v>329</v>
      </c>
      <c r="J61" s="220"/>
      <c r="K61" s="220"/>
      <c r="L61" s="220"/>
      <c r="N61" s="221" t="s">
        <v>387</v>
      </c>
    </row>
    <row r="62" spans="1:22" ht="18" x14ac:dyDescent="0.25">
      <c r="A62" s="559" t="s">
        <v>331</v>
      </c>
      <c r="B62" s="559"/>
      <c r="C62" s="559"/>
      <c r="D62" s="559"/>
      <c r="E62" s="559"/>
      <c r="F62" s="559"/>
      <c r="G62" s="559"/>
      <c r="H62" s="559"/>
      <c r="I62" s="559"/>
      <c r="N62" s="578" t="s">
        <v>388</v>
      </c>
      <c r="O62" s="578"/>
      <c r="P62" s="578"/>
      <c r="Q62" s="578"/>
      <c r="R62" s="578"/>
      <c r="S62" s="578"/>
      <c r="T62" s="578"/>
      <c r="U62" s="578"/>
      <c r="V62" s="578"/>
    </row>
    <row r="63" spans="1:22" x14ac:dyDescent="0.25">
      <c r="A63" s="562" t="s">
        <v>333</v>
      </c>
      <c r="B63" s="563"/>
      <c r="C63" s="563"/>
      <c r="D63" s="563"/>
      <c r="E63" s="563"/>
      <c r="F63" s="563"/>
      <c r="G63" s="563"/>
      <c r="H63" s="563"/>
      <c r="I63" s="563"/>
      <c r="J63" s="220"/>
      <c r="K63" s="220"/>
      <c r="L63" s="220"/>
      <c r="N63" s="564" t="s">
        <v>389</v>
      </c>
      <c r="O63" s="565"/>
      <c r="P63" s="565"/>
      <c r="Q63" s="565"/>
      <c r="R63" s="565"/>
      <c r="S63" s="565"/>
      <c r="T63" s="565"/>
      <c r="U63" s="565"/>
      <c r="V63" s="565"/>
    </row>
    <row r="64" spans="1:22" x14ac:dyDescent="0.25">
      <c r="A64" s="562" t="s">
        <v>335</v>
      </c>
      <c r="B64" s="563"/>
      <c r="C64" s="563"/>
      <c r="D64" s="563"/>
      <c r="E64" s="563"/>
      <c r="F64" s="563"/>
      <c r="G64" s="563"/>
      <c r="H64" s="563"/>
      <c r="I64" s="563"/>
      <c r="J64" s="220"/>
      <c r="K64" s="220"/>
      <c r="L64" s="220"/>
      <c r="N64" s="576" t="s">
        <v>390</v>
      </c>
      <c r="O64" s="577"/>
      <c r="P64" s="577"/>
      <c r="Q64" s="577"/>
      <c r="R64" s="577"/>
      <c r="S64" s="577"/>
      <c r="T64" s="577"/>
      <c r="U64" s="577"/>
      <c r="V64" s="577"/>
    </row>
    <row r="65" spans="1:22" x14ac:dyDescent="0.25">
      <c r="A65" s="564" t="s">
        <v>337</v>
      </c>
      <c r="B65" s="565"/>
      <c r="C65" s="565"/>
      <c r="D65" s="565"/>
      <c r="E65" s="565"/>
      <c r="F65" s="565"/>
      <c r="G65" s="565"/>
      <c r="H65" s="565"/>
      <c r="I65" s="565"/>
      <c r="N65" s="564" t="s">
        <v>391</v>
      </c>
      <c r="O65" s="565"/>
      <c r="P65" s="565"/>
      <c r="Q65" s="565"/>
      <c r="R65" s="565"/>
      <c r="S65" s="565"/>
      <c r="T65" s="565"/>
      <c r="U65" s="565"/>
      <c r="V65" s="565"/>
    </row>
    <row r="66" spans="1:22" ht="18" x14ac:dyDescent="0.25">
      <c r="A66" s="566" t="s">
        <v>339</v>
      </c>
      <c r="B66" s="566"/>
      <c r="C66" s="566"/>
      <c r="D66" s="566"/>
      <c r="E66" s="566"/>
      <c r="F66" s="566"/>
      <c r="G66" s="566"/>
      <c r="H66" s="566"/>
      <c r="I66" s="566"/>
      <c r="N66" s="221" t="s">
        <v>392</v>
      </c>
    </row>
    <row r="67" spans="1:22" ht="18" x14ac:dyDescent="0.25">
      <c r="A67" s="559" t="s">
        <v>341</v>
      </c>
      <c r="B67" s="559"/>
      <c r="C67" s="559"/>
      <c r="D67" s="559"/>
      <c r="E67" s="559"/>
      <c r="F67" s="559"/>
      <c r="G67" s="559"/>
      <c r="H67" s="559"/>
      <c r="I67" s="559"/>
      <c r="N67" s="558" t="s">
        <v>393</v>
      </c>
      <c r="O67" s="558"/>
      <c r="P67" s="558"/>
      <c r="Q67" s="558"/>
      <c r="R67" s="558"/>
      <c r="S67" s="558"/>
      <c r="T67" s="558"/>
      <c r="U67" s="558"/>
      <c r="V67" s="558"/>
    </row>
    <row r="68" spans="1:22" ht="18" x14ac:dyDescent="0.25">
      <c r="A68" s="559" t="s">
        <v>343</v>
      </c>
      <c r="B68" s="559"/>
      <c r="C68" s="559"/>
      <c r="D68" s="559"/>
      <c r="E68" s="559"/>
      <c r="F68" s="559"/>
      <c r="G68" s="559"/>
      <c r="H68" s="559"/>
      <c r="I68" s="559"/>
      <c r="N68" s="221" t="s">
        <v>394</v>
      </c>
    </row>
    <row r="69" spans="1:22" ht="18" x14ac:dyDescent="0.25">
      <c r="A69" s="558" t="s">
        <v>345</v>
      </c>
      <c r="B69" s="558"/>
      <c r="C69" s="558"/>
      <c r="D69" s="558"/>
      <c r="E69" s="558"/>
      <c r="F69" s="558"/>
      <c r="G69" s="558"/>
      <c r="H69" s="558"/>
      <c r="I69" s="558"/>
    </row>
    <row r="70" spans="1:22" ht="18" x14ac:dyDescent="0.25">
      <c r="A70" s="219" t="s">
        <v>347</v>
      </c>
      <c r="G70" s="9"/>
    </row>
    <row r="71" spans="1:22" ht="18" x14ac:dyDescent="0.25">
      <c r="A71" s="219" t="s">
        <v>349</v>
      </c>
    </row>
    <row r="72" spans="1:22" ht="18" x14ac:dyDescent="0.25">
      <c r="A72" s="559" t="s">
        <v>351</v>
      </c>
      <c r="B72" s="559"/>
      <c r="C72" s="559"/>
      <c r="D72" s="559"/>
      <c r="E72" s="559"/>
      <c r="F72" s="559"/>
      <c r="G72" s="559"/>
      <c r="H72" s="559"/>
      <c r="I72" s="559"/>
    </row>
    <row r="73" spans="1:22" ht="18" x14ac:dyDescent="0.25">
      <c r="A73" s="222" t="s">
        <v>353</v>
      </c>
    </row>
    <row r="74" spans="1:22" ht="18" x14ac:dyDescent="0.25">
      <c r="A74" s="221" t="s">
        <v>355</v>
      </c>
    </row>
  </sheetData>
  <mergeCells count="23">
    <mergeCell ref="A1:I1"/>
    <mergeCell ref="A3:A4"/>
    <mergeCell ref="N3:N4"/>
    <mergeCell ref="F38:H38"/>
    <mergeCell ref="S38:U38"/>
    <mergeCell ref="F53:H53"/>
    <mergeCell ref="S53:U53"/>
    <mergeCell ref="F54:H54"/>
    <mergeCell ref="S54:U54"/>
    <mergeCell ref="A62:I62"/>
    <mergeCell ref="N62:V62"/>
    <mergeCell ref="A72:I72"/>
    <mergeCell ref="A63:I63"/>
    <mergeCell ref="N63:V63"/>
    <mergeCell ref="A64:I64"/>
    <mergeCell ref="N64:V64"/>
    <mergeCell ref="A65:I65"/>
    <mergeCell ref="N65:V65"/>
    <mergeCell ref="A66:I66"/>
    <mergeCell ref="A67:I67"/>
    <mergeCell ref="N67:V67"/>
    <mergeCell ref="A68:I68"/>
    <mergeCell ref="A69:I69"/>
  </mergeCells>
  <pageMargins left="0.7" right="0.7" top="0.75" bottom="0.75" header="0.3" footer="0.3"/>
  <pageSetup orientation="portrait" horizontalDpi="4294967293"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Z38"/>
  <sheetViews>
    <sheetView zoomScale="95" zoomScaleNormal="95" workbookViewId="0">
      <pane xSplit="1" ySplit="4" topLeftCell="B5" activePane="bottomRight" state="frozen"/>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ol min="11" max="11" width="10.42578125" style="10" bestFit="1" customWidth="1"/>
    <col min="12" max="18" width="9.140625" style="10"/>
    <col min="19" max="19" width="28.28515625" style="10" customWidth="1"/>
    <col min="20" max="16384" width="9.140625" style="10"/>
  </cols>
  <sheetData>
    <row r="1" spans="1:26" ht="15.75" x14ac:dyDescent="0.25">
      <c r="A1" s="327" t="s">
        <v>395</v>
      </c>
      <c r="T1" s="329"/>
      <c r="U1" s="329"/>
      <c r="V1" s="329"/>
      <c r="W1" s="329"/>
      <c r="X1" s="329"/>
      <c r="Y1" s="329"/>
      <c r="Z1" s="329"/>
    </row>
    <row r="2" spans="1:26" x14ac:dyDescent="0.25">
      <c r="F2" s="34">
        <v>48.75</v>
      </c>
      <c r="G2" s="34">
        <v>65.709999999999994</v>
      </c>
      <c r="H2" s="34">
        <v>26.38</v>
      </c>
      <c r="I2" s="28" t="s">
        <v>396</v>
      </c>
      <c r="K2" s="11"/>
      <c r="T2" s="329"/>
      <c r="U2" s="329"/>
      <c r="V2" s="329"/>
      <c r="W2" s="329"/>
      <c r="X2" s="329"/>
      <c r="Y2" s="329"/>
      <c r="Z2" s="329"/>
    </row>
    <row r="3" spans="1:26" ht="15.75" thickBot="1" x14ac:dyDescent="0.3">
      <c r="A3" s="554" t="s">
        <v>131</v>
      </c>
      <c r="B3" s="507" t="s">
        <v>1</v>
      </c>
      <c r="C3" s="507" t="s">
        <v>2</v>
      </c>
      <c r="D3" s="507" t="s">
        <v>3</v>
      </c>
      <c r="E3" s="507" t="s">
        <v>4</v>
      </c>
      <c r="F3" s="507" t="s">
        <v>5</v>
      </c>
      <c r="G3" s="507" t="s">
        <v>6</v>
      </c>
      <c r="H3" s="507" t="s">
        <v>7</v>
      </c>
      <c r="I3" s="507" t="s">
        <v>37</v>
      </c>
      <c r="S3" s="554" t="s">
        <v>131</v>
      </c>
      <c r="T3" s="332" t="s">
        <v>1</v>
      </c>
      <c r="U3" s="332" t="s">
        <v>2</v>
      </c>
      <c r="V3" s="332" t="s">
        <v>3</v>
      </c>
      <c r="W3" s="332" t="s">
        <v>4</v>
      </c>
      <c r="X3" s="332" t="s">
        <v>5</v>
      </c>
      <c r="Y3" s="332" t="s">
        <v>6</v>
      </c>
      <c r="Z3" s="333" t="s">
        <v>7</v>
      </c>
    </row>
    <row r="4" spans="1:26" ht="69.75" customHeight="1" x14ac:dyDescent="0.25">
      <c r="A4" s="587"/>
      <c r="B4" s="507" t="s">
        <v>132</v>
      </c>
      <c r="C4" s="507" t="s">
        <v>397</v>
      </c>
      <c r="D4" s="507" t="s">
        <v>398</v>
      </c>
      <c r="E4" s="507" t="s">
        <v>399</v>
      </c>
      <c r="F4" s="507" t="s">
        <v>44</v>
      </c>
      <c r="G4" s="507" t="s">
        <v>400</v>
      </c>
      <c r="H4" s="507" t="s">
        <v>401</v>
      </c>
      <c r="I4" s="507" t="s">
        <v>402</v>
      </c>
      <c r="J4" s="36" t="s">
        <v>229</v>
      </c>
      <c r="K4" s="37" t="s">
        <v>230</v>
      </c>
      <c r="L4" s="38" t="s">
        <v>231</v>
      </c>
      <c r="M4" s="35" t="s">
        <v>403</v>
      </c>
      <c r="N4" s="317" t="s">
        <v>404</v>
      </c>
      <c r="O4" s="36" t="s">
        <v>405</v>
      </c>
      <c r="P4" s="37" t="s">
        <v>406</v>
      </c>
      <c r="Q4" s="38" t="s">
        <v>407</v>
      </c>
      <c r="R4" s="35" t="s">
        <v>403</v>
      </c>
      <c r="S4" s="587"/>
      <c r="T4" s="332" t="s">
        <v>408</v>
      </c>
      <c r="U4" s="332" t="s">
        <v>409</v>
      </c>
      <c r="V4" s="332" t="s">
        <v>410</v>
      </c>
      <c r="W4" s="332" t="s">
        <v>411</v>
      </c>
      <c r="X4" s="332" t="s">
        <v>412</v>
      </c>
      <c r="Y4" s="332" t="s">
        <v>413</v>
      </c>
      <c r="Z4" s="333" t="s">
        <v>414</v>
      </c>
    </row>
    <row r="5" spans="1:26" ht="19.5" customHeight="1" x14ac:dyDescent="0.25">
      <c r="A5" s="321" t="s">
        <v>415</v>
      </c>
      <c r="B5" s="509"/>
      <c r="C5" s="2"/>
      <c r="D5" s="2"/>
      <c r="E5" s="2"/>
      <c r="F5" s="2"/>
      <c r="G5" s="2"/>
      <c r="H5" s="2"/>
      <c r="I5" s="12"/>
      <c r="O5" s="322"/>
      <c r="P5" s="322"/>
      <c r="Q5" s="322"/>
      <c r="S5" s="1" t="s">
        <v>416</v>
      </c>
      <c r="T5" s="509">
        <v>40</v>
      </c>
      <c r="U5" s="2">
        <v>40</v>
      </c>
      <c r="V5" s="2" t="s">
        <v>417</v>
      </c>
      <c r="W5" s="2">
        <v>40</v>
      </c>
      <c r="X5" s="2">
        <v>2</v>
      </c>
      <c r="Y5" s="2">
        <v>4</v>
      </c>
      <c r="Z5" s="21">
        <v>2725</v>
      </c>
    </row>
    <row r="6" spans="1:26" ht="19.5" customHeight="1" x14ac:dyDescent="0.25">
      <c r="A6" s="30" t="s">
        <v>418</v>
      </c>
      <c r="B6" s="509">
        <v>2</v>
      </c>
      <c r="C6" s="2">
        <v>1</v>
      </c>
      <c r="D6" s="2">
        <f>B6*C6</f>
        <v>2</v>
      </c>
      <c r="E6" s="2">
        <v>0</v>
      </c>
      <c r="F6" s="2">
        <f>D6*E6</f>
        <v>0</v>
      </c>
      <c r="G6" s="2">
        <f>F6*0.05</f>
        <v>0</v>
      </c>
      <c r="H6" s="2">
        <f>F6*0.1</f>
        <v>0</v>
      </c>
      <c r="I6" s="3">
        <f>F6*$F$2+G6*$G$2+H6*$H$2</f>
        <v>0</v>
      </c>
      <c r="L6" s="318">
        <f>I6</f>
        <v>0</v>
      </c>
      <c r="N6" s="10">
        <f t="shared" ref="N6:N12" si="0">SUM(F6:H6)</f>
        <v>0</v>
      </c>
      <c r="O6" s="322"/>
      <c r="P6" s="322"/>
      <c r="Q6" s="322">
        <f>N6</f>
        <v>0</v>
      </c>
      <c r="S6" s="1" t="s">
        <v>419</v>
      </c>
      <c r="T6" s="509">
        <v>2</v>
      </c>
      <c r="U6" s="2">
        <v>2</v>
      </c>
      <c r="V6" s="2" t="s">
        <v>420</v>
      </c>
      <c r="W6" s="2">
        <v>0</v>
      </c>
      <c r="X6" s="2">
        <v>0</v>
      </c>
      <c r="Y6" s="2">
        <v>0</v>
      </c>
      <c r="Z6" s="21">
        <v>0</v>
      </c>
    </row>
    <row r="7" spans="1:26" ht="35.450000000000003" customHeight="1" x14ac:dyDescent="0.25">
      <c r="A7" s="30" t="s">
        <v>421</v>
      </c>
      <c r="B7" s="509">
        <v>4</v>
      </c>
      <c r="C7" s="2">
        <v>1</v>
      </c>
      <c r="D7" s="2">
        <f>B7*C7</f>
        <v>4</v>
      </c>
      <c r="E7" s="2">
        <v>0</v>
      </c>
      <c r="F7" s="2">
        <f>D7*E7</f>
        <v>0</v>
      </c>
      <c r="G7" s="2">
        <f>F7*0.05</f>
        <v>0</v>
      </c>
      <c r="H7" s="2">
        <f>F7*0.1</f>
        <v>0</v>
      </c>
      <c r="I7" s="3">
        <f>F7*$F$2+G7*$G$2+H7*$H$2</f>
        <v>0</v>
      </c>
      <c r="L7" s="318">
        <f t="shared" ref="L7:L11" si="1">I7</f>
        <v>0</v>
      </c>
      <c r="N7" s="10">
        <f t="shared" si="0"/>
        <v>0</v>
      </c>
      <c r="O7" s="322"/>
      <c r="P7" s="322"/>
      <c r="Q7" s="322">
        <f t="shared" ref="Q7:Q11" si="2">N7</f>
        <v>0</v>
      </c>
      <c r="S7" s="1" t="s">
        <v>422</v>
      </c>
      <c r="T7" s="509">
        <v>40</v>
      </c>
      <c r="U7" s="2">
        <v>40</v>
      </c>
      <c r="V7" s="2" t="s">
        <v>420</v>
      </c>
      <c r="W7" s="2">
        <v>0</v>
      </c>
      <c r="X7" s="2">
        <v>0</v>
      </c>
      <c r="Y7" s="2">
        <v>0</v>
      </c>
      <c r="Z7" s="21">
        <v>0</v>
      </c>
    </row>
    <row r="8" spans="1:26" ht="19.5" customHeight="1" x14ac:dyDescent="0.25">
      <c r="A8" s="30" t="s">
        <v>423</v>
      </c>
      <c r="B8" s="509">
        <v>2</v>
      </c>
      <c r="C8" s="2">
        <v>1</v>
      </c>
      <c r="D8" s="2">
        <f>B8*C8</f>
        <v>2</v>
      </c>
      <c r="E8" s="2">
        <v>0</v>
      </c>
      <c r="F8" s="2">
        <f>D8*E8</f>
        <v>0</v>
      </c>
      <c r="G8" s="2">
        <f>F8*0.05</f>
        <v>0</v>
      </c>
      <c r="H8" s="2">
        <f>F8*0.1</f>
        <v>0</v>
      </c>
      <c r="I8" s="3">
        <f>F8*$F$2+G8*$G$2+H8*$H$2</f>
        <v>0</v>
      </c>
      <c r="L8" s="318">
        <f t="shared" si="1"/>
        <v>0</v>
      </c>
      <c r="N8" s="10">
        <f t="shared" si="0"/>
        <v>0</v>
      </c>
      <c r="O8" s="322"/>
      <c r="P8" s="322"/>
      <c r="Q8" s="322">
        <f t="shared" si="2"/>
        <v>0</v>
      </c>
      <c r="S8" s="1" t="s">
        <v>424</v>
      </c>
      <c r="T8" s="509">
        <v>2080</v>
      </c>
      <c r="U8" s="2">
        <v>2080</v>
      </c>
      <c r="V8" s="2" t="s">
        <v>425</v>
      </c>
      <c r="W8" s="2">
        <v>0</v>
      </c>
      <c r="X8" s="2">
        <v>0</v>
      </c>
      <c r="Y8" s="2">
        <v>0</v>
      </c>
      <c r="Z8" s="21">
        <v>0</v>
      </c>
    </row>
    <row r="9" spans="1:26" ht="35.450000000000003" customHeight="1" x14ac:dyDescent="0.25">
      <c r="A9" s="30" t="s">
        <v>426</v>
      </c>
      <c r="B9" s="509">
        <v>4</v>
      </c>
      <c r="C9" s="2">
        <v>1</v>
      </c>
      <c r="D9" s="2">
        <f t="shared" ref="D9:D12" si="3">B9*C9</f>
        <v>4</v>
      </c>
      <c r="E9" s="27">
        <v>0</v>
      </c>
      <c r="F9" s="8">
        <f>D9*E9</f>
        <v>0</v>
      </c>
      <c r="G9" s="8">
        <f>F9*0.05</f>
        <v>0</v>
      </c>
      <c r="H9" s="8">
        <f>F9*0.1</f>
        <v>0</v>
      </c>
      <c r="I9" s="3">
        <f>F9*$F$2+G9*$G$2+H9*$H$2</f>
        <v>0</v>
      </c>
      <c r="L9" s="318">
        <f t="shared" si="1"/>
        <v>0</v>
      </c>
      <c r="N9" s="10">
        <f t="shared" si="0"/>
        <v>0</v>
      </c>
      <c r="O9" s="322"/>
      <c r="P9" s="322"/>
      <c r="Q9" s="322">
        <f t="shared" si="2"/>
        <v>0</v>
      </c>
      <c r="S9" s="1" t="s">
        <v>427</v>
      </c>
      <c r="T9" s="509">
        <v>120</v>
      </c>
      <c r="U9" s="2">
        <v>120</v>
      </c>
      <c r="V9" s="2" t="s">
        <v>425</v>
      </c>
      <c r="W9" s="2">
        <v>0</v>
      </c>
      <c r="X9" s="2">
        <v>0</v>
      </c>
      <c r="Y9" s="2">
        <v>0</v>
      </c>
      <c r="Z9" s="21">
        <v>0</v>
      </c>
    </row>
    <row r="10" spans="1:26" x14ac:dyDescent="0.25">
      <c r="A10" s="29" t="s">
        <v>428</v>
      </c>
      <c r="B10" s="26">
        <v>4</v>
      </c>
      <c r="C10" s="24">
        <v>1</v>
      </c>
      <c r="D10" s="24">
        <f t="shared" si="3"/>
        <v>4</v>
      </c>
      <c r="E10" s="27">
        <v>0</v>
      </c>
      <c r="F10" s="27">
        <f>D10*E10</f>
        <v>0</v>
      </c>
      <c r="G10" s="27">
        <f>F10*0.05</f>
        <v>0</v>
      </c>
      <c r="H10" s="27">
        <f>F10*0.1</f>
        <v>0</v>
      </c>
      <c r="I10" s="31">
        <f>F10*$F$2+G10*$G$2+H10*$H$2</f>
        <v>0</v>
      </c>
      <c r="L10" s="318">
        <f t="shared" si="1"/>
        <v>0</v>
      </c>
      <c r="N10" s="10">
        <f t="shared" si="0"/>
        <v>0</v>
      </c>
      <c r="O10" s="322"/>
      <c r="P10" s="322"/>
      <c r="Q10" s="322">
        <f t="shared" si="2"/>
        <v>0</v>
      </c>
      <c r="S10" s="1" t="s">
        <v>429</v>
      </c>
      <c r="T10" s="509"/>
      <c r="U10" s="2"/>
      <c r="V10" s="2"/>
      <c r="W10" s="2"/>
      <c r="X10" s="2"/>
      <c r="Y10" s="2"/>
      <c r="Z10" s="21"/>
    </row>
    <row r="11" spans="1:26" s="15" customFormat="1" ht="35.450000000000003" customHeight="1" x14ac:dyDescent="0.25">
      <c r="A11" s="30" t="s">
        <v>430</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318">
        <f t="shared" si="1"/>
        <v>0</v>
      </c>
      <c r="N11" s="10">
        <f t="shared" si="0"/>
        <v>0</v>
      </c>
      <c r="O11" s="323"/>
      <c r="P11" s="324"/>
      <c r="Q11" s="322">
        <f t="shared" si="2"/>
        <v>0</v>
      </c>
      <c r="S11" s="22" t="s">
        <v>431</v>
      </c>
      <c r="T11" s="509" t="s">
        <v>51</v>
      </c>
      <c r="U11" s="2"/>
      <c r="V11" s="2"/>
      <c r="W11" s="2"/>
      <c r="X11" s="2"/>
      <c r="Y11" s="2"/>
      <c r="Z11" s="19"/>
    </row>
    <row r="12" spans="1:26" s="15" customFormat="1" ht="18.75" customHeight="1" x14ac:dyDescent="0.25">
      <c r="A12" s="33" t="s">
        <v>432</v>
      </c>
      <c r="B12" s="26">
        <v>2</v>
      </c>
      <c r="C12" s="24">
        <v>0.4</v>
      </c>
      <c r="D12" s="27">
        <f t="shared" si="3"/>
        <v>0.8</v>
      </c>
      <c r="E12" s="24">
        <v>0</v>
      </c>
      <c r="F12" s="27">
        <f t="shared" si="4"/>
        <v>0</v>
      </c>
      <c r="G12" s="27">
        <f t="shared" si="5"/>
        <v>0</v>
      </c>
      <c r="H12" s="27">
        <f t="shared" si="6"/>
        <v>0</v>
      </c>
      <c r="I12" s="31">
        <f t="shared" si="7"/>
        <v>0</v>
      </c>
      <c r="J12" s="319">
        <f>I12</f>
        <v>0</v>
      </c>
      <c r="K12" s="16"/>
      <c r="N12" s="10">
        <f t="shared" si="0"/>
        <v>0</v>
      </c>
      <c r="O12" s="323">
        <f>N12</f>
        <v>0</v>
      </c>
      <c r="P12" s="324"/>
      <c r="Q12" s="323"/>
      <c r="S12" s="23" t="s">
        <v>433</v>
      </c>
      <c r="T12" s="509" t="s">
        <v>51</v>
      </c>
      <c r="U12" s="2"/>
      <c r="V12" s="2"/>
      <c r="W12" s="2"/>
      <c r="X12" s="2"/>
      <c r="Y12" s="2"/>
      <c r="Z12" s="19"/>
    </row>
    <row r="13" spans="1:26" ht="19.5" customHeight="1" x14ac:dyDescent="0.25">
      <c r="A13" s="13" t="s">
        <v>434</v>
      </c>
      <c r="B13" s="509"/>
      <c r="C13" s="2"/>
      <c r="D13" s="2"/>
      <c r="E13" s="2"/>
      <c r="F13" s="2"/>
      <c r="G13" s="2"/>
      <c r="H13" s="2"/>
      <c r="I13" s="3"/>
      <c r="O13" s="322"/>
      <c r="P13" s="322"/>
      <c r="Q13" s="322"/>
      <c r="S13" s="23" t="s">
        <v>435</v>
      </c>
      <c r="T13" s="509" t="s">
        <v>51</v>
      </c>
      <c r="U13" s="2"/>
      <c r="V13" s="2"/>
      <c r="W13" s="2"/>
      <c r="X13" s="2"/>
      <c r="Y13" s="2"/>
      <c r="Z13" s="19"/>
    </row>
    <row r="14" spans="1:26" ht="35.450000000000003" customHeight="1" x14ac:dyDescent="0.25">
      <c r="A14" s="30" t="s">
        <v>436</v>
      </c>
      <c r="B14" s="509">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318">
        <f>I14</f>
        <v>801.87799999999993</v>
      </c>
      <c r="N14" s="10">
        <f t="shared" ref="N14:N19" si="9">SUM(F14:H14)</f>
        <v>16.866666666666667</v>
      </c>
      <c r="O14" s="322"/>
      <c r="P14" s="322"/>
      <c r="Q14" s="322">
        <f>N14</f>
        <v>16.866666666666667</v>
      </c>
      <c r="S14" s="23" t="s">
        <v>437</v>
      </c>
      <c r="T14" s="509" t="s">
        <v>51</v>
      </c>
      <c r="U14" s="2"/>
      <c r="V14" s="2"/>
      <c r="W14" s="2"/>
      <c r="X14" s="2"/>
      <c r="Y14" s="2"/>
      <c r="Z14" s="19"/>
    </row>
    <row r="15" spans="1:26" ht="25.5" x14ac:dyDescent="0.25">
      <c r="A15" s="29" t="s">
        <v>438</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318">
        <f>I15</f>
        <v>801.87799999999993</v>
      </c>
      <c r="N15" s="10">
        <f t="shared" si="9"/>
        <v>16.866666666666667</v>
      </c>
      <c r="O15" s="322"/>
      <c r="P15" s="322"/>
      <c r="Q15" s="322">
        <f>N15</f>
        <v>16.866666666666667</v>
      </c>
      <c r="S15" s="23" t="s">
        <v>439</v>
      </c>
      <c r="T15" s="509">
        <v>2</v>
      </c>
      <c r="U15" s="2">
        <v>2</v>
      </c>
      <c r="V15" s="2" t="s">
        <v>440</v>
      </c>
      <c r="W15" s="2">
        <v>12</v>
      </c>
      <c r="X15" s="2">
        <v>0.6</v>
      </c>
      <c r="Y15" s="2">
        <v>1.2</v>
      </c>
      <c r="Z15" s="19">
        <v>818</v>
      </c>
    </row>
    <row r="16" spans="1:26" s="15" customFormat="1" ht="35.450000000000003" customHeight="1" x14ac:dyDescent="0.25">
      <c r="A16" s="30" t="s">
        <v>441</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319">
        <f>I16</f>
        <v>2405.634</v>
      </c>
      <c r="N16" s="10">
        <f t="shared" si="9"/>
        <v>50.6</v>
      </c>
      <c r="O16" s="323"/>
      <c r="P16" s="324"/>
      <c r="Q16" s="323">
        <f>N16</f>
        <v>50.6</v>
      </c>
      <c r="S16" s="23" t="s">
        <v>442</v>
      </c>
      <c r="T16" s="509">
        <v>2</v>
      </c>
      <c r="U16" s="2">
        <v>2</v>
      </c>
      <c r="V16" s="2" t="s">
        <v>440</v>
      </c>
      <c r="W16" s="2">
        <v>12</v>
      </c>
      <c r="X16" s="2">
        <v>0.6</v>
      </c>
      <c r="Y16" s="2">
        <v>1.2</v>
      </c>
      <c r="Z16" s="19">
        <v>818</v>
      </c>
    </row>
    <row r="17" spans="1:26" s="15" customFormat="1" ht="18.75" customHeight="1" x14ac:dyDescent="0.25">
      <c r="A17" s="33" t="s">
        <v>443</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319">
        <f>I17</f>
        <v>481.12680000000006</v>
      </c>
      <c r="K17" s="16"/>
      <c r="N17" s="10">
        <f t="shared" si="9"/>
        <v>10.120000000000001</v>
      </c>
      <c r="O17" s="323">
        <f>N17</f>
        <v>10.120000000000001</v>
      </c>
      <c r="P17" s="324"/>
      <c r="Q17" s="323"/>
      <c r="S17" s="23" t="s">
        <v>444</v>
      </c>
      <c r="T17" s="509">
        <v>8</v>
      </c>
      <c r="U17" s="2">
        <v>8</v>
      </c>
      <c r="V17" s="2" t="s">
        <v>254</v>
      </c>
      <c r="W17" s="2">
        <v>0</v>
      </c>
      <c r="X17" s="2">
        <v>0</v>
      </c>
      <c r="Y17" s="2">
        <v>0</v>
      </c>
      <c r="Z17" s="19">
        <v>0</v>
      </c>
    </row>
    <row r="18" spans="1:26" ht="19.5" customHeight="1" x14ac:dyDescent="0.25">
      <c r="A18" s="32" t="s">
        <v>445</v>
      </c>
      <c r="B18" s="509">
        <v>4</v>
      </c>
      <c r="C18" s="2">
        <v>1</v>
      </c>
      <c r="D18" s="2">
        <f>B18*C18</f>
        <v>4</v>
      </c>
      <c r="E18" s="25">
        <f>11/3</f>
        <v>3.6666666666666665</v>
      </c>
      <c r="F18" s="8">
        <f>D18*E18</f>
        <v>14.666666666666666</v>
      </c>
      <c r="G18" s="14">
        <f>F18*0.05</f>
        <v>0.73333333333333339</v>
      </c>
      <c r="H18" s="14">
        <f>F18*0.1</f>
        <v>1.4666666666666668</v>
      </c>
      <c r="I18" s="3">
        <f>F18*$F$2+G18*$G$2+H18*$H$2</f>
        <v>801.87799999999993</v>
      </c>
      <c r="J18" s="320" t="e">
        <f>I18*#REF!/100</f>
        <v>#REF!</v>
      </c>
      <c r="L18" s="320" t="e">
        <f>I18-J18</f>
        <v>#REF!</v>
      </c>
      <c r="N18" s="10">
        <f t="shared" si="9"/>
        <v>16.866666666666667</v>
      </c>
      <c r="O18" s="322" t="e">
        <f>N18*#REF!/100</f>
        <v>#REF!</v>
      </c>
      <c r="P18" s="322"/>
      <c r="Q18" s="322" t="e">
        <f>N18-O18</f>
        <v>#REF!</v>
      </c>
      <c r="S18" s="23" t="s">
        <v>446</v>
      </c>
      <c r="T18" s="509">
        <v>8</v>
      </c>
      <c r="U18" s="2" t="s">
        <v>447</v>
      </c>
      <c r="V18" s="2" t="s">
        <v>254</v>
      </c>
      <c r="W18" s="2">
        <v>0</v>
      </c>
      <c r="X18" s="2">
        <v>0</v>
      </c>
      <c r="Y18" s="2">
        <v>0</v>
      </c>
      <c r="Z18" s="19">
        <v>0</v>
      </c>
    </row>
    <row r="19" spans="1:26" ht="19.5" customHeight="1" x14ac:dyDescent="0.25">
      <c r="A19" s="32" t="s">
        <v>448</v>
      </c>
      <c r="B19" s="509">
        <v>8</v>
      </c>
      <c r="C19" s="2">
        <v>2</v>
      </c>
      <c r="D19" s="2">
        <f t="shared" si="8"/>
        <v>16</v>
      </c>
      <c r="E19" s="24">
        <v>11</v>
      </c>
      <c r="F19" s="8">
        <f t="shared" si="10"/>
        <v>176</v>
      </c>
      <c r="G19" s="14">
        <f t="shared" si="11"/>
        <v>8.8000000000000007</v>
      </c>
      <c r="H19" s="8">
        <f t="shared" si="12"/>
        <v>17.600000000000001</v>
      </c>
      <c r="I19" s="3">
        <f t="shared" si="13"/>
        <v>9622.5360000000001</v>
      </c>
      <c r="K19" s="318">
        <f>I19</f>
        <v>9622.5360000000001</v>
      </c>
      <c r="N19" s="10">
        <f t="shared" si="9"/>
        <v>202.4</v>
      </c>
      <c r="O19" s="322"/>
      <c r="P19" s="322">
        <f>N19</f>
        <v>202.4</v>
      </c>
      <c r="Q19" s="322"/>
      <c r="S19" s="23" t="s">
        <v>449</v>
      </c>
      <c r="T19" s="509">
        <v>4</v>
      </c>
      <c r="U19" s="2">
        <v>4</v>
      </c>
      <c r="V19" s="2" t="s">
        <v>450</v>
      </c>
      <c r="W19" s="2">
        <v>0</v>
      </c>
      <c r="X19" s="2">
        <v>0</v>
      </c>
      <c r="Y19" s="2">
        <v>0</v>
      </c>
      <c r="Z19" s="19">
        <v>0</v>
      </c>
    </row>
    <row r="20" spans="1:26" ht="19.5" customHeight="1" x14ac:dyDescent="0.25">
      <c r="A20" s="13" t="s">
        <v>451</v>
      </c>
      <c r="B20" s="509"/>
      <c r="C20" s="2"/>
      <c r="D20" s="2"/>
      <c r="E20" s="2"/>
      <c r="F20" s="588">
        <f>SUM(F5:H19)</f>
        <v>313.72000000000003</v>
      </c>
      <c r="G20" s="589"/>
      <c r="H20" s="590"/>
      <c r="I20" s="3">
        <f>SUM(I5:I19)</f>
        <v>14914.9308</v>
      </c>
      <c r="J20" s="3" t="e">
        <f>SUM(J5:J19)</f>
        <v>#REF!</v>
      </c>
      <c r="K20" s="3">
        <f>SUM(K5:K19)</f>
        <v>9622.5360000000001</v>
      </c>
      <c r="L20" s="3" t="e">
        <f>SUM(L5:L19)</f>
        <v>#REF!</v>
      </c>
      <c r="M20" s="318" t="e">
        <f>SUM(J20:L20)</f>
        <v>#REF!</v>
      </c>
      <c r="O20" s="325" t="e">
        <f>SUM(O5:O19)</f>
        <v>#REF!</v>
      </c>
      <c r="P20" s="325">
        <f>SUM(P5:P19)</f>
        <v>202.4</v>
      </c>
      <c r="Q20" s="325" t="e">
        <f>SUM(Q5:Q19)</f>
        <v>#REF!</v>
      </c>
      <c r="S20" s="23" t="s">
        <v>452</v>
      </c>
      <c r="T20" s="509">
        <v>4</v>
      </c>
      <c r="U20" s="2">
        <v>4</v>
      </c>
      <c r="V20" s="2" t="s">
        <v>254</v>
      </c>
      <c r="W20" s="2">
        <v>0</v>
      </c>
      <c r="X20" s="2">
        <v>0</v>
      </c>
      <c r="Y20" s="2">
        <v>0</v>
      </c>
      <c r="Z20" s="19">
        <v>0</v>
      </c>
    </row>
    <row r="21" spans="1:26" ht="35.450000000000003" customHeight="1" x14ac:dyDescent="0.25">
      <c r="A21" s="5" t="s">
        <v>453</v>
      </c>
      <c r="B21" s="2"/>
      <c r="C21" s="2"/>
      <c r="D21" s="2"/>
      <c r="E21" s="2"/>
      <c r="F21" s="591">
        <f>ROUND(SUM(F5:H19),0)</f>
        <v>314</v>
      </c>
      <c r="G21" s="592"/>
      <c r="H21" s="593"/>
      <c r="I21" s="4">
        <f>ROUND(SUM(I5:I19),-2)</f>
        <v>14900</v>
      </c>
      <c r="J21" s="330" t="e">
        <f>ROUND(SUM(J5:J19),-2)</f>
        <v>#REF!</v>
      </c>
      <c r="K21" s="330">
        <f>ROUND(SUM(K5:K19),-2)</f>
        <v>9600</v>
      </c>
      <c r="L21" s="330" t="e">
        <f>ROUND(SUM(L5:L19),-2)</f>
        <v>#REF!</v>
      </c>
      <c r="M21" s="331" t="e">
        <f>SUM(J21:L21)</f>
        <v>#REF!</v>
      </c>
      <c r="O21" s="326" t="e">
        <f>ROUND(SUM(O5:O19),-1)</f>
        <v>#REF!</v>
      </c>
      <c r="P21" s="326">
        <f t="shared" ref="P21:Q21" si="14">ROUND(SUM(P5:P19),-1)</f>
        <v>200</v>
      </c>
      <c r="Q21" s="326" t="e">
        <f t="shared" si="14"/>
        <v>#REF!</v>
      </c>
      <c r="R21" s="10" t="e">
        <f>SUM(O21:Q21)</f>
        <v>#REF!</v>
      </c>
      <c r="S21" s="1" t="s">
        <v>454</v>
      </c>
      <c r="T21" s="509"/>
      <c r="U21" s="2"/>
      <c r="V21" s="2"/>
      <c r="W21" s="2">
        <v>64</v>
      </c>
      <c r="X21" s="2">
        <v>3</v>
      </c>
      <c r="Y21" s="2">
        <v>6</v>
      </c>
      <c r="Z21" s="19">
        <v>4360</v>
      </c>
    </row>
    <row r="22" spans="1:26" ht="25.5" x14ac:dyDescent="0.25">
      <c r="S22" s="1" t="s">
        <v>455</v>
      </c>
      <c r="T22" s="584" t="s">
        <v>456</v>
      </c>
      <c r="U22" s="585"/>
      <c r="V22" s="585"/>
      <c r="W22" s="585"/>
      <c r="X22" s="585"/>
      <c r="Y22" s="585"/>
      <c r="Z22" s="586"/>
    </row>
    <row r="23" spans="1:26" ht="76.5" customHeight="1" x14ac:dyDescent="0.25">
      <c r="A23" s="6" t="s">
        <v>112</v>
      </c>
      <c r="S23" s="1" t="s">
        <v>457</v>
      </c>
      <c r="T23" s="584" t="s">
        <v>458</v>
      </c>
      <c r="U23" s="585"/>
      <c r="V23" s="585"/>
      <c r="W23" s="585"/>
      <c r="X23" s="585"/>
      <c r="Y23" s="585"/>
      <c r="Z23" s="586"/>
    </row>
    <row r="24" spans="1:26" ht="29.25" customHeight="1" x14ac:dyDescent="0.25">
      <c r="A24" s="594" t="s">
        <v>459</v>
      </c>
      <c r="B24" s="594"/>
      <c r="C24" s="594"/>
      <c r="D24" s="594"/>
      <c r="E24" s="594"/>
      <c r="F24" s="594"/>
      <c r="G24" s="594"/>
      <c r="H24" s="594"/>
      <c r="I24" s="594"/>
      <c r="J24" s="9"/>
      <c r="O24" s="10" t="e">
        <f>SUM(O5:O19)</f>
        <v>#REF!</v>
      </c>
      <c r="P24" s="10">
        <f>SUM(P5:P19)</f>
        <v>202.4</v>
      </c>
      <c r="Q24" s="10" t="e">
        <f>SUM(Q5:Q19)</f>
        <v>#REF!</v>
      </c>
      <c r="R24" s="10" t="e">
        <f>SUM(O24:Q24)</f>
        <v>#REF!</v>
      </c>
      <c r="Z24" s="20"/>
    </row>
    <row r="25" spans="1:26" ht="45.75" customHeight="1" x14ac:dyDescent="0.25">
      <c r="A25" s="595" t="s">
        <v>460</v>
      </c>
      <c r="B25" s="595"/>
      <c r="C25" s="595"/>
      <c r="D25" s="595"/>
      <c r="E25" s="595"/>
      <c r="F25" s="595"/>
      <c r="G25" s="595"/>
      <c r="H25" s="595"/>
      <c r="I25" s="595"/>
      <c r="O25" s="329">
        <v>11</v>
      </c>
      <c r="P25" s="329">
        <v>202</v>
      </c>
      <c r="Q25" s="329">
        <v>101</v>
      </c>
      <c r="R25" s="329">
        <f>SUM(O25:Q25)</f>
        <v>314</v>
      </c>
      <c r="S25" s="10" t="s">
        <v>330</v>
      </c>
      <c r="Z25" s="20"/>
    </row>
    <row r="26" spans="1:26" ht="18.75" x14ac:dyDescent="0.25">
      <c r="A26" s="595" t="s">
        <v>461</v>
      </c>
      <c r="B26" s="595"/>
      <c r="C26" s="595"/>
      <c r="D26" s="595"/>
      <c r="E26" s="595"/>
      <c r="F26" s="595"/>
      <c r="G26" s="595"/>
      <c r="H26" s="595"/>
      <c r="I26" s="595"/>
      <c r="S26" s="10" t="s">
        <v>462</v>
      </c>
      <c r="Z26" s="20"/>
    </row>
    <row r="27" spans="1:26" ht="29.25" customHeight="1" x14ac:dyDescent="0.25">
      <c r="A27" s="581" t="s">
        <v>463</v>
      </c>
      <c r="B27" s="582"/>
      <c r="C27" s="582"/>
      <c r="D27" s="582"/>
      <c r="E27" s="582"/>
      <c r="F27" s="582"/>
      <c r="G27" s="582"/>
      <c r="H27" s="582"/>
      <c r="I27" s="582"/>
      <c r="S27" s="10" t="s">
        <v>464</v>
      </c>
      <c r="Z27" s="20"/>
    </row>
    <row r="28" spans="1:26" x14ac:dyDescent="0.25">
      <c r="A28" s="583" t="s">
        <v>465</v>
      </c>
      <c r="B28" s="523"/>
      <c r="C28" s="523"/>
      <c r="D28" s="523"/>
      <c r="E28" s="523"/>
      <c r="F28" s="523"/>
      <c r="G28" s="523"/>
      <c r="H28" s="523"/>
      <c r="I28" s="523"/>
      <c r="S28" s="10" t="s">
        <v>466</v>
      </c>
      <c r="Z28" s="20"/>
    </row>
    <row r="29" spans="1:26" ht="15.75" x14ac:dyDescent="0.25">
      <c r="A29" s="7" t="s">
        <v>467</v>
      </c>
      <c r="S29" s="10" t="s">
        <v>468</v>
      </c>
      <c r="Z29" s="20"/>
    </row>
    <row r="30" spans="1:26" ht="15.75" x14ac:dyDescent="0.25">
      <c r="S30" s="10" t="s">
        <v>340</v>
      </c>
      <c r="T30" s="328"/>
      <c r="U30" s="328"/>
      <c r="V30" s="17"/>
      <c r="W30" s="17"/>
      <c r="Z30" s="20"/>
    </row>
    <row r="31" spans="1:26" ht="15.75" x14ac:dyDescent="0.25">
      <c r="S31" s="10" t="s">
        <v>469</v>
      </c>
      <c r="T31" s="328"/>
      <c r="U31" s="328"/>
      <c r="V31" s="17"/>
      <c r="W31" s="17"/>
      <c r="Z31" s="20"/>
    </row>
    <row r="35" spans="2:5" ht="15.75" x14ac:dyDescent="0.25">
      <c r="B35" s="328"/>
      <c r="C35" s="328"/>
      <c r="D35" s="17"/>
      <c r="E35" s="17"/>
    </row>
    <row r="36" spans="2:5" ht="15.75" x14ac:dyDescent="0.25">
      <c r="B36" s="328"/>
      <c r="C36" s="328"/>
      <c r="D36" s="17"/>
      <c r="E36" s="17"/>
    </row>
    <row r="37" spans="2:5" ht="15.75" x14ac:dyDescent="0.25">
      <c r="B37" s="328"/>
      <c r="C37" s="328"/>
      <c r="D37" s="17"/>
      <c r="E37" s="17"/>
    </row>
    <row r="38" spans="2:5" x14ac:dyDescent="0.25">
      <c r="B38" s="18"/>
      <c r="C38" s="328"/>
      <c r="D38" s="328"/>
      <c r="E38" s="328"/>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jectID xmlns="3541802f-c9a7-4423-ad70-861189f520b0" xsi:nil="true"/>
    <Action_x0020_Type xmlns="3541802f-c9a7-4423-ad70-861189f520b0">Final</Action_x0020_Type>
    <Lead xmlns="3541802f-c9a7-4423-ad70-861189f520b0">
      <UserInfo>
        <DisplayName>Hansen, Amanda</DisplayName>
        <AccountId>137</AccountId>
        <AccountType/>
      </UserInfo>
    </Lead>
    <AlternateLead xmlns="3541802f-c9a7-4423-ad70-861189f520b0">
      <UserInfo>
        <DisplayName/>
        <AccountId xsi:nil="true"/>
        <AccountType/>
      </UserInfo>
    </AlternateLead>
    <Review_x0020_Type xmlns="3541802f-c9a7-4423-ad70-861189f520b0">112-RTR</Review_x0020_Type>
    <Court_x0020_Order xmlns="3541802f-c9a7-4423-ad70-861189f520b0">true</Court_x0020_Order>
    <DocumentSetDescription xmlns="http://schemas.microsoft.com/sharepoint/v3" xsi:nil="true"/>
    <Document_x0020_Creation_x0020_Date xmlns="4ffa91fb-a0ff-4ac5-b2db-65c790d184a4">2024-02-16T01:44:38+00:00</Document_x0020_Creation_x0020_Date>
    <Package_x0020_Type xmlns="3541802f-c9a7-4423-ad70-861189f520b0">Signature Package</Package_x0020_Type>
    <Group xmlns="3541802f-c9a7-4423-ad70-861189f520b0">MICG</Group>
    <TaxCatchAll xmlns="4ffa91fb-a0ff-4ac5-b2db-65c790d184a4" xsi:nil="true"/>
    <SPPDPhase xmlns="3541802f-c9a7-4423-ad70-861189f520b0">4- RL Review</SPPDPhase>
    <Signature_x0020_Date xmlns="3541802f-c9a7-4423-ad70-861189f520b0">2024-05-02T07:00:00+00:00</Signature_x0020_Dat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2" ma:contentTypeDescription="Create a new document." ma:contentTypeScope="" ma:versionID="ddce83a1123e3f805a168e7356f0a747">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208e3e8c8670a5f7f6fc510f3ffac5d1"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element ref="ns3:AlternateLea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lternateLead" ma:index="26" nillable="true" ma:displayName="AlternateLead" ma:description="Please enter a secondary rule lead/alternate contact for the rule making in case the rule lead is absent. (GL is already cc'ed)" ma:list="UserInfo" ma:SharePointGroup="0" ma:internalName="AlternateLea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LastSyncTimeStamp="2016-08-25T00:16:07.24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5B63CD-2D8A-40E2-BA00-BC3889725968}">
  <ds:schemaRefs>
    <ds:schemaRef ds:uri="03bd6101-953d-43fd-80ac-2ece6a58887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5616516-f1ca-4cb9-8373-fd55eaa8f6a4"/>
    <ds:schemaRef ds:uri="http://www.w3.org/XML/1998/namespace"/>
    <ds:schemaRef ds:uri="http://purl.org/dc/dcmitype/"/>
    <ds:schemaRef ds:uri="3541802f-c9a7-4423-ad70-861189f520b0"/>
    <ds:schemaRef ds:uri="http://schemas.microsoft.com/sharepoint/v3"/>
    <ds:schemaRef ds:uri="4ffa91fb-a0ff-4ac5-b2db-65c790d184a4"/>
  </ds:schemaRefs>
</ds:datastoreItem>
</file>

<file path=customXml/itemProps2.xml><?xml version="1.0" encoding="utf-8"?>
<ds:datastoreItem xmlns:ds="http://schemas.openxmlformats.org/officeDocument/2006/customXml" ds:itemID="{5C464F29-4F2C-4EC1-B62A-AAE85530E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A654D-1A7A-4294-8E64-3D641B95CB88}">
  <ds:schemaRefs>
    <ds:schemaRef ds:uri="Microsoft.SharePoint.Taxonomy.ContentTypeSync"/>
  </ds:schemaRefs>
</ds:datastoreItem>
</file>

<file path=customXml/itemProps4.xml><?xml version="1.0" encoding="utf-8"?>
<ds:datastoreItem xmlns:ds="http://schemas.openxmlformats.org/officeDocument/2006/customXml" ds:itemID="{34A59C01-ED78-462E-BF45-3D35C42605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O+M</vt:lpstr>
      <vt:lpstr>Table 1</vt:lpstr>
      <vt:lpstr>Table 2</vt:lpstr>
      <vt:lpstr>For Reference --&gt;</vt:lpstr>
      <vt:lpstr>Table 1 - Renewal</vt:lpstr>
      <vt:lpstr>Table 2 - Renewal</vt:lpstr>
      <vt:lpstr>T1 Compare to 2003.02</vt:lpstr>
      <vt:lpstr>T1 Compare to 2003.07</vt:lpstr>
      <vt:lpstr>T2 Compare to 2003.02</vt:lpstr>
      <vt:lpstr>T2 Compare to 2003.07</vt:lpstr>
      <vt:lpstr>units</vt:lpstr>
      <vt:lpstr>'T1 Compare to 2003.02'!OLE_LINK1</vt:lpstr>
      <vt:lpstr>'T1 Compare to 2003.07'!OLE_LINK1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Holloway</dc:creator>
  <cp:keywords/>
  <dc:description/>
  <cp:lastModifiedBy>Schultz, Eric</cp:lastModifiedBy>
  <cp:revision/>
  <dcterms:created xsi:type="dcterms:W3CDTF">2019-01-29T18:48:47Z</dcterms:created>
  <dcterms:modified xsi:type="dcterms:W3CDTF">2025-03-01T01:08:15Z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Document Type">
    <vt:lpwstr/>
  </property>
  <property fmtid="{D5CDD505-2E9C-101B-9397-08002B2CF9AE}" pid="5" name="_docset_NoMedatataSyncRequired">
    <vt:lpwstr>True</vt:lpwstr>
  </property>
</Properties>
</file>