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sharepoint.com/sites/RegulatorySupportDivision/Shared Documents/ICR Program/ICR Desk Officer Materials/OAR Stuff/Converted SSs and Template Files/1983.11/"/>
    </mc:Choice>
  </mc:AlternateContent>
  <xr:revisionPtr revIDLastSave="0" documentId="8_{ABF98CB1-4169-4E40-8859-EFD001414AD9}" xr6:coauthVersionLast="47" xr6:coauthVersionMax="47" xr10:uidLastSave="{00000000-0000-0000-0000-000000000000}"/>
  <bookViews>
    <workbookView xWindow="-29745" yWindow="2520" windowWidth="24735" windowHeight="14385" activeTab="3" xr2:uid="{D855CF00-F869-48B3-9963-4AD001D31E8A}"/>
  </bookViews>
  <sheets>
    <sheet name="Summary" sheetId="6" r:id="rId1"/>
    <sheet name="Table 1" sheetId="1" r:id="rId2"/>
    <sheet name="Table 2" sheetId="2" r:id="rId3"/>
    <sheet name="Capital O&amp;M" sheetId="3" r:id="rId4"/>
    <sheet name="Respondents" sheetId="4" r:id="rId5"/>
    <sheet name="Responses"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3" i="1" l="1"/>
  <c r="I7" i="1"/>
  <c r="I40" i="1"/>
  <c r="I63" i="1"/>
  <c r="F64" i="1"/>
  <c r="F63" i="1"/>
  <c r="E26" i="1" l="1"/>
  <c r="G9" i="3" l="1"/>
  <c r="B8" i="3"/>
  <c r="B7" i="3"/>
  <c r="B6" i="3"/>
  <c r="E8" i="3"/>
  <c r="E7" i="3"/>
  <c r="E6" i="3"/>
  <c r="E5" i="3"/>
  <c r="E21" i="5" l="1"/>
  <c r="E20" i="5"/>
  <c r="E19" i="5"/>
  <c r="E18" i="5"/>
  <c r="E17" i="5"/>
  <c r="E16" i="5"/>
  <c r="E15" i="5"/>
  <c r="E14" i="5"/>
  <c r="E13" i="5"/>
  <c r="E12" i="5"/>
  <c r="E5" i="5"/>
  <c r="E4" i="5"/>
  <c r="G8" i="3"/>
  <c r="G5" i="3"/>
  <c r="D35" i="2"/>
  <c r="F35" i="2" s="1"/>
  <c r="E34" i="2"/>
  <c r="D34" i="2"/>
  <c r="E33" i="2"/>
  <c r="D33" i="2"/>
  <c r="E32" i="2"/>
  <c r="D32" i="2"/>
  <c r="E31" i="2"/>
  <c r="D31" i="2"/>
  <c r="E30" i="2"/>
  <c r="D30" i="2"/>
  <c r="E29" i="2"/>
  <c r="D29" i="2"/>
  <c r="E27" i="2"/>
  <c r="D27" i="2"/>
  <c r="E26" i="2"/>
  <c r="D26" i="2"/>
  <c r="D23" i="2"/>
  <c r="D22" i="2"/>
  <c r="D21" i="2"/>
  <c r="E20" i="2"/>
  <c r="D20" i="2"/>
  <c r="D18" i="2"/>
  <c r="E17" i="2"/>
  <c r="D17" i="2"/>
  <c r="F17" i="2" s="1"/>
  <c r="E16" i="2"/>
  <c r="D16" i="2"/>
  <c r="E15" i="2"/>
  <c r="D15" i="2"/>
  <c r="D14" i="2"/>
  <c r="F14" i="2" s="1"/>
  <c r="D13" i="2"/>
  <c r="F13" i="2" s="1"/>
  <c r="E12" i="2"/>
  <c r="E11" i="2"/>
  <c r="E10" i="2"/>
  <c r="E9" i="2"/>
  <c r="D9" i="2"/>
  <c r="E6" i="2"/>
  <c r="E5" i="2"/>
  <c r="D61" i="1"/>
  <c r="F61" i="1" s="1"/>
  <c r="D60" i="1"/>
  <c r="F60" i="1" s="1"/>
  <c r="D59" i="1"/>
  <c r="F59" i="1" s="1"/>
  <c r="D58" i="1"/>
  <c r="F58" i="1" s="1"/>
  <c r="D57" i="1"/>
  <c r="F57" i="1" s="1"/>
  <c r="D56" i="1"/>
  <c r="F56" i="1" s="1"/>
  <c r="D55" i="1"/>
  <c r="F55" i="1" s="1"/>
  <c r="D54" i="1"/>
  <c r="F54" i="1" s="1"/>
  <c r="D53" i="1"/>
  <c r="F53" i="1" s="1"/>
  <c r="D52" i="1"/>
  <c r="F52" i="1" s="1"/>
  <c r="D50" i="1"/>
  <c r="F50" i="1" s="1"/>
  <c r="D49" i="1"/>
  <c r="F49" i="1" s="1"/>
  <c r="D48" i="1"/>
  <c r="F48" i="1" s="1"/>
  <c r="D47" i="1"/>
  <c r="F47" i="1" s="1"/>
  <c r="D35" i="1"/>
  <c r="F35" i="1" s="1"/>
  <c r="D31" i="1"/>
  <c r="F31" i="1" s="1"/>
  <c r="E22" i="2"/>
  <c r="E25" i="1"/>
  <c r="E21" i="2" s="1"/>
  <c r="D25" i="1"/>
  <c r="C22" i="1"/>
  <c r="D21" i="1"/>
  <c r="F21" i="1" s="1"/>
  <c r="D20" i="1"/>
  <c r="F20" i="1" s="1"/>
  <c r="C19" i="1"/>
  <c r="D18" i="1"/>
  <c r="F18" i="1" s="1"/>
  <c r="E7" i="1"/>
  <c r="D7" i="1"/>
  <c r="F7" i="1" s="1"/>
  <c r="E8" i="5"/>
  <c r="E7" i="5"/>
  <c r="E6" i="5"/>
  <c r="C8" i="4"/>
  <c r="B8" i="4"/>
  <c r="F7" i="4"/>
  <c r="F6" i="4"/>
  <c r="F5" i="4"/>
  <c r="D10" i="2"/>
  <c r="D11" i="2"/>
  <c r="D5" i="3"/>
  <c r="D7" i="3"/>
  <c r="D16" i="1"/>
  <c r="H7" i="1" l="1"/>
  <c r="G7" i="1"/>
  <c r="F30" i="2"/>
  <c r="G30" i="2" s="1"/>
  <c r="F34" i="2"/>
  <c r="F29" i="2"/>
  <c r="G29" i="2" s="1"/>
  <c r="F33" i="2"/>
  <c r="H33" i="2" s="1"/>
  <c r="F26" i="2"/>
  <c r="H26" i="2" s="1"/>
  <c r="F31" i="2"/>
  <c r="H31" i="2" s="1"/>
  <c r="F16" i="2"/>
  <c r="G16" i="2" s="1"/>
  <c r="F21" i="2"/>
  <c r="G21" i="2" s="1"/>
  <c r="F27" i="2"/>
  <c r="H27" i="2" s="1"/>
  <c r="F32" i="2"/>
  <c r="H32" i="2" s="1"/>
  <c r="G35" i="2"/>
  <c r="H35" i="2"/>
  <c r="G34" i="2"/>
  <c r="H34" i="2"/>
  <c r="G32" i="2"/>
  <c r="F22" i="2"/>
  <c r="G22" i="2" s="1"/>
  <c r="F20" i="2"/>
  <c r="H20" i="2" s="1"/>
  <c r="H17" i="2"/>
  <c r="G17" i="2"/>
  <c r="H16" i="2"/>
  <c r="F15" i="2"/>
  <c r="H15" i="2" s="1"/>
  <c r="G14" i="2"/>
  <c r="H14" i="2"/>
  <c r="H13" i="2"/>
  <c r="G13" i="2"/>
  <c r="F9" i="2"/>
  <c r="G9" i="2" s="1"/>
  <c r="H61" i="1"/>
  <c r="G61" i="1"/>
  <c r="H60" i="1"/>
  <c r="G60" i="1"/>
  <c r="H59" i="1"/>
  <c r="G59" i="1"/>
  <c r="H58" i="1"/>
  <c r="G58" i="1"/>
  <c r="H57" i="1"/>
  <c r="G57" i="1"/>
  <c r="H56" i="1"/>
  <c r="G56" i="1"/>
  <c r="H55" i="1"/>
  <c r="G55" i="1"/>
  <c r="G54" i="1"/>
  <c r="H54" i="1"/>
  <c r="G53" i="1"/>
  <c r="I53" i="1" s="1"/>
  <c r="H53" i="1"/>
  <c r="H52" i="1"/>
  <c r="G52" i="1"/>
  <c r="H50" i="1"/>
  <c r="G50" i="1"/>
  <c r="I50" i="1" s="1"/>
  <c r="G49" i="1"/>
  <c r="I49" i="1" s="1"/>
  <c r="H49" i="1"/>
  <c r="H48" i="1"/>
  <c r="G48" i="1"/>
  <c r="H47" i="1"/>
  <c r="G47" i="1"/>
  <c r="G35" i="1"/>
  <c r="H35" i="1"/>
  <c r="G31" i="1"/>
  <c r="H31" i="1"/>
  <c r="F25" i="1"/>
  <c r="H25" i="1" s="1"/>
  <c r="G25" i="1"/>
  <c r="G21" i="1"/>
  <c r="H21" i="1"/>
  <c r="I21" i="1" s="1"/>
  <c r="H20" i="1"/>
  <c r="G20" i="1"/>
  <c r="H18" i="1"/>
  <c r="G18" i="1"/>
  <c r="F8" i="4"/>
  <c r="B3" i="6" s="1"/>
  <c r="B11" i="5"/>
  <c r="E11" i="5" s="1"/>
  <c r="E10" i="5"/>
  <c r="F16" i="1"/>
  <c r="H16" i="1" s="1"/>
  <c r="G33" i="2" l="1"/>
  <c r="I16" i="2"/>
  <c r="I54" i="1"/>
  <c r="I17" i="2"/>
  <c r="G27" i="2"/>
  <c r="I27" i="2" s="1"/>
  <c r="I59" i="1"/>
  <c r="H30" i="2"/>
  <c r="I30" i="2" s="1"/>
  <c r="I34" i="2"/>
  <c r="I56" i="1"/>
  <c r="G31" i="2"/>
  <c r="I31" i="2" s="1"/>
  <c r="I20" i="1"/>
  <c r="I18" i="1"/>
  <c r="I57" i="1"/>
  <c r="I61" i="1"/>
  <c r="I32" i="2"/>
  <c r="I21" i="2"/>
  <c r="H29" i="2"/>
  <c r="I29" i="2" s="1"/>
  <c r="I14" i="2"/>
  <c r="H21" i="2"/>
  <c r="G26" i="2"/>
  <c r="I26" i="2" s="1"/>
  <c r="H9" i="2"/>
  <c r="I9" i="2" s="1"/>
  <c r="I13" i="2"/>
  <c r="H22" i="2"/>
  <c r="I22" i="2" s="1"/>
  <c r="I35" i="2"/>
  <c r="I33" i="2"/>
  <c r="G20" i="2"/>
  <c r="I20" i="2" s="1"/>
  <c r="G15" i="2"/>
  <c r="I15" i="2" s="1"/>
  <c r="I60" i="1"/>
  <c r="I58" i="1"/>
  <c r="I55" i="1"/>
  <c r="I52" i="1"/>
  <c r="I48" i="1"/>
  <c r="I47" i="1"/>
  <c r="I35" i="1"/>
  <c r="I31" i="1"/>
  <c r="I25" i="1"/>
  <c r="E9" i="5"/>
  <c r="G16" i="1"/>
  <c r="I16" i="1" s="1"/>
  <c r="F10" i="2" l="1"/>
  <c r="F11" i="2"/>
  <c r="D34" i="1"/>
  <c r="D17" i="1"/>
  <c r="F17" i="1" s="1"/>
  <c r="D15" i="1"/>
  <c r="F15" i="1" s="1"/>
  <c r="G10" i="2" l="1"/>
  <c r="H10" i="2"/>
  <c r="G11" i="2"/>
  <c r="H11" i="2"/>
  <c r="H15" i="1"/>
  <c r="G15" i="1"/>
  <c r="H17" i="1"/>
  <c r="G17" i="1"/>
  <c r="D8" i="3"/>
  <c r="I17" i="1" l="1"/>
  <c r="I10" i="2"/>
  <c r="I11" i="2"/>
  <c r="I15" i="1"/>
  <c r="G7" i="3" l="1"/>
  <c r="G6" i="3"/>
  <c r="D6" i="3"/>
  <c r="D9" i="3" s="1"/>
  <c r="I9" i="3" l="1"/>
  <c r="B6" i="6" l="1"/>
  <c r="I65" i="1"/>
  <c r="E23" i="2"/>
  <c r="F23" i="2" s="1"/>
  <c r="E18" i="2"/>
  <c r="F18" i="2" s="1"/>
  <c r="H18" i="2" l="1"/>
  <c r="G18" i="2"/>
  <c r="I18" i="2" s="1"/>
  <c r="H23" i="2"/>
  <c r="G23" i="2"/>
  <c r="B22" i="5"/>
  <c r="E22" i="5" s="1"/>
  <c r="E23" i="5" s="1"/>
  <c r="F34" i="1"/>
  <c r="D12" i="2"/>
  <c r="D6" i="2"/>
  <c r="D5" i="2"/>
  <c r="D39" i="1"/>
  <c r="D38" i="1"/>
  <c r="D37" i="1"/>
  <c r="D36" i="1"/>
  <c r="F36" i="1" s="1"/>
  <c r="D33" i="1"/>
  <c r="D30" i="1"/>
  <c r="F30" i="1" s="1"/>
  <c r="D27" i="1"/>
  <c r="F27" i="1" s="1"/>
  <c r="D26" i="1"/>
  <c r="F26" i="1" s="1"/>
  <c r="D24" i="1"/>
  <c r="F24" i="1" s="1"/>
  <c r="D22" i="1"/>
  <c r="F22" i="1" s="1"/>
  <c r="D19" i="1"/>
  <c r="D11" i="1"/>
  <c r="F11" i="1" s="1"/>
  <c r="D10" i="1"/>
  <c r="F10" i="1" s="1"/>
  <c r="H10" i="1" s="1"/>
  <c r="D9" i="1"/>
  <c r="F9" i="1" s="1"/>
  <c r="I23" i="2" l="1"/>
  <c r="F19" i="1"/>
  <c r="G19" i="1" s="1"/>
  <c r="F12" i="2"/>
  <c r="H34" i="1"/>
  <c r="G34" i="1"/>
  <c r="F39" i="1"/>
  <c r="H39" i="1" s="1"/>
  <c r="F6" i="2"/>
  <c r="H6" i="2" s="1"/>
  <c r="F38" i="1"/>
  <c r="H38" i="1" s="1"/>
  <c r="F37" i="1"/>
  <c r="H37" i="1" s="1"/>
  <c r="H26" i="1"/>
  <c r="H11" i="1"/>
  <c r="G9" i="1"/>
  <c r="H27" i="1"/>
  <c r="G27" i="1"/>
  <c r="H36" i="1"/>
  <c r="G30" i="1"/>
  <c r="H30" i="1"/>
  <c r="H24" i="1"/>
  <c r="G24" i="1"/>
  <c r="H22" i="1"/>
  <c r="G22" i="1"/>
  <c r="G36" i="1"/>
  <c r="G26" i="1"/>
  <c r="G11" i="1"/>
  <c r="H9" i="1"/>
  <c r="G10" i="1"/>
  <c r="I10" i="1" s="1"/>
  <c r="F33" i="1"/>
  <c r="H19" i="1" l="1"/>
  <c r="I19" i="1" s="1"/>
  <c r="I34" i="1"/>
  <c r="H12" i="2"/>
  <c r="G12" i="2"/>
  <c r="I22" i="1"/>
  <c r="G6" i="2"/>
  <c r="I36" i="1"/>
  <c r="I11" i="1"/>
  <c r="G39" i="1"/>
  <c r="I39" i="1" s="1"/>
  <c r="I27" i="1"/>
  <c r="G38" i="1"/>
  <c r="I38" i="1" s="1"/>
  <c r="G37" i="1"/>
  <c r="I37" i="1" s="1"/>
  <c r="I9" i="1"/>
  <c r="I24" i="1"/>
  <c r="I30" i="1"/>
  <c r="I26" i="1"/>
  <c r="G33" i="1"/>
  <c r="H33" i="1"/>
  <c r="F40" i="1" l="1"/>
  <c r="I12" i="2"/>
  <c r="I6" i="2"/>
  <c r="I33" i="1"/>
  <c r="I64" i="1" s="1"/>
  <c r="I66" i="1" s="1"/>
  <c r="F5" i="2" l="1"/>
  <c r="G5" i="2" l="1"/>
  <c r="H5" i="2"/>
  <c r="F36" i="2" l="1"/>
  <c r="B5" i="6"/>
  <c r="I5" i="2"/>
  <c r="I36" i="2" s="1"/>
  <c r="B2" i="6" l="1"/>
  <c r="B4" i="6"/>
</calcChain>
</file>

<file path=xl/sharedStrings.xml><?xml version="1.0" encoding="utf-8"?>
<sst xmlns="http://schemas.openxmlformats.org/spreadsheetml/2006/main" count="237" uniqueCount="208">
  <si>
    <t>ICR Summary Information</t>
  </si>
  <si>
    <t>Number of Respondents</t>
  </si>
  <si>
    <t>Total Estimated Burden Hours</t>
  </si>
  <si>
    <t>Total Estimated Costs</t>
  </si>
  <si>
    <t>Annualized Capital O&amp;M</t>
  </si>
  <si>
    <t>Form Number</t>
  </si>
  <si>
    <t>Not Applicable</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</si>
  <si>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</si>
  <si>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</si>
  <si>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</si>
  <si>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</si>
  <si>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</si>
  <si>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</si>
  <si>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</si>
  <si>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</si>
  <si>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</si>
  <si>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Labor Rates</t>
  </si>
  <si>
    <t>Management</t>
  </si>
  <si>
    <t>Technical</t>
  </si>
  <si>
    <t>Clerical</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</si>
  <si>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</si>
  <si>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</si>
  <si>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</si>
  <si>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</si>
  <si>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</si>
  <si>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</si>
  <si>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</si>
  <si>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</si>
  <si>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</si>
  <si>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</si>
  <si>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</si>
  <si>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</si>
  <si>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</si>
  <si>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</si>
  <si>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</si>
  <si>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</si>
  <si>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</si>
  <si>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</si>
  <si>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</si>
  <si>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</si>
  <si>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Capital/Startup Cost for One Respondent</t>
  </si>
  <si>
    <t>Total Capital/Startup Cost,  (B X C)</t>
  </si>
  <si>
    <t>Annual O&amp;M Costs for One Respondent</t>
  </si>
  <si>
    <t>Total O&amp;M, 
(E X F)</t>
  </si>
  <si>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</si>
  <si>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</si>
  <si>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</si>
  <si>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</si>
  <si>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</si>
  <si>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</si>
  <si>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</si>
  <si>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</si>
  <si>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</si>
  <si>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</si>
  <si>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</si>
  <si>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</si>
  <si>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</si>
  <si>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</si>
  <si>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</si>
  <si>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</si>
  <si>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Hours per Response</t>
  </si>
  <si>
    <t>1.  Applications</t>
  </si>
  <si>
    <t>2.  Survey and Studies</t>
  </si>
  <si>
    <t>3.  Reporting Requirements</t>
  </si>
  <si>
    <r>
      <t xml:space="preserve">A.  Familiarization with Regulatory Requirements </t>
    </r>
    <r>
      <rPr>
        <vertAlign val="superscript"/>
        <sz val="10"/>
        <rFont val="Times New Roman"/>
        <family val="1"/>
      </rPr>
      <t>c</t>
    </r>
  </si>
  <si>
    <t>B.  Required Activities</t>
  </si>
  <si>
    <t>C.  Create Information</t>
  </si>
  <si>
    <t>D.  Gather Existing Information</t>
  </si>
  <si>
    <t>E.  Report Preparation</t>
  </si>
  <si>
    <t>9. Reporting Results of Continuous Monitoring System Performance Report and Summary Report</t>
  </si>
  <si>
    <t>13. Request for Waiver of Reporting and Recordkeeping</t>
  </si>
  <si>
    <t>1.  Notification of Compliance Status</t>
  </si>
  <si>
    <t>a.  Flares</t>
  </si>
  <si>
    <t>b.  PRDs</t>
  </si>
  <si>
    <t>2.  Periodic and Semiannual Reports</t>
  </si>
  <si>
    <t>c.  Decoking Operations</t>
  </si>
  <si>
    <t>d.  Maintenance Vents</t>
  </si>
  <si>
    <t>f.  HEX El Paso Method</t>
  </si>
  <si>
    <t>Reporting Subtotal</t>
  </si>
  <si>
    <t>4.  Recordkeeping Requirements</t>
  </si>
  <si>
    <t>A.  Familiarization with Regulatory Requirements</t>
  </si>
  <si>
    <t>B.  Plan Activities</t>
  </si>
  <si>
    <t>C.  Implement Activities</t>
  </si>
  <si>
    <t>D.  Develop Record System</t>
  </si>
  <si>
    <t>E.  Time to Enter Information</t>
  </si>
  <si>
    <t>2. Records of CMS</t>
  </si>
  <si>
    <t>3. Collect and compile data</t>
  </si>
  <si>
    <t>4. Enter / verify information for semiannual reports</t>
  </si>
  <si>
    <t>1.  Daily Flame Impingement Inspection</t>
  </si>
  <si>
    <t>2.  Decoking Control Measures</t>
  </si>
  <si>
    <t>3.  Flares</t>
  </si>
  <si>
    <t>4.  PRDs</t>
  </si>
  <si>
    <t>5.  HEX El Paso Method</t>
  </si>
  <si>
    <t>6.  Maintenance Vents</t>
  </si>
  <si>
    <t>9.  Degassing</t>
  </si>
  <si>
    <t>H.  Audits</t>
  </si>
  <si>
    <t>N/A</t>
  </si>
  <si>
    <t>See 3.B</t>
  </si>
  <si>
    <t>See 3.A</t>
  </si>
  <si>
    <r>
      <t xml:space="preserve">c   </t>
    </r>
    <r>
      <rPr>
        <sz val="10"/>
        <color theme="1"/>
        <rFont val="Times New Roman"/>
        <family val="1"/>
      </rPr>
      <t xml:space="preserve">EPA assumes that all sources will re-familiarize with the regulatory requirements each year. </t>
    </r>
  </si>
  <si>
    <t>1. Initial Performance Tests</t>
  </si>
  <si>
    <t>2. Excess Emissions - Enforcement Activities</t>
  </si>
  <si>
    <t>3. Report Review</t>
  </si>
  <si>
    <t>K. Review Reporting Results of Continuous Monitoring System Performance Report and Summary Report</t>
  </si>
  <si>
    <t>L. Review Periodic &amp; Semiannual Reports</t>
  </si>
  <si>
    <t>O. Review Request for Waiver of Reporting and Recordkeeping</t>
  </si>
  <si>
    <t>A. Review notification of compliance status</t>
  </si>
  <si>
    <t>1.  Flares</t>
  </si>
  <si>
    <t>2.  PRDs</t>
  </si>
  <si>
    <t>B. Review compliance reports</t>
  </si>
  <si>
    <t>3.  Decoking Operations</t>
  </si>
  <si>
    <t>4.  Maintenance Vents</t>
  </si>
  <si>
    <t>5. Prepare annual summary report</t>
  </si>
  <si>
    <t>Included in Review of Performance Test Report</t>
  </si>
  <si>
    <t>Source Category w/ Continuous Monitoring Device</t>
  </si>
  <si>
    <t>Spandex CMS</t>
  </si>
  <si>
    <t>Ethylene Flare Monitors</t>
  </si>
  <si>
    <t>Ethylene PRD Monitors</t>
  </si>
  <si>
    <t>Ethylene Heat Exchangers - El Paso Method</t>
  </si>
  <si>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</si>
  <si>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rgb="FF000000"/>
        <rFont val="Times New Roman"/>
      </rPr>
      <t>b</t>
    </r>
    <r>
      <rPr>
        <sz val="10"/>
        <color rgb="FF000000"/>
        <rFont val="Times New Roman"/>
      </rPr>
      <t xml:space="preserve"> Totals have been rounded to 3 significant digits. Figures may not add exactly due to rounding. </t>
    </r>
  </si>
  <si>
    <t>Initial Notification of Applicability</t>
  </si>
  <si>
    <t>Notification of Construction/Reconstruction</t>
  </si>
  <si>
    <t>Notification of Anticipated startup</t>
  </si>
  <si>
    <t>Notification of Actual Startup</t>
  </si>
  <si>
    <t>Notification of Performance Test Dates</t>
  </si>
  <si>
    <t>Notification of Operating Parameter Value and Rationale Selection</t>
  </si>
  <si>
    <t xml:space="preserve">Notification of Compliance Status </t>
  </si>
  <si>
    <t>Report of Initial Performance Test Results</t>
  </si>
  <si>
    <t>Excess Emissions and Continuous Monitoring System Performance Report and Summary Report</t>
  </si>
  <si>
    <t>Immediate Startup, Shutdown, Malfunction Reports</t>
  </si>
  <si>
    <t>Notification of Compliance Status: Ethylene: Flares</t>
  </si>
  <si>
    <t>Notification of Compliance Status: Ethylene: PRDs</t>
  </si>
  <si>
    <t>Periodic and Semiannual Reports: Ethylene: Flares</t>
  </si>
  <si>
    <t>Periodic and Semiannual Reports: Ethylene: PRDs</t>
  </si>
  <si>
    <t>Periodic and Semiannual Reports: Ethylene: Decoking Operations</t>
  </si>
  <si>
    <t>Periodic and Semiannual Reports: Ethylene: Maintenance Vents</t>
  </si>
  <si>
    <t>Periodic and Semiannual Reports: Ethylene: HEX El Paso Method</t>
  </si>
  <si>
    <t>Submit Flare Management Plan</t>
  </si>
  <si>
    <t>Periodic and Semiannual Reports: Spandex</t>
  </si>
  <si>
    <t>2020 CEPCI</t>
  </si>
  <si>
    <t>2022 CEPCI</t>
  </si>
  <si>
    <r>
      <rPr>
        <vertAlign val="superscript"/>
        <sz val="10"/>
        <color theme="1"/>
        <rFont val="Times New Roman"/>
        <family val="1"/>
      </rPr>
      <t xml:space="preserve">e   </t>
    </r>
    <r>
      <rPr>
        <sz val="10"/>
        <color theme="1"/>
        <rFont val="Times New Roman"/>
        <family val="1"/>
      </rPr>
      <t>We assume that the rate of failed performance tests is 10%.</t>
    </r>
  </si>
  <si>
    <r>
      <t xml:space="preserve">3. Startup, Shutdown and Malfunction Plan </t>
    </r>
    <r>
      <rPr>
        <vertAlign val="superscript"/>
        <sz val="10"/>
        <rFont val="Times New Roman"/>
        <family val="1"/>
      </rPr>
      <t>f</t>
    </r>
  </si>
  <si>
    <r>
      <t xml:space="preserve">10. Periodic and Semiannual Reports </t>
    </r>
    <r>
      <rPr>
        <vertAlign val="superscript"/>
        <sz val="10"/>
        <rFont val="Times New Roman"/>
        <family val="1"/>
      </rPr>
      <t>f</t>
    </r>
  </si>
  <si>
    <r>
      <t xml:space="preserve">1. Records of SS&amp;M </t>
    </r>
    <r>
      <rPr>
        <vertAlign val="superscript"/>
        <sz val="10"/>
        <rFont val="Times New Roman"/>
        <family val="1"/>
      </rPr>
      <t>f</t>
    </r>
  </si>
  <si>
    <r>
      <t xml:space="preserve">11. Excess Emissions and Continuous Monitoring System Performance Report and Summary Report </t>
    </r>
    <r>
      <rPr>
        <vertAlign val="superscript"/>
        <sz val="10"/>
        <rFont val="Times New Roman"/>
        <family val="1"/>
      </rPr>
      <t>g</t>
    </r>
  </si>
  <si>
    <r>
      <t xml:space="preserve">12. Immediate Startup, Shutdown, Malfunction Reports </t>
    </r>
    <r>
      <rPr>
        <vertAlign val="superscript"/>
        <sz val="10"/>
        <rFont val="Times New Roman"/>
        <family val="1"/>
      </rPr>
      <t>h, f</t>
    </r>
  </si>
  <si>
    <r>
      <t xml:space="preserve">F.  Report Preparation - Ethylene </t>
    </r>
    <r>
      <rPr>
        <vertAlign val="superscript"/>
        <sz val="10"/>
        <rFont val="Times New Roman"/>
        <family val="1"/>
      </rPr>
      <t>i</t>
    </r>
  </si>
  <si>
    <r>
      <t xml:space="preserve">F.  Time to Enter Information - Ethylene </t>
    </r>
    <r>
      <rPr>
        <vertAlign val="superscript"/>
        <sz val="10"/>
        <rFont val="Times New Roman"/>
        <family val="1"/>
      </rPr>
      <t>i</t>
    </r>
  </si>
  <si>
    <r>
      <t xml:space="preserve">G.  Train Personnel </t>
    </r>
    <r>
      <rPr>
        <vertAlign val="superscript"/>
        <sz val="10"/>
        <rFont val="Times New Roman"/>
        <family val="1"/>
      </rPr>
      <t>i</t>
    </r>
  </si>
  <si>
    <r>
      <rPr>
        <vertAlign val="superscript"/>
        <sz val="10"/>
        <color theme="1"/>
        <rFont val="Times New Roman"/>
        <family val="1"/>
      </rPr>
      <t xml:space="preserve">j </t>
    </r>
    <r>
      <rPr>
        <sz val="10"/>
        <color theme="1"/>
        <rFont val="Times New Roman"/>
        <family val="1"/>
      </rPr>
      <t xml:space="preserve">  The final RTR for Ethylene Production (85 </t>
    </r>
    <r>
      <rPr>
        <i/>
        <sz val="10"/>
        <color theme="1"/>
        <rFont val="Times New Roman"/>
        <family val="1"/>
      </rPr>
      <t>FR</t>
    </r>
    <r>
      <rPr>
        <sz val="10"/>
        <color theme="1"/>
        <rFont val="Times New Roman"/>
        <family val="1"/>
      </rPr>
      <t xml:space="preserve"> 40386) assumed that bypass lines were not used during the 3-year period, so no bypass line periodic reports would be submitted.</t>
    </r>
  </si>
  <si>
    <r>
      <t xml:space="preserve">e.  Bypass Lines </t>
    </r>
    <r>
      <rPr>
        <vertAlign val="superscript"/>
        <sz val="10"/>
        <rFont val="Times New Roman"/>
        <family val="1"/>
      </rPr>
      <t>j</t>
    </r>
  </si>
  <si>
    <r>
      <t xml:space="preserve">7.  Bypass Lines </t>
    </r>
    <r>
      <rPr>
        <vertAlign val="superscript"/>
        <sz val="10"/>
        <rFont val="Times New Roman"/>
        <family val="1"/>
      </rPr>
      <t>j</t>
    </r>
  </si>
  <si>
    <r>
      <t xml:space="preserve">k   </t>
    </r>
    <r>
      <rPr>
        <sz val="10"/>
        <color theme="1"/>
        <rFont val="Times New Roman"/>
        <family val="1"/>
      </rPr>
      <t>As new ethylene production sources are constructed, they will prepare and submit a flare management plan to EPA for review.</t>
    </r>
  </si>
  <si>
    <r>
      <t>8.  Flare Management Plan</t>
    </r>
    <r>
      <rPr>
        <vertAlign val="superscript"/>
        <sz val="10"/>
        <rFont val="Times New Roman"/>
        <family val="1"/>
      </rPr>
      <t xml:space="preserve"> k</t>
    </r>
  </si>
  <si>
    <r>
      <t xml:space="preserve">l   </t>
    </r>
    <r>
      <rPr>
        <sz val="10"/>
        <color theme="1"/>
        <rFont val="Times New Roman"/>
        <family val="1"/>
      </rPr>
      <t>Totals have been rounded to 3 significant figures.  Figures may not add exactly due to rounding.</t>
    </r>
  </si>
  <si>
    <r>
      <t xml:space="preserve">Total Labor Burden and Costs (rounded) </t>
    </r>
    <r>
      <rPr>
        <b/>
        <vertAlign val="superscript"/>
        <sz val="10"/>
        <rFont val="Times New Roman"/>
        <family val="1"/>
      </rPr>
      <t>l</t>
    </r>
  </si>
  <si>
    <r>
      <t>Total Capital and O&amp;M Cost (rounded)</t>
    </r>
    <r>
      <rPr>
        <b/>
        <vertAlign val="superscript"/>
        <sz val="10"/>
        <rFont val="Times New Roman"/>
        <family val="1"/>
      </rPr>
      <t xml:space="preserve"> l</t>
    </r>
  </si>
  <si>
    <r>
      <t xml:space="preserve">GRAND TOTAL (rounded) </t>
    </r>
    <r>
      <rPr>
        <b/>
        <vertAlign val="superscript"/>
        <sz val="10"/>
        <rFont val="Times New Roman"/>
        <family val="1"/>
      </rPr>
      <t>l</t>
    </r>
  </si>
  <si>
    <r>
      <t xml:space="preserve">1. Initial Performance Tests </t>
    </r>
    <r>
      <rPr>
        <vertAlign val="superscript"/>
        <sz val="10"/>
        <rFont val="Times New Roman"/>
        <family val="1"/>
      </rPr>
      <t>d, e</t>
    </r>
  </si>
  <si>
    <r>
      <t xml:space="preserve">2. Repeat of Performance Tests </t>
    </r>
    <r>
      <rPr>
        <vertAlign val="superscript"/>
        <sz val="10"/>
        <rFont val="Times New Roman"/>
        <family val="1"/>
      </rPr>
      <t>d, e</t>
    </r>
  </si>
  <si>
    <r>
      <t xml:space="preserve">f   </t>
    </r>
    <r>
      <rPr>
        <sz val="10"/>
        <color theme="1"/>
        <rFont val="Times New Roman"/>
        <family val="1"/>
      </rPr>
      <t xml:space="preserve">The final RTR for Ethylene Production (85 </t>
    </r>
    <r>
      <rPr>
        <i/>
        <sz val="10"/>
        <color theme="1"/>
        <rFont val="Times New Roman"/>
        <family val="1"/>
      </rPr>
      <t>FR</t>
    </r>
    <r>
      <rPr>
        <sz val="10"/>
        <color theme="1"/>
        <rFont val="Times New Roman"/>
        <family val="1"/>
      </rPr>
      <t xml:space="preserve"> 40386) removed SSM requirements for ethylene facilities. SSM requirements remain for the 3 spandex facilities. The Periodic and Semiannual Reports for ethylene facilities are shown in Rows F.2.a through F.2.f.</t>
    </r>
  </si>
  <si>
    <r>
      <t xml:space="preserve">1. Initial Notification of Applicability </t>
    </r>
    <r>
      <rPr>
        <vertAlign val="superscript"/>
        <sz val="10"/>
        <rFont val="Times New Roman"/>
        <family val="1"/>
      </rPr>
      <t>d</t>
    </r>
  </si>
  <si>
    <r>
      <t xml:space="preserve">2. Notification of Construction/Reconstruction </t>
    </r>
    <r>
      <rPr>
        <vertAlign val="superscript"/>
        <sz val="10"/>
        <rFont val="Times New Roman"/>
        <family val="1"/>
      </rPr>
      <t>d</t>
    </r>
  </si>
  <si>
    <r>
      <t xml:space="preserve">3. Notification of Anticipated startup </t>
    </r>
    <r>
      <rPr>
        <vertAlign val="superscript"/>
        <sz val="10"/>
        <rFont val="Times New Roman"/>
        <family val="1"/>
      </rPr>
      <t>d</t>
    </r>
  </si>
  <si>
    <r>
      <t xml:space="preserve">4. Notification of Actual Startup </t>
    </r>
    <r>
      <rPr>
        <vertAlign val="superscript"/>
        <sz val="10"/>
        <rFont val="Times New Roman"/>
        <family val="1"/>
      </rPr>
      <t>d</t>
    </r>
  </si>
  <si>
    <r>
      <t xml:space="preserve">5. Notification of Performance Test Dates </t>
    </r>
    <r>
      <rPr>
        <vertAlign val="superscript"/>
        <sz val="10"/>
        <rFont val="Times New Roman"/>
        <family val="1"/>
      </rPr>
      <t>d</t>
    </r>
  </si>
  <si>
    <r>
      <t xml:space="preserve">6. Notification of Operating Parameter Value and Rationale Selection </t>
    </r>
    <r>
      <rPr>
        <vertAlign val="superscript"/>
        <sz val="10"/>
        <rFont val="Times New Roman"/>
        <family val="1"/>
      </rPr>
      <t>d</t>
    </r>
  </si>
  <si>
    <r>
      <t xml:space="preserve">7. Notification of Compliance Status </t>
    </r>
    <r>
      <rPr>
        <vertAlign val="superscript"/>
        <sz val="10"/>
        <rFont val="Times New Roman"/>
        <family val="1"/>
      </rPr>
      <t>d</t>
    </r>
  </si>
  <si>
    <r>
      <t xml:space="preserve">8. Report of Initial Performance Test Results </t>
    </r>
    <r>
      <rPr>
        <vertAlign val="superscript"/>
        <sz val="10"/>
        <rFont val="Times New Roman"/>
        <family val="1"/>
      </rPr>
      <t>d</t>
    </r>
  </si>
  <si>
    <r>
      <t xml:space="preserve">g  </t>
    </r>
    <r>
      <rPr>
        <sz val="10"/>
        <color theme="1"/>
        <rFont val="Times New Roman"/>
        <family val="1"/>
      </rPr>
      <t>All sources subject to Subpart YY file these reports. For Spandex sources, this also includes the periodic startup, shutdown and malfunction report.</t>
    </r>
  </si>
  <si>
    <r>
      <rPr>
        <vertAlign val="superscript"/>
        <sz val="10"/>
        <color theme="1"/>
        <rFont val="Times New Roman"/>
        <family val="1"/>
      </rPr>
      <t xml:space="preserve">h   </t>
    </r>
    <r>
      <rPr>
        <sz val="10"/>
        <color theme="1"/>
        <rFont val="Times New Roman"/>
        <family val="1"/>
      </rPr>
      <t>We assume that only 5% (3 x 0.05 = 1.5) respondents per year will need to submit an immediate SSM report. Ethylene facilities are not required to submit SSM reports.</t>
    </r>
  </si>
  <si>
    <r>
      <rPr>
        <vertAlign val="superscript"/>
        <sz val="10"/>
        <color theme="1"/>
        <rFont val="Times New Roman"/>
        <family val="1"/>
      </rPr>
      <t xml:space="preserve">i </t>
    </r>
    <r>
      <rPr>
        <sz val="10"/>
        <color theme="1"/>
        <rFont val="Times New Roman"/>
        <family val="1"/>
      </rPr>
      <t xml:space="preserve">  This ICR incorporates the requirements of the RTR for Ethylene Production sources (85 </t>
    </r>
    <r>
      <rPr>
        <i/>
        <sz val="10"/>
        <color theme="1"/>
        <rFont val="Times New Roman"/>
        <family val="1"/>
      </rPr>
      <t>FR</t>
    </r>
    <r>
      <rPr>
        <sz val="10"/>
        <color theme="1"/>
        <rFont val="Times New Roman"/>
        <family val="1"/>
      </rPr>
      <t xml:space="preserve"> 40386) promulgated on July 6, 2020. Values for the number of respondents in each category are taken from Year 3 of the Ethylene Production RTR.</t>
    </r>
  </si>
  <si>
    <r>
      <t xml:space="preserve">3.  Submit Flare Management Plan </t>
    </r>
    <r>
      <rPr>
        <vertAlign val="superscript"/>
        <sz val="10"/>
        <rFont val="Times New Roman"/>
        <family val="1"/>
      </rPr>
      <t>d, k</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</si>
  <si>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</si>
  <si>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 xml:space="preserve">d  </t>
    </r>
    <r>
      <rPr>
        <sz val="10"/>
        <color theme="1"/>
        <rFont val="Times New Roman"/>
        <family val="1"/>
      </rPr>
      <t>This is a one time cost that applies to new facilities manufacturing ethylene.</t>
    </r>
  </si>
  <si>
    <r>
      <t xml:space="preserve">c  </t>
    </r>
    <r>
      <rPr>
        <sz val="10"/>
        <rFont val="Times New Roman"/>
        <family val="1"/>
      </rPr>
      <t>This is a one time cost that applies to new facilities manufacturing ethylene.</t>
    </r>
  </si>
  <si>
    <r>
      <t xml:space="preserve">M. Review Excess Emission Report and Continuous Monitoring System Performance Report and Summary Report </t>
    </r>
    <r>
      <rPr>
        <vertAlign val="superscript"/>
        <sz val="10"/>
        <color theme="1"/>
        <rFont val="Times New Roman"/>
        <family val="1"/>
      </rPr>
      <t>d</t>
    </r>
  </si>
  <si>
    <r>
      <t xml:space="preserve">N. Review Immediate Startup, Shutdown, Malfunction Report </t>
    </r>
    <r>
      <rPr>
        <vertAlign val="superscript"/>
        <sz val="10"/>
        <color theme="1"/>
        <rFont val="Times New Roman"/>
        <family val="1"/>
      </rPr>
      <t>e</t>
    </r>
  </si>
  <si>
    <r>
      <t xml:space="preserve">4. Report Review - Ethylene </t>
    </r>
    <r>
      <rPr>
        <vertAlign val="superscript"/>
        <sz val="10"/>
        <color theme="1"/>
        <rFont val="Times New Roman"/>
        <family val="1"/>
      </rPr>
      <t>f</t>
    </r>
  </si>
  <si>
    <r>
      <t xml:space="preserve">g  </t>
    </r>
    <r>
      <rPr>
        <sz val="10"/>
        <color theme="1"/>
        <rFont val="Times New Roman"/>
        <family val="1"/>
      </rPr>
      <t>As new ethylene production sources are constructed, they will prepare and submit a flare management plan to EPA for review.</t>
    </r>
  </si>
  <si>
    <r>
      <t xml:space="preserve">C. Review flare management plan </t>
    </r>
    <r>
      <rPr>
        <vertAlign val="superscript"/>
        <sz val="10"/>
        <color theme="1"/>
        <rFont val="Times New Roman"/>
        <family val="1"/>
      </rPr>
      <t>g</t>
    </r>
  </si>
  <si>
    <r>
      <t xml:space="preserve">TOTAL (rounded) </t>
    </r>
    <r>
      <rPr>
        <b/>
        <vertAlign val="superscript"/>
        <sz val="10"/>
        <rFont val="Times New Roman"/>
        <family val="1"/>
      </rPr>
      <t>h</t>
    </r>
  </si>
  <si>
    <r>
      <t xml:space="preserve">h  </t>
    </r>
    <r>
      <rPr>
        <sz val="10"/>
        <color theme="1"/>
        <rFont val="Times New Roman"/>
        <family val="1"/>
      </rPr>
      <t>Totals have been rounded to 3 significant figures.  Figures may not add exactly due to rounding.</t>
    </r>
  </si>
  <si>
    <r>
      <t xml:space="preserve">A. New or Modified Facility </t>
    </r>
    <r>
      <rPr>
        <vertAlign val="superscript"/>
        <sz val="10"/>
        <color theme="1"/>
        <rFont val="Times New Roman"/>
        <family val="1"/>
      </rPr>
      <t>c</t>
    </r>
  </si>
  <si>
    <r>
      <t xml:space="preserve">B. Repeat of Performance Tests </t>
    </r>
    <r>
      <rPr>
        <vertAlign val="superscript"/>
        <sz val="10"/>
        <color theme="1"/>
        <rFont val="Times New Roman"/>
        <family val="1"/>
      </rPr>
      <t>c</t>
    </r>
  </si>
  <si>
    <r>
      <t xml:space="preserve">A. Notification of Applicability </t>
    </r>
    <r>
      <rPr>
        <vertAlign val="superscript"/>
        <sz val="10"/>
        <rFont val="Times New Roman"/>
        <family val="1"/>
      </rPr>
      <t>c</t>
    </r>
  </si>
  <si>
    <r>
      <t xml:space="preserve">B. Notification of Construction/Reconstruction </t>
    </r>
    <r>
      <rPr>
        <vertAlign val="superscript"/>
        <sz val="10"/>
        <rFont val="Times New Roman"/>
        <family val="1"/>
      </rPr>
      <t>c</t>
    </r>
  </si>
  <si>
    <r>
      <t xml:space="preserve">C. Notification of Anticipated Startup </t>
    </r>
    <r>
      <rPr>
        <vertAlign val="superscript"/>
        <sz val="10"/>
        <rFont val="Times New Roman"/>
        <family val="1"/>
      </rPr>
      <t>c</t>
    </r>
  </si>
  <si>
    <r>
      <t xml:space="preserve">D. Notification of Actual Startup </t>
    </r>
    <r>
      <rPr>
        <vertAlign val="superscript"/>
        <sz val="10"/>
        <rFont val="Times New Roman"/>
        <family val="1"/>
      </rPr>
      <t>c</t>
    </r>
  </si>
  <si>
    <r>
      <t xml:space="preserve">E. Request for Extension of Compliance </t>
    </r>
    <r>
      <rPr>
        <vertAlign val="superscript"/>
        <sz val="10"/>
        <rFont val="Times New Roman"/>
        <family val="1"/>
      </rPr>
      <t>c</t>
    </r>
  </si>
  <si>
    <r>
      <t xml:space="preserve">F. Notification of Special Compliance Requirements </t>
    </r>
    <r>
      <rPr>
        <vertAlign val="superscript"/>
        <sz val="10"/>
        <rFont val="Times New Roman"/>
        <family val="1"/>
      </rPr>
      <t>c</t>
    </r>
  </si>
  <si>
    <r>
      <t xml:space="preserve">G. Notification of Performance Test Dates </t>
    </r>
    <r>
      <rPr>
        <vertAlign val="superscript"/>
        <sz val="10"/>
        <rFont val="Times New Roman"/>
        <family val="1"/>
      </rPr>
      <t>c</t>
    </r>
  </si>
  <si>
    <r>
      <t xml:space="preserve">H. Notification of Operating Parameter Value and Rationale Selection </t>
    </r>
    <r>
      <rPr>
        <vertAlign val="superscript"/>
        <sz val="10"/>
        <rFont val="Times New Roman"/>
        <family val="1"/>
      </rPr>
      <t>c</t>
    </r>
  </si>
  <si>
    <r>
      <t xml:space="preserve">I. Notification of Compliance Status </t>
    </r>
    <r>
      <rPr>
        <vertAlign val="superscript"/>
        <sz val="10"/>
        <rFont val="Times New Roman"/>
        <family val="1"/>
      </rPr>
      <t>c</t>
    </r>
  </si>
  <si>
    <r>
      <t xml:space="preserve">J. Review Report of Initial Performance Test </t>
    </r>
    <r>
      <rPr>
        <vertAlign val="superscript"/>
        <sz val="10"/>
        <rFont val="Times New Roman"/>
        <family val="1"/>
      </rPr>
      <t>c</t>
    </r>
  </si>
  <si>
    <r>
      <t xml:space="preserve">d  </t>
    </r>
    <r>
      <rPr>
        <sz val="10"/>
        <color theme="1"/>
        <rFont val="Times New Roman"/>
        <family val="1"/>
      </rPr>
      <t>All sources subject to Subpart YY file these reports. For Spandex sources, this also includes the periodic startup, shutdown and malfunction report.</t>
    </r>
  </si>
  <si>
    <r>
      <rPr>
        <vertAlign val="superscript"/>
        <sz val="10"/>
        <color theme="1"/>
        <rFont val="Times New Roman"/>
        <family val="1"/>
      </rPr>
      <t>e</t>
    </r>
    <r>
      <rPr>
        <sz val="10"/>
        <color theme="1"/>
        <rFont val="Times New Roman"/>
        <family val="1"/>
      </rPr>
      <t xml:space="preserve">  We assume that only 5% (3 spandex x 0.05 = 1.55) respondents per year will need to submit an immediate SSM report. Ethylene facilities are not required to submit SSM reports.</t>
    </r>
  </si>
  <si>
    <r>
      <t xml:space="preserve">f   </t>
    </r>
    <r>
      <rPr>
        <sz val="10"/>
        <color theme="1"/>
        <rFont val="Times New Roman"/>
        <family val="1"/>
      </rPr>
      <t xml:space="preserve">This ICR incorporates the requirements of the RTR for Ethylene Production sources (85 </t>
    </r>
    <r>
      <rPr>
        <i/>
        <sz val="10"/>
        <color theme="1"/>
        <rFont val="Times New Roman"/>
        <family val="1"/>
      </rPr>
      <t>FR</t>
    </r>
    <r>
      <rPr>
        <sz val="10"/>
        <color theme="1"/>
        <rFont val="Times New Roman"/>
        <family val="1"/>
      </rPr>
      <t xml:space="preserve"> 40386) promulgated on July 6, 2020. Values for the number of respondents in each category are taken from Year 3 of the Ethylene Production RTR</t>
    </r>
  </si>
  <si>
    <t xml:space="preserve">Number of New  Respondents </t>
  </si>
  <si>
    <r>
      <t xml:space="preserve">Number of Respondents with O&amp;M </t>
    </r>
    <r>
      <rPr>
        <b/>
        <vertAlign val="superscript"/>
        <sz val="10"/>
        <color theme="1"/>
        <rFont val="Times New Roman"/>
        <family val="1"/>
      </rPr>
      <t>a</t>
    </r>
  </si>
  <si>
    <r>
      <rPr>
        <vertAlign val="superscript"/>
        <sz val="10"/>
        <color theme="1"/>
        <rFont val="Times New Roman"/>
        <family val="1"/>
      </rPr>
      <t xml:space="preserve">a   </t>
    </r>
    <r>
      <rPr>
        <sz val="10"/>
        <color theme="1"/>
        <rFont val="Times New Roman"/>
        <family val="1"/>
      </rPr>
      <t>We assume that there are 34 existing respondents, consisting of 31 sources manufacturing ethylene, and 3 sources manufacturing spandex. We assume no additional respondents will be subject to the rule. Previous renewals included facilities manufacturing carbon black and facilities manufacturing cyanide, however, an RTR amendment for carbon black production (OMB Number 2060-0738, EPA ICR Number 2677.02) was finalized on November 19, 2021 (86 FR 66096) and an RTR amendment for cyanide production (OMB Number  2060-0739, EPA ICR Number 2678.02) was finalized on November 19, 2021 (86 FR 66096). Therefore, the burden for these requirements is not included in this renewal.</t>
    </r>
  </si>
  <si>
    <r>
      <t>b</t>
    </r>
    <r>
      <rPr>
        <sz val="10"/>
        <color rgb="FF000000"/>
        <rFont val="Times New Roman"/>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the benefit packages available to those employed by private industry.</t>
    </r>
  </si>
  <si>
    <r>
      <t xml:space="preserve">a </t>
    </r>
    <r>
      <rPr>
        <sz val="10"/>
        <color rgb="FF000000"/>
        <rFont val="Times New Roman"/>
        <family val="1"/>
      </rPr>
      <t xml:space="preserve">  New respondents include sources with constructed and reconstructed affected facilities.</t>
    </r>
    <r>
      <rPr>
        <vertAlign val="superscript"/>
        <sz val="10"/>
        <color rgb="FF000000"/>
        <rFont val="Times New Roman"/>
        <family val="1"/>
      </rPr>
      <t xml:space="preserve"> </t>
    </r>
    <r>
      <rPr>
        <sz val="10"/>
        <color rgb="FF000000"/>
        <rFont val="Times New Roman"/>
        <family val="1"/>
      </rPr>
      <t>We assume that there are 34 existing respondents, consisting of 31 sources manufacturing ethylene, and 3 sources manufacturing spandex. We assume no additional respondents will be subject to the rule. Previous renewals included facilities manufacturing carbon black and facilities manufacturing cyanide, however, an RTR amendment for carbon black production (OMB Number 2060-0738, EPA ICR Number 2677.02) was finalized on November 19, 2021 (86 FR 66096) and an RTR amendment for cyanide production (OMB Number  2060-0739, EPA ICR Number 2678.02) was finalized on November 19, 2021 (86 FR 66096). Therefore, the burden for these requirements is not included in this renewal.</t>
    </r>
  </si>
  <si>
    <r>
      <rPr>
        <vertAlign val="superscript"/>
        <sz val="10"/>
        <color theme="1"/>
        <rFont val="Times New Roman"/>
        <family val="1"/>
      </rPr>
      <t xml:space="preserve">a  </t>
    </r>
    <r>
      <rPr>
        <sz val="10"/>
        <color theme="1"/>
        <rFont val="Times New Roman"/>
        <family val="1"/>
      </rPr>
      <t>a  Ethylene Production facilities have additional capital and O&amp;M costs as a result of the Ethylene production RTR (85 FR 40386) promulgated on July 6, 2020. These costs have been averaged out over the three-year period of this ICR. The Ethylene RTR assumed that 31 facilities would have flares and heat exchangers, while 21 facilities would have PRDs.</t>
    </r>
  </si>
  <si>
    <t xml:space="preserve">Table 1: Annual Respondent Burden and Cost – NESHAP for Ethylene and Spandex (40 CFR Part 63, Subpart YY) (Renewal) </t>
  </si>
  <si>
    <t>Table 2: Average Annual EPA Burden and Cost – NESHAP for Ethylene and Spandex (40 CFR Part 63, Subpart YY)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</si>
</sst>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44" formatCode="_(&quot;$&quot;* #,##0.00_);_(&quot;$&quot;* \(#,##0.00\);_(&quot;$&quot;* &quot;-&quot;??_);_(@_)"/>
    <numFmt numFmtId="164" formatCode="General_)"/>
    <numFmt numFmtId="165" formatCode="&quot;$&quot;#,##0.00"/>
    <numFmt numFmtId="166" formatCode="&quot;$&quot;#,##0"/>
    <numFmt numFmtId="167" formatCode="0.0"/>
  </numFmts>
  <fonts count="31"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vertAlign val="superscript"/>
      <sz val="10"/>
      <color rgb="FF000000"/>
      <name val="Times New Roman"/>
    </font>
    <font>
      <sz val="10"/>
      <color rgb="FF000000"/>
      <name val="Times New Roman"/>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164" fontId="10" fillId="0" borderId="0"/>
    <xf numFmtId="44" fontId="30" fillId="0" borderId="0" applyFont="0" applyFill="0" applyBorder="0" applyAlignment="0" applyProtection="0"/>
  </cellStyleXfs>
  <cellXfs count="150">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6" fontId="20" fillId="0" borderId="2"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3"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23" fillId="0" borderId="0" xfId="0" applyFont="1" applyAlignment="1">
      <alignment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left" vertical="center" wrapText="1"/>
    </xf>
    <xf numFmtId="6"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left" vertical="center" wrapText="1" indent="2"/>
    </xf>
    <xf numFmtId="0" fontId="9" fillId="0" borderId="1" xfId="0" applyFont="1" applyBorder="1" applyAlignment="1">
      <alignment vertical="center" wrapText="1"/>
    </xf>
    <xf numFmtId="1" fontId="2" fillId="0" borderId="1" xfId="0" applyNumberFormat="1" applyFont="1" applyBorder="1" applyAlignment="1">
      <alignment horizont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167"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9" fillId="0" borderId="1" xfId="0" applyFont="1" applyBorder="1" applyAlignment="1">
      <alignment horizontal="right" wrapText="1"/>
    </xf>
    <xf numFmtId="3" fontId="2" fillId="0" borderId="0" xfId="0" applyNumberFormat="1" applyFont="1"/>
    <xf numFmtId="0" fontId="3" fillId="0" borderId="0" xfId="0" applyFont="1"/>
    <xf numFmtId="0" fontId="24" fillId="0" borderId="0" xfId="0" applyFont="1" applyAlignment="1">
      <alignment vertical="top" wrapText="1"/>
    </xf>
    <xf numFmtId="41" fontId="9" fillId="0" borderId="0" xfId="0" applyNumberFormat="1" applyFont="1"/>
    <xf numFmtId="6" fontId="9" fillId="0" borderId="1" xfId="0" applyNumberFormat="1" applyFont="1" applyBorder="1" applyAlignment="1">
      <alignment horizontal="right" wrapText="1"/>
    </xf>
    <xf numFmtId="0" fontId="11" fillId="0" borderId="1" xfId="0" applyFont="1" applyBorder="1" applyAlignment="1">
      <alignment wrapText="1"/>
    </xf>
    <xf numFmtId="3" fontId="8" fillId="0" borderId="0" xfId="0" applyNumberFormat="1" applyFont="1"/>
    <xf numFmtId="0" fontId="21"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0" fontId="14" fillId="0" borderId="0" xfId="0" applyFont="1" applyAlignment="1">
      <alignment vertical="top"/>
    </xf>
    <xf numFmtId="0" fontId="20" fillId="0" borderId="1" xfId="0" applyFont="1" applyBorder="1" applyAlignment="1">
      <alignment vertical="top" wrapText="1"/>
    </xf>
    <xf numFmtId="167" fontId="9"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1" fontId="9" fillId="0" borderId="1" xfId="0" applyNumberFormat="1" applyFont="1" applyBorder="1" applyAlignment="1">
      <alignment horizontal="center" wrapText="1"/>
    </xf>
    <xf numFmtId="164" fontId="8" fillId="0" borderId="0" xfId="1" applyFont="1" applyAlignment="1">
      <alignment vertical="center"/>
    </xf>
    <xf numFmtId="164" fontId="8" fillId="0" borderId="0" xfId="1" applyFont="1"/>
    <xf numFmtId="0" fontId="26" fillId="0" borderId="0" xfId="0" applyFont="1" applyAlignment="1">
      <alignment vertical="center" wrapText="1"/>
    </xf>
    <xf numFmtId="0" fontId="27"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3"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 fontId="9" fillId="0" borderId="1" xfId="0" applyNumberFormat="1" applyFont="1" applyBorder="1" applyAlignment="1">
      <alignment horizontal="center" vertical="center" wrapText="1"/>
    </xf>
    <xf numFmtId="164" fontId="8" fillId="0" borderId="0" xfId="1" applyFont="1" applyAlignment="1">
      <alignment horizontal="left" vertical="center"/>
    </xf>
    <xf numFmtId="6" fontId="20" fillId="0" borderId="1" xfId="0" applyNumberFormat="1" applyFont="1" applyBorder="1" applyAlignment="1">
      <alignment horizontal="right" wrapText="1"/>
    </xf>
    <xf numFmtId="6" fontId="11"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8" fontId="2" fillId="0" borderId="0" xfId="0" applyNumberFormat="1" applyFont="1"/>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9" fillId="0" borderId="1" xfId="0" applyFont="1" applyBorder="1" applyAlignment="1">
      <alignment horizontal="left" wrapText="1" indent="2"/>
    </xf>
    <xf numFmtId="0" fontId="9" fillId="0" borderId="1" xfId="0" applyFont="1" applyBorder="1" applyAlignment="1">
      <alignment horizontal="left" indent="3"/>
    </xf>
    <xf numFmtId="0" fontId="9" fillId="0" borderId="1" xfId="0" applyFont="1" applyBorder="1" applyAlignment="1">
      <alignment horizontal="left" indent="2"/>
    </xf>
    <xf numFmtId="0" fontId="20" fillId="0" borderId="1" xfId="0" applyFont="1" applyBorder="1" applyAlignment="1">
      <alignment vertical="center"/>
    </xf>
    <xf numFmtId="6" fontId="2" fillId="0" borderId="1" xfId="0" applyNumberFormat="1" applyFont="1" applyBorder="1" applyAlignment="1">
      <alignment horizontal="right" vertical="center" wrapText="1"/>
    </xf>
    <xf numFmtId="6" fontId="2" fillId="0" borderId="1" xfId="0" applyNumberFormat="1" applyFont="1" applyBorder="1" applyAlignment="1">
      <alignment horizontal="right" wrapText="1"/>
    </xf>
    <xf numFmtId="166" fontId="20" fillId="0" borderId="1" xfId="2" applyNumberFormat="1" applyFont="1" applyBorder="1" applyAlignment="1">
      <alignment horizontal="right" wrapText="1"/>
    </xf>
    <xf numFmtId="2" fontId="9" fillId="0" borderId="1" xfId="0" applyNumberFormat="1"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left" indent="1"/>
    </xf>
    <xf numFmtId="0" fontId="2" fillId="0" borderId="1" xfId="0" applyFont="1" applyBorder="1"/>
    <xf numFmtId="0" fontId="9" fillId="0" borderId="1" xfId="0" applyFont="1" applyBorder="1" applyAlignment="1">
      <alignment horizontal="left" wrapText="1" indent="1"/>
    </xf>
    <xf numFmtId="0" fontId="9" fillId="2" borderId="1" xfId="0" applyFont="1" applyFill="1" applyBorder="1" applyAlignment="1">
      <alignment horizontal="left" wrapText="1" indent="1"/>
    </xf>
    <xf numFmtId="0" fontId="2" fillId="0" borderId="1" xfId="0" applyFont="1" applyBorder="1" applyAlignment="1">
      <alignment horizontal="left" wrapText="1" indent="1"/>
    </xf>
    <xf numFmtId="0" fontId="2" fillId="2" borderId="1" xfId="0" applyFont="1" applyFill="1" applyBorder="1" applyAlignment="1">
      <alignment horizontal="left" wrapText="1" indent="1"/>
    </xf>
    <xf numFmtId="0" fontId="2" fillId="0" borderId="1" xfId="0" applyFont="1" applyBorder="1" applyAlignment="1">
      <alignment horizontal="left" indent="2"/>
    </xf>
    <xf numFmtId="2" fontId="9" fillId="0" borderId="1" xfId="0" applyNumberFormat="1" applyFont="1" applyBorder="1" applyAlignment="1">
      <alignment horizontal="center" vertical="center" wrapText="1"/>
    </xf>
    <xf numFmtId="0" fontId="0" fillId="0" borderId="0" xfId="0" applyAlignment="1">
      <alignment horizontal="center"/>
    </xf>
    <xf numFmtId="0" fontId="5"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4" fillId="0" borderId="1" xfId="0" applyFont="1" applyBorder="1" applyAlignment="1">
      <alignment horizontal="center"/>
    </xf>
    <xf numFmtId="0" fontId="28" fillId="0" borderId="0" xfId="0" applyFont="1" applyAlignment="1">
      <alignment horizontal="left" vertical="top" wrapText="1"/>
    </xf>
    <xf numFmtId="0" fontId="18" fillId="0" borderId="0" xfId="0" applyFont="1" applyAlignment="1">
      <alignment horizontal="left"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20" fillId="0" borderId="2" xfId="0" applyNumberFormat="1" applyFont="1" applyBorder="1" applyAlignment="1">
      <alignment horizontal="center" wrapText="1"/>
    </xf>
    <xf numFmtId="3" fontId="20" fillId="0" borderId="3" xfId="0" applyNumberFormat="1" applyFont="1" applyBorder="1" applyAlignment="1">
      <alignment horizontal="center" wrapText="1"/>
    </xf>
    <xf numFmtId="3" fontId="20" fillId="0" borderId="4" xfId="0" applyNumberFormat="1" applyFont="1" applyBorder="1" applyAlignment="1">
      <alignment horizontal="center" wrapText="1"/>
    </xf>
    <xf numFmtId="1" fontId="20" fillId="0" borderId="2" xfId="0" applyNumberFormat="1" applyFont="1" applyBorder="1" applyAlignment="1">
      <alignment horizontal="center" wrapText="1"/>
    </xf>
    <xf numFmtId="1" fontId="20" fillId="0" borderId="3" xfId="0" applyNumberFormat="1" applyFont="1" applyBorder="1" applyAlignment="1">
      <alignment horizontal="center" wrapText="1"/>
    </xf>
    <xf numFmtId="1" fontId="20" fillId="0" borderId="4" xfId="0" applyNumberFormat="1" applyFont="1" applyBorder="1" applyAlignment="1">
      <alignment horizontal="center" wrapText="1"/>
    </xf>
    <xf numFmtId="0" fontId="11" fillId="0" borderId="1" xfId="0" applyFont="1" applyBorder="1" applyAlignment="1">
      <alignment horizontal="center" wrapText="1"/>
    </xf>
    <xf numFmtId="0" fontId="5" fillId="0" borderId="0" xfId="0" applyFont="1" applyAlignment="1">
      <alignment horizontal="left" vertical="center" wrapText="1"/>
    </xf>
    <xf numFmtId="0" fontId="5" fillId="0" borderId="0" xfId="0" applyFont="1" applyAlignment="1">
      <alignment horizontal="left" vertical="center"/>
    </xf>
    <xf numFmtId="3" fontId="11" fillId="0" borderId="1" xfId="0" applyNumberFormat="1" applyFont="1" applyBorder="1" applyAlignment="1">
      <alignment horizontal="center" wrapText="1"/>
    </xf>
    <xf numFmtId="0" fontId="18" fillId="0" borderId="0" xfId="0" applyFont="1" applyAlignment="1">
      <alignment horizontal="left" wrapText="1"/>
    </xf>
    <xf numFmtId="0" fontId="11" fillId="0" borderId="0" xfId="0" applyFont="1" applyAlignment="1">
      <alignment horizontal="left"/>
    </xf>
    <xf numFmtId="0" fontId="9" fillId="0" borderId="6" xfId="0" applyFont="1" applyBorder="1" applyAlignment="1">
      <alignment horizontal="left" vertical="top"/>
    </xf>
    <xf numFmtId="0" fontId="9" fillId="0" borderId="2" xfId="0" applyFont="1" applyBorder="1" applyAlignment="1">
      <alignment horizontal="left"/>
    </xf>
    <xf numFmtId="0" fontId="9" fillId="0" borderId="3" xfId="0" applyFont="1" applyBorder="1" applyAlignment="1">
      <alignment horizontal="left"/>
    </xf>
    <xf numFmtId="0" fontId="9" fillId="0" borderId="4" xfId="0" applyFont="1" applyBorder="1" applyAlignment="1">
      <alignment horizontal="left"/>
    </xf>
    <xf numFmtId="0" fontId="14" fillId="0" borderId="0" xfId="0" applyFont="1" applyAlignment="1">
      <alignment horizontal="left" vertical="top" wrapText="1"/>
    </xf>
    <xf numFmtId="0" fontId="2" fillId="0" borderId="0" xfId="0" applyFont="1" applyAlignment="1">
      <alignment vertical="center" wrapText="1"/>
    </xf>
    <xf numFmtId="0" fontId="23" fillId="0" borderId="0" xfId="0" applyFont="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xf numFmtId="0" fontId="22" fillId="0" borderId="6" xfId="0" applyFont="1" applyBorder="1" applyAlignment="1">
      <alignment horizontal="left" vertical="center" wrapText="1"/>
    </xf>
  </cellXfs>
  <cellStyles count="3">
    <cellStyle name="Currency" xfId="2" builtinId="4"/>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workbookViewId="0">
      <selection activeCell="A13" sqref="A13"/>
    </sheetView>
  </sheetViews>
  <sheetFormatPr defaultRowHeight="15" x14ac:dyDescent="0.25"/>
  <cols>
    <col min="1" max="1" width="27.85546875" bestFit="1" customWidth="1"/>
    <col min="2" max="2" width="14.28515625" bestFit="1" customWidth="1"/>
  </cols>
  <sheetData>
    <row r="1" spans="1:2" x14ac:dyDescent="0.25">
      <c r="A1" s="113" t="s">
        <v>0</v>
      </c>
      <c r="B1" s="113"/>
    </row>
    <row r="2" spans="1:2" x14ac:dyDescent="0.25">
      <c r="A2" t="s">
        <v>60</v>
      </c>
      <c r="B2" s="90">
        <f>'Table 1'!K63</f>
        <v>70.647603027754414</v>
      </c>
    </row>
    <row r="3" spans="1:2" x14ac:dyDescent="0.25">
      <c r="A3" t="s">
        <v>1</v>
      </c>
      <c r="B3">
        <f>Respondents!F8</f>
        <v>34</v>
      </c>
    </row>
    <row r="4" spans="1:2" x14ac:dyDescent="0.25">
      <c r="A4" t="s">
        <v>2</v>
      </c>
      <c r="B4" s="91">
        <f>'Table 1'!F64</f>
        <v>29400</v>
      </c>
    </row>
    <row r="5" spans="1:2" x14ac:dyDescent="0.25">
      <c r="A5" t="s">
        <v>3</v>
      </c>
      <c r="B5" s="92">
        <f>'Table 1'!I66</f>
        <v>15100000</v>
      </c>
    </row>
    <row r="6" spans="1:2" x14ac:dyDescent="0.25">
      <c r="A6" t="s">
        <v>4</v>
      </c>
      <c r="B6" s="92">
        <f>'Capital O&amp;M'!D9+'Capital O&amp;M'!G9</f>
        <v>11400000</v>
      </c>
    </row>
    <row r="7" spans="1:2" x14ac:dyDescent="0.25">
      <c r="A7" t="s">
        <v>5</v>
      </c>
      <c r="B7" t="s">
        <v>6</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99"/>
  <sheetViews>
    <sheetView topLeftCell="A29" zoomScale="87" zoomScaleNormal="87" workbookViewId="0">
      <selection activeCell="A2" sqref="A2"/>
    </sheetView>
  </sheetViews>
  <sheetFormatPr defaultRowHeight="15" x14ac:dyDescent="0.2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40" t="s">
        <v>206</v>
      </c>
      <c r="B1" s="1"/>
      <c r="C1" s="1"/>
      <c r="D1" s="1"/>
      <c r="E1" s="1"/>
      <c r="F1" s="1"/>
      <c r="G1" s="1"/>
      <c r="H1" s="1"/>
      <c r="I1" s="8"/>
      <c r="J1" s="1"/>
      <c r="K1" s="1"/>
      <c r="L1" s="1"/>
      <c r="M1" s="53"/>
      <c r="N1" s="13"/>
    </row>
    <row r="2" spans="1:21" s="1" customFormat="1" ht="12.75" x14ac:dyDescent="0.2">
      <c r="F2" s="7"/>
      <c r="G2" s="7"/>
      <c r="H2" s="7"/>
      <c r="I2" s="8"/>
      <c r="J2" s="3"/>
    </row>
    <row r="3" spans="1:21" s="1" customFormat="1" ht="76.5" x14ac:dyDescent="0.2">
      <c r="A3" s="20" t="s">
        <v>7</v>
      </c>
      <c r="B3" s="84" t="s">
        <v>8</v>
      </c>
      <c r="C3" s="84" t="s">
        <v>9</v>
      </c>
      <c r="D3" s="84" t="s">
        <v>10</v>
      </c>
      <c r="E3" s="84" t="s">
        <v>11</v>
      </c>
      <c r="F3" s="84" t="s">
        <v>12</v>
      </c>
      <c r="G3" s="84" t="s">
        <v>13</v>
      </c>
      <c r="H3" s="84" t="s">
        <v>14</v>
      </c>
      <c r="I3" s="84" t="s">
        <v>15</v>
      </c>
      <c r="J3" s="3"/>
      <c r="M3" s="54"/>
      <c r="N3" s="54"/>
      <c r="O3" s="54"/>
      <c r="P3" s="54"/>
      <c r="Q3" s="54"/>
      <c r="R3" s="54"/>
      <c r="S3" s="54"/>
      <c r="T3" s="54"/>
      <c r="U3" s="54"/>
    </row>
    <row r="4" spans="1:21" s="1" customFormat="1" ht="12.75" x14ac:dyDescent="0.2">
      <c r="A4" s="38" t="s">
        <v>61</v>
      </c>
      <c r="B4" s="2" t="s">
        <v>96</v>
      </c>
      <c r="C4" s="2"/>
      <c r="D4" s="2"/>
      <c r="E4" s="2"/>
      <c r="F4" s="2"/>
      <c r="G4" s="2"/>
      <c r="H4" s="2"/>
      <c r="I4" s="41"/>
      <c r="J4" s="3"/>
      <c r="K4" s="117" t="s">
        <v>16</v>
      </c>
      <c r="L4" s="117"/>
      <c r="O4" s="56"/>
      <c r="P4" s="56"/>
      <c r="Q4" s="56"/>
      <c r="R4" s="56"/>
      <c r="S4" s="56"/>
      <c r="T4" s="56"/>
      <c r="U4" s="57"/>
    </row>
    <row r="5" spans="1:21" s="1" customFormat="1" ht="12.75" x14ac:dyDescent="0.2">
      <c r="A5" s="38" t="s">
        <v>62</v>
      </c>
      <c r="B5" s="20" t="s">
        <v>96</v>
      </c>
      <c r="C5" s="20"/>
      <c r="D5" s="20"/>
      <c r="E5" s="20"/>
      <c r="F5" s="69"/>
      <c r="G5" s="44"/>
      <c r="H5" s="44"/>
      <c r="I5" s="42"/>
      <c r="J5" s="9"/>
      <c r="K5" s="14" t="s">
        <v>17</v>
      </c>
      <c r="L5" s="33">
        <v>163.16999999999999</v>
      </c>
      <c r="M5" s="55"/>
      <c r="N5" s="56"/>
      <c r="O5" s="56"/>
      <c r="P5" s="56"/>
      <c r="Q5" s="56"/>
      <c r="R5" s="58"/>
      <c r="S5" s="56"/>
      <c r="T5" s="56"/>
      <c r="U5" s="59"/>
    </row>
    <row r="6" spans="1:21" s="1" customFormat="1" ht="12.75" x14ac:dyDescent="0.2">
      <c r="A6" s="38" t="s">
        <v>63</v>
      </c>
      <c r="B6" s="20"/>
      <c r="C6" s="20"/>
      <c r="D6" s="20"/>
      <c r="E6" s="20"/>
      <c r="F6" s="20"/>
      <c r="G6" s="20"/>
      <c r="H6" s="20"/>
      <c r="I6" s="42"/>
      <c r="J6" s="3"/>
      <c r="K6" s="14" t="s">
        <v>18</v>
      </c>
      <c r="L6" s="33">
        <v>130.28</v>
      </c>
      <c r="M6" s="55"/>
      <c r="N6" s="56"/>
      <c r="O6" s="56"/>
      <c r="P6" s="56"/>
      <c r="Q6" s="56"/>
      <c r="R6" s="56"/>
      <c r="S6" s="56"/>
      <c r="T6" s="56"/>
      <c r="U6" s="59"/>
    </row>
    <row r="7" spans="1:21" s="1" customFormat="1" ht="15.75" x14ac:dyDescent="0.2">
      <c r="A7" s="94" t="s">
        <v>64</v>
      </c>
      <c r="B7" s="20">
        <v>1</v>
      </c>
      <c r="C7" s="20">
        <v>1</v>
      </c>
      <c r="D7" s="20">
        <f>B7*C7</f>
        <v>1</v>
      </c>
      <c r="E7" s="20">
        <f>Respondents!F8</f>
        <v>34</v>
      </c>
      <c r="F7" s="20">
        <f>D7*E7</f>
        <v>34</v>
      </c>
      <c r="G7" s="20">
        <f>F7*0.05</f>
        <v>1.7000000000000002</v>
      </c>
      <c r="H7" s="20">
        <f>F7*0.1</f>
        <v>3.4000000000000004</v>
      </c>
      <c r="I7" s="42">
        <f>F7*$L$6+G7*$L$5+H7*$L$7</f>
        <v>4930.3230000000003</v>
      </c>
      <c r="J7" s="3"/>
      <c r="K7" s="14" t="s">
        <v>19</v>
      </c>
      <c r="L7" s="33">
        <v>65.709999999999994</v>
      </c>
      <c r="M7" s="55"/>
      <c r="N7" s="56"/>
      <c r="O7" s="56"/>
      <c r="P7" s="56"/>
      <c r="Q7" s="56"/>
      <c r="R7" s="56"/>
      <c r="S7" s="56"/>
      <c r="T7" s="56"/>
      <c r="U7" s="59"/>
    </row>
    <row r="8" spans="1:21" s="1" customFormat="1" ht="12.75" x14ac:dyDescent="0.2">
      <c r="A8" s="94" t="s">
        <v>65</v>
      </c>
      <c r="B8" s="20"/>
      <c r="C8" s="20"/>
      <c r="D8" s="20"/>
      <c r="E8" s="20"/>
      <c r="F8" s="20"/>
      <c r="G8" s="20"/>
      <c r="H8" s="20"/>
      <c r="I8" s="42"/>
      <c r="K8" s="73"/>
      <c r="L8" s="17"/>
      <c r="M8" s="55"/>
      <c r="N8" s="56"/>
      <c r="O8" s="56"/>
      <c r="P8" s="56"/>
      <c r="Q8" s="60"/>
      <c r="R8" s="60"/>
      <c r="S8" s="60"/>
      <c r="T8" s="60"/>
      <c r="U8" s="59"/>
    </row>
    <row r="9" spans="1:21" s="1" customFormat="1" ht="15.75" x14ac:dyDescent="0.2">
      <c r="A9" s="95" t="s">
        <v>160</v>
      </c>
      <c r="B9" s="20">
        <v>57</v>
      </c>
      <c r="C9" s="20">
        <v>1</v>
      </c>
      <c r="D9" s="20">
        <f>B9*C9</f>
        <v>57</v>
      </c>
      <c r="E9" s="20">
        <v>0</v>
      </c>
      <c r="F9" s="20">
        <f>D9*E9</f>
        <v>0</v>
      </c>
      <c r="G9" s="20">
        <f>F9*0.05</f>
        <v>0</v>
      </c>
      <c r="H9" s="20">
        <f>F9*0.1</f>
        <v>0</v>
      </c>
      <c r="I9" s="100">
        <f>F9*$L$6+G9*$L$5+H9*$L$7</f>
        <v>0</v>
      </c>
      <c r="J9" s="3"/>
      <c r="K9" s="87"/>
      <c r="L9" s="4"/>
      <c r="M9" s="55"/>
      <c r="N9" s="56"/>
      <c r="O9" s="56"/>
      <c r="P9" s="56"/>
      <c r="Q9" s="60"/>
      <c r="R9" s="60"/>
      <c r="S9" s="60"/>
      <c r="T9" s="60"/>
      <c r="U9" s="59"/>
    </row>
    <row r="10" spans="1:21" s="1" customFormat="1" ht="15.75" x14ac:dyDescent="0.2">
      <c r="A10" s="95" t="s">
        <v>161</v>
      </c>
      <c r="B10" s="20">
        <v>57</v>
      </c>
      <c r="C10" s="20">
        <v>0.1</v>
      </c>
      <c r="D10" s="20">
        <f>B10*C10</f>
        <v>5.7</v>
      </c>
      <c r="E10" s="20">
        <v>0</v>
      </c>
      <c r="F10" s="20">
        <f>D10*E10</f>
        <v>0</v>
      </c>
      <c r="G10" s="20">
        <f>F10*0.05</f>
        <v>0</v>
      </c>
      <c r="H10" s="20">
        <f>F10*0.1</f>
        <v>0</v>
      </c>
      <c r="I10" s="100">
        <f>F10*$L$6+G10*$L$5+H10*$L$7</f>
        <v>0</v>
      </c>
      <c r="J10" s="3"/>
      <c r="K10" s="4"/>
      <c r="L10" s="4"/>
      <c r="M10" s="55"/>
      <c r="N10" s="56"/>
      <c r="O10" s="56"/>
      <c r="P10" s="56"/>
      <c r="Q10" s="60"/>
      <c r="R10" s="60"/>
      <c r="S10" s="60"/>
      <c r="T10" s="60"/>
      <c r="U10" s="59"/>
    </row>
    <row r="11" spans="1:21" s="1" customFormat="1" ht="15.75" x14ac:dyDescent="0.2">
      <c r="A11" s="95" t="s">
        <v>143</v>
      </c>
      <c r="B11" s="20">
        <v>10</v>
      </c>
      <c r="C11" s="20">
        <v>1</v>
      </c>
      <c r="D11" s="20">
        <f>B11*C11</f>
        <v>10</v>
      </c>
      <c r="E11" s="20">
        <v>3</v>
      </c>
      <c r="F11" s="20">
        <f>D11*E11</f>
        <v>30</v>
      </c>
      <c r="G11" s="20">
        <f>F11*0.05</f>
        <v>1.5</v>
      </c>
      <c r="H11" s="20">
        <f>F11*0.1</f>
        <v>3</v>
      </c>
      <c r="I11" s="42">
        <f>F11*$L$6+G11*$L$5+H11*$L$7</f>
        <v>4350.2849999999999</v>
      </c>
      <c r="J11" s="3"/>
      <c r="K11" s="5"/>
      <c r="L11" s="6"/>
      <c r="M11" s="55"/>
      <c r="N11" s="56"/>
      <c r="O11" s="56"/>
      <c r="P11" s="56"/>
      <c r="Q11" s="60"/>
      <c r="R11" s="60"/>
      <c r="S11" s="61"/>
      <c r="T11" s="61"/>
      <c r="U11" s="59"/>
    </row>
    <row r="12" spans="1:21" s="1" customFormat="1" ht="12.75" x14ac:dyDescent="0.2">
      <c r="A12" s="94" t="s">
        <v>66</v>
      </c>
      <c r="B12" s="20" t="s">
        <v>97</v>
      </c>
      <c r="C12" s="20"/>
      <c r="D12" s="20"/>
      <c r="E12" s="20"/>
      <c r="F12" s="20"/>
      <c r="G12" s="20"/>
      <c r="H12" s="20"/>
      <c r="I12" s="42"/>
      <c r="K12" s="5"/>
      <c r="L12" s="6"/>
      <c r="M12" s="55"/>
      <c r="N12" s="56"/>
      <c r="O12" s="56"/>
      <c r="P12" s="56"/>
      <c r="Q12" s="60"/>
      <c r="R12" s="60"/>
      <c r="S12" s="61"/>
      <c r="T12" s="61"/>
      <c r="U12" s="59"/>
    </row>
    <row r="13" spans="1:21" s="1" customFormat="1" ht="12.75" x14ac:dyDescent="0.2">
      <c r="A13" s="94" t="s">
        <v>67</v>
      </c>
      <c r="B13" s="20" t="s">
        <v>97</v>
      </c>
      <c r="C13" s="20"/>
      <c r="D13" s="20"/>
      <c r="E13" s="20"/>
      <c r="F13" s="20"/>
      <c r="G13" s="20"/>
      <c r="H13" s="20"/>
      <c r="I13" s="42"/>
      <c r="K13" s="5"/>
      <c r="L13" s="6"/>
      <c r="M13" s="55"/>
      <c r="N13" s="56"/>
      <c r="O13" s="56"/>
      <c r="P13" s="56"/>
      <c r="Q13" s="56"/>
      <c r="R13" s="56"/>
      <c r="S13" s="56"/>
      <c r="T13" s="56"/>
      <c r="U13" s="59"/>
    </row>
    <row r="14" spans="1:21" s="1" customFormat="1" ht="18" customHeight="1" x14ac:dyDescent="0.2">
      <c r="A14" s="94" t="s">
        <v>68</v>
      </c>
      <c r="B14" s="20"/>
      <c r="C14" s="20"/>
      <c r="D14" s="20"/>
      <c r="E14" s="44"/>
      <c r="F14" s="44"/>
      <c r="G14" s="44"/>
      <c r="H14" s="44"/>
      <c r="I14" s="42"/>
      <c r="K14" s="72"/>
      <c r="L14" s="6"/>
      <c r="M14" s="55"/>
      <c r="N14" s="56"/>
      <c r="O14" s="56"/>
      <c r="P14" s="56"/>
      <c r="Q14" s="56"/>
      <c r="R14" s="56"/>
      <c r="S14" s="56"/>
      <c r="T14" s="56"/>
      <c r="U14" s="59"/>
    </row>
    <row r="15" spans="1:21" s="1" customFormat="1" ht="15.75" x14ac:dyDescent="0.2">
      <c r="A15" s="95" t="s">
        <v>163</v>
      </c>
      <c r="B15" s="20">
        <v>2</v>
      </c>
      <c r="C15" s="20">
        <v>1</v>
      </c>
      <c r="D15" s="20">
        <f t="shared" ref="D15:D17" si="0">B15*C15</f>
        <v>2</v>
      </c>
      <c r="E15" s="44">
        <v>0</v>
      </c>
      <c r="F15" s="20">
        <f t="shared" ref="F15:F17" si="1">D15*E15</f>
        <v>0</v>
      </c>
      <c r="G15" s="20">
        <f t="shared" ref="G15:G17" si="2">F15*0.05</f>
        <v>0</v>
      </c>
      <c r="H15" s="20">
        <f t="shared" ref="H15:H17" si="3">F15*0.1</f>
        <v>0</v>
      </c>
      <c r="I15" s="100">
        <f t="shared" ref="I15:I17" si="4">F15*$L$6+G15*$L$5+H15*$L$7</f>
        <v>0</v>
      </c>
      <c r="J15" s="3"/>
      <c r="K15" s="72"/>
      <c r="M15" s="55"/>
      <c r="N15" s="56"/>
      <c r="O15" s="56"/>
      <c r="P15" s="56"/>
      <c r="Q15" s="56"/>
      <c r="R15" s="56"/>
      <c r="S15" s="56"/>
      <c r="T15" s="56"/>
      <c r="U15" s="59"/>
    </row>
    <row r="16" spans="1:21" s="1" customFormat="1" ht="27.75" customHeight="1" x14ac:dyDescent="0.2">
      <c r="A16" s="95" t="s">
        <v>164</v>
      </c>
      <c r="B16" s="20">
        <v>2</v>
      </c>
      <c r="C16" s="20">
        <v>1</v>
      </c>
      <c r="D16" s="20">
        <f t="shared" ref="D16" si="5">B16*C16</f>
        <v>2</v>
      </c>
      <c r="E16" s="44">
        <v>0</v>
      </c>
      <c r="F16" s="44">
        <f t="shared" si="1"/>
        <v>0</v>
      </c>
      <c r="G16" s="20">
        <f t="shared" si="2"/>
        <v>0</v>
      </c>
      <c r="H16" s="43">
        <f t="shared" si="3"/>
        <v>0</v>
      </c>
      <c r="I16" s="100">
        <f t="shared" si="4"/>
        <v>0</v>
      </c>
      <c r="J16" s="3"/>
      <c r="K16" s="72"/>
      <c r="M16" s="55"/>
      <c r="N16" s="56"/>
      <c r="O16" s="56"/>
      <c r="P16" s="56"/>
      <c r="Q16" s="56"/>
      <c r="R16" s="56"/>
      <c r="S16" s="56"/>
      <c r="T16" s="56"/>
      <c r="U16" s="59"/>
    </row>
    <row r="17" spans="1:21" s="1" customFormat="1" ht="15.75" x14ac:dyDescent="0.2">
      <c r="A17" s="95" t="s">
        <v>165</v>
      </c>
      <c r="B17" s="20">
        <v>2</v>
      </c>
      <c r="C17" s="20">
        <v>1</v>
      </c>
      <c r="D17" s="20">
        <f t="shared" si="0"/>
        <v>2</v>
      </c>
      <c r="E17" s="44">
        <v>0</v>
      </c>
      <c r="F17" s="20">
        <f t="shared" si="1"/>
        <v>0</v>
      </c>
      <c r="G17" s="20">
        <f t="shared" si="2"/>
        <v>0</v>
      </c>
      <c r="H17" s="20">
        <f t="shared" si="3"/>
        <v>0</v>
      </c>
      <c r="I17" s="100">
        <f t="shared" si="4"/>
        <v>0</v>
      </c>
      <c r="J17" s="3"/>
      <c r="K17" s="72"/>
      <c r="M17" s="55"/>
      <c r="N17" s="56"/>
      <c r="O17" s="56"/>
      <c r="P17" s="56"/>
      <c r="Q17" s="56"/>
      <c r="R17" s="56"/>
      <c r="S17" s="56"/>
      <c r="T17" s="56"/>
      <c r="U17" s="59"/>
    </row>
    <row r="18" spans="1:21" s="1" customFormat="1" ht="19.5" customHeight="1" x14ac:dyDescent="0.2">
      <c r="A18" s="95" t="s">
        <v>166</v>
      </c>
      <c r="B18" s="20">
        <v>2</v>
      </c>
      <c r="C18" s="20">
        <v>1</v>
      </c>
      <c r="D18" s="20">
        <f t="shared" ref="D18" si="6">B18*C18</f>
        <v>2</v>
      </c>
      <c r="E18" s="44">
        <v>0</v>
      </c>
      <c r="F18" s="20">
        <f t="shared" ref="F18" si="7">D18*E18</f>
        <v>0</v>
      </c>
      <c r="G18" s="20">
        <f t="shared" ref="G18" si="8">F18*0.05</f>
        <v>0</v>
      </c>
      <c r="H18" s="20">
        <f t="shared" ref="H18" si="9">F18*0.1</f>
        <v>0</v>
      </c>
      <c r="I18" s="100">
        <f t="shared" ref="I18" si="10">F18*$L$6+G18*$L$5+H18*$L$7</f>
        <v>0</v>
      </c>
      <c r="J18" s="3"/>
      <c r="K18" s="72"/>
      <c r="M18" s="55"/>
      <c r="N18" s="56"/>
      <c r="O18" s="56"/>
      <c r="P18" s="56"/>
      <c r="Q18" s="56"/>
      <c r="R18" s="56"/>
      <c r="S18" s="56"/>
      <c r="T18" s="56"/>
      <c r="U18" s="59"/>
    </row>
    <row r="19" spans="1:21" s="1" customFormat="1" ht="16.5" customHeight="1" x14ac:dyDescent="0.2">
      <c r="A19" s="95" t="s">
        <v>167</v>
      </c>
      <c r="B19" s="20">
        <v>2</v>
      </c>
      <c r="C19" s="20">
        <f>C9+C10</f>
        <v>1.1000000000000001</v>
      </c>
      <c r="D19" s="20">
        <f t="shared" ref="D19:D20" si="11">B19*C19</f>
        <v>2.2000000000000002</v>
      </c>
      <c r="E19" s="20">
        <v>0</v>
      </c>
      <c r="F19" s="69">
        <f t="shared" ref="F19:F20" si="12">D19*E19</f>
        <v>0</v>
      </c>
      <c r="G19" s="20">
        <f t="shared" ref="G19:G20" si="13">F19*0.05</f>
        <v>0</v>
      </c>
      <c r="H19" s="20">
        <f t="shared" ref="H19:H20" si="14">F19*0.1</f>
        <v>0</v>
      </c>
      <c r="I19" s="100">
        <f>F19*$L$6+G19*$L$5+H19*$L$7</f>
        <v>0</v>
      </c>
      <c r="J19" s="3"/>
      <c r="K19" s="3"/>
      <c r="M19" s="55"/>
      <c r="N19" s="56"/>
      <c r="O19" s="56"/>
      <c r="P19" s="56"/>
      <c r="Q19" s="56"/>
      <c r="R19" s="56"/>
      <c r="S19" s="56"/>
      <c r="T19" s="56"/>
      <c r="U19" s="59"/>
    </row>
    <row r="20" spans="1:21" s="1" customFormat="1" ht="28.5" x14ac:dyDescent="0.2">
      <c r="A20" s="95" t="s">
        <v>168</v>
      </c>
      <c r="B20" s="20">
        <v>2</v>
      </c>
      <c r="C20" s="20">
        <v>1</v>
      </c>
      <c r="D20" s="20">
        <f t="shared" si="11"/>
        <v>2</v>
      </c>
      <c r="E20" s="44">
        <v>0</v>
      </c>
      <c r="F20" s="20">
        <f t="shared" si="12"/>
        <v>0</v>
      </c>
      <c r="G20" s="20">
        <f t="shared" si="13"/>
        <v>0</v>
      </c>
      <c r="H20" s="20">
        <f t="shared" si="14"/>
        <v>0</v>
      </c>
      <c r="I20" s="100">
        <f t="shared" ref="I20" si="15">F20*$L$6+G20*$L$5+H20*$L$7</f>
        <v>0</v>
      </c>
      <c r="J20" s="3"/>
      <c r="M20" s="55"/>
      <c r="N20" s="56"/>
      <c r="O20" s="56"/>
      <c r="P20" s="56"/>
      <c r="Q20" s="56"/>
      <c r="R20" s="56"/>
      <c r="S20" s="56"/>
      <c r="T20" s="56"/>
      <c r="U20" s="59"/>
    </row>
    <row r="21" spans="1:21" s="1" customFormat="1" ht="15.75" x14ac:dyDescent="0.2">
      <c r="A21" s="95" t="s">
        <v>169</v>
      </c>
      <c r="B21" s="20">
        <v>2</v>
      </c>
      <c r="C21" s="20">
        <v>1</v>
      </c>
      <c r="D21" s="20">
        <f t="shared" ref="D21" si="16">B21*C21</f>
        <v>2</v>
      </c>
      <c r="E21" s="44">
        <v>0</v>
      </c>
      <c r="F21" s="20">
        <f t="shared" ref="F21" si="17">D21*E21</f>
        <v>0</v>
      </c>
      <c r="G21" s="20">
        <f t="shared" ref="G21" si="18">F21*0.05</f>
        <v>0</v>
      </c>
      <c r="H21" s="20">
        <f t="shared" ref="H21" si="19">F21*0.1</f>
        <v>0</v>
      </c>
      <c r="I21" s="100">
        <f t="shared" ref="I21" si="20">F21*$L$6+G21*$L$5+H21*$L$7</f>
        <v>0</v>
      </c>
      <c r="J21" s="3"/>
      <c r="M21" s="55"/>
      <c r="N21" s="56"/>
      <c r="O21" s="56"/>
      <c r="P21" s="56"/>
      <c r="Q21" s="56"/>
      <c r="R21" s="58"/>
      <c r="S21" s="56"/>
      <c r="T21" s="56"/>
      <c r="U21" s="59"/>
    </row>
    <row r="22" spans="1:21" s="1" customFormat="1" ht="15.75" x14ac:dyDescent="0.25">
      <c r="A22" s="95" t="s">
        <v>170</v>
      </c>
      <c r="B22" s="2">
        <v>8</v>
      </c>
      <c r="C22" s="2">
        <f>C9+C10</f>
        <v>1.1000000000000001</v>
      </c>
      <c r="D22" s="2">
        <f t="shared" ref="D22:D24" si="21">B22*C22</f>
        <v>8.8000000000000007</v>
      </c>
      <c r="E22" s="2">
        <v>0</v>
      </c>
      <c r="F22" s="2">
        <f t="shared" ref="F22:F24" si="22">D22*E22</f>
        <v>0</v>
      </c>
      <c r="G22" s="2">
        <f t="shared" ref="G22:G24" si="23">F22*0.05</f>
        <v>0</v>
      </c>
      <c r="H22" s="2">
        <f t="shared" ref="H22:H24" si="24">F22*0.1</f>
        <v>0</v>
      </c>
      <c r="I22" s="101">
        <f>F22*$L$6+G22*$L$5+H22*$L$7</f>
        <v>0</v>
      </c>
      <c r="J22" s="3"/>
      <c r="K22" s="3"/>
      <c r="M22" s="62"/>
      <c r="N22" s="62"/>
      <c r="O22" s="62"/>
      <c r="P22" s="62"/>
      <c r="Q22" s="62"/>
      <c r="R22" s="63"/>
      <c r="S22" s="63"/>
      <c r="T22" s="63"/>
      <c r="U22" s="64"/>
    </row>
    <row r="23" spans="1:21" s="1" customFormat="1" ht="25.5" x14ac:dyDescent="0.2">
      <c r="A23" s="95" t="s">
        <v>69</v>
      </c>
      <c r="B23" s="10" t="s">
        <v>97</v>
      </c>
      <c r="C23" s="10"/>
      <c r="D23" s="10"/>
      <c r="E23" s="10"/>
      <c r="F23" s="10"/>
      <c r="G23" s="10"/>
      <c r="H23" s="10"/>
      <c r="I23" s="11"/>
      <c r="K23" s="3"/>
      <c r="M23" s="55"/>
      <c r="N23" s="56"/>
      <c r="O23" s="56"/>
      <c r="P23" s="56"/>
      <c r="Q23" s="56"/>
      <c r="R23" s="56"/>
      <c r="S23" s="56"/>
      <c r="T23" s="56"/>
      <c r="U23" s="57"/>
    </row>
    <row r="24" spans="1:21" s="1" customFormat="1" ht="15.75" x14ac:dyDescent="0.2">
      <c r="A24" s="95" t="s">
        <v>144</v>
      </c>
      <c r="B24" s="10">
        <v>8</v>
      </c>
      <c r="C24" s="10">
        <v>2</v>
      </c>
      <c r="D24" s="10">
        <f t="shared" si="21"/>
        <v>16</v>
      </c>
      <c r="E24" s="10">
        <v>3</v>
      </c>
      <c r="F24" s="70">
        <f t="shared" si="22"/>
        <v>48</v>
      </c>
      <c r="G24" s="10">
        <f t="shared" si="23"/>
        <v>2.4000000000000004</v>
      </c>
      <c r="H24" s="10">
        <f t="shared" si="24"/>
        <v>4.8000000000000007</v>
      </c>
      <c r="I24" s="11">
        <f>F24*$L$6+G24*$L$5+H24*$L$7</f>
        <v>6960.456000000001</v>
      </c>
      <c r="J24" s="3"/>
      <c r="K24" s="3"/>
      <c r="M24" s="55"/>
      <c r="N24" s="56"/>
      <c r="O24" s="56"/>
      <c r="P24" s="56"/>
      <c r="Q24" s="56"/>
      <c r="R24" s="56"/>
      <c r="S24" s="56"/>
      <c r="T24" s="56"/>
      <c r="U24" s="59"/>
    </row>
    <row r="25" spans="1:21" s="1" customFormat="1" ht="28.5" x14ac:dyDescent="0.2">
      <c r="A25" s="95" t="s">
        <v>146</v>
      </c>
      <c r="B25" s="10">
        <v>8</v>
      </c>
      <c r="C25" s="10">
        <v>2</v>
      </c>
      <c r="D25" s="10">
        <f t="shared" ref="D25" si="25">B25*C25</f>
        <v>16</v>
      </c>
      <c r="E25" s="10">
        <f>Respondents!F8</f>
        <v>34</v>
      </c>
      <c r="F25" s="70">
        <f t="shared" ref="F25" si="26">D25*E25</f>
        <v>544</v>
      </c>
      <c r="G25" s="10">
        <f t="shared" ref="G25" si="27">F25*0.05</f>
        <v>27.200000000000003</v>
      </c>
      <c r="H25" s="10">
        <f t="shared" ref="H25" si="28">F25*0.1</f>
        <v>54.400000000000006</v>
      </c>
      <c r="I25" s="11">
        <f>F25*$L$6+G25*$L$5+H25*$L$7</f>
        <v>78885.168000000005</v>
      </c>
      <c r="J25" s="3"/>
      <c r="M25" s="55"/>
      <c r="N25" s="56"/>
      <c r="O25" s="56"/>
      <c r="P25" s="56"/>
      <c r="Q25" s="56"/>
      <c r="R25" s="56"/>
      <c r="S25" s="56"/>
      <c r="T25" s="56"/>
      <c r="U25" s="59"/>
    </row>
    <row r="26" spans="1:21" s="1" customFormat="1" ht="28.5" x14ac:dyDescent="0.2">
      <c r="A26" s="95" t="s">
        <v>147</v>
      </c>
      <c r="B26" s="10">
        <v>4</v>
      </c>
      <c r="C26" s="10">
        <v>1</v>
      </c>
      <c r="D26" s="10">
        <f t="shared" ref="D26:D27" si="29">B26*C26</f>
        <v>4</v>
      </c>
      <c r="E26" s="10">
        <f>E24*0.05</f>
        <v>0.15000000000000002</v>
      </c>
      <c r="F26" s="10">
        <f t="shared" ref="F26:F27" si="30">D26*E26</f>
        <v>0.60000000000000009</v>
      </c>
      <c r="G26" s="10">
        <f t="shared" ref="G26:G27" si="31">F26*0.05</f>
        <v>3.0000000000000006E-2</v>
      </c>
      <c r="H26" s="10">
        <f t="shared" ref="H26:H27" si="32">F26*0.1</f>
        <v>6.0000000000000012E-2</v>
      </c>
      <c r="I26" s="11">
        <f>F26*$L$6+G26*$L$5+H26*$L$7</f>
        <v>87.005700000000004</v>
      </c>
      <c r="J26" s="3"/>
      <c r="K26" s="3"/>
      <c r="M26" s="55"/>
      <c r="N26" s="56"/>
      <c r="O26" s="56"/>
      <c r="P26" s="56"/>
      <c r="Q26" s="56"/>
      <c r="R26" s="58"/>
      <c r="S26" s="56"/>
      <c r="T26" s="56"/>
      <c r="U26" s="59"/>
    </row>
    <row r="27" spans="1:21" s="1" customFormat="1" ht="27.6" customHeight="1" x14ac:dyDescent="0.2">
      <c r="A27" s="95" t="s">
        <v>70</v>
      </c>
      <c r="B27" s="10">
        <v>4</v>
      </c>
      <c r="C27" s="10">
        <v>1</v>
      </c>
      <c r="D27" s="10">
        <f t="shared" si="29"/>
        <v>4</v>
      </c>
      <c r="E27" s="10">
        <v>0</v>
      </c>
      <c r="F27" s="10">
        <f t="shared" si="30"/>
        <v>0</v>
      </c>
      <c r="G27" s="10">
        <f t="shared" si="31"/>
        <v>0</v>
      </c>
      <c r="H27" s="10">
        <f t="shared" si="32"/>
        <v>0</v>
      </c>
      <c r="I27" s="50">
        <f>F27*$L$6+G27*$L$5+H27*$L$7</f>
        <v>0</v>
      </c>
      <c r="K27" s="3"/>
      <c r="M27" s="55"/>
      <c r="N27" s="56"/>
      <c r="O27" s="56"/>
      <c r="P27" s="56"/>
      <c r="Q27" s="56"/>
      <c r="R27" s="56"/>
      <c r="S27" s="56"/>
      <c r="T27" s="56"/>
      <c r="U27" s="59"/>
    </row>
    <row r="28" spans="1:21" s="1" customFormat="1" ht="15.75" x14ac:dyDescent="0.2">
      <c r="A28" s="94" t="s">
        <v>148</v>
      </c>
      <c r="B28" s="10"/>
      <c r="C28" s="10"/>
      <c r="D28" s="10"/>
      <c r="E28" s="10"/>
      <c r="F28" s="10"/>
      <c r="G28" s="10"/>
      <c r="H28" s="10"/>
      <c r="I28" s="45"/>
      <c r="K28" s="3"/>
      <c r="M28" s="55"/>
      <c r="N28" s="56"/>
      <c r="O28" s="56"/>
      <c r="P28" s="56"/>
      <c r="Q28" s="56"/>
      <c r="R28" s="56"/>
      <c r="S28" s="56"/>
      <c r="T28" s="56"/>
      <c r="U28" s="59"/>
    </row>
    <row r="29" spans="1:21" s="1" customFormat="1" ht="12.75" x14ac:dyDescent="0.2">
      <c r="A29" s="96" t="s">
        <v>71</v>
      </c>
      <c r="B29" s="10"/>
      <c r="C29" s="10"/>
      <c r="D29" s="10"/>
      <c r="E29" s="10"/>
      <c r="F29" s="10"/>
      <c r="G29" s="10"/>
      <c r="H29" s="10"/>
      <c r="I29" s="11"/>
      <c r="K29" s="3"/>
      <c r="M29" s="55"/>
      <c r="N29" s="56"/>
      <c r="O29" s="56"/>
      <c r="P29" s="56"/>
      <c r="Q29" s="56"/>
      <c r="R29" s="56"/>
      <c r="S29" s="56"/>
      <c r="T29" s="56"/>
      <c r="U29" s="59"/>
    </row>
    <row r="30" spans="1:21" s="1" customFormat="1" ht="12.75" x14ac:dyDescent="0.2">
      <c r="A30" s="97" t="s">
        <v>72</v>
      </c>
      <c r="B30" s="10">
        <v>5</v>
      </c>
      <c r="C30" s="10">
        <v>1</v>
      </c>
      <c r="D30" s="10">
        <f t="shared" ref="D30" si="33">B30*C30</f>
        <v>5</v>
      </c>
      <c r="E30" s="10">
        <v>31</v>
      </c>
      <c r="F30" s="10">
        <f t="shared" ref="F30" si="34">D30*E30</f>
        <v>155</v>
      </c>
      <c r="G30" s="10">
        <f t="shared" ref="G30" si="35">F30*0.05</f>
        <v>7.75</v>
      </c>
      <c r="H30" s="10">
        <f t="shared" ref="H30" si="36">F30*0.1</f>
        <v>15.5</v>
      </c>
      <c r="I30" s="11">
        <f>F30*$L$6+G30*$L$5+H30*$L$7</f>
        <v>22476.472500000003</v>
      </c>
      <c r="J30" s="3"/>
      <c r="K30" s="3"/>
      <c r="M30" s="55"/>
      <c r="N30" s="56"/>
      <c r="O30" s="56"/>
      <c r="P30" s="56"/>
      <c r="Q30" s="56"/>
      <c r="R30" s="56"/>
      <c r="S30" s="56"/>
      <c r="T30" s="56"/>
      <c r="U30" s="59"/>
    </row>
    <row r="31" spans="1:21" s="1" customFormat="1" ht="12.75" x14ac:dyDescent="0.2">
      <c r="A31" s="97" t="s">
        <v>73</v>
      </c>
      <c r="B31" s="10">
        <v>15</v>
      </c>
      <c r="C31" s="10">
        <v>1</v>
      </c>
      <c r="D31" s="10">
        <f t="shared" ref="D31" si="37">B31*C31</f>
        <v>15</v>
      </c>
      <c r="E31" s="10">
        <v>21</v>
      </c>
      <c r="F31" s="10">
        <f t="shared" ref="F31" si="38">D31*E31</f>
        <v>315</v>
      </c>
      <c r="G31" s="10">
        <f t="shared" ref="G31" si="39">F31*0.05</f>
        <v>15.75</v>
      </c>
      <c r="H31" s="10">
        <f t="shared" ref="H31" si="40">F31*0.1</f>
        <v>31.5</v>
      </c>
      <c r="I31" s="11">
        <f>F31*$L$6+G31*$L$5+H31*$L$7</f>
        <v>45677.992499999993</v>
      </c>
      <c r="J31" s="3"/>
      <c r="K31" s="3"/>
      <c r="M31" s="55"/>
      <c r="N31" s="56"/>
      <c r="O31" s="56"/>
      <c r="P31" s="56"/>
      <c r="Q31" s="56"/>
      <c r="R31" s="56"/>
      <c r="S31" s="56"/>
      <c r="T31" s="56"/>
      <c r="U31" s="59"/>
    </row>
    <row r="32" spans="1:21" s="1" customFormat="1" ht="12.75" x14ac:dyDescent="0.2">
      <c r="A32" s="98" t="s">
        <v>74</v>
      </c>
      <c r="B32" s="10"/>
      <c r="C32" s="10"/>
      <c r="D32" s="10"/>
      <c r="E32" s="10"/>
      <c r="F32" s="70"/>
      <c r="G32" s="10"/>
      <c r="H32" s="10"/>
      <c r="I32" s="11"/>
      <c r="J32" s="3"/>
      <c r="K32" s="3"/>
      <c r="M32" s="55"/>
      <c r="N32" s="56"/>
      <c r="O32" s="56"/>
      <c r="P32" s="56"/>
      <c r="Q32" s="56"/>
      <c r="R32" s="56"/>
      <c r="S32" s="56"/>
      <c r="T32" s="56"/>
      <c r="U32" s="59"/>
    </row>
    <row r="33" spans="1:21" s="1" customFormat="1" ht="19.5" customHeight="1" x14ac:dyDescent="0.2">
      <c r="A33" s="97" t="s">
        <v>72</v>
      </c>
      <c r="B33" s="10">
        <v>5</v>
      </c>
      <c r="C33" s="10">
        <v>2</v>
      </c>
      <c r="D33" s="10">
        <f t="shared" ref="D33:D34" si="41">B33*C33</f>
        <v>10</v>
      </c>
      <c r="E33" s="10">
        <v>31</v>
      </c>
      <c r="F33" s="10">
        <f t="shared" ref="F33" si="42">D33*E33</f>
        <v>310</v>
      </c>
      <c r="G33" s="10">
        <f t="shared" ref="G33" si="43">F33*0.05</f>
        <v>15.5</v>
      </c>
      <c r="H33" s="10">
        <f t="shared" ref="H33" si="44">F33*0.1</f>
        <v>31</v>
      </c>
      <c r="I33" s="11">
        <f t="shared" ref="I33:I39" si="45">F33*$L$6+G33*$L$5+H33*$L$7</f>
        <v>44952.945000000007</v>
      </c>
      <c r="J33" s="3"/>
      <c r="K33" s="3"/>
      <c r="M33" s="55"/>
      <c r="N33" s="56"/>
      <c r="O33" s="56"/>
      <c r="P33" s="56"/>
      <c r="Q33" s="56"/>
      <c r="R33" s="56"/>
      <c r="S33" s="56"/>
      <c r="T33" s="56"/>
      <c r="U33" s="59"/>
    </row>
    <row r="34" spans="1:21" s="1" customFormat="1" ht="31.5" customHeight="1" x14ac:dyDescent="0.2">
      <c r="A34" s="97" t="s">
        <v>73</v>
      </c>
      <c r="B34" s="2">
        <v>10</v>
      </c>
      <c r="C34" s="2">
        <v>2</v>
      </c>
      <c r="D34" s="2">
        <f t="shared" si="41"/>
        <v>20</v>
      </c>
      <c r="E34" s="39">
        <v>21</v>
      </c>
      <c r="F34" s="10">
        <f t="shared" ref="F34:F35" si="46">D34*E34</f>
        <v>420</v>
      </c>
      <c r="G34" s="10">
        <f t="shared" ref="G34:G35" si="47">F34*0.05</f>
        <v>21</v>
      </c>
      <c r="H34" s="10">
        <f t="shared" ref="H34:H35" si="48">F34*0.1</f>
        <v>42</v>
      </c>
      <c r="I34" s="11">
        <f t="shared" si="45"/>
        <v>60903.99</v>
      </c>
      <c r="J34" s="3"/>
      <c r="K34" s="3"/>
      <c r="M34" s="55"/>
      <c r="N34" s="56"/>
      <c r="O34" s="56"/>
      <c r="P34" s="56"/>
      <c r="Q34" s="56"/>
      <c r="R34" s="58"/>
      <c r="S34" s="56"/>
      <c r="T34" s="56"/>
      <c r="U34" s="59"/>
    </row>
    <row r="35" spans="1:21" s="1" customFormat="1" ht="12.75" x14ac:dyDescent="0.2">
      <c r="A35" s="97" t="s">
        <v>75</v>
      </c>
      <c r="B35" s="10">
        <v>4</v>
      </c>
      <c r="C35" s="10">
        <v>2</v>
      </c>
      <c r="D35" s="10">
        <f t="shared" ref="D35" si="49">B35*C35</f>
        <v>8</v>
      </c>
      <c r="E35" s="10">
        <v>31</v>
      </c>
      <c r="F35" s="10">
        <f t="shared" si="46"/>
        <v>248</v>
      </c>
      <c r="G35" s="10">
        <f t="shared" si="47"/>
        <v>12.4</v>
      </c>
      <c r="H35" s="10">
        <f t="shared" si="48"/>
        <v>24.8</v>
      </c>
      <c r="I35" s="11">
        <f t="shared" si="45"/>
        <v>35962.356</v>
      </c>
      <c r="J35" s="3"/>
      <c r="K35" s="3"/>
      <c r="M35" s="55"/>
      <c r="N35" s="56"/>
      <c r="O35" s="56"/>
      <c r="P35" s="56"/>
      <c r="Q35" s="56"/>
      <c r="R35" s="56"/>
      <c r="S35" s="56"/>
      <c r="T35" s="56"/>
      <c r="U35" s="59"/>
    </row>
    <row r="36" spans="1:21" s="1" customFormat="1" ht="18.75" customHeight="1" x14ac:dyDescent="0.2">
      <c r="A36" s="97" t="s">
        <v>76</v>
      </c>
      <c r="B36" s="10">
        <v>4</v>
      </c>
      <c r="C36" s="10">
        <v>2</v>
      </c>
      <c r="D36" s="10">
        <f t="shared" ref="D36:D39" si="50">B36*C36</f>
        <v>8</v>
      </c>
      <c r="E36" s="10">
        <v>31</v>
      </c>
      <c r="F36" s="10">
        <f t="shared" ref="F36:F39" si="51">D36*E36</f>
        <v>248</v>
      </c>
      <c r="G36" s="10">
        <f t="shared" ref="G36:G39" si="52">F36*0.05</f>
        <v>12.4</v>
      </c>
      <c r="H36" s="10">
        <f t="shared" ref="H36:H39" si="53">F36*0.1</f>
        <v>24.8</v>
      </c>
      <c r="I36" s="11">
        <f t="shared" si="45"/>
        <v>35962.356</v>
      </c>
      <c r="J36" s="3"/>
      <c r="K36" s="3"/>
      <c r="M36" s="55"/>
      <c r="N36" s="56"/>
      <c r="O36" s="56"/>
      <c r="P36" s="56"/>
      <c r="Q36" s="56"/>
      <c r="R36" s="56"/>
      <c r="S36" s="56"/>
      <c r="T36" s="56"/>
      <c r="U36" s="59"/>
    </row>
    <row r="37" spans="1:21" s="1" customFormat="1" ht="15.75" x14ac:dyDescent="0.2">
      <c r="A37" s="97" t="s">
        <v>152</v>
      </c>
      <c r="B37" s="10">
        <v>4</v>
      </c>
      <c r="C37" s="10">
        <v>2</v>
      </c>
      <c r="D37" s="10">
        <f t="shared" si="50"/>
        <v>8</v>
      </c>
      <c r="E37" s="10">
        <v>0</v>
      </c>
      <c r="F37" s="10">
        <f t="shared" si="51"/>
        <v>0</v>
      </c>
      <c r="G37" s="10">
        <f t="shared" si="52"/>
        <v>0</v>
      </c>
      <c r="H37" s="10">
        <f t="shared" si="53"/>
        <v>0</v>
      </c>
      <c r="I37" s="50">
        <f t="shared" si="45"/>
        <v>0</v>
      </c>
      <c r="J37" s="3"/>
      <c r="K37" s="3"/>
      <c r="M37" s="55"/>
      <c r="N37" s="56"/>
      <c r="O37" s="56"/>
      <c r="P37" s="56"/>
      <c r="Q37" s="56"/>
      <c r="R37" s="56"/>
      <c r="S37" s="56"/>
      <c r="T37" s="56"/>
      <c r="U37" s="59"/>
    </row>
    <row r="38" spans="1:21" s="1" customFormat="1" ht="12.75" x14ac:dyDescent="0.2">
      <c r="A38" s="97" t="s">
        <v>77</v>
      </c>
      <c r="B38" s="10">
        <v>3</v>
      </c>
      <c r="C38" s="10">
        <v>2</v>
      </c>
      <c r="D38" s="10">
        <f t="shared" si="50"/>
        <v>6</v>
      </c>
      <c r="E38" s="10">
        <v>31</v>
      </c>
      <c r="F38" s="70">
        <f t="shared" si="51"/>
        <v>186</v>
      </c>
      <c r="G38" s="10">
        <f t="shared" si="52"/>
        <v>9.3000000000000007</v>
      </c>
      <c r="H38" s="10">
        <f t="shared" si="53"/>
        <v>18.600000000000001</v>
      </c>
      <c r="I38" s="11">
        <f t="shared" si="45"/>
        <v>26971.767</v>
      </c>
      <c r="J38" s="3"/>
      <c r="K38" s="3"/>
      <c r="M38" s="55"/>
      <c r="N38" s="56"/>
      <c r="O38" s="56"/>
      <c r="P38" s="56"/>
      <c r="Q38" s="56"/>
      <c r="R38" s="56"/>
      <c r="S38" s="56"/>
      <c r="T38" s="56"/>
      <c r="U38" s="59"/>
    </row>
    <row r="39" spans="1:21" s="1" customFormat="1" ht="15.75" x14ac:dyDescent="0.2">
      <c r="A39" s="98" t="s">
        <v>174</v>
      </c>
      <c r="B39" s="10">
        <v>2</v>
      </c>
      <c r="C39" s="10">
        <v>1</v>
      </c>
      <c r="D39" s="10">
        <f t="shared" si="50"/>
        <v>2</v>
      </c>
      <c r="E39" s="10">
        <v>0</v>
      </c>
      <c r="F39" s="10">
        <f t="shared" si="51"/>
        <v>0</v>
      </c>
      <c r="G39" s="68">
        <f t="shared" si="52"/>
        <v>0</v>
      </c>
      <c r="H39" s="10">
        <f t="shared" si="53"/>
        <v>0</v>
      </c>
      <c r="I39" s="50">
        <f t="shared" si="45"/>
        <v>0</v>
      </c>
      <c r="J39" s="3"/>
      <c r="K39" s="13"/>
      <c r="L39" s="3"/>
      <c r="M39" s="55"/>
      <c r="N39" s="56"/>
      <c r="O39" s="56"/>
      <c r="P39" s="56"/>
      <c r="Q39" s="56"/>
      <c r="R39" s="56"/>
      <c r="S39" s="56"/>
      <c r="T39" s="56"/>
      <c r="U39" s="59"/>
    </row>
    <row r="40" spans="1:21" s="1" customFormat="1" ht="13.5" x14ac:dyDescent="0.25">
      <c r="A40" s="99" t="s">
        <v>78</v>
      </c>
      <c r="B40" s="10"/>
      <c r="C40" s="10"/>
      <c r="D40" s="10"/>
      <c r="E40" s="10"/>
      <c r="F40" s="129">
        <f>SUM(F7:H39)</f>
        <v>2919.3900000000008</v>
      </c>
      <c r="G40" s="130"/>
      <c r="H40" s="131"/>
      <c r="I40" s="102">
        <f>SUM(I7:I39)</f>
        <v>368121.11670000001</v>
      </c>
      <c r="L40" s="3"/>
      <c r="M40" s="55"/>
      <c r="N40" s="56"/>
      <c r="O40" s="56"/>
      <c r="P40" s="56"/>
      <c r="Q40" s="56"/>
      <c r="R40" s="58"/>
      <c r="S40" s="56"/>
      <c r="T40" s="56"/>
      <c r="U40" s="59"/>
    </row>
    <row r="41" spans="1:21" s="1" customFormat="1" ht="12.75" x14ac:dyDescent="0.2">
      <c r="A41" s="38" t="s">
        <v>79</v>
      </c>
      <c r="B41" s="10"/>
      <c r="C41" s="10"/>
      <c r="D41" s="10"/>
      <c r="E41" s="10"/>
      <c r="F41" s="10"/>
      <c r="G41" s="68"/>
      <c r="H41" s="10"/>
      <c r="I41" s="11"/>
      <c r="L41" s="3"/>
      <c r="M41" s="55"/>
      <c r="N41" s="56"/>
      <c r="O41" s="56"/>
      <c r="P41" s="56"/>
      <c r="Q41" s="56"/>
      <c r="R41" s="58"/>
      <c r="S41" s="56"/>
      <c r="T41" s="56"/>
      <c r="U41" s="59"/>
    </row>
    <row r="42" spans="1:21" s="1" customFormat="1" ht="12.75" x14ac:dyDescent="0.2">
      <c r="A42" s="94" t="s">
        <v>80</v>
      </c>
      <c r="B42" s="10" t="s">
        <v>98</v>
      </c>
      <c r="C42" s="10"/>
      <c r="D42" s="10"/>
      <c r="E42" s="10"/>
      <c r="F42" s="10"/>
      <c r="G42" s="68"/>
      <c r="H42" s="10"/>
      <c r="I42" s="11"/>
      <c r="L42" s="3"/>
      <c r="M42" s="55"/>
      <c r="N42" s="56"/>
      <c r="O42" s="56"/>
      <c r="P42" s="56"/>
      <c r="Q42" s="56"/>
      <c r="R42" s="58"/>
      <c r="S42" s="56"/>
      <c r="T42" s="56"/>
      <c r="U42" s="59"/>
    </row>
    <row r="43" spans="1:21" s="1" customFormat="1" ht="12.75" x14ac:dyDescent="0.2">
      <c r="A43" s="94" t="s">
        <v>81</v>
      </c>
      <c r="B43" s="10" t="s">
        <v>97</v>
      </c>
      <c r="C43" s="10"/>
      <c r="D43" s="10"/>
      <c r="E43" s="10"/>
      <c r="F43" s="10"/>
      <c r="G43" s="68"/>
      <c r="H43" s="10"/>
      <c r="I43" s="11"/>
      <c r="L43" s="3"/>
      <c r="M43" s="55"/>
      <c r="N43" s="56"/>
      <c r="O43" s="56"/>
      <c r="P43" s="56"/>
      <c r="Q43" s="56"/>
      <c r="R43" s="58"/>
      <c r="S43" s="56"/>
      <c r="T43" s="56"/>
      <c r="U43" s="59"/>
    </row>
    <row r="44" spans="1:21" s="1" customFormat="1" ht="12.75" x14ac:dyDescent="0.2">
      <c r="A44" s="94" t="s">
        <v>82</v>
      </c>
      <c r="B44" s="10" t="s">
        <v>97</v>
      </c>
      <c r="C44" s="10"/>
      <c r="D44" s="10"/>
      <c r="E44" s="10"/>
      <c r="F44" s="10"/>
      <c r="G44" s="68"/>
      <c r="H44" s="10"/>
      <c r="I44" s="11"/>
      <c r="L44" s="3"/>
      <c r="M44" s="55"/>
      <c r="N44" s="56"/>
      <c r="O44" s="56"/>
      <c r="P44" s="56"/>
      <c r="Q44" s="56"/>
      <c r="R44" s="58"/>
      <c r="S44" s="56"/>
      <c r="T44" s="56"/>
      <c r="U44" s="59"/>
    </row>
    <row r="45" spans="1:21" s="1" customFormat="1" ht="12.75" x14ac:dyDescent="0.2">
      <c r="A45" s="94" t="s">
        <v>83</v>
      </c>
      <c r="B45" s="10" t="s">
        <v>96</v>
      </c>
      <c r="C45" s="10"/>
      <c r="D45" s="10"/>
      <c r="E45" s="10"/>
      <c r="F45" s="10"/>
      <c r="G45" s="68"/>
      <c r="H45" s="10"/>
      <c r="I45" s="11"/>
      <c r="L45" s="3"/>
      <c r="M45" s="55"/>
      <c r="N45" s="56"/>
      <c r="O45" s="56"/>
      <c r="P45" s="56"/>
      <c r="Q45" s="56"/>
      <c r="R45" s="58"/>
      <c r="S45" s="56"/>
      <c r="T45" s="56"/>
      <c r="U45" s="59"/>
    </row>
    <row r="46" spans="1:21" s="1" customFormat="1" ht="12.75" x14ac:dyDescent="0.2">
      <c r="A46" s="94" t="s">
        <v>84</v>
      </c>
      <c r="B46" s="10"/>
      <c r="C46" s="10"/>
      <c r="D46" s="10"/>
      <c r="E46" s="10"/>
      <c r="F46" s="10"/>
      <c r="G46" s="68"/>
      <c r="H46" s="10"/>
      <c r="I46" s="11"/>
      <c r="L46" s="3"/>
      <c r="M46" s="55"/>
      <c r="N46" s="56"/>
      <c r="O46" s="56"/>
      <c r="P46" s="56"/>
      <c r="Q46" s="56"/>
      <c r="R46" s="58"/>
      <c r="S46" s="56"/>
      <c r="T46" s="56"/>
      <c r="U46" s="59"/>
    </row>
    <row r="47" spans="1:21" s="1" customFormat="1" ht="15.75" x14ac:dyDescent="0.2">
      <c r="A47" s="95" t="s">
        <v>145</v>
      </c>
      <c r="B47" s="10">
        <v>1.5</v>
      </c>
      <c r="C47" s="10">
        <v>52</v>
      </c>
      <c r="D47" s="10">
        <f t="shared" ref="D47" si="54">B47*C47</f>
        <v>78</v>
      </c>
      <c r="E47" s="10">
        <v>3</v>
      </c>
      <c r="F47" s="10">
        <f t="shared" ref="F47" si="55">D47*E47</f>
        <v>234</v>
      </c>
      <c r="G47" s="68">
        <f t="shared" ref="G47" si="56">F47*0.05</f>
        <v>11.700000000000001</v>
      </c>
      <c r="H47" s="10">
        <f t="shared" ref="H47" si="57">F47*0.1</f>
        <v>23.400000000000002</v>
      </c>
      <c r="I47" s="50">
        <f>F47*$L$6+G47*$L$5+H47*$L$7</f>
        <v>33932.222999999998</v>
      </c>
      <c r="J47" s="3"/>
      <c r="L47" s="3"/>
      <c r="M47" s="55"/>
      <c r="N47" s="56"/>
      <c r="O47" s="56"/>
      <c r="P47" s="56"/>
      <c r="Q47" s="56"/>
      <c r="R47" s="58"/>
      <c r="S47" s="56"/>
      <c r="T47" s="56"/>
      <c r="U47" s="59"/>
    </row>
    <row r="48" spans="1:21" s="1" customFormat="1" ht="12.75" x14ac:dyDescent="0.2">
      <c r="A48" s="37" t="s">
        <v>85</v>
      </c>
      <c r="B48" s="10">
        <v>1</v>
      </c>
      <c r="C48" s="10">
        <v>365</v>
      </c>
      <c r="D48" s="10">
        <f t="shared" ref="D48" si="58">B48*C48</f>
        <v>365</v>
      </c>
      <c r="E48" s="10">
        <v>34</v>
      </c>
      <c r="F48" s="10">
        <f t="shared" ref="F48" si="59">D48*E48</f>
        <v>12410</v>
      </c>
      <c r="G48" s="68">
        <f t="shared" ref="G48" si="60">F48*0.05</f>
        <v>620.5</v>
      </c>
      <c r="H48" s="10">
        <f t="shared" ref="H48" si="61">F48*0.1</f>
        <v>1241</v>
      </c>
      <c r="I48" s="50">
        <f>F48*$L$6+G48*$L$5+H48*$L$7</f>
        <v>1799567.895</v>
      </c>
      <c r="J48" s="3"/>
      <c r="L48" s="3"/>
      <c r="M48" s="55"/>
      <c r="N48" s="56"/>
      <c r="O48" s="56"/>
      <c r="P48" s="56"/>
      <c r="Q48" s="56"/>
      <c r="R48" s="58"/>
      <c r="S48" s="56"/>
      <c r="T48" s="56"/>
      <c r="U48" s="59"/>
    </row>
    <row r="49" spans="1:21" s="1" customFormat="1" ht="12.75" x14ac:dyDescent="0.2">
      <c r="A49" s="95" t="s">
        <v>86</v>
      </c>
      <c r="B49" s="10">
        <v>24</v>
      </c>
      <c r="C49" s="10">
        <v>2</v>
      </c>
      <c r="D49" s="10">
        <f t="shared" ref="D49" si="62">B49*C49</f>
        <v>48</v>
      </c>
      <c r="E49" s="10">
        <v>34</v>
      </c>
      <c r="F49" s="10">
        <f t="shared" ref="F49" si="63">D49*E49</f>
        <v>1632</v>
      </c>
      <c r="G49" s="68">
        <f t="shared" ref="G49" si="64">F49*0.05</f>
        <v>81.600000000000009</v>
      </c>
      <c r="H49" s="10">
        <f t="shared" ref="H49" si="65">F49*0.1</f>
        <v>163.20000000000002</v>
      </c>
      <c r="I49" s="50">
        <f>F49*$L$6+G49*$L$5+H49*$L$7</f>
        <v>236655.50399999999</v>
      </c>
      <c r="J49" s="3"/>
      <c r="L49" s="3"/>
      <c r="M49" s="55"/>
      <c r="N49" s="56"/>
      <c r="O49" s="56"/>
      <c r="P49" s="56"/>
      <c r="Q49" s="56"/>
      <c r="R49" s="58"/>
      <c r="S49" s="56"/>
      <c r="T49" s="56"/>
      <c r="U49" s="59"/>
    </row>
    <row r="50" spans="1:21" s="1" customFormat="1" ht="12.75" x14ac:dyDescent="0.2">
      <c r="A50" s="95" t="s">
        <v>87</v>
      </c>
      <c r="B50" s="10">
        <v>16</v>
      </c>
      <c r="C50" s="10">
        <v>2</v>
      </c>
      <c r="D50" s="10">
        <f t="shared" ref="D50" si="66">B50*C50</f>
        <v>32</v>
      </c>
      <c r="E50" s="10">
        <v>34</v>
      </c>
      <c r="F50" s="10">
        <f t="shared" ref="F50" si="67">D50*E50</f>
        <v>1088</v>
      </c>
      <c r="G50" s="68">
        <f t="shared" ref="G50" si="68">F50*0.05</f>
        <v>54.400000000000006</v>
      </c>
      <c r="H50" s="10">
        <f t="shared" ref="H50" si="69">F50*0.1</f>
        <v>108.80000000000001</v>
      </c>
      <c r="I50" s="50">
        <f>F50*$L$6+G50*$L$5+H50*$L$7</f>
        <v>157770.33600000001</v>
      </c>
      <c r="J50" s="3"/>
      <c r="L50" s="3"/>
      <c r="M50" s="55"/>
      <c r="N50" s="56"/>
      <c r="O50" s="56"/>
      <c r="P50" s="56"/>
      <c r="Q50" s="56"/>
      <c r="R50" s="58"/>
      <c r="S50" s="56"/>
      <c r="T50" s="56"/>
      <c r="U50" s="59"/>
    </row>
    <row r="51" spans="1:21" s="1" customFormat="1" ht="15.75" x14ac:dyDescent="0.2">
      <c r="A51" s="94" t="s">
        <v>149</v>
      </c>
      <c r="B51" s="10"/>
      <c r="C51" s="10"/>
      <c r="D51" s="10"/>
      <c r="E51" s="10"/>
      <c r="F51" s="10"/>
      <c r="G51" s="68"/>
      <c r="H51" s="10"/>
      <c r="I51" s="11"/>
      <c r="L51" s="3"/>
      <c r="M51" s="55"/>
      <c r="N51" s="56"/>
      <c r="O51" s="56"/>
      <c r="P51" s="56"/>
      <c r="Q51" s="56"/>
      <c r="R51" s="58"/>
      <c r="S51" s="56"/>
      <c r="T51" s="56"/>
      <c r="U51" s="59"/>
    </row>
    <row r="52" spans="1:21" s="1" customFormat="1" ht="12.75" x14ac:dyDescent="0.2">
      <c r="A52" s="98" t="s">
        <v>88</v>
      </c>
      <c r="B52" s="10">
        <v>8.3000000000000004E-2</v>
      </c>
      <c r="C52" s="10">
        <v>365</v>
      </c>
      <c r="D52" s="71">
        <f t="shared" ref="D52" si="70">B52*C52</f>
        <v>30.295000000000002</v>
      </c>
      <c r="E52" s="10">
        <v>31</v>
      </c>
      <c r="F52" s="10">
        <f t="shared" ref="F52" si="71">D52*E52</f>
        <v>939.1450000000001</v>
      </c>
      <c r="G52" s="68">
        <f t="shared" ref="G52" si="72">F52*0.05</f>
        <v>46.957250000000009</v>
      </c>
      <c r="H52" s="10">
        <f t="shared" ref="H52" si="73">F52*0.1</f>
        <v>93.914500000000018</v>
      </c>
      <c r="I52" s="50">
        <f t="shared" ref="I52:I61" si="74">F52*$L$6+G52*$L$5+H52*$L$7</f>
        <v>136184.94687750001</v>
      </c>
      <c r="J52" s="3"/>
      <c r="L52" s="3"/>
      <c r="M52" s="55"/>
      <c r="N52" s="56"/>
      <c r="O52" s="56"/>
      <c r="P52" s="56"/>
      <c r="Q52" s="56"/>
      <c r="R52" s="58"/>
      <c r="S52" s="56"/>
      <c r="T52" s="56"/>
      <c r="U52" s="59"/>
    </row>
    <row r="53" spans="1:21" s="1" customFormat="1" ht="12.75" x14ac:dyDescent="0.2">
      <c r="A53" s="98" t="s">
        <v>89</v>
      </c>
      <c r="B53" s="10">
        <v>2</v>
      </c>
      <c r="C53" s="10">
        <v>10</v>
      </c>
      <c r="D53" s="71">
        <f t="shared" ref="D53" si="75">B53*C53</f>
        <v>20</v>
      </c>
      <c r="E53" s="10">
        <v>31</v>
      </c>
      <c r="F53" s="10">
        <f t="shared" ref="F53" si="76">D53*E53</f>
        <v>620</v>
      </c>
      <c r="G53" s="68">
        <f t="shared" ref="G53" si="77">F53*0.05</f>
        <v>31</v>
      </c>
      <c r="H53" s="10">
        <f t="shared" ref="H53" si="78">F53*0.1</f>
        <v>62</v>
      </c>
      <c r="I53" s="50">
        <f t="shared" si="74"/>
        <v>89905.890000000014</v>
      </c>
      <c r="J53" s="3"/>
      <c r="L53" s="3"/>
      <c r="M53" s="55"/>
      <c r="N53" s="56"/>
      <c r="O53" s="56"/>
      <c r="P53" s="56"/>
      <c r="Q53" s="56"/>
      <c r="R53" s="58"/>
      <c r="S53" s="56"/>
      <c r="T53" s="56"/>
      <c r="U53" s="59"/>
    </row>
    <row r="54" spans="1:21" s="1" customFormat="1" ht="12.75" x14ac:dyDescent="0.2">
      <c r="A54" s="98" t="s">
        <v>90</v>
      </c>
      <c r="B54" s="10">
        <v>0.4</v>
      </c>
      <c r="C54" s="10">
        <v>365</v>
      </c>
      <c r="D54" s="71">
        <f t="shared" ref="D54" si="79">B54*C54</f>
        <v>146</v>
      </c>
      <c r="E54" s="10">
        <v>31</v>
      </c>
      <c r="F54" s="10">
        <f t="shared" ref="F54" si="80">D54*E54</f>
        <v>4526</v>
      </c>
      <c r="G54" s="68">
        <f t="shared" ref="G54" si="81">F54*0.05</f>
        <v>226.3</v>
      </c>
      <c r="H54" s="10">
        <f t="shared" ref="H54" si="82">F54*0.1</f>
        <v>452.6</v>
      </c>
      <c r="I54" s="50">
        <f t="shared" si="74"/>
        <v>656312.99700000009</v>
      </c>
      <c r="J54" s="3"/>
      <c r="L54" s="3"/>
      <c r="M54" s="55"/>
      <c r="N54" s="56"/>
      <c r="O54" s="56"/>
      <c r="P54" s="56"/>
      <c r="Q54" s="56"/>
      <c r="R54" s="58"/>
      <c r="S54" s="56"/>
      <c r="T54" s="56"/>
      <c r="U54" s="59"/>
    </row>
    <row r="55" spans="1:21" s="1" customFormat="1" ht="12.75" x14ac:dyDescent="0.2">
      <c r="A55" s="98" t="s">
        <v>91</v>
      </c>
      <c r="B55" s="10">
        <v>10</v>
      </c>
      <c r="C55" s="10">
        <v>1</v>
      </c>
      <c r="D55" s="71">
        <f t="shared" ref="D55" si="83">B55*C55</f>
        <v>10</v>
      </c>
      <c r="E55" s="10">
        <v>21</v>
      </c>
      <c r="F55" s="10">
        <f t="shared" ref="F55" si="84">D55*E55</f>
        <v>210</v>
      </c>
      <c r="G55" s="68">
        <f t="shared" ref="G55" si="85">F55*0.05</f>
        <v>10.5</v>
      </c>
      <c r="H55" s="10">
        <f t="shared" ref="H55" si="86">F55*0.1</f>
        <v>21</v>
      </c>
      <c r="I55" s="50">
        <f t="shared" si="74"/>
        <v>30451.994999999999</v>
      </c>
      <c r="J55" s="3"/>
      <c r="L55" s="3"/>
      <c r="M55" s="55"/>
      <c r="N55" s="56"/>
      <c r="O55" s="56"/>
      <c r="P55" s="56"/>
      <c r="Q55" s="56"/>
      <c r="R55" s="58"/>
      <c r="S55" s="56"/>
      <c r="T55" s="56"/>
      <c r="U55" s="59"/>
    </row>
    <row r="56" spans="1:21" s="1" customFormat="1" ht="12.75" x14ac:dyDescent="0.2">
      <c r="A56" s="98" t="s">
        <v>92</v>
      </c>
      <c r="B56" s="10">
        <v>0</v>
      </c>
      <c r="C56" s="10">
        <v>1</v>
      </c>
      <c r="D56" s="71">
        <f t="shared" ref="D56" si="87">B56*C56</f>
        <v>0</v>
      </c>
      <c r="E56" s="10">
        <v>31</v>
      </c>
      <c r="F56" s="10">
        <f t="shared" ref="F56" si="88">D56*E56</f>
        <v>0</v>
      </c>
      <c r="G56" s="71">
        <f t="shared" ref="G56" si="89">F56*0.05</f>
        <v>0</v>
      </c>
      <c r="H56" s="10">
        <f t="shared" ref="H56" si="90">F56*0.1</f>
        <v>0</v>
      </c>
      <c r="I56" s="50">
        <f t="shared" si="74"/>
        <v>0</v>
      </c>
      <c r="J56" s="3"/>
      <c r="L56" s="3"/>
      <c r="M56" s="55"/>
      <c r="N56" s="56"/>
      <c r="O56" s="56"/>
      <c r="P56" s="56"/>
      <c r="Q56" s="56"/>
      <c r="R56" s="58"/>
      <c r="S56" s="56"/>
      <c r="T56" s="56"/>
      <c r="U56" s="59"/>
    </row>
    <row r="57" spans="1:21" s="1" customFormat="1" ht="12.75" x14ac:dyDescent="0.2">
      <c r="A57" s="98" t="s">
        <v>93</v>
      </c>
      <c r="B57" s="10">
        <v>25</v>
      </c>
      <c r="C57" s="10">
        <v>1</v>
      </c>
      <c r="D57" s="71">
        <f t="shared" ref="D57" si="91">B57*C57</f>
        <v>25</v>
      </c>
      <c r="E57" s="10">
        <v>31</v>
      </c>
      <c r="F57" s="10">
        <f t="shared" ref="F57" si="92">D57*E57</f>
        <v>775</v>
      </c>
      <c r="G57" s="71">
        <f t="shared" ref="G57" si="93">F57*0.05</f>
        <v>38.75</v>
      </c>
      <c r="H57" s="10">
        <f t="shared" ref="H57" si="94">F57*0.1</f>
        <v>77.5</v>
      </c>
      <c r="I57" s="50">
        <f t="shared" si="74"/>
        <v>112382.36249999999</v>
      </c>
      <c r="J57" s="3"/>
      <c r="L57" s="3"/>
      <c r="M57" s="55"/>
      <c r="N57" s="56"/>
      <c r="O57" s="56"/>
      <c r="P57" s="56"/>
      <c r="Q57" s="56"/>
      <c r="R57" s="58"/>
      <c r="S57" s="56"/>
      <c r="T57" s="56"/>
      <c r="U57" s="59"/>
    </row>
    <row r="58" spans="1:21" s="1" customFormat="1" ht="15.75" x14ac:dyDescent="0.2">
      <c r="A58" s="98" t="s">
        <v>153</v>
      </c>
      <c r="B58" s="10">
        <v>0</v>
      </c>
      <c r="C58" s="10">
        <v>1</v>
      </c>
      <c r="D58" s="71">
        <f t="shared" ref="D58" si="95">B58*C58</f>
        <v>0</v>
      </c>
      <c r="E58" s="10">
        <v>0</v>
      </c>
      <c r="F58" s="10">
        <f t="shared" ref="F58" si="96">D58*E58</f>
        <v>0</v>
      </c>
      <c r="G58" s="71">
        <f t="shared" ref="G58" si="97">F58*0.05</f>
        <v>0</v>
      </c>
      <c r="H58" s="10">
        <f t="shared" ref="H58" si="98">F58*0.1</f>
        <v>0</v>
      </c>
      <c r="I58" s="50">
        <f t="shared" si="74"/>
        <v>0</v>
      </c>
      <c r="J58" s="3"/>
      <c r="L58" s="3"/>
      <c r="M58" s="55"/>
      <c r="N58" s="56"/>
      <c r="O58" s="56"/>
      <c r="P58" s="56"/>
      <c r="Q58" s="56"/>
      <c r="R58" s="58"/>
      <c r="S58" s="56"/>
      <c r="T58" s="56"/>
      <c r="U58" s="59"/>
    </row>
    <row r="59" spans="1:21" s="1" customFormat="1" ht="15.75" x14ac:dyDescent="0.2">
      <c r="A59" s="98" t="s">
        <v>155</v>
      </c>
      <c r="B59" s="10">
        <v>75</v>
      </c>
      <c r="C59" s="10">
        <v>3</v>
      </c>
      <c r="D59" s="71">
        <f t="shared" ref="D59" si="99">B59*C59</f>
        <v>225</v>
      </c>
      <c r="E59" s="10">
        <v>0</v>
      </c>
      <c r="F59" s="10">
        <f t="shared" ref="F59" si="100">D59*E59</f>
        <v>0</v>
      </c>
      <c r="G59" s="71">
        <f t="shared" ref="G59" si="101">F59*0.05</f>
        <v>0</v>
      </c>
      <c r="H59" s="10">
        <f t="shared" ref="H59" si="102">F59*0.1</f>
        <v>0</v>
      </c>
      <c r="I59" s="50">
        <f t="shared" si="74"/>
        <v>0</v>
      </c>
      <c r="J59" s="3"/>
      <c r="L59" s="3"/>
      <c r="M59" s="55"/>
      <c r="N59" s="56"/>
      <c r="O59" s="56"/>
      <c r="P59" s="56"/>
      <c r="Q59" s="56"/>
      <c r="R59" s="58"/>
      <c r="S59" s="56"/>
      <c r="T59" s="56"/>
      <c r="U59" s="59"/>
    </row>
    <row r="60" spans="1:21" s="1" customFormat="1" ht="12.75" x14ac:dyDescent="0.2">
      <c r="A60" s="98" t="s">
        <v>94</v>
      </c>
      <c r="B60" s="10">
        <v>3</v>
      </c>
      <c r="C60" s="10">
        <v>1</v>
      </c>
      <c r="D60" s="71">
        <f t="shared" ref="D60" si="103">B60*C60</f>
        <v>3</v>
      </c>
      <c r="E60" s="10">
        <v>2</v>
      </c>
      <c r="F60" s="10">
        <f t="shared" ref="F60" si="104">D60*E60</f>
        <v>6</v>
      </c>
      <c r="G60" s="71">
        <f t="shared" ref="G60" si="105">F60*0.05</f>
        <v>0.30000000000000004</v>
      </c>
      <c r="H60" s="10">
        <f t="shared" ref="H60" si="106">F60*0.1</f>
        <v>0.60000000000000009</v>
      </c>
      <c r="I60" s="50">
        <f t="shared" si="74"/>
        <v>870.05700000000013</v>
      </c>
      <c r="J60" s="3"/>
      <c r="L60" s="3"/>
      <c r="M60" s="55"/>
      <c r="N60" s="56"/>
      <c r="O60" s="56"/>
      <c r="P60" s="56"/>
      <c r="Q60" s="56"/>
      <c r="R60" s="58"/>
      <c r="S60" s="56"/>
      <c r="T60" s="56"/>
      <c r="U60" s="59"/>
    </row>
    <row r="61" spans="1:21" s="1" customFormat="1" ht="15.75" x14ac:dyDescent="0.2">
      <c r="A61" s="94" t="s">
        <v>150</v>
      </c>
      <c r="B61" s="10">
        <v>20</v>
      </c>
      <c r="C61" s="10">
        <v>1</v>
      </c>
      <c r="D61" s="71">
        <f t="shared" ref="D61" si="107">B61*C61</f>
        <v>20</v>
      </c>
      <c r="E61" s="10">
        <v>31</v>
      </c>
      <c r="F61" s="10">
        <f t="shared" ref="F61" si="108">D61*E61</f>
        <v>620</v>
      </c>
      <c r="G61" s="71">
        <f t="shared" ref="G61" si="109">F61*0.05</f>
        <v>31</v>
      </c>
      <c r="H61" s="10">
        <f t="shared" ref="H61" si="110">F61*0.1</f>
        <v>62</v>
      </c>
      <c r="I61" s="50">
        <f t="shared" si="74"/>
        <v>89905.890000000014</v>
      </c>
      <c r="J61" s="3"/>
      <c r="L61" s="3"/>
      <c r="M61" s="55"/>
      <c r="N61" s="56"/>
      <c r="O61" s="56"/>
      <c r="P61" s="56"/>
      <c r="Q61" s="56"/>
      <c r="R61" s="58"/>
      <c r="S61" s="56"/>
      <c r="T61" s="56"/>
      <c r="U61" s="59"/>
    </row>
    <row r="62" spans="1:21" s="1" customFormat="1" ht="12.75" x14ac:dyDescent="0.2">
      <c r="A62" s="94" t="s">
        <v>95</v>
      </c>
      <c r="B62" s="10" t="s">
        <v>96</v>
      </c>
      <c r="C62" s="10"/>
      <c r="D62" s="10"/>
      <c r="E62" s="10"/>
      <c r="F62" s="10"/>
      <c r="G62" s="68"/>
      <c r="H62" s="10"/>
      <c r="I62" s="11"/>
      <c r="J62" s="15"/>
      <c r="L62" s="3"/>
      <c r="M62" s="55"/>
      <c r="N62" s="56"/>
      <c r="O62" s="56"/>
      <c r="P62" s="56"/>
      <c r="Q62" s="56"/>
      <c r="R62" s="58"/>
      <c r="S62" s="56"/>
      <c r="T62" s="56"/>
      <c r="U62" s="59"/>
    </row>
    <row r="63" spans="1:21" s="1" customFormat="1" ht="13.5" x14ac:dyDescent="0.25">
      <c r="A63" s="67" t="s">
        <v>20</v>
      </c>
      <c r="B63" s="120"/>
      <c r="C63" s="121"/>
      <c r="D63" s="121"/>
      <c r="E63" s="122"/>
      <c r="F63" s="126">
        <f>SUM(F41:H62)</f>
        <v>26519.166749999997</v>
      </c>
      <c r="G63" s="127"/>
      <c r="H63" s="128"/>
      <c r="I63" s="12">
        <f>SUM(I41:I62)</f>
        <v>3343940.0963775003</v>
      </c>
      <c r="J63" s="16"/>
      <c r="K63" s="49">
        <f>F64/Responses!E23</f>
        <v>70.647603027754414</v>
      </c>
      <c r="L63" s="49" t="s">
        <v>21</v>
      </c>
      <c r="M63" s="55"/>
      <c r="N63" s="56"/>
      <c r="O63" s="56"/>
      <c r="P63" s="56"/>
      <c r="Q63" s="56"/>
      <c r="R63" s="56"/>
      <c r="S63" s="56"/>
      <c r="T63" s="56"/>
      <c r="U63" s="59"/>
    </row>
    <row r="64" spans="1:21" s="1" customFormat="1" ht="17.45" customHeight="1" x14ac:dyDescent="0.25">
      <c r="A64" s="51" t="s">
        <v>157</v>
      </c>
      <c r="B64" s="123"/>
      <c r="C64" s="124"/>
      <c r="D64" s="124"/>
      <c r="E64" s="125"/>
      <c r="F64" s="126">
        <f>ROUND(SUM(F40,F63), -2)</f>
        <v>29400</v>
      </c>
      <c r="G64" s="127"/>
      <c r="H64" s="128"/>
      <c r="I64" s="12">
        <f>ROUND(SUM(I63,I40), -4)</f>
        <v>3710000</v>
      </c>
      <c r="J64" s="16"/>
      <c r="K64" s="15"/>
      <c r="L64" s="3"/>
      <c r="M64" s="55"/>
      <c r="N64" s="56"/>
      <c r="O64" s="56"/>
      <c r="P64" s="56"/>
      <c r="Q64" s="56"/>
      <c r="R64" s="56"/>
      <c r="S64" s="56"/>
      <c r="T64" s="56"/>
      <c r="U64" s="59"/>
    </row>
    <row r="65" spans="1:21" s="1" customFormat="1" ht="15" customHeight="1" x14ac:dyDescent="0.25">
      <c r="A65" s="51" t="s">
        <v>158</v>
      </c>
      <c r="B65" s="123"/>
      <c r="C65" s="124"/>
      <c r="D65" s="124"/>
      <c r="E65" s="124"/>
      <c r="F65" s="124"/>
      <c r="G65" s="124"/>
      <c r="H65" s="125"/>
      <c r="I65" s="88">
        <f>ROUND('Capital O&amp;M'!G9+'Capital O&amp;M'!D9,-3)</f>
        <v>11400000</v>
      </c>
      <c r="J65" s="3"/>
      <c r="M65" s="62"/>
      <c r="N65" s="62"/>
      <c r="O65" s="62"/>
      <c r="P65" s="62"/>
      <c r="Q65" s="62"/>
      <c r="R65" s="63"/>
      <c r="S65" s="63"/>
      <c r="T65" s="63"/>
      <c r="U65" s="64"/>
    </row>
    <row r="66" spans="1:21" s="1" customFormat="1" ht="17.45" customHeight="1" x14ac:dyDescent="0.25">
      <c r="A66" s="51" t="s">
        <v>159</v>
      </c>
      <c r="B66" s="123"/>
      <c r="C66" s="124"/>
      <c r="D66" s="124"/>
      <c r="E66" s="124"/>
      <c r="F66" s="124"/>
      <c r="G66" s="124"/>
      <c r="H66" s="125"/>
      <c r="I66" s="88">
        <f>ROUND(SUM(I64:I65), -5)</f>
        <v>15100000</v>
      </c>
      <c r="J66" s="3"/>
      <c r="M66" s="65"/>
      <c r="N66" s="65"/>
      <c r="O66" s="65"/>
      <c r="P66" s="65"/>
      <c r="Q66" s="65"/>
      <c r="R66" s="63"/>
      <c r="S66" s="63"/>
      <c r="T66" s="63"/>
      <c r="U66" s="64"/>
    </row>
    <row r="67" spans="1:21" s="1" customFormat="1" ht="13.5" x14ac:dyDescent="0.25">
      <c r="G67" s="46"/>
      <c r="I67" s="8"/>
      <c r="J67" s="3"/>
      <c r="M67" s="65"/>
      <c r="N67" s="65"/>
      <c r="O67" s="65"/>
      <c r="P67" s="65"/>
      <c r="Q67" s="65"/>
      <c r="R67" s="65"/>
      <c r="S67" s="65"/>
      <c r="T67" s="65"/>
      <c r="U67" s="64"/>
    </row>
    <row r="68" spans="1:21" s="1" customFormat="1" ht="13.5" x14ac:dyDescent="0.25">
      <c r="A68" s="47" t="s">
        <v>22</v>
      </c>
      <c r="I68" s="8"/>
      <c r="J68" s="3"/>
      <c r="M68" s="65"/>
      <c r="N68" s="65"/>
      <c r="O68" s="65"/>
      <c r="P68" s="65"/>
      <c r="Q68" s="65"/>
      <c r="R68" s="65"/>
      <c r="S68" s="65"/>
      <c r="T68" s="65"/>
      <c r="U68" s="64"/>
    </row>
    <row r="69" spans="1:21" s="1" customFormat="1" ht="69.75" customHeight="1" x14ac:dyDescent="0.2">
      <c r="A69" s="116" t="s">
        <v>202</v>
      </c>
      <c r="B69" s="116"/>
      <c r="C69" s="116"/>
      <c r="D69" s="116"/>
      <c r="E69" s="116"/>
      <c r="F69" s="116"/>
      <c r="G69" s="116"/>
      <c r="H69" s="116"/>
      <c r="I69" s="116"/>
      <c r="J69" s="3"/>
      <c r="M69" s="32"/>
      <c r="N69" s="32"/>
      <c r="O69" s="32"/>
      <c r="P69" s="32"/>
      <c r="Q69" s="32"/>
      <c r="R69" s="32"/>
      <c r="S69" s="32"/>
      <c r="T69" s="32"/>
      <c r="U69" s="32"/>
    </row>
    <row r="70" spans="1:21" s="1" customFormat="1" ht="60" customHeight="1" x14ac:dyDescent="0.2">
      <c r="A70" s="118" t="s">
        <v>203</v>
      </c>
      <c r="B70" s="119"/>
      <c r="C70" s="119"/>
      <c r="D70" s="119"/>
      <c r="E70" s="119"/>
      <c r="F70" s="119"/>
      <c r="G70" s="119"/>
      <c r="H70" s="119"/>
      <c r="I70" s="119"/>
      <c r="J70" s="3"/>
      <c r="M70" s="32"/>
      <c r="N70" s="32"/>
      <c r="O70" s="32"/>
      <c r="P70" s="32"/>
      <c r="Q70" s="32"/>
      <c r="R70" s="32"/>
      <c r="S70" s="32"/>
      <c r="T70" s="32"/>
      <c r="U70" s="32"/>
    </row>
    <row r="71" spans="1:21" s="1" customFormat="1" ht="18.600000000000001" customHeight="1" x14ac:dyDescent="0.2">
      <c r="A71" s="114" t="s">
        <v>99</v>
      </c>
      <c r="B71" s="114"/>
      <c r="C71" s="114"/>
      <c r="D71" s="114"/>
      <c r="E71" s="114"/>
      <c r="F71" s="114"/>
      <c r="G71" s="114"/>
      <c r="H71" s="114"/>
      <c r="I71" s="114"/>
      <c r="J71" s="9"/>
      <c r="M71" s="32"/>
      <c r="N71" s="32"/>
      <c r="O71" s="32"/>
      <c r="P71" s="32"/>
      <c r="Q71" s="32"/>
      <c r="R71" s="32"/>
      <c r="S71" s="32"/>
      <c r="T71" s="32"/>
      <c r="U71" s="32"/>
    </row>
    <row r="72" spans="1:21" s="1" customFormat="1" ht="18.600000000000001" customHeight="1" x14ac:dyDescent="0.2">
      <c r="A72" s="114" t="s">
        <v>176</v>
      </c>
      <c r="B72" s="114"/>
      <c r="C72" s="114"/>
      <c r="D72" s="114"/>
      <c r="E72" s="114"/>
      <c r="F72" s="114"/>
      <c r="G72" s="114"/>
      <c r="H72" s="114"/>
      <c r="I72" s="114"/>
      <c r="J72" s="9"/>
      <c r="M72" s="32"/>
      <c r="N72" s="32"/>
      <c r="O72" s="32"/>
      <c r="P72" s="32"/>
      <c r="Q72" s="32"/>
      <c r="R72" s="32"/>
      <c r="S72" s="32"/>
      <c r="T72" s="32"/>
      <c r="U72" s="32"/>
    </row>
    <row r="73" spans="1:21" s="1" customFormat="1" ht="18.600000000000001" customHeight="1" x14ac:dyDescent="0.2">
      <c r="A73" s="115" t="s">
        <v>142</v>
      </c>
      <c r="B73" s="115"/>
      <c r="C73" s="115"/>
      <c r="D73" s="115"/>
      <c r="E73" s="115"/>
      <c r="F73" s="115"/>
      <c r="G73" s="115"/>
      <c r="H73" s="115"/>
      <c r="I73" s="115"/>
      <c r="J73" s="3"/>
      <c r="M73" s="32"/>
      <c r="N73" s="32"/>
      <c r="O73" s="32"/>
      <c r="P73" s="32"/>
      <c r="Q73" s="32"/>
      <c r="R73" s="32"/>
      <c r="S73" s="32"/>
      <c r="T73" s="32"/>
      <c r="U73" s="32"/>
    </row>
    <row r="74" spans="1:21" s="1" customFormat="1" ht="31.9" customHeight="1" x14ac:dyDescent="0.2">
      <c r="A74" s="114" t="s">
        <v>162</v>
      </c>
      <c r="B74" s="114"/>
      <c r="C74" s="114"/>
      <c r="D74" s="114"/>
      <c r="E74" s="114"/>
      <c r="F74" s="114"/>
      <c r="G74" s="114"/>
      <c r="H74" s="114"/>
      <c r="I74" s="114"/>
      <c r="M74" s="32"/>
      <c r="N74" s="32"/>
      <c r="O74" s="32"/>
      <c r="P74" s="32"/>
      <c r="Q74" s="32"/>
      <c r="R74" s="32"/>
      <c r="S74" s="32"/>
      <c r="T74" s="32"/>
      <c r="U74" s="32"/>
    </row>
    <row r="75" spans="1:21" s="1" customFormat="1" ht="19.149999999999999" customHeight="1" x14ac:dyDescent="0.2">
      <c r="A75" s="114" t="s">
        <v>171</v>
      </c>
      <c r="B75" s="114"/>
      <c r="C75" s="114"/>
      <c r="D75" s="114"/>
      <c r="E75" s="114"/>
      <c r="F75" s="114"/>
      <c r="G75" s="114"/>
      <c r="H75" s="114"/>
      <c r="I75" s="114"/>
      <c r="M75" s="32"/>
      <c r="N75" s="32"/>
      <c r="O75" s="32"/>
      <c r="P75" s="32"/>
      <c r="Q75" s="32"/>
      <c r="R75" s="32"/>
      <c r="S75" s="32"/>
      <c r="T75" s="32"/>
      <c r="U75" s="32"/>
    </row>
    <row r="76" spans="1:21" s="1" customFormat="1" ht="20.45" customHeight="1" x14ac:dyDescent="0.2">
      <c r="A76" s="115" t="s">
        <v>172</v>
      </c>
      <c r="B76" s="115"/>
      <c r="C76" s="115"/>
      <c r="D76" s="115"/>
      <c r="E76" s="115"/>
      <c r="F76" s="115"/>
      <c r="G76" s="115"/>
      <c r="H76" s="115"/>
      <c r="I76" s="115"/>
      <c r="M76" s="66"/>
      <c r="N76" s="66"/>
      <c r="O76" s="66"/>
      <c r="P76" s="66"/>
      <c r="Q76" s="66"/>
      <c r="R76" s="66"/>
      <c r="S76" s="66"/>
      <c r="T76" s="66"/>
      <c r="U76" s="66"/>
    </row>
    <row r="77" spans="1:21" s="1" customFormat="1" ht="32.450000000000003" customHeight="1" x14ac:dyDescent="0.2">
      <c r="A77" s="115" t="s">
        <v>173</v>
      </c>
      <c r="B77" s="115"/>
      <c r="C77" s="115"/>
      <c r="D77" s="115"/>
      <c r="E77" s="115"/>
      <c r="F77" s="115"/>
      <c r="G77" s="115"/>
      <c r="H77" s="115"/>
      <c r="I77" s="115"/>
      <c r="M77" s="32"/>
      <c r="N77" s="32"/>
      <c r="O77" s="32"/>
      <c r="P77" s="32"/>
      <c r="Q77" s="32"/>
      <c r="R77" s="32"/>
      <c r="S77" s="32"/>
      <c r="T77" s="32"/>
      <c r="U77" s="32"/>
    </row>
    <row r="78" spans="1:21" s="1" customFormat="1" ht="19.149999999999999" customHeight="1" x14ac:dyDescent="0.2">
      <c r="A78" s="115" t="s">
        <v>151</v>
      </c>
      <c r="B78" s="115"/>
      <c r="C78" s="115"/>
      <c r="D78" s="115"/>
      <c r="E78" s="115"/>
      <c r="F78" s="115"/>
      <c r="G78" s="115"/>
      <c r="H78" s="115"/>
      <c r="I78" s="115"/>
      <c r="M78" s="32"/>
      <c r="N78" s="32"/>
      <c r="O78" s="32"/>
      <c r="P78" s="32"/>
      <c r="Q78" s="32"/>
      <c r="R78" s="32"/>
      <c r="S78" s="32"/>
      <c r="T78" s="32"/>
      <c r="U78" s="32"/>
    </row>
    <row r="79" spans="1:21" s="1" customFormat="1" ht="19.899999999999999" customHeight="1" x14ac:dyDescent="0.2">
      <c r="A79" s="114" t="s">
        <v>154</v>
      </c>
      <c r="B79" s="114"/>
      <c r="C79" s="114"/>
      <c r="D79" s="114"/>
      <c r="E79" s="114"/>
      <c r="F79" s="114"/>
      <c r="G79" s="114"/>
      <c r="H79" s="114"/>
      <c r="I79" s="114"/>
      <c r="M79" s="32"/>
      <c r="N79" s="32"/>
      <c r="O79" s="32"/>
      <c r="P79" s="32"/>
      <c r="Q79" s="32"/>
      <c r="R79" s="32"/>
      <c r="S79" s="32"/>
      <c r="T79" s="32"/>
      <c r="U79" s="32"/>
    </row>
    <row r="80" spans="1:21" ht="19.899999999999999" customHeight="1" x14ac:dyDescent="0.25">
      <c r="A80" s="114" t="s">
        <v>156</v>
      </c>
      <c r="B80" s="114"/>
      <c r="C80" s="114"/>
      <c r="D80" s="114"/>
      <c r="E80" s="114"/>
      <c r="F80" s="114"/>
      <c r="G80" s="114"/>
      <c r="H80" s="114"/>
      <c r="I80" s="114"/>
    </row>
    <row r="85" spans="1:3" ht="15.75" x14ac:dyDescent="0.25">
      <c r="A85" s="74"/>
      <c r="B85" s="74"/>
      <c r="C85" s="74"/>
    </row>
    <row r="86" spans="1:3" ht="15.75" x14ac:dyDescent="0.25">
      <c r="A86" s="74"/>
      <c r="B86" s="74"/>
      <c r="C86" s="74"/>
    </row>
    <row r="87" spans="1:3" ht="15.75" x14ac:dyDescent="0.25">
      <c r="A87" s="74"/>
      <c r="B87" s="74"/>
      <c r="C87" s="74"/>
    </row>
    <row r="88" spans="1:3" ht="15.75" x14ac:dyDescent="0.25">
      <c r="A88" s="75"/>
      <c r="B88" s="75"/>
      <c r="C88" s="75"/>
    </row>
    <row r="89" spans="1:3" ht="15.75" x14ac:dyDescent="0.25">
      <c r="A89" s="74"/>
      <c r="B89" s="74"/>
      <c r="C89" s="74"/>
    </row>
    <row r="90" spans="1:3" ht="15.75" x14ac:dyDescent="0.25">
      <c r="A90" s="74"/>
      <c r="B90" s="74"/>
      <c r="C90" s="74"/>
    </row>
    <row r="91" spans="1:3" ht="15.75" x14ac:dyDescent="0.25">
      <c r="A91" s="75"/>
      <c r="B91" s="75"/>
      <c r="C91" s="75"/>
    </row>
    <row r="92" spans="1:3" ht="15.75" x14ac:dyDescent="0.25">
      <c r="A92" s="75"/>
      <c r="B92" s="75"/>
      <c r="C92" s="75"/>
    </row>
    <row r="93" spans="1:3" ht="15.75" customHeight="1" x14ac:dyDescent="0.25">
      <c r="A93" s="74"/>
      <c r="B93" s="74"/>
      <c r="C93" s="74"/>
    </row>
    <row r="94" spans="1:3" ht="15" customHeight="1" x14ac:dyDescent="0.25">
      <c r="A94" s="74"/>
      <c r="B94" s="74"/>
      <c r="C94" s="74"/>
    </row>
    <row r="95" spans="1:3" ht="15.75" x14ac:dyDescent="0.25">
      <c r="A95" s="74"/>
      <c r="B95" s="74"/>
      <c r="C95" s="74"/>
    </row>
    <row r="96" spans="1:3" ht="15.75" x14ac:dyDescent="0.25">
      <c r="A96" s="75"/>
      <c r="B96" s="75"/>
      <c r="C96" s="75"/>
    </row>
    <row r="97" spans="1:3" ht="15.75" x14ac:dyDescent="0.25">
      <c r="A97" s="75"/>
      <c r="B97" s="74"/>
      <c r="C97" s="74"/>
    </row>
    <row r="98" spans="1:3" ht="15.75" x14ac:dyDescent="0.25">
      <c r="A98" s="74"/>
      <c r="B98" s="74"/>
      <c r="C98" s="74"/>
    </row>
    <row r="99" spans="1:3" ht="15.75" x14ac:dyDescent="0.25">
      <c r="A99" s="75"/>
      <c r="B99" s="74"/>
      <c r="C99" s="74"/>
    </row>
  </sheetData>
  <sortState xmlns:xlrd2="http://schemas.microsoft.com/office/spreadsheetml/2017/richdata2" ref="A84:C99">
    <sortCondition ref="C84:C99"/>
  </sortState>
  <mergeCells count="20">
    <mergeCell ref="A69:I69"/>
    <mergeCell ref="K4:L4"/>
    <mergeCell ref="A70:I70"/>
    <mergeCell ref="B63:E63"/>
    <mergeCell ref="B64:E64"/>
    <mergeCell ref="B65:H65"/>
    <mergeCell ref="B66:H66"/>
    <mergeCell ref="F63:H63"/>
    <mergeCell ref="F64:H64"/>
    <mergeCell ref="F40:H40"/>
    <mergeCell ref="A79:I79"/>
    <mergeCell ref="A80:I80"/>
    <mergeCell ref="A78:I78"/>
    <mergeCell ref="A77:I77"/>
    <mergeCell ref="A71:I71"/>
    <mergeCell ref="A73:I73"/>
    <mergeCell ref="A74:I74"/>
    <mergeCell ref="A75:I75"/>
    <mergeCell ref="A76:I76"/>
    <mergeCell ref="A72:I72"/>
  </mergeCells>
  <phoneticPr fontId="25"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56"/>
  <sheetViews>
    <sheetView topLeftCell="A23" workbookViewId="0">
      <selection activeCell="A2" sqref="A2"/>
    </sheetView>
  </sheetViews>
  <sheetFormatPr defaultRowHeight="15" x14ac:dyDescent="0.25"/>
  <cols>
    <col min="1" max="1" width="37.5703125" customWidth="1"/>
    <col min="2" max="9" width="11.7109375" customWidth="1"/>
    <col min="10" max="10" width="8.140625" customWidth="1"/>
    <col min="11" max="11" width="11.85546875" customWidth="1"/>
  </cols>
  <sheetData>
    <row r="1" spans="1:12" ht="15.75" x14ac:dyDescent="0.25">
      <c r="A1" s="40" t="s">
        <v>207</v>
      </c>
      <c r="B1" s="1"/>
      <c r="C1" s="1"/>
      <c r="D1" s="1"/>
      <c r="E1" s="1"/>
      <c r="F1" s="1"/>
      <c r="G1" s="1"/>
      <c r="H1" s="1"/>
      <c r="I1" s="1"/>
    </row>
    <row r="2" spans="1:12" x14ac:dyDescent="0.25">
      <c r="A2" s="1"/>
      <c r="B2" s="1"/>
      <c r="C2" s="1"/>
      <c r="D2" s="1"/>
      <c r="E2" s="1"/>
      <c r="F2" s="7"/>
      <c r="G2" s="7"/>
      <c r="H2" s="7"/>
      <c r="I2" s="7"/>
    </row>
    <row r="3" spans="1:12" ht="76.5" x14ac:dyDescent="0.25">
      <c r="A3" s="36" t="s">
        <v>23</v>
      </c>
      <c r="B3" s="85" t="s">
        <v>24</v>
      </c>
      <c r="C3" s="85" t="s">
        <v>25</v>
      </c>
      <c r="D3" s="85" t="s">
        <v>26</v>
      </c>
      <c r="E3" s="85" t="s">
        <v>27</v>
      </c>
      <c r="F3" s="85" t="s">
        <v>12</v>
      </c>
      <c r="G3" s="85" t="s">
        <v>28</v>
      </c>
      <c r="H3" s="85" t="s">
        <v>29</v>
      </c>
      <c r="I3" s="85" t="s">
        <v>30</v>
      </c>
      <c r="J3" s="1"/>
      <c r="K3" s="1"/>
      <c r="L3" s="1"/>
    </row>
    <row r="4" spans="1:12" x14ac:dyDescent="0.25">
      <c r="A4" s="104" t="s">
        <v>100</v>
      </c>
      <c r="B4" s="10"/>
      <c r="C4" s="10"/>
      <c r="D4" s="10"/>
      <c r="E4" s="10"/>
      <c r="F4" s="10"/>
      <c r="G4" s="10"/>
      <c r="H4" s="10"/>
      <c r="I4" s="11"/>
      <c r="J4" s="1"/>
      <c r="K4" s="117" t="s">
        <v>16</v>
      </c>
      <c r="L4" s="117"/>
    </row>
    <row r="5" spans="1:12" ht="16.5" x14ac:dyDescent="0.25">
      <c r="A5" s="105" t="s">
        <v>185</v>
      </c>
      <c r="B5" s="10">
        <v>5</v>
      </c>
      <c r="C5" s="10">
        <v>1</v>
      </c>
      <c r="D5" s="10">
        <f t="shared" ref="D5:D12" si="0">B5*C5</f>
        <v>5</v>
      </c>
      <c r="E5" s="10">
        <f>'Table 1'!E9</f>
        <v>0</v>
      </c>
      <c r="F5" s="10">
        <f t="shared" ref="F5:F12" si="1">D5*E5</f>
        <v>0</v>
      </c>
      <c r="G5" s="10">
        <f t="shared" ref="G5:G12" si="2">F5*0.05</f>
        <v>0</v>
      </c>
      <c r="H5" s="10">
        <f t="shared" ref="H5:H12" si="3">F5*0.1</f>
        <v>0</v>
      </c>
      <c r="I5" s="50">
        <f>F5*$L$6+G5*$L$5+H5*$L$7</f>
        <v>0</v>
      </c>
      <c r="J5" s="1"/>
      <c r="K5" s="14" t="s">
        <v>17</v>
      </c>
      <c r="L5" s="33">
        <v>73.459999999999994</v>
      </c>
    </row>
    <row r="6" spans="1:12" ht="16.5" x14ac:dyDescent="0.25">
      <c r="A6" s="105" t="s">
        <v>186</v>
      </c>
      <c r="B6" s="10">
        <v>5</v>
      </c>
      <c r="C6" s="10">
        <v>0.1</v>
      </c>
      <c r="D6" s="10">
        <f t="shared" si="0"/>
        <v>0.5</v>
      </c>
      <c r="E6" s="10">
        <f>'Table 1'!E10</f>
        <v>0</v>
      </c>
      <c r="F6" s="10">
        <f t="shared" si="1"/>
        <v>0</v>
      </c>
      <c r="G6" s="10">
        <f t="shared" si="2"/>
        <v>0</v>
      </c>
      <c r="H6" s="10">
        <f t="shared" si="3"/>
        <v>0</v>
      </c>
      <c r="I6" s="50">
        <f>F6*$L$6+G6*$L$5+H6*$L$7</f>
        <v>0</v>
      </c>
      <c r="J6" s="1"/>
      <c r="K6" s="14" t="s">
        <v>31</v>
      </c>
      <c r="L6" s="33">
        <v>54.51</v>
      </c>
    </row>
    <row r="7" spans="1:12" x14ac:dyDescent="0.25">
      <c r="A7" s="106" t="s">
        <v>101</v>
      </c>
      <c r="B7" s="10"/>
      <c r="C7" s="10"/>
      <c r="D7" s="10"/>
      <c r="E7" s="10"/>
      <c r="F7" s="10"/>
      <c r="G7" s="10"/>
      <c r="H7" s="10"/>
      <c r="I7" s="11"/>
      <c r="J7" s="1"/>
      <c r="K7" s="14" t="s">
        <v>19</v>
      </c>
      <c r="L7" s="33">
        <v>29.5</v>
      </c>
    </row>
    <row r="8" spans="1:12" x14ac:dyDescent="0.25">
      <c r="A8" s="106" t="s">
        <v>102</v>
      </c>
      <c r="B8" s="10"/>
      <c r="C8" s="10"/>
      <c r="D8" s="10"/>
      <c r="E8" s="10"/>
      <c r="F8" s="10"/>
      <c r="G8" s="10"/>
      <c r="H8" s="10"/>
      <c r="I8" s="11"/>
      <c r="J8" s="13"/>
      <c r="K8" s="13"/>
      <c r="L8" s="1"/>
    </row>
    <row r="9" spans="1:12" ht="19.5" customHeight="1" x14ac:dyDescent="0.25">
      <c r="A9" s="107" t="s">
        <v>187</v>
      </c>
      <c r="B9" s="10">
        <v>2</v>
      </c>
      <c r="C9" s="10">
        <v>1</v>
      </c>
      <c r="D9" s="10">
        <f t="shared" ref="D9" si="4">B9*C9</f>
        <v>2</v>
      </c>
      <c r="E9" s="71">
        <f>'Table 1'!E15</f>
        <v>0</v>
      </c>
      <c r="F9" s="10">
        <f t="shared" ref="F9" si="5">D9*E9</f>
        <v>0</v>
      </c>
      <c r="G9" s="10">
        <f t="shared" ref="G9" si="6">F9*0.05</f>
        <v>0</v>
      </c>
      <c r="H9" s="10">
        <f t="shared" ref="H9" si="7">F9*0.1</f>
        <v>0</v>
      </c>
      <c r="I9" s="50">
        <f t="shared" ref="I9:I18" si="8">F9*$L$6+G9*$L$5+H9*$L$7</f>
        <v>0</v>
      </c>
      <c r="J9" s="13"/>
      <c r="K9" s="13"/>
      <c r="L9" s="3"/>
    </row>
    <row r="10" spans="1:12" ht="29.25" x14ac:dyDescent="0.25">
      <c r="A10" s="108" t="s">
        <v>188</v>
      </c>
      <c r="B10" s="10">
        <v>2</v>
      </c>
      <c r="C10" s="10">
        <v>1</v>
      </c>
      <c r="D10" s="10">
        <f t="shared" si="0"/>
        <v>2</v>
      </c>
      <c r="E10" s="71">
        <f>'Table 1'!E16</f>
        <v>0</v>
      </c>
      <c r="F10" s="71">
        <f t="shared" ref="F10:F11" si="9">D10*E10</f>
        <v>0</v>
      </c>
      <c r="G10" s="68">
        <f t="shared" ref="G10:G11" si="10">F10*0.05</f>
        <v>0</v>
      </c>
      <c r="H10" s="71">
        <f t="shared" ref="H10:H11" si="11">F10*0.1</f>
        <v>0</v>
      </c>
      <c r="I10" s="50">
        <f t="shared" si="8"/>
        <v>0</v>
      </c>
      <c r="J10" s="15"/>
      <c r="K10" s="15"/>
      <c r="L10" s="52"/>
    </row>
    <row r="11" spans="1:12" ht="16.5" x14ac:dyDescent="0.25">
      <c r="A11" s="108" t="s">
        <v>189</v>
      </c>
      <c r="B11" s="10">
        <v>2</v>
      </c>
      <c r="C11" s="10">
        <v>1</v>
      </c>
      <c r="D11" s="10">
        <f t="shared" si="0"/>
        <v>2</v>
      </c>
      <c r="E11" s="71">
        <f>'Table 1'!E17</f>
        <v>0</v>
      </c>
      <c r="F11" s="10">
        <f t="shared" si="9"/>
        <v>0</v>
      </c>
      <c r="G11" s="10">
        <f t="shared" si="10"/>
        <v>0</v>
      </c>
      <c r="H11" s="10">
        <f t="shared" si="11"/>
        <v>0</v>
      </c>
      <c r="I11" s="50">
        <f t="shared" si="8"/>
        <v>0</v>
      </c>
      <c r="J11" s="1"/>
      <c r="K11" s="1"/>
      <c r="L11" s="1"/>
    </row>
    <row r="12" spans="1:12" ht="16.5" x14ac:dyDescent="0.25">
      <c r="A12" s="108" t="s">
        <v>190</v>
      </c>
      <c r="B12" s="10">
        <v>2</v>
      </c>
      <c r="C12" s="10">
        <v>1</v>
      </c>
      <c r="D12" s="10">
        <f t="shared" si="0"/>
        <v>2</v>
      </c>
      <c r="E12" s="71">
        <f>'Table 1'!E18</f>
        <v>0</v>
      </c>
      <c r="F12" s="70">
        <f t="shared" si="1"/>
        <v>0</v>
      </c>
      <c r="G12" s="71">
        <f t="shared" si="2"/>
        <v>0</v>
      </c>
      <c r="H12" s="10">
        <f t="shared" si="3"/>
        <v>0</v>
      </c>
      <c r="I12" s="50">
        <f t="shared" si="8"/>
        <v>0</v>
      </c>
      <c r="J12" s="1"/>
      <c r="K12" s="1"/>
      <c r="L12" s="1"/>
    </row>
    <row r="13" spans="1:12" ht="16.5" x14ac:dyDescent="0.25">
      <c r="A13" s="108" t="s">
        <v>191</v>
      </c>
      <c r="B13" s="10">
        <v>2</v>
      </c>
      <c r="C13" s="10">
        <v>1</v>
      </c>
      <c r="D13" s="10">
        <f t="shared" ref="D13" si="12">B13*C13</f>
        <v>2</v>
      </c>
      <c r="E13" s="71">
        <v>0</v>
      </c>
      <c r="F13" s="70">
        <f t="shared" ref="F13" si="13">D13*E13</f>
        <v>0</v>
      </c>
      <c r="G13" s="71">
        <f t="shared" ref="G13" si="14">F13*0.05</f>
        <v>0</v>
      </c>
      <c r="H13" s="10">
        <f t="shared" ref="H13" si="15">F13*0.1</f>
        <v>0</v>
      </c>
      <c r="I13" s="50">
        <f t="shared" si="8"/>
        <v>0</v>
      </c>
      <c r="J13" s="1"/>
      <c r="K13" s="1"/>
      <c r="L13" s="1"/>
    </row>
    <row r="14" spans="1:12" ht="29.25" x14ac:dyDescent="0.25">
      <c r="A14" s="108" t="s">
        <v>192</v>
      </c>
      <c r="B14" s="10">
        <v>2</v>
      </c>
      <c r="C14" s="10">
        <v>1</v>
      </c>
      <c r="D14" s="10">
        <f t="shared" ref="D14" si="16">B14*C14</f>
        <v>2</v>
      </c>
      <c r="E14" s="71">
        <v>0</v>
      </c>
      <c r="F14" s="70">
        <f t="shared" ref="F14" si="17">D14*E14</f>
        <v>0</v>
      </c>
      <c r="G14" s="71">
        <f t="shared" ref="G14" si="18">F14*0.05</f>
        <v>0</v>
      </c>
      <c r="H14" s="10">
        <f t="shared" ref="H14" si="19">F14*0.1</f>
        <v>0</v>
      </c>
      <c r="I14" s="50">
        <f t="shared" si="8"/>
        <v>0</v>
      </c>
      <c r="J14" s="1"/>
      <c r="K14" s="1"/>
      <c r="L14" s="1"/>
    </row>
    <row r="15" spans="1:12" ht="16.5" x14ac:dyDescent="0.25">
      <c r="A15" s="108" t="s">
        <v>193</v>
      </c>
      <c r="B15" s="10">
        <v>2</v>
      </c>
      <c r="C15" s="10">
        <v>1.1000000000000001</v>
      </c>
      <c r="D15" s="10">
        <f t="shared" ref="D15" si="20">B15*C15</f>
        <v>2.2000000000000002</v>
      </c>
      <c r="E15" s="71">
        <f>'Table 1'!E19</f>
        <v>0</v>
      </c>
      <c r="F15" s="70">
        <f t="shared" ref="F15" si="21">D15*E15</f>
        <v>0</v>
      </c>
      <c r="G15" s="71">
        <f t="shared" ref="G15" si="22">F15*0.05</f>
        <v>0</v>
      </c>
      <c r="H15" s="10">
        <f t="shared" ref="H15" si="23">F15*0.1</f>
        <v>0</v>
      </c>
      <c r="I15" s="50">
        <f t="shared" si="8"/>
        <v>0</v>
      </c>
      <c r="J15" s="1"/>
      <c r="K15" s="1"/>
      <c r="L15" s="1"/>
    </row>
    <row r="16" spans="1:12" ht="29.25" x14ac:dyDescent="0.25">
      <c r="A16" s="108" t="s">
        <v>194</v>
      </c>
      <c r="B16" s="10">
        <v>2</v>
      </c>
      <c r="C16" s="10">
        <v>1</v>
      </c>
      <c r="D16" s="10">
        <f t="shared" ref="D16" si="24">B16*C16</f>
        <v>2</v>
      </c>
      <c r="E16" s="71">
        <f>'Table 1'!E20</f>
        <v>0</v>
      </c>
      <c r="F16" s="70">
        <f t="shared" ref="F16" si="25">D16*E16</f>
        <v>0</v>
      </c>
      <c r="G16" s="71">
        <f t="shared" ref="G16" si="26">F16*0.05</f>
        <v>0</v>
      </c>
      <c r="H16" s="10">
        <f t="shared" ref="H16" si="27">F16*0.1</f>
        <v>0</v>
      </c>
      <c r="I16" s="50">
        <f t="shared" si="8"/>
        <v>0</v>
      </c>
      <c r="J16" s="1"/>
      <c r="K16" s="1"/>
      <c r="L16" s="1"/>
    </row>
    <row r="17" spans="1:12" ht="16.5" x14ac:dyDescent="0.25">
      <c r="A17" s="108" t="s">
        <v>195</v>
      </c>
      <c r="B17" s="10">
        <v>2</v>
      </c>
      <c r="C17" s="10">
        <v>1</v>
      </c>
      <c r="D17" s="10">
        <f t="shared" ref="D17" si="28">B17*C17</f>
        <v>2</v>
      </c>
      <c r="E17" s="71">
        <f>'Table 1'!E21</f>
        <v>0</v>
      </c>
      <c r="F17" s="70">
        <f t="shared" ref="F17" si="29">D17*E17</f>
        <v>0</v>
      </c>
      <c r="G17" s="71">
        <f t="shared" ref="G17" si="30">F17*0.05</f>
        <v>0</v>
      </c>
      <c r="H17" s="10">
        <f t="shared" ref="H17" si="31">F17*0.1</f>
        <v>0</v>
      </c>
      <c r="I17" s="50">
        <f t="shared" si="8"/>
        <v>0</v>
      </c>
      <c r="J17" s="1"/>
      <c r="K17" s="1"/>
      <c r="L17" s="1"/>
    </row>
    <row r="18" spans="1:12" ht="16.5" x14ac:dyDescent="0.25">
      <c r="A18" s="108" t="s">
        <v>196</v>
      </c>
      <c r="B18" s="10">
        <v>5</v>
      </c>
      <c r="C18" s="10">
        <v>1.1000000000000001</v>
      </c>
      <c r="D18" s="10">
        <f t="shared" ref="D18" si="32">B18*C18</f>
        <v>5.5</v>
      </c>
      <c r="E18" s="71">
        <f>'Table 1'!E22</f>
        <v>0</v>
      </c>
      <c r="F18" s="70">
        <f t="shared" ref="F18" si="33">D18*E18</f>
        <v>0</v>
      </c>
      <c r="G18" s="71">
        <f t="shared" ref="G18" si="34">F18*0.05</f>
        <v>0</v>
      </c>
      <c r="H18" s="10">
        <f t="shared" ref="H18" si="35">F18*0.1</f>
        <v>0</v>
      </c>
      <c r="I18" s="50">
        <f t="shared" si="8"/>
        <v>0</v>
      </c>
      <c r="J18" s="1"/>
      <c r="K18" s="1"/>
      <c r="L18" s="1"/>
    </row>
    <row r="19" spans="1:12" ht="39" x14ac:dyDescent="0.25">
      <c r="A19" s="108" t="s">
        <v>103</v>
      </c>
      <c r="B19" s="139" t="s">
        <v>113</v>
      </c>
      <c r="C19" s="140"/>
      <c r="D19" s="140"/>
      <c r="E19" s="141"/>
      <c r="F19" s="70"/>
      <c r="G19" s="71"/>
      <c r="H19" s="10"/>
      <c r="I19" s="11"/>
      <c r="J19" s="1"/>
      <c r="K19" s="1"/>
      <c r="L19" s="1"/>
    </row>
    <row r="20" spans="1:12" x14ac:dyDescent="0.25">
      <c r="A20" s="107" t="s">
        <v>104</v>
      </c>
      <c r="B20" s="10">
        <v>5</v>
      </c>
      <c r="C20" s="10">
        <v>2</v>
      </c>
      <c r="D20" s="10">
        <f t="shared" ref="D20" si="36">B20*C20</f>
        <v>10</v>
      </c>
      <c r="E20" s="71">
        <f>'Table 1'!E24</f>
        <v>3</v>
      </c>
      <c r="F20" s="70">
        <f t="shared" ref="F20" si="37">D20*E20</f>
        <v>30</v>
      </c>
      <c r="G20" s="71">
        <f t="shared" ref="G20" si="38">F20*0.05</f>
        <v>1.5</v>
      </c>
      <c r="H20" s="10">
        <f t="shared" ref="H20" si="39">F20*0.1</f>
        <v>3</v>
      </c>
      <c r="I20" s="50">
        <f>F20*$L$6+G20*$L$5+H20*$L$7</f>
        <v>1833.99</v>
      </c>
      <c r="J20" s="1"/>
      <c r="K20" s="1"/>
      <c r="L20" s="1"/>
    </row>
    <row r="21" spans="1:12" ht="42" x14ac:dyDescent="0.25">
      <c r="A21" s="109" t="s">
        <v>178</v>
      </c>
      <c r="B21" s="10">
        <v>20</v>
      </c>
      <c r="C21" s="10">
        <v>2</v>
      </c>
      <c r="D21" s="10">
        <f t="shared" ref="D21" si="40">B21*C21</f>
        <v>40</v>
      </c>
      <c r="E21" s="71">
        <f>'Table 1'!E25</f>
        <v>34</v>
      </c>
      <c r="F21" s="70">
        <f t="shared" ref="F21" si="41">D21*E21</f>
        <v>1360</v>
      </c>
      <c r="G21" s="71">
        <f t="shared" ref="G21" si="42">F21*0.05</f>
        <v>68</v>
      </c>
      <c r="H21" s="10">
        <f t="shared" ref="H21" si="43">F21*0.1</f>
        <v>136</v>
      </c>
      <c r="I21" s="50">
        <f>F21*$L$6+G21*$L$5+H21*$L$7</f>
        <v>83140.87999999999</v>
      </c>
      <c r="J21" s="1"/>
      <c r="K21" s="1"/>
      <c r="L21" s="1"/>
    </row>
    <row r="22" spans="1:12" ht="29.25" x14ac:dyDescent="0.25">
      <c r="A22" s="109" t="s">
        <v>179</v>
      </c>
      <c r="B22" s="10">
        <v>8</v>
      </c>
      <c r="C22" s="10">
        <v>1</v>
      </c>
      <c r="D22" s="10">
        <f t="shared" ref="D22" si="44">B22*C22</f>
        <v>8</v>
      </c>
      <c r="E22" s="103">
        <f>'Table 1'!E26</f>
        <v>0.15000000000000002</v>
      </c>
      <c r="F22" s="70">
        <f t="shared" ref="F22" si="45">D22*E22</f>
        <v>1.2000000000000002</v>
      </c>
      <c r="G22" s="71">
        <f t="shared" ref="G22" si="46">F22*0.05</f>
        <v>6.0000000000000012E-2</v>
      </c>
      <c r="H22" s="10">
        <f t="shared" ref="H22" si="47">F22*0.1</f>
        <v>0.12000000000000002</v>
      </c>
      <c r="I22" s="50">
        <f>F22*$L$6+G22*$L$5+H22*$L$7</f>
        <v>73.359600000000015</v>
      </c>
      <c r="J22" s="1"/>
      <c r="K22" s="1"/>
      <c r="L22" s="1"/>
    </row>
    <row r="23" spans="1:12" ht="26.25" x14ac:dyDescent="0.25">
      <c r="A23" s="110" t="s">
        <v>105</v>
      </c>
      <c r="B23" s="10">
        <v>2</v>
      </c>
      <c r="C23" s="10">
        <v>1</v>
      </c>
      <c r="D23" s="10">
        <f t="shared" ref="D23" si="48">B23*C23</f>
        <v>2</v>
      </c>
      <c r="E23" s="71">
        <f>'Table 1'!E27</f>
        <v>0</v>
      </c>
      <c r="F23" s="70">
        <f t="shared" ref="F23" si="49">D23*E23</f>
        <v>0</v>
      </c>
      <c r="G23" s="71">
        <f t="shared" ref="G23" si="50">F23*0.05</f>
        <v>0</v>
      </c>
      <c r="H23" s="10">
        <f t="shared" ref="H23" si="51">F23*0.1</f>
        <v>0</v>
      </c>
      <c r="I23" s="50">
        <f>F23*$L$6+G23*$L$5+H23*$L$7</f>
        <v>0</v>
      </c>
      <c r="J23" s="1"/>
      <c r="K23" s="1"/>
      <c r="L23" s="1"/>
    </row>
    <row r="24" spans="1:12" ht="16.5" x14ac:dyDescent="0.25">
      <c r="A24" s="106" t="s">
        <v>180</v>
      </c>
      <c r="B24" s="10"/>
      <c r="C24" s="10"/>
      <c r="D24" s="10"/>
      <c r="E24" s="10"/>
      <c r="F24" s="70"/>
      <c r="G24" s="71"/>
      <c r="H24" s="10"/>
      <c r="I24" s="11"/>
      <c r="J24" s="1"/>
      <c r="K24" s="1"/>
      <c r="L24" s="1"/>
    </row>
    <row r="25" spans="1:12" x14ac:dyDescent="0.25">
      <c r="A25" s="105" t="s">
        <v>106</v>
      </c>
      <c r="B25" s="10"/>
      <c r="C25" s="10"/>
      <c r="D25" s="10"/>
      <c r="E25" s="10"/>
      <c r="F25" s="70"/>
      <c r="G25" s="71"/>
      <c r="H25" s="10"/>
      <c r="I25" s="11"/>
      <c r="J25" s="1"/>
      <c r="K25" s="1"/>
      <c r="L25" s="1"/>
    </row>
    <row r="26" spans="1:12" x14ac:dyDescent="0.25">
      <c r="A26" s="111" t="s">
        <v>107</v>
      </c>
      <c r="B26" s="10">
        <v>5</v>
      </c>
      <c r="C26" s="10">
        <v>1</v>
      </c>
      <c r="D26" s="10">
        <f t="shared" ref="D26" si="52">B26*C26</f>
        <v>5</v>
      </c>
      <c r="E26" s="71">
        <f>'Table 1'!E30</f>
        <v>31</v>
      </c>
      <c r="F26" s="70">
        <f t="shared" ref="F26" si="53">D26*E26</f>
        <v>155</v>
      </c>
      <c r="G26" s="71">
        <f t="shared" ref="G26" si="54">F26*0.05</f>
        <v>7.75</v>
      </c>
      <c r="H26" s="10">
        <f t="shared" ref="H26" si="55">F26*0.1</f>
        <v>15.5</v>
      </c>
      <c r="I26" s="50">
        <f>F26*$L$6+G26*$L$5+H26*$L$7</f>
        <v>9475.6149999999998</v>
      </c>
      <c r="J26" s="1"/>
      <c r="K26" s="1"/>
      <c r="L26" s="1"/>
    </row>
    <row r="27" spans="1:12" x14ac:dyDescent="0.25">
      <c r="A27" s="111" t="s">
        <v>108</v>
      </c>
      <c r="B27" s="10">
        <v>5</v>
      </c>
      <c r="C27" s="10">
        <v>1</v>
      </c>
      <c r="D27" s="10">
        <f t="shared" ref="D27" si="56">B27*C27</f>
        <v>5</v>
      </c>
      <c r="E27" s="71">
        <f>'Table 1'!E31</f>
        <v>21</v>
      </c>
      <c r="F27" s="70">
        <f t="shared" ref="F27" si="57">D27*E27</f>
        <v>105</v>
      </c>
      <c r="G27" s="71">
        <f t="shared" ref="G27" si="58">F27*0.05</f>
        <v>5.25</v>
      </c>
      <c r="H27" s="10">
        <f t="shared" ref="H27" si="59">F27*0.1</f>
        <v>10.5</v>
      </c>
      <c r="I27" s="50">
        <f>F27*$L$6+G27*$L$5+H27*$L$7</f>
        <v>6418.9650000000001</v>
      </c>
      <c r="J27" s="1"/>
      <c r="K27" s="1"/>
      <c r="L27" s="1"/>
    </row>
    <row r="28" spans="1:12" x14ac:dyDescent="0.25">
      <c r="A28" s="105" t="s">
        <v>109</v>
      </c>
      <c r="B28" s="10"/>
      <c r="C28" s="10"/>
      <c r="D28" s="10"/>
      <c r="E28" s="10"/>
      <c r="F28" s="70"/>
      <c r="G28" s="71"/>
      <c r="H28" s="10"/>
      <c r="I28" s="11"/>
      <c r="J28" s="1"/>
      <c r="K28" s="1"/>
      <c r="L28" s="1"/>
    </row>
    <row r="29" spans="1:12" x14ac:dyDescent="0.25">
      <c r="A29" s="111" t="s">
        <v>107</v>
      </c>
      <c r="B29" s="10">
        <v>2</v>
      </c>
      <c r="C29" s="10">
        <v>2</v>
      </c>
      <c r="D29" s="10">
        <f t="shared" ref="D29" si="60">B29*C29</f>
        <v>4</v>
      </c>
      <c r="E29" s="71">
        <f>'Table 1'!E33</f>
        <v>31</v>
      </c>
      <c r="F29" s="70">
        <f t="shared" ref="F29" si="61">D29*E29</f>
        <v>124</v>
      </c>
      <c r="G29" s="71">
        <f t="shared" ref="G29" si="62">F29*0.05</f>
        <v>6.2</v>
      </c>
      <c r="H29" s="10">
        <f t="shared" ref="H29" si="63">F29*0.1</f>
        <v>12.4</v>
      </c>
      <c r="I29" s="50">
        <f t="shared" ref="I29:I35" si="64">F29*$L$6+G29*$L$5+H29*$L$7</f>
        <v>7580.4920000000002</v>
      </c>
      <c r="J29" s="1"/>
      <c r="K29" s="1"/>
      <c r="L29" s="1"/>
    </row>
    <row r="30" spans="1:12" x14ac:dyDescent="0.25">
      <c r="A30" s="111" t="s">
        <v>108</v>
      </c>
      <c r="B30" s="10">
        <v>2</v>
      </c>
      <c r="C30" s="10">
        <v>2</v>
      </c>
      <c r="D30" s="10">
        <f t="shared" ref="D30" si="65">B30*C30</f>
        <v>4</v>
      </c>
      <c r="E30" s="71">
        <f>'Table 1'!E34</f>
        <v>21</v>
      </c>
      <c r="F30" s="70">
        <f t="shared" ref="F30" si="66">D30*E30</f>
        <v>84</v>
      </c>
      <c r="G30" s="71">
        <f t="shared" ref="G30" si="67">F30*0.05</f>
        <v>4.2</v>
      </c>
      <c r="H30" s="10">
        <f t="shared" ref="H30" si="68">F30*0.1</f>
        <v>8.4</v>
      </c>
      <c r="I30" s="50">
        <f t="shared" si="64"/>
        <v>5135.1720000000005</v>
      </c>
      <c r="J30" s="1"/>
      <c r="K30" s="1"/>
      <c r="L30" s="1"/>
    </row>
    <row r="31" spans="1:12" x14ac:dyDescent="0.25">
      <c r="A31" s="111" t="s">
        <v>110</v>
      </c>
      <c r="B31" s="10">
        <v>2</v>
      </c>
      <c r="C31" s="10">
        <v>2</v>
      </c>
      <c r="D31" s="10">
        <f t="shared" ref="D31" si="69">B31*C31</f>
        <v>4</v>
      </c>
      <c r="E31" s="71">
        <f>'Table 1'!E35</f>
        <v>31</v>
      </c>
      <c r="F31" s="70">
        <f t="shared" ref="F31" si="70">D31*E31</f>
        <v>124</v>
      </c>
      <c r="G31" s="71">
        <f t="shared" ref="G31" si="71">F31*0.05</f>
        <v>6.2</v>
      </c>
      <c r="H31" s="10">
        <f t="shared" ref="H31" si="72">F31*0.1</f>
        <v>12.4</v>
      </c>
      <c r="I31" s="50">
        <f t="shared" si="64"/>
        <v>7580.4920000000002</v>
      </c>
      <c r="J31" s="1"/>
      <c r="K31" s="1"/>
      <c r="L31" s="1"/>
    </row>
    <row r="32" spans="1:12" x14ac:dyDescent="0.25">
      <c r="A32" s="111" t="s">
        <v>111</v>
      </c>
      <c r="B32" s="10">
        <v>2</v>
      </c>
      <c r="C32" s="10">
        <v>2</v>
      </c>
      <c r="D32" s="10">
        <f t="shared" ref="D32" si="73">B32*C32</f>
        <v>4</v>
      </c>
      <c r="E32" s="71">
        <f>'Table 1'!E36</f>
        <v>31</v>
      </c>
      <c r="F32" s="70">
        <f t="shared" ref="F32" si="74">D32*E32</f>
        <v>124</v>
      </c>
      <c r="G32" s="71">
        <f t="shared" ref="G32" si="75">F32*0.05</f>
        <v>6.2</v>
      </c>
      <c r="H32" s="10">
        <f t="shared" ref="H32" si="76">F32*0.1</f>
        <v>12.4</v>
      </c>
      <c r="I32" s="50">
        <f t="shared" si="64"/>
        <v>7580.4920000000002</v>
      </c>
      <c r="J32" s="1"/>
      <c r="K32" s="1"/>
      <c r="L32" s="1"/>
    </row>
    <row r="33" spans="1:12" x14ac:dyDescent="0.25">
      <c r="A33" s="111" t="s">
        <v>92</v>
      </c>
      <c r="B33" s="10">
        <v>2</v>
      </c>
      <c r="C33" s="10">
        <v>2</v>
      </c>
      <c r="D33" s="10">
        <f t="shared" ref="D33" si="77">B33*C33</f>
        <v>4</v>
      </c>
      <c r="E33" s="71">
        <f>'Table 1'!E38</f>
        <v>31</v>
      </c>
      <c r="F33" s="70">
        <f t="shared" ref="F33" si="78">D33*E33</f>
        <v>124</v>
      </c>
      <c r="G33" s="71">
        <f t="shared" ref="G33" si="79">F33*0.05</f>
        <v>6.2</v>
      </c>
      <c r="H33" s="10">
        <f t="shared" ref="H33" si="80">F33*0.1</f>
        <v>12.4</v>
      </c>
      <c r="I33" s="50">
        <f t="shared" si="64"/>
        <v>7580.4920000000002</v>
      </c>
      <c r="J33" s="1"/>
      <c r="K33" s="1"/>
      <c r="L33" s="1"/>
    </row>
    <row r="34" spans="1:12" ht="16.5" x14ac:dyDescent="0.25">
      <c r="A34" s="105" t="s">
        <v>182</v>
      </c>
      <c r="B34" s="10">
        <v>5</v>
      </c>
      <c r="C34" s="10">
        <v>2</v>
      </c>
      <c r="D34" s="10">
        <f t="shared" ref="D34" si="81">B34*C34</f>
        <v>10</v>
      </c>
      <c r="E34" s="71">
        <f>'Table 1'!E39</f>
        <v>0</v>
      </c>
      <c r="F34" s="70">
        <f t="shared" ref="F34" si="82">D34*E34</f>
        <v>0</v>
      </c>
      <c r="G34" s="71">
        <f t="shared" ref="G34" si="83">F34*0.05</f>
        <v>0</v>
      </c>
      <c r="H34" s="10">
        <f t="shared" ref="H34" si="84">F34*0.1</f>
        <v>0</v>
      </c>
      <c r="I34" s="50">
        <f t="shared" si="64"/>
        <v>0</v>
      </c>
      <c r="J34" s="1"/>
      <c r="K34" s="1"/>
      <c r="L34" s="1"/>
    </row>
    <row r="35" spans="1:12" x14ac:dyDescent="0.25">
      <c r="A35" s="106" t="s">
        <v>112</v>
      </c>
      <c r="B35" s="10">
        <v>10</v>
      </c>
      <c r="C35" s="10">
        <v>1</v>
      </c>
      <c r="D35" s="10">
        <f t="shared" ref="D35" si="85">B35*C35</f>
        <v>10</v>
      </c>
      <c r="E35" s="71">
        <v>1</v>
      </c>
      <c r="F35" s="70">
        <f t="shared" ref="F35" si="86">D35*E35</f>
        <v>10</v>
      </c>
      <c r="G35" s="71">
        <f t="shared" ref="G35" si="87">F35*0.05</f>
        <v>0.5</v>
      </c>
      <c r="H35" s="10">
        <f t="shared" ref="H35" si="88">F35*0.1</f>
        <v>1</v>
      </c>
      <c r="I35" s="50">
        <f t="shared" si="64"/>
        <v>611.33000000000004</v>
      </c>
      <c r="J35" s="1"/>
      <c r="K35" s="1"/>
      <c r="L35" s="1"/>
    </row>
    <row r="36" spans="1:12" ht="15" customHeight="1" x14ac:dyDescent="0.25">
      <c r="A36" s="51" t="s">
        <v>183</v>
      </c>
      <c r="B36" s="132"/>
      <c r="C36" s="132"/>
      <c r="D36" s="132"/>
      <c r="E36" s="132"/>
      <c r="F36" s="135">
        <f>ROUND(SUM(F4:H35), -1)</f>
        <v>2580</v>
      </c>
      <c r="G36" s="135"/>
      <c r="H36" s="135"/>
      <c r="I36" s="89">
        <f>ROUND(SUM(I4:I35), -3)</f>
        <v>137000</v>
      </c>
      <c r="J36" s="1"/>
      <c r="K36" s="1"/>
      <c r="L36" s="1"/>
    </row>
    <row r="37" spans="1:12" ht="9.75" customHeight="1" x14ac:dyDescent="0.25">
      <c r="A37" s="138"/>
      <c r="B37" s="138"/>
      <c r="C37" s="138"/>
      <c r="D37" s="138"/>
      <c r="E37" s="138"/>
      <c r="F37" s="138"/>
      <c r="G37" s="138"/>
      <c r="H37" s="138"/>
      <c r="I37" s="138"/>
      <c r="J37" s="1"/>
      <c r="K37" s="1"/>
      <c r="L37" s="1"/>
    </row>
    <row r="38" spans="1:12" ht="18.75" customHeight="1" x14ac:dyDescent="0.25">
      <c r="A38" s="137" t="s">
        <v>22</v>
      </c>
      <c r="B38" s="137"/>
      <c r="C38" s="137"/>
      <c r="D38" s="137"/>
      <c r="E38" s="137"/>
      <c r="F38" s="137"/>
      <c r="G38" s="137"/>
      <c r="H38" s="137"/>
      <c r="I38" s="137"/>
      <c r="J38" s="1"/>
      <c r="K38" s="1"/>
      <c r="L38" s="1"/>
    </row>
    <row r="39" spans="1:12" ht="69.75" customHeight="1" x14ac:dyDescent="0.25">
      <c r="A39" s="116" t="s">
        <v>202</v>
      </c>
      <c r="B39" s="116"/>
      <c r="C39" s="116"/>
      <c r="D39" s="116"/>
      <c r="E39" s="116"/>
      <c r="F39" s="116"/>
      <c r="G39" s="116"/>
      <c r="H39" s="116"/>
      <c r="I39" s="116"/>
      <c r="J39" s="1"/>
      <c r="K39" s="1"/>
      <c r="L39" s="1"/>
    </row>
    <row r="40" spans="1:12" ht="54.6" customHeight="1" x14ac:dyDescent="0.25">
      <c r="A40" s="136" t="s">
        <v>175</v>
      </c>
      <c r="B40" s="136"/>
      <c r="C40" s="136"/>
      <c r="D40" s="136"/>
      <c r="E40" s="136"/>
      <c r="F40" s="136"/>
      <c r="G40" s="136"/>
      <c r="H40" s="136"/>
      <c r="I40" s="136"/>
      <c r="J40" s="1"/>
      <c r="K40" s="1"/>
      <c r="L40" s="1"/>
    </row>
    <row r="41" spans="1:12" ht="20.45" customHeight="1" x14ac:dyDescent="0.25">
      <c r="A41" s="119" t="s">
        <v>177</v>
      </c>
      <c r="B41" s="119"/>
      <c r="C41" s="119"/>
      <c r="D41" s="119"/>
      <c r="E41" s="119"/>
      <c r="F41" s="119"/>
      <c r="G41" s="119"/>
      <c r="H41" s="119"/>
      <c r="I41" s="119"/>
      <c r="J41" s="1"/>
      <c r="K41" s="1"/>
      <c r="L41" s="1"/>
    </row>
    <row r="42" spans="1:12" ht="19.149999999999999" customHeight="1" x14ac:dyDescent="0.25">
      <c r="A42" s="133" t="s">
        <v>197</v>
      </c>
      <c r="B42" s="133"/>
      <c r="C42" s="133"/>
      <c r="D42" s="133"/>
      <c r="E42" s="133"/>
      <c r="F42" s="133"/>
      <c r="G42" s="133"/>
      <c r="H42" s="133"/>
      <c r="I42" s="133"/>
      <c r="J42" s="1"/>
      <c r="K42" s="1"/>
      <c r="L42" s="1"/>
    </row>
    <row r="43" spans="1:12" ht="31.9" customHeight="1" x14ac:dyDescent="0.25">
      <c r="A43" s="116" t="s">
        <v>198</v>
      </c>
      <c r="B43" s="116"/>
      <c r="C43" s="116"/>
      <c r="D43" s="116"/>
      <c r="E43" s="116"/>
      <c r="F43" s="116"/>
      <c r="G43" s="116"/>
      <c r="H43" s="116"/>
      <c r="I43" s="116"/>
      <c r="J43" s="1"/>
      <c r="K43" s="1"/>
      <c r="L43" s="1"/>
    </row>
    <row r="44" spans="1:12" ht="31.15" customHeight="1" x14ac:dyDescent="0.25">
      <c r="A44" s="133" t="s">
        <v>199</v>
      </c>
      <c r="B44" s="133"/>
      <c r="C44" s="133"/>
      <c r="D44" s="133"/>
      <c r="E44" s="133"/>
      <c r="F44" s="133"/>
      <c r="G44" s="133"/>
      <c r="H44" s="133"/>
      <c r="I44" s="133"/>
      <c r="J44" s="1"/>
      <c r="K44" s="1"/>
      <c r="L44" s="1"/>
    </row>
    <row r="45" spans="1:12" ht="16.899999999999999" customHeight="1" x14ac:dyDescent="0.25">
      <c r="A45" s="134" t="s">
        <v>181</v>
      </c>
      <c r="B45" s="134"/>
      <c r="C45" s="134"/>
      <c r="D45" s="134"/>
      <c r="E45" s="134"/>
      <c r="F45" s="134"/>
      <c r="G45" s="134"/>
      <c r="H45" s="134"/>
      <c r="I45" s="134"/>
      <c r="J45" s="1"/>
      <c r="K45" s="1"/>
      <c r="L45" s="1"/>
    </row>
    <row r="46" spans="1:12" ht="16.899999999999999" customHeight="1" x14ac:dyDescent="0.25">
      <c r="A46" s="134" t="s">
        <v>184</v>
      </c>
      <c r="B46" s="134"/>
      <c r="C46" s="134"/>
      <c r="D46" s="134"/>
      <c r="E46" s="134"/>
      <c r="F46" s="134"/>
      <c r="G46" s="134"/>
      <c r="H46" s="134"/>
      <c r="I46" s="134"/>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93"/>
      <c r="C50" s="93"/>
      <c r="D50" s="1"/>
      <c r="E50" s="1"/>
      <c r="F50" s="1"/>
      <c r="G50" s="1"/>
      <c r="H50" s="1"/>
      <c r="I50" s="1"/>
      <c r="J50" s="1"/>
      <c r="K50" s="1"/>
      <c r="L50" s="1"/>
    </row>
    <row r="51" spans="1:12" x14ac:dyDescent="0.25">
      <c r="A51" s="1"/>
      <c r="B51" s="93"/>
      <c r="C51" s="93"/>
      <c r="D51" s="1"/>
      <c r="E51" s="1"/>
      <c r="F51" s="1"/>
      <c r="G51" s="1"/>
      <c r="H51" s="1"/>
      <c r="I51" s="1"/>
      <c r="J51" s="1"/>
      <c r="K51" s="1"/>
      <c r="L51" s="1"/>
    </row>
    <row r="52" spans="1:12" x14ac:dyDescent="0.25">
      <c r="A52" s="1"/>
      <c r="B52" s="93"/>
      <c r="C52" s="93"/>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c r="C55" s="1"/>
      <c r="D55" s="1"/>
      <c r="E55" s="1"/>
      <c r="F55" s="1"/>
      <c r="G55" s="1"/>
      <c r="H55" s="1"/>
      <c r="I55" s="1"/>
      <c r="J55" s="1"/>
      <c r="K55" s="1"/>
      <c r="L55" s="1"/>
    </row>
    <row r="56" spans="1:12" x14ac:dyDescent="0.25">
      <c r="A56" s="1"/>
      <c r="B56" s="1"/>
      <c r="C56" s="1"/>
      <c r="D56" s="1"/>
      <c r="E56" s="1"/>
      <c r="F56" s="1"/>
      <c r="G56" s="1"/>
      <c r="H56" s="1"/>
      <c r="I56" s="1"/>
      <c r="J56" s="1"/>
      <c r="K56" s="1"/>
      <c r="L56" s="1"/>
    </row>
  </sheetData>
  <mergeCells count="14">
    <mergeCell ref="K4:L4"/>
    <mergeCell ref="B36:E36"/>
    <mergeCell ref="A44:I44"/>
    <mergeCell ref="A45:I45"/>
    <mergeCell ref="A46:I46"/>
    <mergeCell ref="F36:H36"/>
    <mergeCell ref="A39:I39"/>
    <mergeCell ref="A40:I40"/>
    <mergeCell ref="A43:I43"/>
    <mergeCell ref="A42:I42"/>
    <mergeCell ref="A38:I38"/>
    <mergeCell ref="A37:I37"/>
    <mergeCell ref="A41:I41"/>
    <mergeCell ref="B19:E19"/>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K13"/>
  <sheetViews>
    <sheetView tabSelected="1" zoomScale="90" zoomScaleNormal="90" workbookViewId="0"/>
  </sheetViews>
  <sheetFormatPr defaultColWidth="22" defaultRowHeight="12.75" x14ac:dyDescent="0.2"/>
  <cols>
    <col min="1" max="1" width="22" style="18"/>
    <col min="2" max="2" width="17.5703125" style="18" customWidth="1"/>
    <col min="3" max="3" width="17.28515625" style="18" customWidth="1"/>
    <col min="4" max="4" width="22" style="18"/>
    <col min="5" max="5" width="19.85546875" style="18" customWidth="1"/>
    <col min="6" max="7" width="16.85546875" style="18" customWidth="1"/>
    <col min="8" max="8" width="6" style="18" customWidth="1"/>
    <col min="9" max="16384" width="22" style="18"/>
  </cols>
  <sheetData>
    <row r="1" spans="1:11" x14ac:dyDescent="0.2">
      <c r="A1" s="5"/>
      <c r="B1" s="6"/>
      <c r="C1" s="6"/>
    </row>
    <row r="2" spans="1:11" x14ac:dyDescent="0.2">
      <c r="A2" s="145" t="s">
        <v>32</v>
      </c>
      <c r="B2" s="145"/>
      <c r="C2" s="145"/>
      <c r="D2" s="145"/>
      <c r="E2" s="145"/>
      <c r="F2" s="145"/>
      <c r="G2" s="146"/>
      <c r="H2" s="26"/>
    </row>
    <row r="3" spans="1:11" x14ac:dyDescent="0.2">
      <c r="A3" s="22" t="s">
        <v>33</v>
      </c>
      <c r="B3" s="22" t="s">
        <v>34</v>
      </c>
      <c r="C3" s="22" t="s">
        <v>35</v>
      </c>
      <c r="D3" s="22" t="s">
        <v>36</v>
      </c>
      <c r="E3" s="22" t="s">
        <v>37</v>
      </c>
      <c r="F3" s="22" t="s">
        <v>38</v>
      </c>
      <c r="G3" s="22" t="s">
        <v>39</v>
      </c>
      <c r="H3" s="26"/>
    </row>
    <row r="4" spans="1:11" ht="46.5" customHeight="1" x14ac:dyDescent="0.2">
      <c r="A4" s="22" t="s">
        <v>114</v>
      </c>
      <c r="B4" s="22" t="s">
        <v>40</v>
      </c>
      <c r="C4" s="22" t="s">
        <v>200</v>
      </c>
      <c r="D4" s="22" t="s">
        <v>41</v>
      </c>
      <c r="E4" s="22" t="s">
        <v>42</v>
      </c>
      <c r="F4" s="22" t="s">
        <v>201</v>
      </c>
      <c r="G4" s="22" t="s">
        <v>43</v>
      </c>
      <c r="H4" s="26"/>
      <c r="J4" s="18" t="s">
        <v>140</v>
      </c>
      <c r="K4" s="18" t="s">
        <v>141</v>
      </c>
    </row>
    <row r="5" spans="1:11" ht="36.75" customHeight="1" x14ac:dyDescent="0.2">
      <c r="A5" s="34" t="s">
        <v>115</v>
      </c>
      <c r="B5" s="35">
        <v>0</v>
      </c>
      <c r="C5" s="36">
        <v>0</v>
      </c>
      <c r="D5" s="23">
        <f>B5*C5</f>
        <v>0</v>
      </c>
      <c r="E5" s="23">
        <f>8811*(K5/J5)</f>
        <v>12059.335793357932</v>
      </c>
      <c r="F5" s="20">
        <v>3</v>
      </c>
      <c r="G5" s="23">
        <f>F5*E5</f>
        <v>36178.007380073796</v>
      </c>
      <c r="H5" s="27"/>
      <c r="J5" s="18">
        <v>596.20000000000005</v>
      </c>
      <c r="K5" s="18">
        <v>816</v>
      </c>
    </row>
    <row r="6" spans="1:11" ht="36.75" customHeight="1" x14ac:dyDescent="0.2">
      <c r="A6" s="21" t="s">
        <v>116</v>
      </c>
      <c r="B6" s="23">
        <f>1446000*(K5/J5)</f>
        <v>1979094.2636699092</v>
      </c>
      <c r="C6" s="20">
        <v>0</v>
      </c>
      <c r="D6" s="23">
        <f>B6*C6</f>
        <v>0</v>
      </c>
      <c r="E6" s="23">
        <f>263000*(K5/J5)</f>
        <v>359959.74505199591</v>
      </c>
      <c r="F6" s="20">
        <v>31</v>
      </c>
      <c r="G6" s="23">
        <f>F6*E6</f>
        <v>11158752.096611872</v>
      </c>
      <c r="H6" s="27"/>
    </row>
    <row r="7" spans="1:11" ht="36.75" customHeight="1" x14ac:dyDescent="0.2">
      <c r="A7" s="21" t="s">
        <v>117</v>
      </c>
      <c r="B7" s="23">
        <f>46000*(K5/J5)</f>
        <v>62958.738678295864</v>
      </c>
      <c r="C7" s="20">
        <v>0</v>
      </c>
      <c r="D7" s="23">
        <f>B7*C7</f>
        <v>0</v>
      </c>
      <c r="E7" s="23">
        <f>6200*(K5/J5)</f>
        <v>8485.743039248573</v>
      </c>
      <c r="F7" s="20">
        <v>21</v>
      </c>
      <c r="G7" s="23">
        <f>F7*E7</f>
        <v>178200.60382422004</v>
      </c>
      <c r="H7" s="28"/>
    </row>
    <row r="8" spans="1:11" ht="36.75" customHeight="1" x14ac:dyDescent="0.2">
      <c r="A8" s="38" t="s">
        <v>118</v>
      </c>
      <c r="B8" s="35">
        <f>4400*(K5/J5)</f>
        <v>6022.1402214022128</v>
      </c>
      <c r="C8" s="86">
        <v>0</v>
      </c>
      <c r="D8" s="35">
        <f>C8*B8</f>
        <v>0</v>
      </c>
      <c r="E8" s="23">
        <f>900*(K5/J5)</f>
        <v>1231.8014089231799</v>
      </c>
      <c r="F8" s="20">
        <v>31</v>
      </c>
      <c r="G8" s="23">
        <f>F8*E8</f>
        <v>38185.843676618577</v>
      </c>
      <c r="H8" s="29"/>
    </row>
    <row r="9" spans="1:11" ht="46.5" customHeight="1" x14ac:dyDescent="0.2">
      <c r="A9" s="24" t="s">
        <v>119</v>
      </c>
      <c r="B9" s="20"/>
      <c r="C9" s="20"/>
      <c r="D9" s="25">
        <f>ROUND(SUM(D5:D8), -3)</f>
        <v>0</v>
      </c>
      <c r="E9" s="20"/>
      <c r="F9" s="20"/>
      <c r="G9" s="25">
        <f>ROUND(SUM(G6:G8), -5)</f>
        <v>11400000</v>
      </c>
      <c r="I9" s="79">
        <f>D9+G9</f>
        <v>11400000</v>
      </c>
    </row>
    <row r="10" spans="1:11" ht="11.25" customHeight="1" x14ac:dyDescent="0.2">
      <c r="A10" s="77"/>
      <c r="B10" s="78"/>
      <c r="C10" s="78"/>
      <c r="D10" s="28"/>
      <c r="E10" s="78"/>
      <c r="F10" s="78"/>
      <c r="G10" s="28"/>
    </row>
    <row r="11" spans="1:11" ht="36.75" customHeight="1" x14ac:dyDescent="0.2">
      <c r="A11" s="143" t="s">
        <v>205</v>
      </c>
      <c r="B11" s="144"/>
      <c r="C11" s="144"/>
      <c r="D11" s="144"/>
      <c r="E11" s="144"/>
      <c r="F11" s="144"/>
      <c r="G11" s="144"/>
    </row>
    <row r="12" spans="1:11" ht="22.5" customHeight="1" x14ac:dyDescent="0.2">
      <c r="A12" s="142" t="s">
        <v>120</v>
      </c>
      <c r="B12" s="115"/>
      <c r="C12" s="115"/>
      <c r="D12" s="115"/>
      <c r="E12" s="115"/>
      <c r="F12" s="115"/>
      <c r="G12" s="115"/>
    </row>
    <row r="13" spans="1:11" x14ac:dyDescent="0.2">
      <c r="A13" s="48"/>
      <c r="B13" s="48"/>
      <c r="C13" s="48"/>
      <c r="D13" s="48"/>
      <c r="E13" s="48"/>
      <c r="F13" s="48"/>
      <c r="G13" s="48"/>
    </row>
  </sheetData>
  <mergeCells count="3">
    <mergeCell ref="A12:G12"/>
    <mergeCell ref="A11:G11"/>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A10" sqref="A10"/>
    </sheetView>
  </sheetViews>
  <sheetFormatPr defaultColWidth="17.7109375" defaultRowHeight="31.9" customHeight="1" x14ac:dyDescent="0.25"/>
  <sheetData>
    <row r="1" spans="1:6" s="18" customFormat="1" ht="31.9" customHeight="1" x14ac:dyDescent="0.2">
      <c r="A1" s="147" t="s">
        <v>1</v>
      </c>
      <c r="B1" s="147"/>
      <c r="C1" s="147"/>
      <c r="D1" s="147"/>
      <c r="E1" s="147"/>
      <c r="F1" s="147"/>
    </row>
    <row r="2" spans="1:6" s="18" customFormat="1" ht="31.9" customHeight="1" x14ac:dyDescent="0.2">
      <c r="A2" s="30"/>
      <c r="B2" s="148" t="s">
        <v>51</v>
      </c>
      <c r="C2" s="148"/>
      <c r="D2" s="30" t="s">
        <v>52</v>
      </c>
      <c r="E2" s="148"/>
      <c r="F2" s="148"/>
    </row>
    <row r="3" spans="1:6" s="18" customFormat="1" ht="31.9" customHeight="1" x14ac:dyDescent="0.2">
      <c r="A3" s="30"/>
      <c r="B3" s="31" t="s">
        <v>33</v>
      </c>
      <c r="C3" s="31" t="s">
        <v>34</v>
      </c>
      <c r="D3" s="31" t="s">
        <v>35</v>
      </c>
      <c r="E3" s="31" t="s">
        <v>36</v>
      </c>
      <c r="F3" s="31" t="s">
        <v>37</v>
      </c>
    </row>
    <row r="4" spans="1:6" s="18" customFormat="1" ht="70.900000000000006" customHeight="1" x14ac:dyDescent="0.2">
      <c r="A4" s="31" t="s">
        <v>53</v>
      </c>
      <c r="B4" s="30" t="s">
        <v>54</v>
      </c>
      <c r="C4" s="30" t="s">
        <v>55</v>
      </c>
      <c r="D4" s="30" t="s">
        <v>56</v>
      </c>
      <c r="E4" s="30" t="s">
        <v>57</v>
      </c>
      <c r="F4" s="30" t="s">
        <v>58</v>
      </c>
    </row>
    <row r="5" spans="1:6" s="18" customFormat="1" ht="31.9" customHeight="1" x14ac:dyDescent="0.2">
      <c r="A5" s="19">
        <v>1</v>
      </c>
      <c r="B5" s="20">
        <v>0</v>
      </c>
      <c r="C5" s="20">
        <v>34</v>
      </c>
      <c r="D5" s="20">
        <v>0</v>
      </c>
      <c r="E5" s="20">
        <v>0</v>
      </c>
      <c r="F5" s="20">
        <f>B5+C5+D5-E5</f>
        <v>34</v>
      </c>
    </row>
    <row r="6" spans="1:6" s="18" customFormat="1" ht="31.9" customHeight="1" x14ac:dyDescent="0.2">
      <c r="A6" s="19">
        <v>2</v>
      </c>
      <c r="B6" s="20">
        <v>0</v>
      </c>
      <c r="C6" s="20">
        <v>34</v>
      </c>
      <c r="D6" s="20">
        <v>0</v>
      </c>
      <c r="E6" s="20">
        <v>0</v>
      </c>
      <c r="F6" s="20">
        <f>B6+C6+D6-E6</f>
        <v>34</v>
      </c>
    </row>
    <row r="7" spans="1:6" s="18" customFormat="1" ht="31.9" customHeight="1" x14ac:dyDescent="0.2">
      <c r="A7" s="19">
        <v>3</v>
      </c>
      <c r="B7" s="20">
        <v>0</v>
      </c>
      <c r="C7" s="20">
        <v>34</v>
      </c>
      <c r="D7" s="20">
        <v>0</v>
      </c>
      <c r="E7" s="20">
        <v>0</v>
      </c>
      <c r="F7" s="20">
        <f>B7+C7+D7-E7</f>
        <v>34</v>
      </c>
    </row>
    <row r="8" spans="1:6" s="18" customFormat="1" ht="31.9" customHeight="1" x14ac:dyDescent="0.2">
      <c r="A8" s="19" t="s">
        <v>59</v>
      </c>
      <c r="B8" s="20">
        <f>AVERAGE(B5:B7)</f>
        <v>0</v>
      </c>
      <c r="C8" s="20">
        <f>AVERAGE(C5:C7)</f>
        <v>34</v>
      </c>
      <c r="D8" s="20">
        <v>0</v>
      </c>
      <c r="E8" s="20">
        <v>0</v>
      </c>
      <c r="F8" s="22">
        <f>AVERAGE(F5:F7)</f>
        <v>34</v>
      </c>
    </row>
    <row r="9" spans="1:6" s="18" customFormat="1" ht="85.9" customHeight="1" x14ac:dyDescent="0.2">
      <c r="A9" s="149" t="s">
        <v>204</v>
      </c>
      <c r="B9" s="149"/>
      <c r="C9" s="149"/>
      <c r="D9" s="149"/>
      <c r="E9" s="149"/>
      <c r="F9" s="149"/>
    </row>
  </sheetData>
  <mergeCells count="4">
    <mergeCell ref="A1:F1"/>
    <mergeCell ref="B2:C2"/>
    <mergeCell ref="E2:F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24"/>
  <sheetViews>
    <sheetView topLeftCell="A12" zoomScaleNormal="100" workbookViewId="0">
      <selection sqref="A1:E1"/>
    </sheetView>
  </sheetViews>
  <sheetFormatPr defaultRowHeight="15" x14ac:dyDescent="0.25"/>
  <cols>
    <col min="1" max="1" width="35.5703125" customWidth="1"/>
    <col min="2" max="2" width="11.85546875" customWidth="1"/>
    <col min="3" max="3" width="12.7109375" customWidth="1"/>
    <col min="4" max="4" width="11.42578125" customWidth="1"/>
    <col min="5" max="5" width="14.7109375" customWidth="1"/>
  </cols>
  <sheetData>
    <row r="1" spans="1:6" s="18" customFormat="1" ht="15.75" x14ac:dyDescent="0.2">
      <c r="A1" s="147" t="s">
        <v>44</v>
      </c>
      <c r="B1" s="147"/>
      <c r="C1" s="147"/>
      <c r="D1" s="147"/>
      <c r="E1" s="147"/>
    </row>
    <row r="2" spans="1:6" s="18" customFormat="1" ht="12.75" x14ac:dyDescent="0.2">
      <c r="A2" s="19" t="s">
        <v>33</v>
      </c>
      <c r="B2" s="19" t="s">
        <v>34</v>
      </c>
      <c r="C2" s="19" t="s">
        <v>35</v>
      </c>
      <c r="D2" s="19" t="s">
        <v>36</v>
      </c>
      <c r="E2" s="19" t="s">
        <v>37</v>
      </c>
    </row>
    <row r="3" spans="1:6" s="18" customFormat="1" ht="102" x14ac:dyDescent="0.2">
      <c r="A3" s="19" t="s">
        <v>45</v>
      </c>
      <c r="B3" s="19" t="s">
        <v>46</v>
      </c>
      <c r="C3" s="19" t="s">
        <v>47</v>
      </c>
      <c r="D3" s="19" t="s">
        <v>48</v>
      </c>
      <c r="E3" s="19" t="s">
        <v>49</v>
      </c>
    </row>
    <row r="4" spans="1:6" s="18" customFormat="1" ht="17.25" customHeight="1" x14ac:dyDescent="0.2">
      <c r="A4" s="104" t="s">
        <v>121</v>
      </c>
      <c r="B4" s="20">
        <v>0</v>
      </c>
      <c r="C4" s="20">
        <v>1</v>
      </c>
      <c r="D4" s="20">
        <v>0</v>
      </c>
      <c r="E4" s="20">
        <f>(B4*C4)+D4</f>
        <v>0</v>
      </c>
    </row>
    <row r="5" spans="1:6" s="18" customFormat="1" ht="12.75" x14ac:dyDescent="0.2">
      <c r="A5" s="104" t="s">
        <v>122</v>
      </c>
      <c r="B5" s="20">
        <v>0</v>
      </c>
      <c r="C5" s="20">
        <v>1</v>
      </c>
      <c r="D5" s="20">
        <v>0</v>
      </c>
      <c r="E5" s="20">
        <f>(B5*C5)+D5</f>
        <v>0</v>
      </c>
    </row>
    <row r="6" spans="1:6" s="18" customFormat="1" ht="12.75" x14ac:dyDescent="0.2">
      <c r="A6" s="104" t="s">
        <v>123</v>
      </c>
      <c r="B6" s="20">
        <v>0</v>
      </c>
      <c r="C6" s="20">
        <v>1</v>
      </c>
      <c r="D6" s="20">
        <v>0</v>
      </c>
      <c r="E6" s="20">
        <f t="shared" ref="E6:E22" si="0">(B6*C6)+D6</f>
        <v>0</v>
      </c>
    </row>
    <row r="7" spans="1:6" s="18" customFormat="1" ht="12.75" x14ac:dyDescent="0.2">
      <c r="A7" s="104" t="s">
        <v>124</v>
      </c>
      <c r="B7" s="20">
        <v>0</v>
      </c>
      <c r="C7" s="20">
        <v>1</v>
      </c>
      <c r="D7" s="20">
        <v>0</v>
      </c>
      <c r="E7" s="20">
        <f t="shared" si="0"/>
        <v>0</v>
      </c>
    </row>
    <row r="8" spans="1:6" s="18" customFormat="1" ht="12.75" x14ac:dyDescent="0.2">
      <c r="A8" s="104" t="s">
        <v>125</v>
      </c>
      <c r="B8" s="20">
        <v>0</v>
      </c>
      <c r="C8" s="20">
        <v>1.1000000000000001</v>
      </c>
      <c r="D8" s="20">
        <v>0</v>
      </c>
      <c r="E8" s="20">
        <f t="shared" si="0"/>
        <v>0</v>
      </c>
      <c r="F8" s="3"/>
    </row>
    <row r="9" spans="1:6" s="18" customFormat="1" ht="28.5" customHeight="1" x14ac:dyDescent="0.2">
      <c r="A9" s="104" t="s">
        <v>126</v>
      </c>
      <c r="B9" s="44">
        <v>0</v>
      </c>
      <c r="C9" s="20">
        <v>1</v>
      </c>
      <c r="D9" s="20">
        <v>0</v>
      </c>
      <c r="E9" s="20">
        <f t="shared" si="0"/>
        <v>0</v>
      </c>
    </row>
    <row r="10" spans="1:6" s="18" customFormat="1" ht="12.75" x14ac:dyDescent="0.2">
      <c r="A10" s="104" t="s">
        <v>127</v>
      </c>
      <c r="B10" s="44">
        <v>0</v>
      </c>
      <c r="C10" s="20">
        <v>1</v>
      </c>
      <c r="D10" s="20">
        <v>0</v>
      </c>
      <c r="E10" s="20">
        <f t="shared" si="0"/>
        <v>0</v>
      </c>
    </row>
    <row r="11" spans="1:6" s="18" customFormat="1" ht="12.75" x14ac:dyDescent="0.2">
      <c r="A11" s="104" t="s">
        <v>128</v>
      </c>
      <c r="B11" s="86">
        <f>B9</f>
        <v>0</v>
      </c>
      <c r="C11" s="20">
        <v>1.1000000000000001</v>
      </c>
      <c r="D11" s="20">
        <v>0</v>
      </c>
      <c r="E11" s="20">
        <f t="shared" si="0"/>
        <v>0</v>
      </c>
    </row>
    <row r="12" spans="1:6" s="18" customFormat="1" ht="28.5" customHeight="1" x14ac:dyDescent="0.2">
      <c r="A12" s="104" t="s">
        <v>139</v>
      </c>
      <c r="B12" s="86">
        <v>3</v>
      </c>
      <c r="C12" s="20">
        <v>2</v>
      </c>
      <c r="D12" s="20">
        <v>0</v>
      </c>
      <c r="E12" s="20">
        <f t="shared" ref="E12" si="1">(B12*C12)+D12</f>
        <v>6</v>
      </c>
    </row>
    <row r="13" spans="1:6" s="18" customFormat="1" ht="28.5" customHeight="1" x14ac:dyDescent="0.2">
      <c r="A13" s="104" t="s">
        <v>129</v>
      </c>
      <c r="B13" s="86">
        <v>34</v>
      </c>
      <c r="C13" s="20">
        <v>2</v>
      </c>
      <c r="D13" s="20">
        <v>0</v>
      </c>
      <c r="E13" s="20">
        <f t="shared" ref="E13" si="2">(B13*C13)+D13</f>
        <v>68</v>
      </c>
    </row>
    <row r="14" spans="1:6" s="18" customFormat="1" ht="28.5" customHeight="1" x14ac:dyDescent="0.2">
      <c r="A14" s="104" t="s">
        <v>130</v>
      </c>
      <c r="B14" s="112">
        <v>0.15</v>
      </c>
      <c r="C14" s="20">
        <v>1</v>
      </c>
      <c r="D14" s="20">
        <v>0</v>
      </c>
      <c r="E14" s="20">
        <f t="shared" ref="E14:E15" si="3">(B14*C14)+D14</f>
        <v>0.15</v>
      </c>
    </row>
    <row r="15" spans="1:6" s="18" customFormat="1" ht="28.5" customHeight="1" x14ac:dyDescent="0.2">
      <c r="A15" s="104" t="s">
        <v>131</v>
      </c>
      <c r="B15" s="86">
        <v>31</v>
      </c>
      <c r="C15" s="20">
        <v>1</v>
      </c>
      <c r="D15" s="20">
        <v>0</v>
      </c>
      <c r="E15" s="20">
        <f t="shared" si="3"/>
        <v>31</v>
      </c>
    </row>
    <row r="16" spans="1:6" s="18" customFormat="1" ht="28.5" customHeight="1" x14ac:dyDescent="0.2">
      <c r="A16" s="104" t="s">
        <v>132</v>
      </c>
      <c r="B16" s="86">
        <v>21</v>
      </c>
      <c r="C16" s="20">
        <v>1</v>
      </c>
      <c r="D16" s="20">
        <v>0</v>
      </c>
      <c r="E16" s="20">
        <f t="shared" ref="E16" si="4">(B16*C16)+D16</f>
        <v>21</v>
      </c>
    </row>
    <row r="17" spans="1:5" s="18" customFormat="1" ht="28.5" customHeight="1" x14ac:dyDescent="0.2">
      <c r="A17" s="104" t="s">
        <v>133</v>
      </c>
      <c r="B17" s="86">
        <v>31</v>
      </c>
      <c r="C17" s="20">
        <v>2</v>
      </c>
      <c r="D17" s="20">
        <v>0</v>
      </c>
      <c r="E17" s="20">
        <f t="shared" ref="E17" si="5">(B17*C17)+D17</f>
        <v>62</v>
      </c>
    </row>
    <row r="18" spans="1:5" s="18" customFormat="1" ht="28.5" customHeight="1" x14ac:dyDescent="0.2">
      <c r="A18" s="104" t="s">
        <v>134</v>
      </c>
      <c r="B18" s="86">
        <v>21</v>
      </c>
      <c r="C18" s="20">
        <v>2</v>
      </c>
      <c r="D18" s="20">
        <v>0</v>
      </c>
      <c r="E18" s="20">
        <f t="shared" ref="E18" si="6">(B18*C18)+D18</f>
        <v>42</v>
      </c>
    </row>
    <row r="19" spans="1:5" s="18" customFormat="1" ht="28.5" customHeight="1" x14ac:dyDescent="0.2">
      <c r="A19" s="104" t="s">
        <v>135</v>
      </c>
      <c r="B19" s="86">
        <v>31</v>
      </c>
      <c r="C19" s="20">
        <v>2</v>
      </c>
      <c r="D19" s="20">
        <v>0</v>
      </c>
      <c r="E19" s="20">
        <f t="shared" ref="E19" si="7">(B19*C19)+D19</f>
        <v>62</v>
      </c>
    </row>
    <row r="20" spans="1:5" s="18" customFormat="1" ht="28.5" customHeight="1" x14ac:dyDescent="0.2">
      <c r="A20" s="104" t="s">
        <v>136</v>
      </c>
      <c r="B20" s="86">
        <v>31</v>
      </c>
      <c r="C20" s="20">
        <v>2</v>
      </c>
      <c r="D20" s="20">
        <v>0</v>
      </c>
      <c r="E20" s="20">
        <f t="shared" ref="E20" si="8">(B20*C20)+D20</f>
        <v>62</v>
      </c>
    </row>
    <row r="21" spans="1:5" s="18" customFormat="1" ht="28.5" customHeight="1" x14ac:dyDescent="0.2">
      <c r="A21" s="104" t="s">
        <v>137</v>
      </c>
      <c r="B21" s="86">
        <v>31</v>
      </c>
      <c r="C21" s="20">
        <v>2</v>
      </c>
      <c r="D21" s="20">
        <v>0</v>
      </c>
      <c r="E21" s="20">
        <f t="shared" ref="E21" si="9">(B21*C21)+D21</f>
        <v>62</v>
      </c>
    </row>
    <row r="22" spans="1:5" s="18" customFormat="1" ht="12.75" x14ac:dyDescent="0.2">
      <c r="A22" s="104" t="s">
        <v>138</v>
      </c>
      <c r="B22" s="20">
        <f>'Table 1'!E19</f>
        <v>0</v>
      </c>
      <c r="C22" s="20">
        <v>1</v>
      </c>
      <c r="D22" s="20">
        <v>0</v>
      </c>
      <c r="E22" s="20">
        <f t="shared" si="0"/>
        <v>0</v>
      </c>
    </row>
    <row r="23" spans="1:5" s="18" customFormat="1" ht="12.75" x14ac:dyDescent="0.2">
      <c r="A23" s="21"/>
      <c r="B23" s="20"/>
      <c r="C23" s="20"/>
      <c r="D23" s="22" t="s">
        <v>50</v>
      </c>
      <c r="E23" s="76">
        <f>SUM(E4:E22)</f>
        <v>416.15</v>
      </c>
    </row>
    <row r="24" spans="1:5" s="18" customFormat="1" ht="9.75" customHeight="1" x14ac:dyDescent="0.2">
      <c r="A24" s="80"/>
      <c r="B24" s="81"/>
      <c r="C24" s="81"/>
      <c r="D24" s="82"/>
      <c r="E24" s="83"/>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2024-10-27T23:49:20+00:00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C600C7DC-226E-410F-8175-9E653A7E2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76DDD6-36D3-4A21-9AE1-AFDFB511F72B}">
  <ds:schemaRefs>
    <ds:schemaRef ds:uri="Microsoft.SharePoint.Taxonomy.ContentTypeSync"/>
  </ds:schemaRefs>
</ds:datastoreItem>
</file>

<file path=customXml/itemProps4.xml><?xml version="1.0" encoding="utf-8"?>
<ds:datastoreItem xmlns:ds="http://schemas.openxmlformats.org/officeDocument/2006/customXml" ds:itemID="{1788708A-52BB-4D0F-B232-80F9E123F193}">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1891fcec-84c2-4840-9468-b51a784ab0d1"/>
    <ds:schemaRef ds:uri="http://schemas.microsoft.com/office/2006/metadata/properties"/>
    <ds:schemaRef ds:uri="http://schemas.openxmlformats.org/package/2006/metadata/core-properties"/>
    <ds:schemaRef ds:uri="4d6aed1e-57d3-46e3-9aba-f706adbce63b"/>
    <ds:schemaRef ds:uri="http://purl.org/dc/elements/1.1/"/>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Schultz, Eric</cp:lastModifiedBy>
  <cp:revision/>
  <dcterms:created xsi:type="dcterms:W3CDTF">2018-07-19T14:57:42Z</dcterms:created>
  <dcterms:modified xsi:type="dcterms:W3CDTF">2025-02-24T05:04:37Z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Document Type">
    <vt:lpwstr/>
  </property>
</Properties>
</file>