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Tracy\ICRs - SPPD\FY2024\1781.10 Pharmaceutical Production NESHAP\Send to EPA\"/>
    </mc:Choice>
  </mc:AlternateContent>
  <xr:revisionPtr revIDLastSave="0" documentId="13_ncr:1_{EDA6DA28-9E28-4625-8943-9096957D6C29}" xr6:coauthVersionLast="47" xr6:coauthVersionMax="47" xr10:uidLastSave="{00000000-0000-0000-0000-000000000000}"/>
  <bookViews>
    <workbookView xWindow="-120" yWindow="-120" windowWidth="20730" windowHeight="1116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E5" i="3"/>
  <c r="B5" i="3"/>
  <c r="G5" i="3"/>
  <c r="F30" i="1" l="1"/>
  <c r="F38" i="1"/>
  <c r="I27" i="1"/>
  <c r="I7" i="1"/>
  <c r="B3" i="6" l="1"/>
  <c r="E16" i="5"/>
  <c r="E15" i="5"/>
  <c r="E14" i="5"/>
  <c r="E13" i="5"/>
  <c r="E12" i="5"/>
  <c r="E11" i="5"/>
  <c r="E10" i="5"/>
  <c r="E9" i="5"/>
  <c r="E8" i="5"/>
  <c r="E7" i="5"/>
  <c r="E6" i="5"/>
  <c r="E5" i="5"/>
  <c r="G6" i="3"/>
  <c r="D23" i="2"/>
  <c r="F23" i="2" s="1"/>
  <c r="D22" i="2"/>
  <c r="F22" i="2" s="1"/>
  <c r="D21" i="2"/>
  <c r="F21" i="2" s="1"/>
  <c r="D20" i="2"/>
  <c r="F20" i="2" s="1"/>
  <c r="D19" i="2"/>
  <c r="F19" i="2" s="1"/>
  <c r="D18" i="2"/>
  <c r="F18" i="2" s="1"/>
  <c r="D15" i="2"/>
  <c r="F15" i="2" s="1"/>
  <c r="D14" i="2"/>
  <c r="F14" i="2" s="1"/>
  <c r="D12" i="2"/>
  <c r="F12" i="2" s="1"/>
  <c r="D11" i="2"/>
  <c r="F11" i="2" s="1"/>
  <c r="D10" i="2"/>
  <c r="F10" i="2" s="1"/>
  <c r="D9" i="2"/>
  <c r="F9" i="2" s="1"/>
  <c r="D36" i="1"/>
  <c r="F36" i="1" s="1"/>
  <c r="D35" i="1"/>
  <c r="F35" i="1" s="1"/>
  <c r="D34" i="1"/>
  <c r="F34" i="1" s="1"/>
  <c r="D33" i="1"/>
  <c r="F33" i="1" s="1"/>
  <c r="D28" i="1"/>
  <c r="F28" i="1" s="1"/>
  <c r="D23" i="1"/>
  <c r="D21" i="1"/>
  <c r="F21" i="1" s="1"/>
  <c r="D18" i="1"/>
  <c r="F18" i="1" s="1"/>
  <c r="D20" i="1"/>
  <c r="F20" i="1" s="1"/>
  <c r="D13" i="1"/>
  <c r="F13" i="1" s="1"/>
  <c r="D7" i="1"/>
  <c r="F7" i="1" s="1"/>
  <c r="H23" i="2" l="1"/>
  <c r="G23" i="2"/>
  <c r="I23" i="2" s="1"/>
  <c r="H22" i="2"/>
  <c r="G22" i="2"/>
  <c r="H21" i="2"/>
  <c r="G21" i="2"/>
  <c r="I21" i="2"/>
  <c r="H20" i="2"/>
  <c r="G20" i="2"/>
  <c r="I20" i="2" s="1"/>
  <c r="G19" i="2"/>
  <c r="H19" i="2"/>
  <c r="G18" i="2"/>
  <c r="H18" i="2"/>
  <c r="I18" i="2" s="1"/>
  <c r="H15" i="2"/>
  <c r="G15" i="2"/>
  <c r="H14" i="2"/>
  <c r="I14" i="2" s="1"/>
  <c r="G14" i="2"/>
  <c r="H12" i="2"/>
  <c r="G12" i="2"/>
  <c r="F24" i="2" s="1"/>
  <c r="H11" i="2"/>
  <c r="G11" i="2"/>
  <c r="I11" i="2"/>
  <c r="H10" i="2"/>
  <c r="G10" i="2"/>
  <c r="I10" i="2"/>
  <c r="G9" i="2"/>
  <c r="H9" i="2"/>
  <c r="I9" i="2" s="1"/>
  <c r="H36" i="1"/>
  <c r="G36" i="1"/>
  <c r="I36" i="1" s="1"/>
  <c r="H35" i="1"/>
  <c r="G35" i="1"/>
  <c r="I35" i="1" s="1"/>
  <c r="H34" i="1"/>
  <c r="G34" i="1"/>
  <c r="H33" i="1"/>
  <c r="G33" i="1"/>
  <c r="I33" i="1"/>
  <c r="H28" i="1"/>
  <c r="G28" i="1"/>
  <c r="I28" i="1" s="1"/>
  <c r="G21" i="1"/>
  <c r="I21" i="1" s="1"/>
  <c r="H21" i="1"/>
  <c r="H18" i="1"/>
  <c r="G18" i="1"/>
  <c r="I18" i="1" s="1"/>
  <c r="H20" i="1"/>
  <c r="G20" i="1"/>
  <c r="H13" i="1"/>
  <c r="G13" i="1"/>
  <c r="H7" i="1"/>
  <c r="G7" i="1"/>
  <c r="I15" i="2" l="1"/>
  <c r="I12" i="2"/>
  <c r="I22" i="2"/>
  <c r="I19" i="2"/>
  <c r="I34" i="1"/>
  <c r="I20" i="1"/>
  <c r="I13" i="1"/>
  <c r="F8" i="4" l="1"/>
  <c r="E4" i="5"/>
  <c r="C8" i="4"/>
  <c r="B8" i="4"/>
  <c r="F7" i="4"/>
  <c r="F6" i="4"/>
  <c r="F5" i="4"/>
  <c r="D8" i="2"/>
  <c r="D12" i="1"/>
  <c r="D5" i="3"/>
  <c r="D16" i="1"/>
  <c r="F16" i="1" l="1"/>
  <c r="H16" i="1" s="1"/>
  <c r="G16" i="1" l="1"/>
  <c r="I16" i="1" s="1"/>
  <c r="D17" i="1" l="1"/>
  <c r="F17" i="1" s="1"/>
  <c r="D14" i="1"/>
  <c r="F14" i="1" s="1"/>
  <c r="H14" i="1" l="1"/>
  <c r="G14" i="1"/>
  <c r="H17" i="1"/>
  <c r="G17" i="1"/>
  <c r="I17" i="1" l="1"/>
  <c r="I14" i="1"/>
  <c r="D6" i="3" l="1"/>
  <c r="I6" i="3" l="1"/>
  <c r="B6" i="6" s="1"/>
  <c r="F12" i="1"/>
  <c r="F8" i="2"/>
  <c r="I40" i="1"/>
  <c r="G12" i="1" l="1"/>
  <c r="F39" i="1" s="1"/>
  <c r="H12" i="1"/>
  <c r="I12" i="1" s="1"/>
  <c r="G8" i="2"/>
  <c r="H8" i="2"/>
  <c r="E17" i="5"/>
  <c r="D6" i="2"/>
  <c r="D5" i="2"/>
  <c r="D32" i="1"/>
  <c r="D29" i="1"/>
  <c r="D27" i="1"/>
  <c r="F27" i="1" s="1"/>
  <c r="D26" i="1"/>
  <c r="F26" i="1" s="1"/>
  <c r="D24" i="1"/>
  <c r="F24" i="1" s="1"/>
  <c r="F23" i="1"/>
  <c r="D22" i="1"/>
  <c r="F22" i="1" s="1"/>
  <c r="D19" i="1"/>
  <c r="D11" i="1"/>
  <c r="F11" i="1" s="1"/>
  <c r="D10" i="1"/>
  <c r="F10" i="1" s="1"/>
  <c r="H10" i="1" s="1"/>
  <c r="B4" i="6" l="1"/>
  <c r="B2" i="6"/>
  <c r="F19" i="1"/>
  <c r="G19" i="1" s="1"/>
  <c r="I8" i="2"/>
  <c r="F29" i="1"/>
  <c r="G29" i="1" s="1"/>
  <c r="F32" i="1"/>
  <c r="H32" i="1" s="1"/>
  <c r="F6" i="2"/>
  <c r="H6" i="2" s="1"/>
  <c r="H26" i="1"/>
  <c r="H11" i="1"/>
  <c r="H23" i="1"/>
  <c r="H27" i="1"/>
  <c r="G27" i="1"/>
  <c r="H24" i="1"/>
  <c r="G24" i="1"/>
  <c r="H22" i="1"/>
  <c r="G22" i="1"/>
  <c r="G26" i="1"/>
  <c r="G23" i="1"/>
  <c r="G11" i="1"/>
  <c r="G10" i="1"/>
  <c r="I10" i="1" s="1"/>
  <c r="H19" i="1" l="1"/>
  <c r="I19" i="1" s="1"/>
  <c r="H29" i="1"/>
  <c r="I29" i="1" s="1"/>
  <c r="G32" i="1"/>
  <c r="I32" i="1" s="1"/>
  <c r="I38" i="1" s="1"/>
  <c r="I22" i="1"/>
  <c r="G6" i="2"/>
  <c r="I11" i="1"/>
  <c r="I23" i="1"/>
  <c r="I24" i="1"/>
  <c r="I26" i="1"/>
  <c r="I30" i="1" l="1"/>
  <c r="I39" i="1" s="1"/>
  <c r="I6" i="2"/>
  <c r="F5" i="2" l="1"/>
  <c r="G5" i="2" l="1"/>
  <c r="H5" i="2"/>
  <c r="I41" i="1" l="1"/>
  <c r="B5" i="6" s="1"/>
  <c r="I5" i="2"/>
  <c r="I24" i="2" s="1"/>
</calcChain>
</file>

<file path=xl/sharedStrings.xml><?xml version="1.0" encoding="utf-8"?>
<sst xmlns="http://schemas.openxmlformats.org/spreadsheetml/2006/main" count="189" uniqueCount="170">
  <si>
    <t>ICR Summary Information</t>
  </si>
  <si>
    <t>Number of Respondents</t>
  </si>
  <si>
    <t>Total Estimated Burden Hours</t>
  </si>
  <si>
    <t>Total Estimated Costs</t>
  </si>
  <si>
    <t>Annualized Capital O&amp;M</t>
  </si>
  <si>
    <t>Form Number</t>
  </si>
  <si>
    <t>Not Applicable</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</si>
  <si>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</si>
  <si>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</si>
  <si>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</si>
  <si>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</si>
  <si>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</si>
  <si>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</si>
  <si>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</si>
  <si>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</si>
  <si>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</si>
  <si>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</si>
  <si>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</si>
  <si>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</si>
  <si>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</si>
  <si>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Subtotal for Reporting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</si>
  <si>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</si>
  <si>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</si>
  <si>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</si>
  <si>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</si>
  <si>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</si>
  <si>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</si>
  <si>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</si>
  <si>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</si>
  <si>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</si>
  <si>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</si>
  <si>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</si>
  <si>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</si>
  <si>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</si>
  <si>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</si>
  <si>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</si>
  <si>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</si>
  <si>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</si>
  <si>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</si>
  <si>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</si>
  <si>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</si>
  <si>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</si>
  <si>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Total Capital/Startup Cost,  (B X C)</t>
  </si>
  <si>
    <t>Total O&amp;M, 
(E X F)</t>
  </si>
  <si>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</si>
  <si>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</si>
  <si>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</si>
  <si>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</si>
  <si>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</si>
  <si>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</si>
  <si>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compliance status</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</si>
  <si>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</si>
  <si>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</si>
  <si>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</si>
  <si>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</si>
  <si>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</si>
  <si>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</si>
  <si>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</si>
  <si>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</si>
  <si>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</si>
  <si>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</si>
  <si>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1. Applications</t>
  </si>
  <si>
    <t xml:space="preserve">2. Surveys and studies </t>
  </si>
  <si>
    <t>3. Reporting Requirements</t>
  </si>
  <si>
    <t>A. Familiarization with Regulatory Requirements</t>
  </si>
  <si>
    <t>B. Required Activities</t>
  </si>
  <si>
    <r>
      <t xml:space="preserve">i. Initial Performance Tests </t>
    </r>
    <r>
      <rPr>
        <vertAlign val="superscript"/>
        <sz val="11"/>
        <rFont val="Times New Roman"/>
        <family val="1"/>
      </rPr>
      <t>c</t>
    </r>
  </si>
  <si>
    <t>New</t>
  </si>
  <si>
    <t>Reconstructed</t>
  </si>
  <si>
    <t>Wastewater</t>
  </si>
  <si>
    <r>
      <t xml:space="preserve">ii. Quality control plan for CMS </t>
    </r>
    <r>
      <rPr>
        <vertAlign val="superscript"/>
        <sz val="11"/>
        <rFont val="Times New Roman"/>
        <family val="1"/>
      </rPr>
      <t>c</t>
    </r>
  </si>
  <si>
    <r>
      <t xml:space="preserve">iii. Repeat performance test </t>
    </r>
    <r>
      <rPr>
        <vertAlign val="superscript"/>
        <sz val="11"/>
        <rFont val="Times New Roman"/>
        <family val="1"/>
      </rPr>
      <t>d</t>
    </r>
  </si>
  <si>
    <t>C. Write reports</t>
  </si>
  <si>
    <r>
      <t xml:space="preserve">i. Notification of construction/reconstruction </t>
    </r>
    <r>
      <rPr>
        <vertAlign val="superscript"/>
        <sz val="11"/>
        <rFont val="Times New Roman"/>
        <family val="1"/>
      </rPr>
      <t>c</t>
    </r>
  </si>
  <si>
    <r>
      <t xml:space="preserve">ii. Notification of physical or operational changes </t>
    </r>
    <r>
      <rPr>
        <vertAlign val="superscript"/>
        <sz val="11"/>
        <rFont val="Times New Roman"/>
        <family val="1"/>
      </rPr>
      <t>c, e</t>
    </r>
  </si>
  <si>
    <r>
      <t xml:space="preserve">iii. Notification of actual startup </t>
    </r>
    <r>
      <rPr>
        <vertAlign val="superscript"/>
        <sz val="11"/>
        <rFont val="Times New Roman"/>
        <family val="1"/>
      </rPr>
      <t>c</t>
    </r>
  </si>
  <si>
    <r>
      <t xml:space="preserve">iv. Notification of initial performance test </t>
    </r>
    <r>
      <rPr>
        <vertAlign val="superscript"/>
        <sz val="11"/>
        <rFont val="Times New Roman"/>
        <family val="1"/>
      </rPr>
      <t>c</t>
    </r>
  </si>
  <si>
    <r>
      <t xml:space="preserve">v. Notification of applicability </t>
    </r>
    <r>
      <rPr>
        <vertAlign val="superscript"/>
        <sz val="11"/>
        <rFont val="Times New Roman"/>
        <family val="1"/>
      </rPr>
      <t>c</t>
    </r>
  </si>
  <si>
    <r>
      <t xml:space="preserve">vi. Notification of demonstration of CMS </t>
    </r>
    <r>
      <rPr>
        <vertAlign val="superscript"/>
        <sz val="11"/>
        <rFont val="Times New Roman"/>
        <family val="1"/>
      </rPr>
      <t>c</t>
    </r>
  </si>
  <si>
    <r>
      <t xml:space="preserve">vii. Notification of compliance status </t>
    </r>
    <r>
      <rPr>
        <vertAlign val="superscript"/>
        <sz val="11"/>
        <rFont val="Times New Roman"/>
        <family val="1"/>
      </rPr>
      <t>c</t>
    </r>
  </si>
  <si>
    <r>
      <t xml:space="preserve">viii. Pre-compliance report (with and without emission averaging implementation plan) </t>
    </r>
    <r>
      <rPr>
        <vertAlign val="superscript"/>
        <sz val="11"/>
        <rFont val="Times New Roman"/>
        <family val="1"/>
      </rPr>
      <t>c</t>
    </r>
  </si>
  <si>
    <r>
      <t xml:space="preserve">ix. Malfunction report </t>
    </r>
    <r>
      <rPr>
        <vertAlign val="superscript"/>
        <sz val="11"/>
        <rFont val="Times New Roman"/>
        <family val="1"/>
      </rPr>
      <t>f</t>
    </r>
  </si>
  <si>
    <t>x. Semiannual summary report</t>
  </si>
  <si>
    <r>
      <t xml:space="preserve">a. No deviations </t>
    </r>
    <r>
      <rPr>
        <vertAlign val="superscript"/>
        <sz val="11"/>
        <rFont val="Times New Roman"/>
        <family val="1"/>
      </rPr>
      <t>g</t>
    </r>
  </si>
  <si>
    <r>
      <t xml:space="preserve">b. Deviations </t>
    </r>
    <r>
      <rPr>
        <vertAlign val="superscript"/>
        <sz val="11"/>
        <rFont val="Times New Roman"/>
        <family val="1"/>
      </rPr>
      <t>h</t>
    </r>
  </si>
  <si>
    <r>
      <t xml:space="preserve">xi. Leak detection and repair (LDAR) report </t>
    </r>
    <r>
      <rPr>
        <vertAlign val="superscript"/>
        <sz val="11"/>
        <rFont val="Times New Roman"/>
        <family val="1"/>
      </rPr>
      <t>i</t>
    </r>
  </si>
  <si>
    <r>
      <t xml:space="preserve">xii. Emissions averaging report </t>
    </r>
    <r>
      <rPr>
        <vertAlign val="superscript"/>
        <sz val="11"/>
        <rFont val="Times New Roman"/>
        <family val="1"/>
      </rPr>
      <t>j</t>
    </r>
  </si>
  <si>
    <t>4. Recordkeeping requirements</t>
  </si>
  <si>
    <t>A. Develop record system</t>
  </si>
  <si>
    <t>B. Train personnel</t>
  </si>
  <si>
    <r>
      <t xml:space="preserve">C. Records for operating parameters for control devices </t>
    </r>
    <r>
      <rPr>
        <vertAlign val="superscript"/>
        <sz val="11"/>
        <rFont val="Times New Roman"/>
        <family val="1"/>
      </rPr>
      <t>k</t>
    </r>
  </si>
  <si>
    <r>
      <t xml:space="preserve">D. Records of malfunctions </t>
    </r>
    <r>
      <rPr>
        <vertAlign val="superscript"/>
        <sz val="11"/>
        <rFont val="Times New Roman"/>
        <family val="1"/>
      </rPr>
      <t>l</t>
    </r>
  </si>
  <si>
    <r>
      <t xml:space="preserve">E. Calibration of CMS </t>
    </r>
    <r>
      <rPr>
        <vertAlign val="superscript"/>
        <sz val="11"/>
        <rFont val="Times New Roman"/>
        <family val="1"/>
      </rPr>
      <t>m</t>
    </r>
  </si>
  <si>
    <t>F. LDAR</t>
  </si>
  <si>
    <t>N/A</t>
  </si>
  <si>
    <t>See 3C</t>
  </si>
  <si>
    <r>
      <t>a</t>
    </r>
    <r>
      <rPr>
        <sz val="10"/>
        <rFont val="Times New Roman"/>
        <family val="1"/>
      </rPr>
      <t xml:space="preserve">  We have assumed that the annual average number of respondents that will be subject to this rule will be 27.  There will be no new additional sources during the next three years of this ICR.</t>
    </r>
  </si>
  <si>
    <r>
      <t>c</t>
    </r>
    <r>
      <rPr>
        <sz val="10"/>
        <rFont val="Times New Roman"/>
        <family val="1"/>
      </rPr>
      <t xml:space="preserve">  We have assumed that there will be no new or reconstructed facilities during the next three years of this ICR, and these one-time initial requirements do not apply; however, the ICR estimates that all existing sources will have changes in their operations</t>
    </r>
    <r>
      <rPr>
        <vertAlign val="superscript"/>
        <sz val="10"/>
        <rFont val="Times New Roman"/>
        <family val="1"/>
      </rPr>
      <t>.</t>
    </r>
  </si>
  <si>
    <r>
      <t>d</t>
    </r>
    <r>
      <rPr>
        <sz val="10"/>
        <rFont val="Times New Roman"/>
        <family val="1"/>
      </rPr>
      <t xml:space="preserve">  We have assumed that 20 percent of new respondents would have to repeat initial performance tests due to failure. Since there are no new respondents estimated, no one is assumed to conduct a repeat test.</t>
    </r>
  </si>
  <si>
    <r>
      <t>e</t>
    </r>
    <r>
      <rPr>
        <sz val="10"/>
        <rFont val="Times New Roman"/>
        <family val="1"/>
      </rPr>
      <t xml:space="preserve">  We have assumed that each source will require an average of three processing changes each year over the next three years of this ICR.</t>
    </r>
  </si>
  <si>
    <r>
      <t>f</t>
    </r>
    <r>
      <rPr>
        <sz val="10"/>
        <rFont val="Times New Roman"/>
        <family val="1"/>
      </rPr>
      <t xml:space="preserve">  We have assumed that each respondent will take 40 hours two times per year to complete the startup, shutdown, malfunction reports.</t>
    </r>
  </si>
  <si>
    <r>
      <t>g</t>
    </r>
    <r>
      <rPr>
        <sz val="10"/>
        <rFont val="Times New Roman"/>
        <family val="1"/>
      </rPr>
      <t xml:space="preserve">  We have assumed that 90 percent of respondents will each take eight hours two times per year to complete the no deviation report.</t>
    </r>
  </si>
  <si>
    <r>
      <t>h</t>
    </r>
    <r>
      <rPr>
        <sz val="10"/>
        <rFont val="Times New Roman"/>
        <family val="1"/>
      </rPr>
      <t xml:space="preserve">  We have assumed that 10 percent of respondents will each take 24 hours two times per year to complete the deviation report.</t>
    </r>
  </si>
  <si>
    <r>
      <t>i</t>
    </r>
    <r>
      <rPr>
        <sz val="10"/>
        <rFont val="Times New Roman"/>
        <family val="1"/>
      </rPr>
      <t xml:space="preserve">  We have assumed that it will take each respondent 432 hours two times per year to complete the LDAR report.</t>
    </r>
  </si>
  <si>
    <r>
      <t>j</t>
    </r>
    <r>
      <rPr>
        <sz val="10"/>
        <rFont val="Times New Roman"/>
        <family val="1"/>
      </rPr>
      <t xml:space="preserve">  We have assumed that ten percent of respondents will each take 20 hours two times per year to complete the emissions averaging report.</t>
    </r>
  </si>
  <si>
    <r>
      <t>k</t>
    </r>
    <r>
      <rPr>
        <sz val="10"/>
        <rFont val="Times New Roman"/>
        <family val="1"/>
      </rPr>
      <t xml:space="preserve">  We have assumed that it will take each respondent 1 hour 365 times per year to record the operating parameters for control devices.</t>
    </r>
  </si>
  <si>
    <r>
      <t>l</t>
    </r>
    <r>
      <rPr>
        <sz val="10"/>
        <rFont val="Times New Roman"/>
        <family val="1"/>
      </rPr>
      <t xml:space="preserve">  We have assumed that it will take each respondent 2 hours 26 times per year to record the occurrence and duration of each malfunction.</t>
    </r>
  </si>
  <si>
    <r>
      <t>m</t>
    </r>
    <r>
      <rPr>
        <sz val="10"/>
        <rFont val="Times New Roman"/>
        <family val="1"/>
      </rPr>
      <t xml:space="preserve">  We have assumed that it will take each respondent 16 hours one time per year to record the calibration of CMS. 
</t>
    </r>
    <r>
      <rPr>
        <vertAlign val="superscript"/>
        <sz val="10"/>
        <color theme="1"/>
        <rFont val="Times New Roman"/>
        <family val="1"/>
      </rPr>
      <t/>
    </r>
  </si>
  <si>
    <r>
      <rPr>
        <vertAlign val="superscript"/>
        <sz val="10"/>
        <rFont val="Times New Roman"/>
        <family val="1"/>
      </rPr>
      <t xml:space="preserve">n  </t>
    </r>
    <r>
      <rPr>
        <sz val="10"/>
        <rFont val="Times New Roman"/>
        <family val="1"/>
      </rPr>
      <t>Totals have been rounded to 3 significant figures. Figures may not add exactly due to rounding.</t>
    </r>
  </si>
  <si>
    <r>
      <t xml:space="preserve">Total Labor Burden and Costs (rounded) </t>
    </r>
    <r>
      <rPr>
        <b/>
        <vertAlign val="superscript"/>
        <sz val="10"/>
        <rFont val="Times New Roman"/>
        <family val="1"/>
      </rPr>
      <t>n</t>
    </r>
  </si>
  <si>
    <r>
      <t>Total Capital and O&amp;M Cost (rounded)</t>
    </r>
    <r>
      <rPr>
        <b/>
        <vertAlign val="superscript"/>
        <sz val="10"/>
        <rFont val="Times New Roman"/>
        <family val="1"/>
      </rPr>
      <t xml:space="preserve"> n</t>
    </r>
  </si>
  <si>
    <r>
      <t xml:space="preserve">GRAND TOTAL (rounded) </t>
    </r>
    <r>
      <rPr>
        <b/>
        <vertAlign val="superscript"/>
        <sz val="10"/>
        <rFont val="Times New Roman"/>
        <family val="1"/>
      </rPr>
      <t>n</t>
    </r>
  </si>
  <si>
    <t>1. Required activities</t>
  </si>
  <si>
    <r>
      <t xml:space="preserve">i. Initial performance tests </t>
    </r>
    <r>
      <rPr>
        <vertAlign val="superscript"/>
        <sz val="11"/>
        <rFont val="Times New Roman"/>
        <family val="1"/>
      </rPr>
      <t>c</t>
    </r>
  </si>
  <si>
    <r>
      <t xml:space="preserve">ii. Repeat performance test </t>
    </r>
    <r>
      <rPr>
        <vertAlign val="superscript"/>
        <sz val="11"/>
        <rFont val="Times New Roman"/>
        <family val="1"/>
      </rPr>
      <t>d</t>
    </r>
  </si>
  <si>
    <r>
      <t xml:space="preserve">2. Report review - one time </t>
    </r>
    <r>
      <rPr>
        <vertAlign val="superscript"/>
        <sz val="11"/>
        <rFont val="Times New Roman"/>
        <family val="1"/>
      </rPr>
      <t>c</t>
    </r>
  </si>
  <si>
    <t xml:space="preserve">i. Notification of construction/reconstruction </t>
  </si>
  <si>
    <t>ii. Notification of actual startup</t>
  </si>
  <si>
    <t>iii. Notification of demonstration of CMS</t>
  </si>
  <si>
    <t>iv. Initial notification of applicability</t>
  </si>
  <si>
    <t>v. Notification of compliance status report</t>
  </si>
  <si>
    <r>
      <t xml:space="preserve">vi. Pre-compliance report </t>
    </r>
    <r>
      <rPr>
        <vertAlign val="superscript"/>
        <sz val="11"/>
        <rFont val="Times New Roman"/>
        <family val="1"/>
      </rPr>
      <t>e</t>
    </r>
  </si>
  <si>
    <r>
      <t xml:space="preserve">a. With emissions averaging </t>
    </r>
    <r>
      <rPr>
        <vertAlign val="superscript"/>
        <sz val="11"/>
        <rFont val="Times New Roman"/>
        <family val="1"/>
      </rPr>
      <t>f</t>
    </r>
  </si>
  <si>
    <t>b. Without emissions averaging</t>
  </si>
  <si>
    <t>3. Report review - on-going</t>
  </si>
  <si>
    <t>i. Semiannual summary report</t>
  </si>
  <si>
    <r>
      <t xml:space="preserve">ii. Notification of physical or operational changes </t>
    </r>
    <r>
      <rPr>
        <vertAlign val="superscript"/>
        <sz val="11"/>
        <rFont val="Times New Roman"/>
        <family val="1"/>
      </rPr>
      <t>i</t>
    </r>
  </si>
  <si>
    <r>
      <t xml:space="preserve">iii. Malfunction </t>
    </r>
    <r>
      <rPr>
        <vertAlign val="superscript"/>
        <sz val="11"/>
        <rFont val="Times New Roman"/>
        <family val="1"/>
      </rPr>
      <t>j</t>
    </r>
  </si>
  <si>
    <r>
      <t xml:space="preserve">iv. Leak detection and repair (LDAR) report </t>
    </r>
    <r>
      <rPr>
        <vertAlign val="superscript"/>
        <sz val="11"/>
        <rFont val="Times New Roman"/>
        <family val="1"/>
      </rPr>
      <t>k</t>
    </r>
  </si>
  <si>
    <r>
      <t xml:space="preserve">v. Emissions averaging report </t>
    </r>
    <r>
      <rPr>
        <vertAlign val="superscript"/>
        <sz val="11"/>
        <rFont val="Times New Roman"/>
        <family val="1"/>
      </rPr>
      <t>l</t>
    </r>
  </si>
  <si>
    <r>
      <t xml:space="preserve">TOTAL (rounded) </t>
    </r>
    <r>
      <rPr>
        <b/>
        <vertAlign val="superscript"/>
        <sz val="10"/>
        <rFont val="Times New Roman"/>
        <family val="1"/>
      </rPr>
      <t>m</t>
    </r>
  </si>
  <si>
    <r>
      <t>a</t>
    </r>
    <r>
      <rPr>
        <sz val="10"/>
        <rFont val="Times New Roman"/>
        <family val="1"/>
      </rPr>
      <t xml:space="preserve">  We have assumed that the average number of respondents that will be subject to this rule will be 27.  There will be no new additional sources during the next three years of this ICR.</t>
    </r>
  </si>
  <si>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</si>
  <si>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t>c</t>
    </r>
    <r>
      <rPr>
        <sz val="10"/>
        <rFont val="Times New Roman"/>
        <family val="1"/>
      </rPr>
      <t xml:space="preserve">  We have assumed that there will be no new or reconstructed facilities during the next three years of this ICR, and these one-time initial requirements do not apply.</t>
    </r>
  </si>
  <si>
    <r>
      <t>d</t>
    </r>
    <r>
      <rPr>
        <sz val="10"/>
        <rFont val="Times New Roman"/>
        <family val="1"/>
      </rPr>
      <t xml:space="preserve">  We have assumed that 20 percent of respondents would have to repeat performance tests due to failure.</t>
    </r>
    <r>
      <rPr>
        <vertAlign val="superscript"/>
        <sz val="10"/>
        <rFont val="Times New Roman"/>
        <family val="1"/>
      </rPr>
      <t xml:space="preserve"> </t>
    </r>
    <r>
      <rPr>
        <sz val="10"/>
        <rFont val="Times New Roman"/>
        <family val="1"/>
      </rPr>
      <t>Since there are no new respondents estimated, no one is assumed to conduct a repeat test.</t>
    </r>
  </si>
  <si>
    <r>
      <t>e</t>
    </r>
    <r>
      <rPr>
        <sz val="10"/>
        <rFont val="Times New Roman"/>
        <family val="1"/>
      </rPr>
      <t xml:space="preserve">  We have assumed that 50 percent of new facilities will submit a pre-compliance report.</t>
    </r>
  </si>
  <si>
    <r>
      <t>f</t>
    </r>
    <r>
      <rPr>
        <sz val="10"/>
        <rFont val="Times New Roman"/>
        <family val="1"/>
      </rPr>
      <t xml:space="preserve">  We have assumed that 10 percent of existing facilities will have to comply with emission averaging requirements; however, this is a one-time requirement; new facilities are not allowed to use emissions averaging. </t>
    </r>
  </si>
  <si>
    <r>
      <t>g</t>
    </r>
    <r>
      <rPr>
        <sz val="10"/>
        <rFont val="Times New Roman"/>
        <family val="1"/>
      </rPr>
      <t xml:space="preserve">  We have assumed that 90 percent of respondents will report no deviations.</t>
    </r>
  </si>
  <si>
    <r>
      <t>h</t>
    </r>
    <r>
      <rPr>
        <sz val="10"/>
        <rFont val="Times New Roman"/>
        <family val="1"/>
      </rPr>
      <t xml:space="preserve">  We have assumed that 10 percent of respondents will have to report deviations.</t>
    </r>
  </si>
  <si>
    <r>
      <t>i</t>
    </r>
    <r>
      <rPr>
        <sz val="10"/>
        <rFont val="Times New Roman"/>
        <family val="1"/>
      </rPr>
      <t xml:space="preserve">  We have assumed that each respondent will be required to submit the physical/operational changes three times per year over the next three-year period of this ICR.</t>
    </r>
  </si>
  <si>
    <r>
      <t>j</t>
    </r>
    <r>
      <rPr>
        <sz val="10"/>
        <rFont val="Times New Roman"/>
        <family val="1"/>
      </rPr>
      <t xml:space="preserve">  We have assumed that each respondent will report actions on malfunction that are consistent.</t>
    </r>
  </si>
  <si>
    <r>
      <t>k</t>
    </r>
    <r>
      <rPr>
        <sz val="10"/>
        <rFont val="Times New Roman"/>
        <family val="1"/>
      </rPr>
      <t xml:space="preserve">  We have assumed that each respondent will have to comply with the LDAR report two times per year.</t>
    </r>
  </si>
  <si>
    <r>
      <t>l</t>
    </r>
    <r>
      <rPr>
        <sz val="10"/>
        <rFont val="Times New Roman"/>
        <family val="1"/>
      </rPr>
      <t xml:space="preserve">  We have assumed that 10 percent of respondents will submit the emission averaging report.</t>
    </r>
  </si>
  <si>
    <r>
      <rPr>
        <vertAlign val="superscript"/>
        <sz val="10"/>
        <rFont val="Times New Roman"/>
        <family val="1"/>
      </rPr>
      <t xml:space="preserve">m  </t>
    </r>
    <r>
      <rPr>
        <sz val="10"/>
        <rFont val="Times New Roman"/>
        <family val="1"/>
      </rPr>
      <t>Totals have been rounded to 3 significant figures. Figures may not add exactly due to rounding.</t>
    </r>
  </si>
  <si>
    <t>Table 1: Annual Respondent Burden and Cost – NESHAP for Pharmaceuticals Production (40 CFR Part 63, Subpart GGG) (Renewal)</t>
  </si>
  <si>
    <t>Table 2: Average Annual EPA Burden and Cost – NESHAP for Pharmaceuticals Production (40 CFR Part 63, Subpart GGG) (Renewal)</t>
  </si>
  <si>
    <t>Data-logger and Thermocouple</t>
  </si>
  <si>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a</t>
    </r>
  </si>
  <si>
    <r>
      <rPr>
        <vertAlign val="superscript"/>
        <sz val="10"/>
        <color rgb="FF000000"/>
        <rFont val="Times New Roman"/>
        <family val="1"/>
      </rPr>
      <t>a</t>
    </r>
    <r>
      <rPr>
        <sz val="10"/>
        <color rgb="FF000000"/>
        <rFont val="Times New Roman"/>
        <family val="1"/>
      </rPr>
      <t xml:space="preserve"> Totals have been rounded to 3 significant digits. Figures may not add exactly due to rounding. </t>
    </r>
  </si>
  <si>
    <t>Notification of construction/reconstruction</t>
  </si>
  <si>
    <t>Notification of physical or operational changes</t>
  </si>
  <si>
    <t>Notification of actual startup</t>
  </si>
  <si>
    <t>Notification of initial performance test</t>
  </si>
  <si>
    <t>Notification of applicability</t>
  </si>
  <si>
    <t>Notification of demonstration of CMS</t>
  </si>
  <si>
    <t>Pre-compliance report (emission averaging)</t>
  </si>
  <si>
    <t>Malfunction report</t>
  </si>
  <si>
    <t>Semiannual report - No deviations</t>
  </si>
  <si>
    <t>Semiannual report - Deviations</t>
  </si>
  <si>
    <t>LDAR report</t>
  </si>
  <si>
    <t>Emissions averaging report</t>
  </si>
  <si>
    <r>
      <t xml:space="preserve">a </t>
    </r>
    <r>
      <rPr>
        <sz val="10"/>
        <color rgb="FF000000"/>
        <rFont val="Times New Roman"/>
        <family val="1"/>
      </rPr>
      <t xml:space="preserve">  New respondents include sources with constructed, reconstructed, and modified affected facilities.</t>
    </r>
  </si>
  <si>
    <r>
      <t>b</t>
    </r>
    <r>
      <rPr>
        <sz val="10"/>
        <rFont val="Times New Roman"/>
        <family val="1"/>
      </rPr>
      <t xml:space="preserve">  Assume that capital/startup costs for a new data-logger and Thermocouple is $6,240. Capital costs have been increased from 2007 to 2022 $ using the CEPCI Equipment Cost Index.</t>
    </r>
  </si>
  <si>
    <r>
      <t>c</t>
    </r>
    <r>
      <rPr>
        <sz val="10"/>
        <rFont val="Times New Roman"/>
        <family val="1"/>
      </rPr>
      <t xml:space="preserve">  Assume that the annual O&amp;M costs of the sulfur CEMS and control outlet is $5,897. Costs have been increased from 2007 to 2022 $ using the CEPCI Equipment Cost Index.</t>
    </r>
  </si>
  <si>
    <r>
      <t xml:space="preserve">Capital/Startup Cost for One Respondent </t>
    </r>
    <r>
      <rPr>
        <b/>
        <vertAlign val="superscript"/>
        <sz val="10"/>
        <color theme="1"/>
        <rFont val="Times New Roman"/>
        <family val="1"/>
      </rPr>
      <t>b</t>
    </r>
  </si>
  <si>
    <r>
      <t>Number of Respondents with O&amp;M</t>
    </r>
    <r>
      <rPr>
        <b/>
        <vertAlign val="superscript"/>
        <sz val="10"/>
        <color theme="1"/>
        <rFont val="Times New Roman"/>
        <family val="1"/>
      </rPr>
      <t xml:space="preserve"> </t>
    </r>
  </si>
  <si>
    <r>
      <t xml:space="preserve">Annual O&amp;M Costs for One Respondent </t>
    </r>
    <r>
      <rPr>
        <b/>
        <vertAlign val="superscript"/>
        <sz val="10"/>
        <color theme="1"/>
        <rFont val="Times New Roman"/>
        <family val="1"/>
      </rPr>
      <t>c</t>
    </r>
  </si>
  <si>
    <t xml:space="preserve">Number of New  Respondents </t>
  </si>
  <si>
    <r>
      <t>b</t>
    </r>
    <r>
      <rPr>
        <sz val="10"/>
        <color rgb="FF000000"/>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</si>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</sst>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43" formatCode="_(* #,##0.00_);_(* \(#,##0.00\);_(* &quot;-&quot;??_);_(@_)"/>
    <numFmt numFmtId="164" formatCode="General_)"/>
    <numFmt numFmtId="165" formatCode="&quot;$&quot;#,##0.00"/>
    <numFmt numFmtId="166" formatCode="&quot;$&quot;#,##0"/>
    <numFmt numFmtId="167" formatCode="0.0"/>
  </numFmts>
  <fonts count="33"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sz val="11"/>
      <color theme="1"/>
      <name val="Calibri"/>
      <family val="2"/>
      <scheme val="minor"/>
    </font>
    <font>
      <sz val="11"/>
      <name val="Times New Roman"/>
      <family val="1"/>
    </font>
    <font>
      <vertAlign val="superscript"/>
      <sz val="11"/>
      <name val="Times New Roman"/>
      <family val="1"/>
    </font>
    <font>
      <b/>
      <i/>
      <sz val="11"/>
      <name val="Times New Roman"/>
      <family val="1"/>
    </font>
    <font>
      <vertAlign val="superscript"/>
      <sz val="12"/>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164" fontId="10" fillId="0" borderId="0"/>
    <xf numFmtId="43" fontId="28" fillId="0" borderId="0" applyFont="0" applyFill="0" applyBorder="0" applyAlignment="0" applyProtection="0"/>
  </cellStyleXfs>
  <cellXfs count="132">
    <xf numFmtId="0" fontId="0" fillId="0" borderId="0" xfId="0"/>
    <xf numFmtId="0" fontId="2" fillId="0" borderId="0" xfId="0" applyFont="1"/>
    <xf numFmtId="0" fontId="2" fillId="0" borderId="1" xfId="0" applyFont="1" applyBorder="1" applyAlignment="1">
      <alignment horizontal="center" wrapText="1"/>
    </xf>
    <xf numFmtId="0" fontId="8" fillId="0" borderId="0" xfId="0" applyFont="1"/>
    <xf numFmtId="164" fontId="12"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9" fillId="0" borderId="0" xfId="0" applyFont="1"/>
    <xf numFmtId="0" fontId="2" fillId="0" borderId="0" xfId="0" applyFont="1" applyAlignment="1">
      <alignment horizontal="right"/>
    </xf>
    <xf numFmtId="0" fontId="8" fillId="0" borderId="0" xfId="0" applyFont="1" applyAlignment="1">
      <alignment wrapText="1"/>
    </xf>
    <xf numFmtId="0" fontId="9" fillId="0" borderId="1" xfId="0" applyFont="1" applyBorder="1" applyAlignment="1">
      <alignment horizontal="center" wrapText="1"/>
    </xf>
    <xf numFmtId="8" fontId="9" fillId="0" borderId="1" xfId="0" applyNumberFormat="1" applyFont="1" applyBorder="1" applyAlignment="1">
      <alignment horizontal="right" wrapText="1"/>
    </xf>
    <xf numFmtId="6" fontId="20" fillId="0" borderId="2" xfId="0" applyNumberFormat="1" applyFont="1" applyBorder="1" applyAlignment="1">
      <alignment horizontal="right" wrapText="1"/>
    </xf>
    <xf numFmtId="0" fontId="17" fillId="0" borderId="0" xfId="0" applyFont="1"/>
    <xf numFmtId="0" fontId="14" fillId="0" borderId="1" xfId="0" applyFont="1" applyBorder="1"/>
    <xf numFmtId="41" fontId="17" fillId="0" borderId="0" xfId="0" applyNumberFormat="1" applyFont="1"/>
    <xf numFmtId="41" fontId="17" fillId="0" borderId="5" xfId="0" applyNumberFormat="1" applyFont="1" applyBorder="1"/>
    <xf numFmtId="164" fontId="12" fillId="0" borderId="0" xfId="1" applyFont="1" applyAlignment="1">
      <alignment wrapText="1"/>
    </xf>
    <xf numFmtId="0" fontId="23"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16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9" fillId="0" borderId="1" xfId="0" applyFont="1" applyBorder="1" applyAlignment="1">
      <alignment horizontal="right" wrapText="1"/>
    </xf>
    <xf numFmtId="3" fontId="2" fillId="0" borderId="0" xfId="0" applyNumberFormat="1" applyFont="1"/>
    <xf numFmtId="0" fontId="3" fillId="0" borderId="0" xfId="0" applyFont="1"/>
    <xf numFmtId="0" fontId="24" fillId="0" borderId="0" xfId="0" applyFont="1" applyAlignment="1">
      <alignment vertical="top" wrapText="1"/>
    </xf>
    <xf numFmtId="41" fontId="9" fillId="0" borderId="0" xfId="0" applyNumberFormat="1" applyFont="1"/>
    <xf numFmtId="6" fontId="9" fillId="0" borderId="1" xfId="0" applyNumberFormat="1" applyFont="1" applyBorder="1" applyAlignment="1">
      <alignment horizontal="right" wrapText="1"/>
    </xf>
    <xf numFmtId="0" fontId="11" fillId="0" borderId="1" xfId="0" applyFont="1" applyBorder="1" applyAlignment="1">
      <alignment wrapText="1"/>
    </xf>
    <xf numFmtId="3" fontId="8" fillId="0" borderId="0" xfId="0" applyNumberFormat="1" applyFont="1"/>
    <xf numFmtId="0" fontId="21"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0" fontId="14" fillId="0" borderId="0" xfId="0" applyFont="1" applyAlignment="1">
      <alignment vertical="top"/>
    </xf>
    <xf numFmtId="0" fontId="20" fillId="0" borderId="1" xfId="0" applyFont="1" applyBorder="1" applyAlignment="1">
      <alignment vertical="top" wrapText="1"/>
    </xf>
    <xf numFmtId="3" fontId="2" fillId="0" borderId="1" xfId="0" applyNumberFormat="1" applyFont="1" applyBorder="1" applyAlignment="1">
      <alignment horizontal="center" vertical="center" wrapText="1"/>
    </xf>
    <xf numFmtId="3" fontId="9" fillId="0" borderId="1" xfId="0" applyNumberFormat="1" applyFont="1" applyBorder="1" applyAlignment="1">
      <alignment horizontal="center" wrapText="1"/>
    </xf>
    <xf numFmtId="164" fontId="8" fillId="0" borderId="0" xfId="1" applyFont="1" applyAlignment="1">
      <alignment vertical="center"/>
    </xf>
    <xf numFmtId="164" fontId="8" fillId="0" borderId="0" xfId="1" applyFont="1"/>
    <xf numFmtId="0" fontId="26" fillId="0" borderId="0" xfId="0" applyFont="1" applyAlignment="1">
      <alignment vertical="center" wrapText="1"/>
    </xf>
    <xf numFmtId="0" fontId="27" fillId="0" borderId="0" xfId="0" applyFont="1" applyAlignment="1">
      <alignment vertical="center" wrapText="1"/>
    </xf>
    <xf numFmtId="1" fontId="3"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3"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164" fontId="8" fillId="0" borderId="0" xfId="1" applyFont="1" applyAlignment="1">
      <alignment horizontal="left" vertical="center"/>
    </xf>
    <xf numFmtId="6" fontId="20" fillId="0" borderId="1" xfId="0" applyNumberFormat="1" applyFont="1" applyBorder="1" applyAlignment="1">
      <alignment horizontal="right" wrapText="1"/>
    </xf>
    <xf numFmtId="6" fontId="11"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8" fontId="2" fillId="0" borderId="0" xfId="0" applyNumberFormat="1" applyFont="1"/>
    <xf numFmtId="0" fontId="29" fillId="0" borderId="1" xfId="0" applyFont="1" applyBorder="1"/>
    <xf numFmtId="0" fontId="29" fillId="0" borderId="1" xfId="0" applyFont="1" applyBorder="1" applyAlignment="1">
      <alignment horizontal="left" indent="1"/>
    </xf>
    <xf numFmtId="0" fontId="29" fillId="0" borderId="1" xfId="0" applyFont="1" applyBorder="1" applyAlignment="1">
      <alignment horizontal="left" indent="2"/>
    </xf>
    <xf numFmtId="0" fontId="29" fillId="0" borderId="1" xfId="0" applyFont="1" applyBorder="1" applyAlignment="1">
      <alignment horizontal="left" indent="3"/>
    </xf>
    <xf numFmtId="0" fontId="29" fillId="0" borderId="1" xfId="0" applyFont="1" applyBorder="1" applyAlignment="1">
      <alignment horizontal="left" wrapText="1" indent="2"/>
    </xf>
    <xf numFmtId="0" fontId="31" fillId="0" borderId="1" xfId="0" applyFont="1" applyBorder="1" applyAlignment="1">
      <alignment horizontal="left"/>
    </xf>
    <xf numFmtId="0" fontId="29" fillId="0" borderId="1" xfId="0" applyFont="1" applyBorder="1" applyAlignment="1">
      <alignment horizontal="left"/>
    </xf>
    <xf numFmtId="6" fontId="2" fillId="0" borderId="1" xfId="0" applyNumberFormat="1" applyFont="1" applyBorder="1" applyAlignment="1">
      <alignment horizontal="right" vertical="center" wrapText="1"/>
    </xf>
    <xf numFmtId="6" fontId="2" fillId="0" borderId="1" xfId="0" applyNumberFormat="1" applyFont="1" applyBorder="1" applyAlignment="1">
      <alignment horizontal="right" wrapText="1"/>
    </xf>
    <xf numFmtId="0" fontId="24" fillId="0" borderId="0" xfId="0" applyFont="1"/>
    <xf numFmtId="0" fontId="18" fillId="0" borderId="0" xfId="0" applyFont="1" applyAlignment="1">
      <alignment vertical="center"/>
    </xf>
    <xf numFmtId="6" fontId="9" fillId="0" borderId="1" xfId="0" applyNumberFormat="1" applyFont="1" applyBorder="1" applyAlignment="1">
      <alignment horizontal="center" vertical="center" wrapText="1"/>
    </xf>
    <xf numFmtId="0" fontId="0" fillId="0" borderId="0" xfId="0" applyAlignment="1">
      <alignment horizontal="center"/>
    </xf>
    <xf numFmtId="0" fontId="18" fillId="0" borderId="0" xfId="0" applyFont="1" applyAlignment="1">
      <alignment horizontal="left" vertical="top"/>
    </xf>
    <xf numFmtId="0" fontId="32" fillId="0" borderId="0" xfId="0" applyFont="1" applyAlignment="1">
      <alignment horizontal="left" vertical="top"/>
    </xf>
    <xf numFmtId="0" fontId="18" fillId="0" borderId="0" xfId="0" applyFont="1" applyAlignment="1">
      <alignment horizontal="left" wrapText="1"/>
    </xf>
    <xf numFmtId="0" fontId="32" fillId="0" borderId="0" xfId="0" applyFont="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14" fillId="0" borderId="1" xfId="0" applyFont="1" applyBorder="1" applyAlignment="1">
      <alignment horizontal="center"/>
    </xf>
    <xf numFmtId="0" fontId="22" fillId="0" borderId="0" xfId="0" applyFont="1" applyAlignment="1">
      <alignment horizontal="left" vertical="top"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3" fontId="20" fillId="0" borderId="2" xfId="0" applyNumberFormat="1" applyFont="1" applyBorder="1" applyAlignment="1">
      <alignment horizontal="center" wrapText="1"/>
    </xf>
    <xf numFmtId="3" fontId="20" fillId="0" borderId="3" xfId="0" applyNumberFormat="1" applyFont="1" applyBorder="1" applyAlignment="1">
      <alignment horizontal="center" wrapText="1"/>
    </xf>
    <xf numFmtId="3" fontId="20" fillId="0" borderId="4" xfId="0" applyNumberFormat="1" applyFont="1" applyBorder="1" applyAlignment="1">
      <alignment horizontal="center" wrapText="1"/>
    </xf>
    <xf numFmtId="3" fontId="20" fillId="0" borderId="2" xfId="2" applyNumberFormat="1" applyFont="1" applyBorder="1" applyAlignment="1">
      <alignment horizontal="center" vertical="center" wrapText="1"/>
    </xf>
    <xf numFmtId="3" fontId="20" fillId="0" borderId="3" xfId="2" applyNumberFormat="1" applyFont="1" applyBorder="1" applyAlignment="1">
      <alignment horizontal="center" vertical="center" wrapText="1"/>
    </xf>
    <xf numFmtId="3" fontId="20" fillId="0" borderId="4" xfId="2" applyNumberFormat="1" applyFont="1" applyBorder="1" applyAlignment="1">
      <alignment horizontal="center" vertical="center" wrapText="1"/>
    </xf>
    <xf numFmtId="0" fontId="18" fillId="0" borderId="0" xfId="0" applyFont="1" applyAlignment="1">
      <alignment horizontal="left"/>
    </xf>
    <xf numFmtId="0" fontId="9" fillId="0" borderId="0" xfId="0" applyFont="1" applyAlignment="1">
      <alignment horizontal="left" vertical="top"/>
    </xf>
    <xf numFmtId="0" fontId="11" fillId="0" borderId="1" xfId="0" applyFont="1" applyBorder="1" applyAlignment="1">
      <alignment horizontal="center" wrapText="1"/>
    </xf>
    <xf numFmtId="3" fontId="11" fillId="0" borderId="1" xfId="0" applyNumberFormat="1" applyFont="1" applyBorder="1" applyAlignment="1">
      <alignment horizontal="center" wrapText="1"/>
    </xf>
    <xf numFmtId="0" fontId="32" fillId="0" borderId="0" xfId="0" applyFont="1" applyAlignment="1">
      <alignment horizontal="left" wrapText="1"/>
    </xf>
    <xf numFmtId="0" fontId="11" fillId="0" borderId="0" xfId="0" applyFont="1" applyAlignment="1">
      <alignment horizontal="left"/>
    </xf>
    <xf numFmtId="0" fontId="9" fillId="0" borderId="6" xfId="0" applyFont="1" applyBorder="1" applyAlignment="1">
      <alignment horizontal="left" vertical="top"/>
    </xf>
    <xf numFmtId="0" fontId="14" fillId="0" borderId="0" xfId="0" applyFont="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cellXfs>
  <cellStyles count="3">
    <cellStyle name="Comma" xfId="2" builtinId="3"/>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A9" sqref="A9"/>
    </sheetView>
  </sheetViews>
  <sheetFormatPr defaultRowHeight="15" x14ac:dyDescent="0.25"/>
  <cols>
    <col min="1" max="1" width="27.85546875" bestFit="1" customWidth="1"/>
    <col min="2" max="2" width="14.28515625" bestFit="1" customWidth="1"/>
  </cols>
  <sheetData>
    <row r="1" spans="1:2" x14ac:dyDescent="0.25">
      <c r="A1" s="99" t="s">
        <v>0</v>
      </c>
      <c r="B1" s="99"/>
    </row>
    <row r="2" spans="1:2" x14ac:dyDescent="0.25">
      <c r="A2" t="s">
        <v>169</v>
      </c>
      <c r="B2" s="83">
        <f>'Table 1'!K38</f>
        <v>177.91164658634537</v>
      </c>
    </row>
    <row r="3" spans="1:2" x14ac:dyDescent="0.25">
      <c r="A3" t="s">
        <v>1</v>
      </c>
      <c r="B3">
        <f>Respondents!F8</f>
        <v>27</v>
      </c>
    </row>
    <row r="4" spans="1:2" x14ac:dyDescent="0.25">
      <c r="A4" t="s">
        <v>2</v>
      </c>
      <c r="B4" s="84">
        <f>'Table 1'!F39</f>
        <v>44300</v>
      </c>
    </row>
    <row r="5" spans="1:2" x14ac:dyDescent="0.25">
      <c r="A5" t="s">
        <v>3</v>
      </c>
      <c r="B5" s="85">
        <f>'Table 1'!I41</f>
        <v>5750000</v>
      </c>
    </row>
    <row r="6" spans="1:2" x14ac:dyDescent="0.25">
      <c r="A6" t="s">
        <v>4</v>
      </c>
      <c r="B6" s="85">
        <f>'Capital O&amp;M'!I6</f>
        <v>174000</v>
      </c>
    </row>
    <row r="7" spans="1:2" x14ac:dyDescent="0.25">
      <c r="A7" t="s">
        <v>5</v>
      </c>
      <c r="B7"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3"/>
  <sheetViews>
    <sheetView zoomScale="87" zoomScaleNormal="87" workbookViewId="0">
      <selection activeCell="A2" sqref="A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6" t="s">
        <v>144</v>
      </c>
      <c r="B1" s="1"/>
      <c r="C1" s="1"/>
      <c r="D1" s="1"/>
      <c r="E1" s="1"/>
      <c r="F1" s="1"/>
      <c r="G1" s="1"/>
      <c r="H1" s="1"/>
      <c r="I1" s="8"/>
      <c r="J1" s="1"/>
      <c r="K1" s="1"/>
      <c r="L1" s="1"/>
      <c r="M1" s="49"/>
      <c r="N1" s="13"/>
    </row>
    <row r="2" spans="1:21" s="1" customFormat="1" ht="12.75" x14ac:dyDescent="0.2">
      <c r="F2" s="7"/>
      <c r="G2" s="7"/>
      <c r="H2" s="7"/>
      <c r="I2" s="8"/>
      <c r="J2" s="3"/>
    </row>
    <row r="3" spans="1:21" s="1" customFormat="1" ht="76.5" x14ac:dyDescent="0.2">
      <c r="A3" s="20" t="s">
        <v>7</v>
      </c>
      <c r="B3" s="78" t="s">
        <v>8</v>
      </c>
      <c r="C3" s="78" t="s">
        <v>9</v>
      </c>
      <c r="D3" s="78" t="s">
        <v>10</v>
      </c>
      <c r="E3" s="78" t="s">
        <v>11</v>
      </c>
      <c r="F3" s="78" t="s">
        <v>12</v>
      </c>
      <c r="G3" s="78" t="s">
        <v>13</v>
      </c>
      <c r="H3" s="78" t="s">
        <v>14</v>
      </c>
      <c r="I3" s="78" t="s">
        <v>15</v>
      </c>
      <c r="J3" s="3"/>
      <c r="M3" s="50"/>
      <c r="N3" s="50"/>
      <c r="O3" s="50"/>
      <c r="P3" s="50"/>
      <c r="Q3" s="50"/>
      <c r="R3" s="50"/>
      <c r="S3" s="50"/>
      <c r="T3" s="50"/>
      <c r="U3" s="50"/>
    </row>
    <row r="4" spans="1:21" s="1" customFormat="1" x14ac:dyDescent="0.25">
      <c r="A4" s="87" t="s">
        <v>61</v>
      </c>
      <c r="B4" s="2" t="s">
        <v>94</v>
      </c>
      <c r="C4" s="2"/>
      <c r="D4" s="2"/>
      <c r="E4" s="2"/>
      <c r="F4" s="2"/>
      <c r="G4" s="2"/>
      <c r="H4" s="2"/>
      <c r="I4" s="37"/>
      <c r="J4" s="3"/>
      <c r="K4" s="106" t="s">
        <v>16</v>
      </c>
      <c r="L4" s="106"/>
      <c r="O4" s="52"/>
      <c r="P4" s="52"/>
      <c r="Q4" s="52"/>
      <c r="R4" s="52"/>
      <c r="S4" s="52"/>
      <c r="T4" s="52"/>
      <c r="U4" s="53"/>
    </row>
    <row r="5" spans="1:21" s="1" customFormat="1" x14ac:dyDescent="0.25">
      <c r="A5" s="87" t="s">
        <v>62</v>
      </c>
      <c r="B5" s="20" t="s">
        <v>94</v>
      </c>
      <c r="C5" s="20"/>
      <c r="D5" s="20"/>
      <c r="E5" s="20"/>
      <c r="F5" s="64"/>
      <c r="G5" s="40"/>
      <c r="H5" s="40"/>
      <c r="I5" s="38"/>
      <c r="J5" s="9"/>
      <c r="K5" s="14" t="s">
        <v>17</v>
      </c>
      <c r="L5" s="33">
        <v>163.16999999999999</v>
      </c>
      <c r="M5" s="51"/>
      <c r="N5" s="52"/>
      <c r="O5" s="52"/>
      <c r="P5" s="52"/>
      <c r="Q5" s="52"/>
      <c r="R5" s="54"/>
      <c r="S5" s="52"/>
      <c r="T5" s="52"/>
      <c r="U5" s="55"/>
    </row>
    <row r="6" spans="1:21" s="1" customFormat="1" x14ac:dyDescent="0.25">
      <c r="A6" s="87" t="s">
        <v>63</v>
      </c>
      <c r="B6" s="20"/>
      <c r="C6" s="20"/>
      <c r="D6" s="20"/>
      <c r="E6" s="20"/>
      <c r="F6" s="20"/>
      <c r="G6" s="20"/>
      <c r="H6" s="20"/>
      <c r="I6" s="38"/>
      <c r="J6" s="3"/>
      <c r="K6" s="14" t="s">
        <v>18</v>
      </c>
      <c r="L6" s="33">
        <v>130.28</v>
      </c>
      <c r="M6" s="51"/>
      <c r="N6" s="52"/>
      <c r="O6" s="52"/>
      <c r="P6" s="52"/>
      <c r="Q6" s="52"/>
      <c r="R6" s="52"/>
      <c r="S6" s="52"/>
      <c r="T6" s="52"/>
      <c r="U6" s="55"/>
    </row>
    <row r="7" spans="1:21" s="1" customFormat="1" x14ac:dyDescent="0.25">
      <c r="A7" s="88" t="s">
        <v>64</v>
      </c>
      <c r="B7" s="20">
        <v>1</v>
      </c>
      <c r="C7" s="20">
        <v>1</v>
      </c>
      <c r="D7" s="20">
        <f>B7*C7</f>
        <v>1</v>
      </c>
      <c r="E7" s="20">
        <v>27</v>
      </c>
      <c r="F7" s="20">
        <f>D7*E7</f>
        <v>27</v>
      </c>
      <c r="G7" s="20">
        <f>F7*0.05</f>
        <v>1.35</v>
      </c>
      <c r="H7" s="20">
        <f>F7*0.1</f>
        <v>2.7</v>
      </c>
      <c r="I7" s="38">
        <f>F7*$L$6+G7*$L$5+H7*$L$7</f>
        <v>3915.2565</v>
      </c>
      <c r="J7" s="3"/>
      <c r="K7" s="14" t="s">
        <v>19</v>
      </c>
      <c r="L7" s="33">
        <v>65.709999999999994</v>
      </c>
      <c r="M7" s="51"/>
      <c r="N7" s="52"/>
      <c r="O7" s="52"/>
      <c r="P7" s="52"/>
      <c r="Q7" s="52"/>
      <c r="R7" s="52"/>
      <c r="S7" s="52"/>
      <c r="T7" s="52"/>
      <c r="U7" s="55"/>
    </row>
    <row r="8" spans="1:21" s="1" customFormat="1" x14ac:dyDescent="0.25">
      <c r="A8" s="88" t="s">
        <v>65</v>
      </c>
      <c r="B8" s="20"/>
      <c r="C8" s="20"/>
      <c r="D8" s="20"/>
      <c r="E8" s="20"/>
      <c r="F8" s="20"/>
      <c r="G8" s="20"/>
      <c r="H8" s="20"/>
      <c r="I8" s="38"/>
      <c r="J8" s="3"/>
      <c r="K8" s="67"/>
      <c r="L8" s="17"/>
      <c r="M8" s="51"/>
      <c r="N8" s="52"/>
      <c r="O8" s="52"/>
      <c r="P8" s="52"/>
      <c r="Q8" s="56"/>
      <c r="R8" s="56"/>
      <c r="S8" s="56"/>
      <c r="T8" s="56"/>
      <c r="U8" s="55"/>
    </row>
    <row r="9" spans="1:21" s="1" customFormat="1" ht="18" x14ac:dyDescent="0.25">
      <c r="A9" s="89" t="s">
        <v>66</v>
      </c>
      <c r="B9" s="20"/>
      <c r="C9" s="20"/>
      <c r="D9" s="20"/>
      <c r="E9" s="20"/>
      <c r="F9" s="20"/>
      <c r="G9" s="20"/>
      <c r="H9" s="20"/>
      <c r="I9" s="38"/>
      <c r="J9" s="3"/>
      <c r="K9" s="80"/>
      <c r="L9" s="4"/>
      <c r="M9" s="51"/>
      <c r="N9" s="52"/>
      <c r="O9" s="52"/>
      <c r="P9" s="52"/>
      <c r="Q9" s="56"/>
      <c r="R9" s="56"/>
      <c r="S9" s="56"/>
      <c r="T9" s="56"/>
      <c r="U9" s="55"/>
    </row>
    <row r="10" spans="1:21" s="1" customFormat="1" x14ac:dyDescent="0.25">
      <c r="A10" s="90" t="s">
        <v>67</v>
      </c>
      <c r="B10" s="20">
        <v>480</v>
      </c>
      <c r="C10" s="20">
        <v>1</v>
      </c>
      <c r="D10" s="20">
        <f>B10*C10</f>
        <v>480</v>
      </c>
      <c r="E10" s="20">
        <v>0</v>
      </c>
      <c r="F10" s="20">
        <f>D10*E10</f>
        <v>0</v>
      </c>
      <c r="G10" s="20">
        <f>F10*0.05</f>
        <v>0</v>
      </c>
      <c r="H10" s="20">
        <f>F10*0.1</f>
        <v>0</v>
      </c>
      <c r="I10" s="94">
        <f>F10*$L$6+G10*$L$5+H10*$L$7</f>
        <v>0</v>
      </c>
      <c r="J10" s="3"/>
      <c r="K10" s="4"/>
      <c r="L10" s="4"/>
      <c r="M10" s="51"/>
      <c r="N10" s="52"/>
      <c r="O10" s="52"/>
      <c r="P10" s="52"/>
      <c r="Q10" s="56"/>
      <c r="R10" s="56"/>
      <c r="S10" s="56"/>
      <c r="T10" s="56"/>
      <c r="U10" s="55"/>
    </row>
    <row r="11" spans="1:21" s="1" customFormat="1" x14ac:dyDescent="0.25">
      <c r="A11" s="90" t="s">
        <v>68</v>
      </c>
      <c r="B11" s="20">
        <v>160</v>
      </c>
      <c r="C11" s="20">
        <v>1</v>
      </c>
      <c r="D11" s="20">
        <f>B11*C11</f>
        <v>160</v>
      </c>
      <c r="E11" s="20">
        <v>0</v>
      </c>
      <c r="F11" s="20">
        <f>D11*E11</f>
        <v>0</v>
      </c>
      <c r="G11" s="20">
        <f>F11*0.05</f>
        <v>0</v>
      </c>
      <c r="H11" s="20">
        <f>F11*0.1</f>
        <v>0</v>
      </c>
      <c r="I11" s="94">
        <f>F11*$L$6+G11*$L$5+H11*$L$7</f>
        <v>0</v>
      </c>
      <c r="J11" s="3"/>
      <c r="K11" s="5"/>
      <c r="L11" s="6"/>
      <c r="M11" s="51"/>
      <c r="N11" s="52"/>
      <c r="O11" s="52"/>
      <c r="P11" s="52"/>
      <c r="Q11" s="56"/>
      <c r="R11" s="56"/>
      <c r="S11" s="57"/>
      <c r="T11" s="57"/>
      <c r="U11" s="55"/>
    </row>
    <row r="12" spans="1:21" s="1" customFormat="1" x14ac:dyDescent="0.25">
      <c r="A12" s="90" t="s">
        <v>69</v>
      </c>
      <c r="B12" s="20">
        <v>160</v>
      </c>
      <c r="C12" s="20">
        <v>1</v>
      </c>
      <c r="D12" s="20">
        <f>B12*C12</f>
        <v>160</v>
      </c>
      <c r="E12" s="20">
        <v>0</v>
      </c>
      <c r="F12" s="20">
        <f>D12*E12</f>
        <v>0</v>
      </c>
      <c r="G12" s="20">
        <f>F12*0.05</f>
        <v>0</v>
      </c>
      <c r="H12" s="20">
        <f>F12*0.1</f>
        <v>0</v>
      </c>
      <c r="I12" s="94">
        <f>F12*$L$6+G12*$L$5+H12*$L$7</f>
        <v>0</v>
      </c>
      <c r="J12" s="3"/>
      <c r="K12" s="5"/>
      <c r="L12" s="6"/>
      <c r="M12" s="51"/>
      <c r="N12" s="52"/>
      <c r="O12" s="52"/>
      <c r="P12" s="52"/>
      <c r="Q12" s="56"/>
      <c r="R12" s="56"/>
      <c r="S12" s="57"/>
      <c r="T12" s="57"/>
      <c r="U12" s="55"/>
    </row>
    <row r="13" spans="1:21" s="1" customFormat="1" ht="18" x14ac:dyDescent="0.25">
      <c r="A13" s="89" t="s">
        <v>70</v>
      </c>
      <c r="B13" s="20">
        <v>60</v>
      </c>
      <c r="C13" s="20">
        <v>1</v>
      </c>
      <c r="D13" s="20">
        <f t="shared" ref="D13" si="0">B13*C13</f>
        <v>60</v>
      </c>
      <c r="E13" s="40">
        <v>0</v>
      </c>
      <c r="F13" s="40">
        <f t="shared" ref="F13" si="1">D13*E13</f>
        <v>0</v>
      </c>
      <c r="G13" s="40">
        <f t="shared" ref="G13" si="2">F13*0.05</f>
        <v>0</v>
      </c>
      <c r="H13" s="40">
        <f t="shared" ref="H13" si="3">F13*0.1</f>
        <v>0</v>
      </c>
      <c r="I13" s="94">
        <f t="shared" ref="I13" si="4">F13*$L$6+G13*$L$5+H13*$L$7</f>
        <v>0</v>
      </c>
      <c r="J13" s="3"/>
      <c r="K13" s="5"/>
      <c r="L13" s="6"/>
      <c r="M13" s="51"/>
      <c r="N13" s="52"/>
      <c r="O13" s="52"/>
      <c r="P13" s="52"/>
      <c r="Q13" s="52"/>
      <c r="R13" s="52"/>
      <c r="S13" s="52"/>
      <c r="T13" s="52"/>
      <c r="U13" s="55"/>
    </row>
    <row r="14" spans="1:21" s="1" customFormat="1" ht="18" customHeight="1" x14ac:dyDescent="0.25">
      <c r="A14" s="89" t="s">
        <v>71</v>
      </c>
      <c r="B14" s="20">
        <v>60</v>
      </c>
      <c r="C14" s="20">
        <v>1</v>
      </c>
      <c r="D14" s="20">
        <f t="shared" ref="D14:D18" si="5">B14*C14</f>
        <v>60</v>
      </c>
      <c r="E14" s="40">
        <v>0</v>
      </c>
      <c r="F14" s="40">
        <f t="shared" ref="F14:F18" si="6">D14*E14</f>
        <v>0</v>
      </c>
      <c r="G14" s="40">
        <f t="shared" ref="G14:G18" si="7">F14*0.05</f>
        <v>0</v>
      </c>
      <c r="H14" s="40">
        <f t="shared" ref="H14:H18" si="8">F14*0.1</f>
        <v>0</v>
      </c>
      <c r="I14" s="94">
        <f t="shared" ref="I14:I17" si="9">F14*$L$6+G14*$L$5+H14*$L$7</f>
        <v>0</v>
      </c>
      <c r="J14" s="9"/>
      <c r="K14" s="66"/>
      <c r="L14" s="6"/>
      <c r="M14" s="51"/>
      <c r="N14" s="52"/>
      <c r="O14" s="52"/>
      <c r="P14" s="52"/>
      <c r="Q14" s="52"/>
      <c r="R14" s="52"/>
      <c r="S14" s="52"/>
      <c r="T14" s="52"/>
      <c r="U14" s="55"/>
    </row>
    <row r="15" spans="1:21" s="1" customFormat="1" x14ac:dyDescent="0.25">
      <c r="A15" s="88" t="s">
        <v>72</v>
      </c>
      <c r="B15" s="20"/>
      <c r="C15" s="20"/>
      <c r="D15" s="20"/>
      <c r="E15" s="40"/>
      <c r="F15" s="20"/>
      <c r="G15" s="20"/>
      <c r="H15" s="20"/>
      <c r="I15" s="38"/>
      <c r="J15" s="3"/>
      <c r="K15" s="66"/>
      <c r="M15" s="51"/>
      <c r="N15" s="52"/>
      <c r="O15" s="52"/>
      <c r="P15" s="52"/>
      <c r="Q15" s="52"/>
      <c r="R15" s="52"/>
      <c r="S15" s="52"/>
      <c r="T15" s="52"/>
      <c r="U15" s="55"/>
    </row>
    <row r="16" spans="1:21" s="1" customFormat="1" ht="27.75" customHeight="1" x14ac:dyDescent="0.25">
      <c r="A16" s="89" t="s">
        <v>73</v>
      </c>
      <c r="B16" s="20">
        <v>2</v>
      </c>
      <c r="C16" s="20">
        <v>1</v>
      </c>
      <c r="D16" s="20">
        <f t="shared" ref="D16" si="10">B16*C16</f>
        <v>2</v>
      </c>
      <c r="E16" s="40">
        <v>0</v>
      </c>
      <c r="F16" s="40">
        <f t="shared" si="6"/>
        <v>0</v>
      </c>
      <c r="G16" s="20">
        <f t="shared" si="7"/>
        <v>0</v>
      </c>
      <c r="H16" s="39">
        <f t="shared" si="8"/>
        <v>0</v>
      </c>
      <c r="I16" s="94">
        <f t="shared" si="9"/>
        <v>0</v>
      </c>
      <c r="J16" s="3"/>
      <c r="K16" s="66"/>
      <c r="M16" s="51"/>
      <c r="N16" s="52"/>
      <c r="O16" s="52"/>
      <c r="P16" s="52"/>
      <c r="Q16" s="52"/>
      <c r="R16" s="52"/>
      <c r="S16" s="52"/>
      <c r="T16" s="52"/>
      <c r="U16" s="55"/>
    </row>
    <row r="17" spans="1:21" s="1" customFormat="1" ht="18" x14ac:dyDescent="0.25">
      <c r="A17" s="89" t="s">
        <v>74</v>
      </c>
      <c r="B17" s="20">
        <v>8</v>
      </c>
      <c r="C17" s="20">
        <v>3</v>
      </c>
      <c r="D17" s="20">
        <f t="shared" si="5"/>
        <v>24</v>
      </c>
      <c r="E17" s="40">
        <v>27</v>
      </c>
      <c r="F17" s="20">
        <f t="shared" si="6"/>
        <v>648</v>
      </c>
      <c r="G17" s="20">
        <f t="shared" si="7"/>
        <v>32.4</v>
      </c>
      <c r="H17" s="20">
        <f t="shared" si="8"/>
        <v>64.8</v>
      </c>
      <c r="I17" s="38">
        <f t="shared" si="9"/>
        <v>93966.156000000003</v>
      </c>
      <c r="J17" s="3"/>
      <c r="K17" s="66"/>
      <c r="M17" s="51"/>
      <c r="N17" s="52"/>
      <c r="O17" s="52"/>
      <c r="P17" s="52"/>
      <c r="Q17" s="52"/>
      <c r="R17" s="52"/>
      <c r="S17" s="52"/>
      <c r="T17" s="52"/>
      <c r="U17" s="55"/>
    </row>
    <row r="18" spans="1:21" s="1" customFormat="1" ht="19.5" customHeight="1" x14ac:dyDescent="0.25">
      <c r="A18" s="89" t="s">
        <v>75</v>
      </c>
      <c r="B18" s="20">
        <v>2</v>
      </c>
      <c r="C18" s="20">
        <v>1</v>
      </c>
      <c r="D18" s="20">
        <f t="shared" si="5"/>
        <v>2</v>
      </c>
      <c r="E18" s="20">
        <v>0</v>
      </c>
      <c r="F18" s="64">
        <f t="shared" si="6"/>
        <v>0</v>
      </c>
      <c r="G18" s="20">
        <f t="shared" si="7"/>
        <v>0</v>
      </c>
      <c r="H18" s="20">
        <f t="shared" si="8"/>
        <v>0</v>
      </c>
      <c r="I18" s="94">
        <f t="shared" ref="I18:I24" si="11">F18*$L$6+G18*$L$5+H18*$L$7</f>
        <v>0</v>
      </c>
      <c r="J18" s="3"/>
      <c r="K18" s="66"/>
      <c r="M18" s="51"/>
      <c r="N18" s="52"/>
      <c r="O18" s="52"/>
      <c r="P18" s="52"/>
      <c r="Q18" s="52"/>
      <c r="R18" s="52"/>
      <c r="S18" s="52"/>
      <c r="T18" s="52"/>
      <c r="U18" s="55"/>
    </row>
    <row r="19" spans="1:21" s="1" customFormat="1" ht="16.5" customHeight="1" x14ac:dyDescent="0.25">
      <c r="A19" s="89" t="s">
        <v>76</v>
      </c>
      <c r="B19" s="20">
        <v>2</v>
      </c>
      <c r="C19" s="20">
        <v>1</v>
      </c>
      <c r="D19" s="20">
        <f t="shared" ref="D19" si="12">B19*C19</f>
        <v>2</v>
      </c>
      <c r="E19" s="20">
        <v>0</v>
      </c>
      <c r="F19" s="64">
        <f t="shared" ref="F19" si="13">D19*E19</f>
        <v>0</v>
      </c>
      <c r="G19" s="20">
        <f t="shared" ref="G19" si="14">F19*0.05</f>
        <v>0</v>
      </c>
      <c r="H19" s="20">
        <f t="shared" ref="H19" si="15">F19*0.1</f>
        <v>0</v>
      </c>
      <c r="I19" s="94">
        <f t="shared" si="11"/>
        <v>0</v>
      </c>
      <c r="J19" s="3"/>
      <c r="K19" s="3"/>
      <c r="M19" s="51"/>
      <c r="N19" s="52"/>
      <c r="O19" s="52"/>
      <c r="P19" s="52"/>
      <c r="Q19" s="52"/>
      <c r="R19" s="52"/>
      <c r="S19" s="52"/>
      <c r="T19" s="52"/>
      <c r="U19" s="55"/>
    </row>
    <row r="20" spans="1:21" s="1" customFormat="1" ht="18" x14ac:dyDescent="0.25">
      <c r="A20" s="89" t="s">
        <v>77</v>
      </c>
      <c r="B20" s="20">
        <v>2</v>
      </c>
      <c r="C20" s="20">
        <v>1</v>
      </c>
      <c r="D20" s="20">
        <f t="shared" ref="D20" si="16">B20*C20</f>
        <v>2</v>
      </c>
      <c r="E20" s="20">
        <v>0</v>
      </c>
      <c r="F20" s="64">
        <f t="shared" ref="F20" si="17">D20*E20</f>
        <v>0</v>
      </c>
      <c r="G20" s="20">
        <f t="shared" ref="G20" si="18">F20*0.05</f>
        <v>0</v>
      </c>
      <c r="H20" s="20">
        <f t="shared" ref="H20" si="19">F20*0.1</f>
        <v>0</v>
      </c>
      <c r="I20" s="94">
        <f t="shared" si="11"/>
        <v>0</v>
      </c>
      <c r="J20" s="3"/>
      <c r="M20" s="51"/>
      <c r="N20" s="52"/>
      <c r="O20" s="52"/>
      <c r="P20" s="52"/>
      <c r="Q20" s="52"/>
      <c r="R20" s="52"/>
      <c r="S20" s="52"/>
      <c r="T20" s="52"/>
      <c r="U20" s="55"/>
    </row>
    <row r="21" spans="1:21" s="1" customFormat="1" ht="18" x14ac:dyDescent="0.25">
      <c r="A21" s="89" t="s">
        <v>78</v>
      </c>
      <c r="B21" s="20">
        <v>2</v>
      </c>
      <c r="C21" s="20">
        <v>1</v>
      </c>
      <c r="D21" s="20">
        <f t="shared" ref="D21" si="20">B21*C21</f>
        <v>2</v>
      </c>
      <c r="E21" s="20">
        <v>0</v>
      </c>
      <c r="F21" s="64">
        <f t="shared" ref="F21" si="21">D21*E21</f>
        <v>0</v>
      </c>
      <c r="G21" s="20">
        <f t="shared" ref="G21" si="22">F21*0.05</f>
        <v>0</v>
      </c>
      <c r="H21" s="20">
        <f t="shared" ref="H21" si="23">F21*0.1</f>
        <v>0</v>
      </c>
      <c r="I21" s="94">
        <f t="shared" si="11"/>
        <v>0</v>
      </c>
      <c r="J21" s="3"/>
      <c r="M21" s="51"/>
      <c r="N21" s="52"/>
      <c r="O21" s="52"/>
      <c r="P21" s="52"/>
      <c r="Q21" s="52"/>
      <c r="R21" s="54"/>
      <c r="S21" s="52"/>
      <c r="T21" s="52"/>
      <c r="U21" s="55"/>
    </row>
    <row r="22" spans="1:21" s="1" customFormat="1" ht="18" x14ac:dyDescent="0.25">
      <c r="A22" s="89" t="s">
        <v>79</v>
      </c>
      <c r="B22" s="2">
        <v>120</v>
      </c>
      <c r="C22" s="2">
        <v>1</v>
      </c>
      <c r="D22" s="2">
        <f t="shared" ref="D22:D24" si="24">B22*C22</f>
        <v>120</v>
      </c>
      <c r="E22" s="2">
        <v>0</v>
      </c>
      <c r="F22" s="2">
        <f t="shared" ref="F22:F24" si="25">D22*E22</f>
        <v>0</v>
      </c>
      <c r="G22" s="2">
        <f t="shared" ref="G22:G24" si="26">F22*0.05</f>
        <v>0</v>
      </c>
      <c r="H22" s="2">
        <f t="shared" ref="H22:H24" si="27">F22*0.1</f>
        <v>0</v>
      </c>
      <c r="I22" s="95">
        <f t="shared" si="11"/>
        <v>0</v>
      </c>
      <c r="J22" s="3"/>
      <c r="K22" s="3"/>
      <c r="M22" s="58"/>
      <c r="N22" s="58"/>
      <c r="O22" s="58"/>
      <c r="P22" s="58"/>
      <c r="Q22" s="58"/>
      <c r="R22" s="59"/>
      <c r="S22" s="59"/>
      <c r="T22" s="59"/>
      <c r="U22" s="60"/>
    </row>
    <row r="23" spans="1:21" s="1" customFormat="1" ht="33" x14ac:dyDescent="0.25">
      <c r="A23" s="91" t="s">
        <v>80</v>
      </c>
      <c r="B23" s="10">
        <v>180</v>
      </c>
      <c r="C23" s="10">
        <v>1</v>
      </c>
      <c r="D23" s="10">
        <f t="shared" si="24"/>
        <v>180</v>
      </c>
      <c r="E23" s="10">
        <v>0</v>
      </c>
      <c r="F23" s="10">
        <f t="shared" si="25"/>
        <v>0</v>
      </c>
      <c r="G23" s="10">
        <f t="shared" si="26"/>
        <v>0</v>
      </c>
      <c r="H23" s="10">
        <f t="shared" si="27"/>
        <v>0</v>
      </c>
      <c r="I23" s="46">
        <f t="shared" si="11"/>
        <v>0</v>
      </c>
      <c r="J23" s="3"/>
      <c r="K23" s="3"/>
      <c r="M23" s="51"/>
      <c r="N23" s="52"/>
      <c r="O23" s="52"/>
      <c r="P23" s="52"/>
      <c r="Q23" s="52"/>
      <c r="R23" s="52"/>
      <c r="S23" s="52"/>
      <c r="T23" s="52"/>
      <c r="U23" s="53"/>
    </row>
    <row r="24" spans="1:21" s="1" customFormat="1" ht="18" x14ac:dyDescent="0.25">
      <c r="A24" s="89" t="s">
        <v>81</v>
      </c>
      <c r="B24" s="10">
        <v>40</v>
      </c>
      <c r="C24" s="10">
        <v>2</v>
      </c>
      <c r="D24" s="10">
        <f t="shared" si="24"/>
        <v>80</v>
      </c>
      <c r="E24" s="10">
        <v>27</v>
      </c>
      <c r="F24" s="65">
        <f t="shared" si="25"/>
        <v>2160</v>
      </c>
      <c r="G24" s="10">
        <f t="shared" si="26"/>
        <v>108</v>
      </c>
      <c r="H24" s="10">
        <f t="shared" si="27"/>
        <v>216</v>
      </c>
      <c r="I24" s="11">
        <f t="shared" si="11"/>
        <v>313220.51999999996</v>
      </c>
      <c r="J24" s="3"/>
      <c r="K24" s="3"/>
      <c r="M24" s="51"/>
      <c r="N24" s="52"/>
      <c r="O24" s="52"/>
      <c r="P24" s="52"/>
      <c r="Q24" s="52"/>
      <c r="R24" s="52"/>
      <c r="S24" s="52"/>
      <c r="T24" s="52"/>
      <c r="U24" s="55"/>
    </row>
    <row r="25" spans="1:21" s="1" customFormat="1" x14ac:dyDescent="0.25">
      <c r="A25" s="89" t="s">
        <v>82</v>
      </c>
      <c r="B25" s="10"/>
      <c r="C25" s="10"/>
      <c r="D25" s="10"/>
      <c r="E25" s="10"/>
      <c r="F25" s="10"/>
      <c r="G25" s="10"/>
      <c r="H25" s="10"/>
      <c r="I25" s="41"/>
      <c r="J25" s="3"/>
      <c r="M25" s="51"/>
      <c r="N25" s="52"/>
      <c r="O25" s="52"/>
      <c r="P25" s="52"/>
      <c r="Q25" s="52"/>
      <c r="R25" s="52"/>
      <c r="S25" s="52"/>
      <c r="T25" s="52"/>
      <c r="U25" s="55"/>
    </row>
    <row r="26" spans="1:21" s="1" customFormat="1" ht="18" x14ac:dyDescent="0.25">
      <c r="A26" s="90" t="s">
        <v>83</v>
      </c>
      <c r="B26" s="10">
        <v>8</v>
      </c>
      <c r="C26" s="10">
        <v>2</v>
      </c>
      <c r="D26" s="10">
        <f t="shared" ref="D26:D27" si="28">B26*C26</f>
        <v>16</v>
      </c>
      <c r="E26" s="10">
        <v>24</v>
      </c>
      <c r="F26" s="10">
        <f t="shared" ref="F26:F27" si="29">D26*E26</f>
        <v>384</v>
      </c>
      <c r="G26" s="10">
        <f t="shared" ref="G26:G27" si="30">F26*0.05</f>
        <v>19.200000000000003</v>
      </c>
      <c r="H26" s="10">
        <f t="shared" ref="H26:H27" si="31">F26*0.1</f>
        <v>38.400000000000006</v>
      </c>
      <c r="I26" s="11">
        <f>F26*$L$6+G26*$L$5+H26*$L$7</f>
        <v>55683.648000000008</v>
      </c>
      <c r="J26" s="3"/>
      <c r="K26" s="3"/>
      <c r="M26" s="51"/>
      <c r="N26" s="52"/>
      <c r="O26" s="52"/>
      <c r="P26" s="52"/>
      <c r="Q26" s="52"/>
      <c r="R26" s="54"/>
      <c r="S26" s="52"/>
      <c r="T26" s="52"/>
      <c r="U26" s="55"/>
    </row>
    <row r="27" spans="1:21" s="1" customFormat="1" ht="18" customHeight="1" x14ac:dyDescent="0.25">
      <c r="A27" s="90" t="s">
        <v>84</v>
      </c>
      <c r="B27" s="10">
        <v>24</v>
      </c>
      <c r="C27" s="10">
        <v>2</v>
      </c>
      <c r="D27" s="10">
        <f t="shared" si="28"/>
        <v>48</v>
      </c>
      <c r="E27" s="10">
        <v>3</v>
      </c>
      <c r="F27" s="10">
        <f t="shared" si="29"/>
        <v>144</v>
      </c>
      <c r="G27" s="10">
        <f t="shared" si="30"/>
        <v>7.2</v>
      </c>
      <c r="H27" s="10">
        <f t="shared" si="31"/>
        <v>14.4</v>
      </c>
      <c r="I27" s="11">
        <f>F27*$L$6+G27*$L$5+H27*$L$7</f>
        <v>20881.367999999999</v>
      </c>
      <c r="J27" s="3"/>
      <c r="K27" s="3"/>
      <c r="M27" s="51"/>
      <c r="N27" s="52"/>
      <c r="O27" s="52"/>
      <c r="P27" s="52"/>
      <c r="Q27" s="52"/>
      <c r="R27" s="52"/>
      <c r="S27" s="52"/>
      <c r="T27" s="52"/>
      <c r="U27" s="55"/>
    </row>
    <row r="28" spans="1:21" s="1" customFormat="1" ht="18" x14ac:dyDescent="0.25">
      <c r="A28" s="89" t="s">
        <v>85</v>
      </c>
      <c r="B28" s="10">
        <v>432</v>
      </c>
      <c r="C28" s="10">
        <v>2</v>
      </c>
      <c r="D28" s="10">
        <f t="shared" ref="D28" si="32">B28*C28</f>
        <v>864</v>
      </c>
      <c r="E28" s="10">
        <v>27</v>
      </c>
      <c r="F28" s="10">
        <f t="shared" ref="F28" si="33">D28*E28</f>
        <v>23328</v>
      </c>
      <c r="G28" s="10">
        <f t="shared" ref="G28" si="34">F28*0.05</f>
        <v>1166.4000000000001</v>
      </c>
      <c r="H28" s="10">
        <f t="shared" ref="H28" si="35">F28*0.1</f>
        <v>2332.8000000000002</v>
      </c>
      <c r="I28" s="11">
        <f>F28*$L$6+G28*$L$5+H28*$L$7</f>
        <v>3382781.6159999999</v>
      </c>
      <c r="J28" s="3"/>
      <c r="K28" s="3"/>
      <c r="M28" s="51"/>
      <c r="N28" s="52"/>
      <c r="O28" s="52"/>
      <c r="P28" s="52"/>
      <c r="Q28" s="52"/>
      <c r="R28" s="52"/>
      <c r="S28" s="52"/>
      <c r="T28" s="52"/>
      <c r="U28" s="55"/>
    </row>
    <row r="29" spans="1:21" s="1" customFormat="1" ht="18" x14ac:dyDescent="0.25">
      <c r="A29" s="89" t="s">
        <v>86</v>
      </c>
      <c r="B29" s="10">
        <v>20</v>
      </c>
      <c r="C29" s="10">
        <v>2</v>
      </c>
      <c r="D29" s="10">
        <f t="shared" ref="D29" si="36">B29*C29</f>
        <v>40</v>
      </c>
      <c r="E29" s="10">
        <v>3</v>
      </c>
      <c r="F29" s="10">
        <f t="shared" ref="F29" si="37">D29*E29</f>
        <v>120</v>
      </c>
      <c r="G29" s="10">
        <f t="shared" ref="G29" si="38">F29*0.05</f>
        <v>6</v>
      </c>
      <c r="H29" s="10">
        <f t="shared" ref="H29" si="39">F29*0.1</f>
        <v>12</v>
      </c>
      <c r="I29" s="11">
        <f>F29*$L$6+G29*$L$5+H29*$L$7</f>
        <v>17401.14</v>
      </c>
      <c r="J29" s="3"/>
      <c r="K29" s="3"/>
      <c r="M29" s="51"/>
      <c r="N29" s="52"/>
      <c r="O29" s="52"/>
      <c r="P29" s="52"/>
      <c r="Q29" s="52"/>
      <c r="R29" s="52"/>
      <c r="S29" s="52"/>
      <c r="T29" s="52"/>
      <c r="U29" s="55"/>
    </row>
    <row r="30" spans="1:21" s="1" customFormat="1" x14ac:dyDescent="0.25">
      <c r="A30" s="92" t="s">
        <v>20</v>
      </c>
      <c r="B30" s="10"/>
      <c r="C30" s="10"/>
      <c r="D30" s="10"/>
      <c r="E30" s="10"/>
      <c r="F30" s="117">
        <f>SUM(F7:H29)</f>
        <v>30832.65</v>
      </c>
      <c r="G30" s="118"/>
      <c r="H30" s="119"/>
      <c r="I30" s="81">
        <f>SUM(I7:I29)</f>
        <v>3887849.7045</v>
      </c>
      <c r="J30" s="3"/>
      <c r="K30" s="3"/>
      <c r="M30" s="51"/>
      <c r="N30" s="52"/>
      <c r="O30" s="52"/>
      <c r="P30" s="52"/>
      <c r="Q30" s="52"/>
      <c r="R30" s="52"/>
      <c r="S30" s="52"/>
      <c r="T30" s="52"/>
      <c r="U30" s="55"/>
    </row>
    <row r="31" spans="1:21" s="1" customFormat="1" x14ac:dyDescent="0.25">
      <c r="A31" s="93" t="s">
        <v>87</v>
      </c>
      <c r="B31" s="10"/>
      <c r="C31" s="10"/>
      <c r="D31" s="10"/>
      <c r="E31" s="10"/>
      <c r="F31" s="10"/>
      <c r="G31" s="10"/>
      <c r="H31" s="10"/>
      <c r="I31" s="41"/>
      <c r="J31" s="3"/>
      <c r="K31" s="3"/>
      <c r="M31" s="51"/>
      <c r="N31" s="52"/>
      <c r="O31" s="52"/>
      <c r="P31" s="52"/>
      <c r="Q31" s="52"/>
      <c r="R31" s="52"/>
      <c r="S31" s="52"/>
      <c r="T31" s="52"/>
      <c r="U31" s="55"/>
    </row>
    <row r="32" spans="1:21" s="1" customFormat="1" x14ac:dyDescent="0.25">
      <c r="A32" s="88" t="s">
        <v>88</v>
      </c>
      <c r="B32" s="10">
        <v>40</v>
      </c>
      <c r="C32" s="10">
        <v>1</v>
      </c>
      <c r="D32" s="10">
        <f t="shared" ref="D32" si="40">B32*C32</f>
        <v>40</v>
      </c>
      <c r="E32" s="10">
        <v>0</v>
      </c>
      <c r="F32" s="65">
        <f t="shared" ref="F32" si="41">D32*E32</f>
        <v>0</v>
      </c>
      <c r="G32" s="10">
        <f t="shared" ref="G32" si="42">F32*0.05</f>
        <v>0</v>
      </c>
      <c r="H32" s="10">
        <f t="shared" ref="H32" si="43">F32*0.1</f>
        <v>0</v>
      </c>
      <c r="I32" s="46">
        <f>F32*$L$6+G32*$L$5+H32*$L$7</f>
        <v>0</v>
      </c>
      <c r="J32" s="3"/>
      <c r="K32" s="3"/>
      <c r="M32" s="51"/>
      <c r="N32" s="52"/>
      <c r="O32" s="52"/>
      <c r="P32" s="52"/>
      <c r="Q32" s="52"/>
      <c r="R32" s="52"/>
      <c r="S32" s="52"/>
      <c r="T32" s="52"/>
      <c r="U32" s="55"/>
    </row>
    <row r="33" spans="1:21" s="1" customFormat="1" ht="19.5" customHeight="1" x14ac:dyDescent="0.25">
      <c r="A33" s="88" t="s">
        <v>89</v>
      </c>
      <c r="B33" s="10">
        <v>40</v>
      </c>
      <c r="C33" s="10">
        <v>1</v>
      </c>
      <c r="D33" s="10">
        <f t="shared" ref="D33" si="44">B33*C33</f>
        <v>40</v>
      </c>
      <c r="E33" s="10">
        <v>0</v>
      </c>
      <c r="F33" s="65">
        <f t="shared" ref="F33" si="45">D33*E33</f>
        <v>0</v>
      </c>
      <c r="G33" s="10">
        <f t="shared" ref="G33" si="46">F33*0.05</f>
        <v>0</v>
      </c>
      <c r="H33" s="10">
        <f t="shared" ref="H33" si="47">F33*0.1</f>
        <v>0</v>
      </c>
      <c r="I33" s="46">
        <f>F33*$L$6+G33*$L$5+H33*$L$7</f>
        <v>0</v>
      </c>
      <c r="J33" s="3"/>
      <c r="K33" s="3"/>
      <c r="M33" s="51"/>
      <c r="N33" s="52"/>
      <c r="O33" s="52"/>
      <c r="P33" s="52"/>
      <c r="Q33" s="52"/>
      <c r="R33" s="52"/>
      <c r="S33" s="52"/>
      <c r="T33" s="52"/>
      <c r="U33" s="55"/>
    </row>
    <row r="34" spans="1:21" s="1" customFormat="1" ht="31.5" customHeight="1" x14ac:dyDescent="0.25">
      <c r="A34" s="88" t="s">
        <v>90</v>
      </c>
      <c r="B34" s="10">
        <v>1</v>
      </c>
      <c r="C34" s="10">
        <v>365</v>
      </c>
      <c r="D34" s="10">
        <f t="shared" ref="D34" si="48">B34*C34</f>
        <v>365</v>
      </c>
      <c r="E34" s="10">
        <v>27</v>
      </c>
      <c r="F34" s="65">
        <f t="shared" ref="F34" si="49">D34*E34</f>
        <v>9855</v>
      </c>
      <c r="G34" s="10">
        <f t="shared" ref="G34" si="50">F34*0.05</f>
        <v>492.75</v>
      </c>
      <c r="H34" s="10">
        <f t="shared" ref="H34" si="51">F34*0.1</f>
        <v>985.5</v>
      </c>
      <c r="I34" s="46">
        <f>F34*$L$6+G34*$L$5+H34*$L$7</f>
        <v>1429068.6225000001</v>
      </c>
      <c r="J34" s="3"/>
      <c r="K34" s="3"/>
      <c r="M34" s="51"/>
      <c r="N34" s="52"/>
      <c r="O34" s="52"/>
      <c r="P34" s="52"/>
      <c r="Q34" s="52"/>
      <c r="R34" s="54"/>
      <c r="S34" s="52"/>
      <c r="T34" s="52"/>
      <c r="U34" s="55"/>
    </row>
    <row r="35" spans="1:21" s="1" customFormat="1" ht="18" x14ac:dyDescent="0.25">
      <c r="A35" s="88" t="s">
        <v>91</v>
      </c>
      <c r="B35" s="10">
        <v>2</v>
      </c>
      <c r="C35" s="10">
        <v>26</v>
      </c>
      <c r="D35" s="10">
        <f t="shared" ref="D35" si="52">B35*C35</f>
        <v>52</v>
      </c>
      <c r="E35" s="10">
        <v>27</v>
      </c>
      <c r="F35" s="65">
        <f t="shared" ref="F35" si="53">D35*E35</f>
        <v>1404</v>
      </c>
      <c r="G35" s="10">
        <f t="shared" ref="G35" si="54">F35*0.05</f>
        <v>70.2</v>
      </c>
      <c r="H35" s="10">
        <f t="shared" ref="H35" si="55">F35*0.1</f>
        <v>140.4</v>
      </c>
      <c r="I35" s="46">
        <f>F35*$L$6+G35*$L$5+H35*$L$7</f>
        <v>203593.33799999999</v>
      </c>
      <c r="J35" s="3"/>
      <c r="K35" s="3"/>
      <c r="M35" s="51"/>
      <c r="N35" s="52"/>
      <c r="O35" s="52"/>
      <c r="P35" s="52"/>
      <c r="Q35" s="52"/>
      <c r="R35" s="52"/>
      <c r="S35" s="52"/>
      <c r="T35" s="52"/>
      <c r="U35" s="55"/>
    </row>
    <row r="36" spans="1:21" s="1" customFormat="1" ht="18.75" customHeight="1" x14ac:dyDescent="0.25">
      <c r="A36" s="88" t="s">
        <v>92</v>
      </c>
      <c r="B36" s="10">
        <v>16</v>
      </c>
      <c r="C36" s="10">
        <v>1</v>
      </c>
      <c r="D36" s="10">
        <f t="shared" ref="D36" si="56">B36*C36</f>
        <v>16</v>
      </c>
      <c r="E36" s="10">
        <v>27</v>
      </c>
      <c r="F36" s="65">
        <f t="shared" ref="F36" si="57">D36*E36</f>
        <v>432</v>
      </c>
      <c r="G36" s="10">
        <f t="shared" ref="G36" si="58">F36*0.05</f>
        <v>21.6</v>
      </c>
      <c r="H36" s="10">
        <f t="shared" ref="H36" si="59">F36*0.1</f>
        <v>43.2</v>
      </c>
      <c r="I36" s="46">
        <f>F36*$L$6+G36*$L$5+H36*$L$7</f>
        <v>62644.103999999999</v>
      </c>
      <c r="J36" s="3"/>
      <c r="K36" s="3"/>
      <c r="M36" s="51"/>
      <c r="N36" s="52"/>
      <c r="O36" s="52"/>
      <c r="P36" s="52"/>
      <c r="Q36" s="52"/>
      <c r="R36" s="52"/>
      <c r="S36" s="52"/>
      <c r="T36" s="52"/>
      <c r="U36" s="55"/>
    </row>
    <row r="37" spans="1:21" s="1" customFormat="1" x14ac:dyDescent="0.25">
      <c r="A37" s="88" t="s">
        <v>93</v>
      </c>
      <c r="B37" s="10" t="s">
        <v>95</v>
      </c>
      <c r="C37" s="10"/>
      <c r="D37" s="10"/>
      <c r="E37" s="10"/>
      <c r="F37" s="10"/>
      <c r="G37" s="10"/>
      <c r="H37" s="10"/>
      <c r="I37" s="11"/>
      <c r="J37" s="3"/>
      <c r="K37" s="3"/>
      <c r="M37" s="51"/>
      <c r="N37" s="52"/>
      <c r="O37" s="52"/>
      <c r="P37" s="52"/>
      <c r="Q37" s="52"/>
      <c r="R37" s="52"/>
      <c r="S37" s="52"/>
      <c r="T37" s="52"/>
      <c r="U37" s="55"/>
    </row>
    <row r="38" spans="1:21" s="1" customFormat="1" ht="13.5" x14ac:dyDescent="0.25">
      <c r="A38" s="63" t="s">
        <v>21</v>
      </c>
      <c r="B38" s="108"/>
      <c r="C38" s="109"/>
      <c r="D38" s="109"/>
      <c r="E38" s="110"/>
      <c r="F38" s="114">
        <f>SUM(F32:H37)</f>
        <v>13444.650000000001</v>
      </c>
      <c r="G38" s="115"/>
      <c r="H38" s="116"/>
      <c r="I38" s="12">
        <f>SUM(I32:I37)</f>
        <v>1695306.0645000001</v>
      </c>
      <c r="J38" s="16"/>
      <c r="K38" s="45">
        <f>F39/Responses!E17</f>
        <v>177.91164658634537</v>
      </c>
      <c r="L38" s="45" t="s">
        <v>22</v>
      </c>
      <c r="M38" s="51"/>
      <c r="N38" s="52"/>
      <c r="O38" s="52"/>
      <c r="P38" s="52"/>
      <c r="Q38" s="52"/>
      <c r="R38" s="52"/>
      <c r="S38" s="52"/>
      <c r="T38" s="52"/>
      <c r="U38" s="55"/>
    </row>
    <row r="39" spans="1:21" s="1" customFormat="1" ht="13.5" customHeight="1" x14ac:dyDescent="0.25">
      <c r="A39" s="47" t="s">
        <v>109</v>
      </c>
      <c r="B39" s="111"/>
      <c r="C39" s="112"/>
      <c r="D39" s="112"/>
      <c r="E39" s="113"/>
      <c r="F39" s="114">
        <f>ROUND(SUM(F30,F38), -2)</f>
        <v>44300</v>
      </c>
      <c r="G39" s="115"/>
      <c r="H39" s="116"/>
      <c r="I39" s="12">
        <f>ROUND(SUM(I30,I38), -4)</f>
        <v>5580000</v>
      </c>
      <c r="J39" s="16"/>
      <c r="K39" s="15"/>
      <c r="L39" s="3"/>
      <c r="M39" s="51"/>
      <c r="N39" s="52"/>
      <c r="O39" s="52"/>
      <c r="P39" s="52"/>
      <c r="Q39" s="52"/>
      <c r="R39" s="52"/>
      <c r="S39" s="52"/>
      <c r="T39" s="52"/>
      <c r="U39" s="55"/>
    </row>
    <row r="40" spans="1:21" s="1" customFormat="1" ht="13.5" customHeight="1" x14ac:dyDescent="0.25">
      <c r="A40" s="47" t="s">
        <v>110</v>
      </c>
      <c r="B40" s="111"/>
      <c r="C40" s="112"/>
      <c r="D40" s="112"/>
      <c r="E40" s="112"/>
      <c r="F40" s="112"/>
      <c r="G40" s="112"/>
      <c r="H40" s="113"/>
      <c r="I40" s="81">
        <f>ROUND('Capital O&amp;M'!G6+'Capital O&amp;M'!D6,-3)</f>
        <v>174000</v>
      </c>
      <c r="J40" s="3"/>
      <c r="M40" s="58"/>
      <c r="N40" s="58"/>
      <c r="O40" s="58"/>
      <c r="P40" s="58"/>
      <c r="Q40" s="58"/>
      <c r="R40" s="59"/>
      <c r="S40" s="59"/>
      <c r="T40" s="59"/>
      <c r="U40" s="60"/>
    </row>
    <row r="41" spans="1:21" s="1" customFormat="1" ht="13.5" customHeight="1" x14ac:dyDescent="0.25">
      <c r="A41" s="47" t="s">
        <v>111</v>
      </c>
      <c r="B41" s="111"/>
      <c r="C41" s="112"/>
      <c r="D41" s="112"/>
      <c r="E41" s="112"/>
      <c r="F41" s="112"/>
      <c r="G41" s="112"/>
      <c r="H41" s="113"/>
      <c r="I41" s="81">
        <f>ROUND(SUM(I39:I40), -4)</f>
        <v>5750000</v>
      </c>
      <c r="J41" s="3"/>
      <c r="M41" s="61"/>
      <c r="N41" s="61"/>
      <c r="O41" s="61"/>
      <c r="P41" s="61"/>
      <c r="Q41" s="61"/>
      <c r="R41" s="59"/>
      <c r="S41" s="59"/>
      <c r="T41" s="59"/>
      <c r="U41" s="60"/>
    </row>
    <row r="42" spans="1:21" s="1" customFormat="1" ht="13.5" x14ac:dyDescent="0.25">
      <c r="G42" s="42"/>
      <c r="I42" s="8"/>
      <c r="J42" s="3"/>
      <c r="M42" s="61"/>
      <c r="N42" s="61"/>
      <c r="O42" s="61"/>
      <c r="P42" s="61"/>
      <c r="Q42" s="61"/>
      <c r="R42" s="61"/>
      <c r="S42" s="61"/>
      <c r="T42" s="61"/>
      <c r="U42" s="60"/>
    </row>
    <row r="43" spans="1:21" s="1" customFormat="1" ht="13.5" x14ac:dyDescent="0.25">
      <c r="A43" s="43" t="s">
        <v>23</v>
      </c>
      <c r="I43" s="8"/>
      <c r="J43" s="3"/>
      <c r="M43" s="61"/>
      <c r="N43" s="61"/>
      <c r="O43" s="61"/>
      <c r="P43" s="61"/>
      <c r="Q43" s="61"/>
      <c r="R43" s="61"/>
      <c r="S43" s="61"/>
      <c r="T43" s="61"/>
      <c r="U43" s="60"/>
    </row>
    <row r="44" spans="1:21" s="1" customFormat="1" ht="34.5" customHeight="1" x14ac:dyDescent="0.2">
      <c r="A44" s="104" t="s">
        <v>96</v>
      </c>
      <c r="B44" s="105"/>
      <c r="C44" s="105"/>
      <c r="D44" s="105"/>
      <c r="E44" s="105"/>
      <c r="F44" s="105"/>
      <c r="G44" s="105"/>
      <c r="H44" s="105"/>
      <c r="I44" s="105"/>
      <c r="J44" s="3"/>
      <c r="M44" s="32"/>
      <c r="N44" s="32"/>
      <c r="O44" s="32"/>
      <c r="P44" s="32"/>
      <c r="Q44" s="32"/>
      <c r="R44" s="32"/>
      <c r="S44" s="32"/>
      <c r="T44" s="32"/>
      <c r="U44" s="32"/>
    </row>
    <row r="45" spans="1:21" s="1" customFormat="1" ht="63.75" customHeight="1" x14ac:dyDescent="0.2">
      <c r="A45" s="107" t="s">
        <v>168</v>
      </c>
      <c r="B45" s="104"/>
      <c r="C45" s="104"/>
      <c r="D45" s="104"/>
      <c r="E45" s="104"/>
      <c r="F45" s="104"/>
      <c r="G45" s="104"/>
      <c r="H45" s="104"/>
      <c r="I45" s="104"/>
      <c r="J45" s="3"/>
      <c r="M45" s="32"/>
      <c r="N45" s="32"/>
      <c r="O45" s="32"/>
      <c r="P45" s="32"/>
      <c r="Q45" s="32"/>
      <c r="R45" s="32"/>
      <c r="S45" s="32"/>
      <c r="T45" s="32"/>
      <c r="U45" s="32"/>
    </row>
    <row r="46" spans="1:21" s="1" customFormat="1" ht="29.45" customHeight="1" x14ac:dyDescent="0.2">
      <c r="A46" s="102" t="s">
        <v>97</v>
      </c>
      <c r="B46" s="102"/>
      <c r="C46" s="102"/>
      <c r="D46" s="102"/>
      <c r="E46" s="102"/>
      <c r="F46" s="102"/>
      <c r="G46" s="102"/>
      <c r="H46" s="102"/>
      <c r="I46" s="102"/>
      <c r="J46" s="9"/>
      <c r="M46" s="32"/>
      <c r="N46" s="32"/>
      <c r="O46" s="32"/>
      <c r="P46" s="32"/>
      <c r="Q46" s="32"/>
      <c r="R46" s="32"/>
      <c r="S46" s="32"/>
      <c r="T46" s="32"/>
      <c r="U46" s="32"/>
    </row>
    <row r="47" spans="1:21" s="1" customFormat="1" ht="33.6" customHeight="1" x14ac:dyDescent="0.2">
      <c r="A47" s="103" t="s">
        <v>98</v>
      </c>
      <c r="B47" s="103"/>
      <c r="C47" s="103"/>
      <c r="D47" s="103"/>
      <c r="E47" s="103"/>
      <c r="F47" s="103"/>
      <c r="G47" s="103"/>
      <c r="H47" s="103"/>
      <c r="I47" s="103"/>
      <c r="J47" s="3"/>
      <c r="M47" s="32"/>
      <c r="N47" s="32"/>
      <c r="O47" s="32"/>
      <c r="P47" s="32"/>
      <c r="Q47" s="32"/>
      <c r="R47" s="32"/>
      <c r="S47" s="32"/>
      <c r="T47" s="32"/>
      <c r="U47" s="32"/>
    </row>
    <row r="48" spans="1:21" s="1" customFormat="1" ht="19.149999999999999" customHeight="1" x14ac:dyDescent="0.2">
      <c r="A48" s="101" t="s">
        <v>99</v>
      </c>
      <c r="B48" s="101"/>
      <c r="C48" s="101"/>
      <c r="D48" s="101"/>
      <c r="E48" s="101"/>
      <c r="F48" s="101"/>
      <c r="G48" s="101"/>
      <c r="H48" s="101"/>
      <c r="I48" s="101"/>
      <c r="M48" s="32"/>
      <c r="N48" s="32"/>
      <c r="O48" s="32"/>
      <c r="P48" s="32"/>
      <c r="Q48" s="32"/>
      <c r="R48" s="32"/>
      <c r="S48" s="32"/>
      <c r="T48" s="32"/>
      <c r="U48" s="32"/>
    </row>
    <row r="49" spans="1:21" s="1" customFormat="1" ht="19.899999999999999" customHeight="1" x14ac:dyDescent="0.2">
      <c r="A49" s="101" t="s">
        <v>100</v>
      </c>
      <c r="B49" s="101"/>
      <c r="C49" s="101"/>
      <c r="D49" s="101"/>
      <c r="E49" s="101"/>
      <c r="F49" s="101"/>
      <c r="G49" s="101"/>
      <c r="H49" s="101"/>
      <c r="I49" s="101"/>
      <c r="M49" s="32"/>
      <c r="N49" s="32"/>
      <c r="O49" s="32"/>
      <c r="P49" s="32"/>
      <c r="Q49" s="32"/>
      <c r="R49" s="32"/>
      <c r="S49" s="32"/>
      <c r="T49" s="32"/>
      <c r="U49" s="32"/>
    </row>
    <row r="50" spans="1:21" s="1" customFormat="1" ht="19.899999999999999" customHeight="1" x14ac:dyDescent="0.2">
      <c r="A50" s="101" t="s">
        <v>101</v>
      </c>
      <c r="B50" s="101"/>
      <c r="C50" s="101"/>
      <c r="D50" s="101"/>
      <c r="E50" s="101"/>
      <c r="F50" s="101"/>
      <c r="G50" s="101"/>
      <c r="H50" s="101"/>
      <c r="I50" s="101"/>
      <c r="M50" s="62"/>
      <c r="N50" s="62"/>
      <c r="O50" s="62"/>
      <c r="P50" s="62"/>
      <c r="Q50" s="62"/>
      <c r="R50" s="62"/>
      <c r="S50" s="62"/>
      <c r="T50" s="62"/>
      <c r="U50" s="62"/>
    </row>
    <row r="51" spans="1:21" s="1" customFormat="1" ht="18.600000000000001" customHeight="1" x14ac:dyDescent="0.2">
      <c r="A51" s="101" t="s">
        <v>102</v>
      </c>
      <c r="B51" s="101"/>
      <c r="C51" s="101"/>
      <c r="D51" s="101"/>
      <c r="E51" s="101"/>
      <c r="F51" s="101"/>
      <c r="G51" s="101"/>
      <c r="H51" s="101"/>
      <c r="I51" s="101"/>
      <c r="M51" s="32"/>
      <c r="N51" s="32"/>
      <c r="O51" s="32"/>
      <c r="P51" s="32"/>
      <c r="Q51" s="32"/>
      <c r="R51" s="32"/>
      <c r="S51" s="32"/>
      <c r="T51" s="32"/>
      <c r="U51" s="32"/>
    </row>
    <row r="52" spans="1:21" s="1" customFormat="1" ht="17.25" customHeight="1" x14ac:dyDescent="0.2">
      <c r="A52" s="100" t="s">
        <v>103</v>
      </c>
      <c r="B52" s="100"/>
      <c r="C52" s="100"/>
      <c r="D52" s="100"/>
      <c r="E52" s="100"/>
      <c r="F52" s="100"/>
      <c r="G52" s="100"/>
      <c r="H52" s="100"/>
      <c r="I52" s="100"/>
      <c r="M52" s="32"/>
      <c r="N52" s="32"/>
      <c r="O52" s="32"/>
      <c r="P52" s="32"/>
      <c r="Q52" s="32"/>
      <c r="R52" s="32"/>
      <c r="S52" s="32"/>
      <c r="T52" s="32"/>
      <c r="U52" s="32"/>
    </row>
    <row r="53" spans="1:21" s="1" customFormat="1" ht="16.899999999999999" customHeight="1" x14ac:dyDescent="0.2">
      <c r="A53" s="100" t="s">
        <v>104</v>
      </c>
      <c r="B53" s="100"/>
      <c r="C53" s="100"/>
      <c r="D53" s="100"/>
      <c r="E53" s="100"/>
      <c r="F53" s="100"/>
      <c r="G53" s="100"/>
      <c r="H53" s="100"/>
      <c r="I53" s="100"/>
      <c r="M53" s="32"/>
      <c r="N53" s="32"/>
      <c r="O53" s="32"/>
      <c r="P53" s="32"/>
      <c r="Q53" s="32"/>
      <c r="R53" s="32"/>
      <c r="S53" s="32"/>
      <c r="T53" s="32"/>
      <c r="U53" s="32"/>
    </row>
    <row r="54" spans="1:21" ht="15.75" x14ac:dyDescent="0.25">
      <c r="A54" s="100" t="s">
        <v>105</v>
      </c>
      <c r="B54" s="100"/>
      <c r="C54" s="100"/>
      <c r="D54" s="100"/>
      <c r="E54" s="100"/>
      <c r="F54" s="100"/>
      <c r="G54" s="100"/>
      <c r="H54" s="100"/>
      <c r="I54" s="100"/>
    </row>
    <row r="55" spans="1:21" ht="15.75" x14ac:dyDescent="0.25">
      <c r="A55" s="100" t="s">
        <v>106</v>
      </c>
      <c r="B55" s="100"/>
      <c r="C55" s="100"/>
      <c r="D55" s="100"/>
      <c r="E55" s="100"/>
      <c r="F55" s="100"/>
      <c r="G55" s="100"/>
      <c r="H55" s="100"/>
      <c r="I55" s="100"/>
    </row>
    <row r="56" spans="1:21" ht="16.5" x14ac:dyDescent="0.25">
      <c r="A56" s="120" t="s">
        <v>107</v>
      </c>
      <c r="B56" s="120"/>
      <c r="C56" s="120"/>
      <c r="D56" s="120"/>
      <c r="E56" s="120"/>
      <c r="F56" s="120"/>
      <c r="G56" s="120"/>
      <c r="H56" s="120"/>
      <c r="I56" s="120"/>
    </row>
    <row r="57" spans="1:21" ht="15.75" x14ac:dyDescent="0.25">
      <c r="A57" s="121" t="s">
        <v>108</v>
      </c>
      <c r="B57" s="121"/>
      <c r="C57" s="121"/>
      <c r="D57" s="121"/>
      <c r="E57" s="121"/>
      <c r="F57" s="121"/>
      <c r="G57" s="121"/>
      <c r="H57" s="121"/>
      <c r="I57" s="121"/>
    </row>
    <row r="59" spans="1:21" ht="15.75" x14ac:dyDescent="0.25">
      <c r="A59" s="68"/>
      <c r="B59" s="68"/>
      <c r="C59" s="68"/>
    </row>
    <row r="60" spans="1:21" ht="15.75" x14ac:dyDescent="0.25">
      <c r="A60" s="68"/>
      <c r="B60" s="68"/>
      <c r="C60" s="68"/>
    </row>
    <row r="61" spans="1:21" ht="15.75" x14ac:dyDescent="0.25">
      <c r="A61" s="68"/>
      <c r="B61" s="68"/>
      <c r="C61" s="68"/>
    </row>
    <row r="62" spans="1:21" ht="15.75" x14ac:dyDescent="0.25">
      <c r="A62" s="69"/>
      <c r="B62" s="69"/>
      <c r="C62" s="69"/>
    </row>
    <row r="63" spans="1:21" ht="15.75" x14ac:dyDescent="0.25">
      <c r="A63" s="68"/>
      <c r="B63" s="68"/>
      <c r="C63" s="68"/>
    </row>
    <row r="64" spans="1:21" ht="15.75" x14ac:dyDescent="0.25">
      <c r="A64" s="68"/>
      <c r="B64" s="68"/>
      <c r="C64" s="68"/>
    </row>
    <row r="65" spans="1:3" ht="15.75" x14ac:dyDescent="0.25">
      <c r="A65" s="69"/>
      <c r="B65" s="69"/>
      <c r="C65" s="69"/>
    </row>
    <row r="66" spans="1:3" ht="15.75" x14ac:dyDescent="0.25">
      <c r="A66" s="69"/>
      <c r="B66" s="69"/>
      <c r="C66" s="69"/>
    </row>
    <row r="67" spans="1:3" ht="15.75" customHeight="1" x14ac:dyDescent="0.25">
      <c r="A67" s="68"/>
      <c r="B67" s="68"/>
      <c r="C67" s="68"/>
    </row>
    <row r="68" spans="1:3" ht="15" customHeight="1" x14ac:dyDescent="0.25">
      <c r="A68" s="68"/>
      <c r="B68" s="68"/>
      <c r="C68" s="68"/>
    </row>
    <row r="69" spans="1:3" ht="15.75" x14ac:dyDescent="0.25">
      <c r="A69" s="68"/>
      <c r="B69" s="68"/>
      <c r="C69" s="68"/>
    </row>
    <row r="70" spans="1:3" ht="15.75" x14ac:dyDescent="0.25">
      <c r="A70" s="69"/>
      <c r="B70" s="69"/>
      <c r="C70" s="69"/>
    </row>
    <row r="71" spans="1:3" ht="15.75" x14ac:dyDescent="0.25">
      <c r="A71" s="69"/>
      <c r="B71" s="68"/>
      <c r="C71" s="68"/>
    </row>
    <row r="72" spans="1:3" ht="15.75" x14ac:dyDescent="0.25">
      <c r="A72" s="68"/>
      <c r="B72" s="68"/>
      <c r="C72" s="68"/>
    </row>
    <row r="73" spans="1:3" ht="15.75" x14ac:dyDescent="0.25">
      <c r="A73" s="69"/>
      <c r="B73" s="68"/>
      <c r="C73" s="68"/>
    </row>
  </sheetData>
  <sortState xmlns:xlrd2="http://schemas.microsoft.com/office/spreadsheetml/2017/richdata2" ref="A58:C73">
    <sortCondition ref="C58:C73"/>
  </sortState>
  <mergeCells count="22">
    <mergeCell ref="A56:I56"/>
    <mergeCell ref="A53:I53"/>
    <mergeCell ref="A54:I54"/>
    <mergeCell ref="A55:I55"/>
    <mergeCell ref="A57:I57"/>
    <mergeCell ref="A44:I44"/>
    <mergeCell ref="K4:L4"/>
    <mergeCell ref="A45:I45"/>
    <mergeCell ref="B38:E38"/>
    <mergeCell ref="B39:E39"/>
    <mergeCell ref="B40:H40"/>
    <mergeCell ref="B41:H41"/>
    <mergeCell ref="F38:H38"/>
    <mergeCell ref="F39:H39"/>
    <mergeCell ref="F30:H30"/>
    <mergeCell ref="A52:I52"/>
    <mergeCell ref="A51:I51"/>
    <mergeCell ref="A46:I46"/>
    <mergeCell ref="A47:I47"/>
    <mergeCell ref="A48:I48"/>
    <mergeCell ref="A49:I49"/>
    <mergeCell ref="A50:I50"/>
  </mergeCells>
  <phoneticPr fontId="25"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44"/>
  <sheetViews>
    <sheetView workbookViewId="0">
      <selection activeCell="A2" sqref="A2"/>
    </sheetView>
  </sheetViews>
  <sheetFormatPr defaultRowHeight="15" x14ac:dyDescent="0.25"/>
  <cols>
    <col min="1" max="1" width="43.7109375" customWidth="1"/>
    <col min="2" max="9" width="11.7109375" customWidth="1"/>
    <col min="10" max="10" width="8.140625" customWidth="1"/>
    <col min="11" max="11" width="11.85546875" customWidth="1"/>
  </cols>
  <sheetData>
    <row r="1" spans="1:12" ht="15.75" x14ac:dyDescent="0.25">
      <c r="A1" s="36" t="s">
        <v>145</v>
      </c>
      <c r="B1" s="1"/>
      <c r="C1" s="1"/>
      <c r="D1" s="1"/>
      <c r="E1" s="1"/>
      <c r="F1" s="1"/>
      <c r="G1" s="1"/>
      <c r="H1" s="1"/>
      <c r="I1" s="1"/>
    </row>
    <row r="2" spans="1:12" x14ac:dyDescent="0.25">
      <c r="A2" s="1"/>
      <c r="B2" s="1"/>
      <c r="C2" s="1"/>
      <c r="D2" s="1"/>
      <c r="E2" s="1"/>
      <c r="F2" s="7"/>
      <c r="G2" s="7"/>
      <c r="H2" s="7"/>
      <c r="I2" s="7"/>
    </row>
    <row r="3" spans="1:12" ht="76.5" x14ac:dyDescent="0.25">
      <c r="A3" s="35" t="s">
        <v>24</v>
      </c>
      <c r="B3" s="79" t="s">
        <v>25</v>
      </c>
      <c r="C3" s="79" t="s">
        <v>26</v>
      </c>
      <c r="D3" s="79" t="s">
        <v>27</v>
      </c>
      <c r="E3" s="79" t="s">
        <v>28</v>
      </c>
      <c r="F3" s="79" t="s">
        <v>12</v>
      </c>
      <c r="G3" s="79" t="s">
        <v>29</v>
      </c>
      <c r="H3" s="79" t="s">
        <v>30</v>
      </c>
      <c r="I3" s="79" t="s">
        <v>31</v>
      </c>
      <c r="J3" s="1"/>
      <c r="K3" s="1"/>
      <c r="L3" s="1"/>
    </row>
    <row r="4" spans="1:12" x14ac:dyDescent="0.25">
      <c r="A4" s="87" t="s">
        <v>112</v>
      </c>
      <c r="B4" s="10"/>
      <c r="C4" s="10"/>
      <c r="D4" s="10"/>
      <c r="E4" s="10"/>
      <c r="F4" s="10"/>
      <c r="G4" s="10"/>
      <c r="H4" s="10"/>
      <c r="I4" s="11"/>
      <c r="J4" s="1"/>
      <c r="K4" s="106" t="s">
        <v>16</v>
      </c>
      <c r="L4" s="106"/>
    </row>
    <row r="5" spans="1:12" ht="18" x14ac:dyDescent="0.25">
      <c r="A5" s="89" t="s">
        <v>113</v>
      </c>
      <c r="B5" s="10">
        <v>2</v>
      </c>
      <c r="C5" s="10">
        <v>1</v>
      </c>
      <c r="D5" s="10">
        <f t="shared" ref="D5:D8" si="0">B5*C5</f>
        <v>2</v>
      </c>
      <c r="E5" s="10">
        <v>0</v>
      </c>
      <c r="F5" s="10">
        <f t="shared" ref="F5:F6" si="1">D5*E5</f>
        <v>0</v>
      </c>
      <c r="G5" s="10">
        <f t="shared" ref="G5:G6" si="2">F5*0.05</f>
        <v>0</v>
      </c>
      <c r="H5" s="10">
        <f t="shared" ref="H5:H6" si="3">F5*0.1</f>
        <v>0</v>
      </c>
      <c r="I5" s="46">
        <f>F5*$L$6+G5*$L$5+H5*$L$7</f>
        <v>0</v>
      </c>
      <c r="J5" s="1"/>
      <c r="K5" s="14" t="s">
        <v>17</v>
      </c>
      <c r="L5" s="33">
        <v>73.459999999999994</v>
      </c>
    </row>
    <row r="6" spans="1:12" ht="18" x14ac:dyDescent="0.25">
      <c r="A6" s="89" t="s">
        <v>114</v>
      </c>
      <c r="B6" s="10">
        <v>24</v>
      </c>
      <c r="C6" s="10">
        <v>1</v>
      </c>
      <c r="D6" s="10">
        <f t="shared" si="0"/>
        <v>24</v>
      </c>
      <c r="E6" s="10">
        <v>0</v>
      </c>
      <c r="F6" s="10">
        <f t="shared" si="1"/>
        <v>0</v>
      </c>
      <c r="G6" s="10">
        <f t="shared" si="2"/>
        <v>0</v>
      </c>
      <c r="H6" s="10">
        <f t="shared" si="3"/>
        <v>0</v>
      </c>
      <c r="I6" s="46">
        <f>F6*$L$6+G6*$L$5+H6*$L$7</f>
        <v>0</v>
      </c>
      <c r="J6" s="1"/>
      <c r="K6" s="14" t="s">
        <v>32</v>
      </c>
      <c r="L6" s="33">
        <v>54.51</v>
      </c>
    </row>
    <row r="7" spans="1:12" ht="18" x14ac:dyDescent="0.25">
      <c r="A7" s="87" t="s">
        <v>115</v>
      </c>
      <c r="B7" s="10"/>
      <c r="C7" s="10"/>
      <c r="D7" s="10"/>
      <c r="E7" s="10"/>
      <c r="F7" s="10"/>
      <c r="G7" s="10"/>
      <c r="H7" s="10"/>
      <c r="I7" s="46"/>
      <c r="J7" s="1"/>
      <c r="K7" s="14" t="s">
        <v>19</v>
      </c>
      <c r="L7" s="33">
        <v>29.5</v>
      </c>
    </row>
    <row r="8" spans="1:12" x14ac:dyDescent="0.25">
      <c r="A8" s="89" t="s">
        <v>116</v>
      </c>
      <c r="B8" s="10">
        <v>2</v>
      </c>
      <c r="C8" s="10">
        <v>1</v>
      </c>
      <c r="D8" s="10">
        <f t="shared" si="0"/>
        <v>2</v>
      </c>
      <c r="E8" s="10">
        <v>0</v>
      </c>
      <c r="F8" s="10">
        <f t="shared" ref="F8" si="4">D8*E8</f>
        <v>0</v>
      </c>
      <c r="G8" s="10">
        <f t="shared" ref="G8" si="5">F8*0.05</f>
        <v>0</v>
      </c>
      <c r="H8" s="10">
        <f t="shared" ref="H8" si="6">F8*0.1</f>
        <v>0</v>
      </c>
      <c r="I8" s="46">
        <f>F8*$L$6+G8*$L$5+H8*$L$7</f>
        <v>0</v>
      </c>
      <c r="J8" s="13"/>
      <c r="K8" s="13"/>
      <c r="L8" s="1"/>
    </row>
    <row r="9" spans="1:12" ht="19.5" customHeight="1" x14ac:dyDescent="0.25">
      <c r="A9" s="89" t="s">
        <v>117</v>
      </c>
      <c r="B9" s="10">
        <v>2</v>
      </c>
      <c r="C9" s="10">
        <v>1</v>
      </c>
      <c r="D9" s="10">
        <f t="shared" ref="D9:D12" si="7">B9*C9</f>
        <v>2</v>
      </c>
      <c r="E9" s="10">
        <v>0</v>
      </c>
      <c r="F9" s="10">
        <f t="shared" ref="F9:F12" si="8">D9*E9</f>
        <v>0</v>
      </c>
      <c r="G9" s="10">
        <f t="shared" ref="G9:G12" si="9">F9*0.05</f>
        <v>0</v>
      </c>
      <c r="H9" s="10">
        <f t="shared" ref="H9:H12" si="10">F9*0.1</f>
        <v>0</v>
      </c>
      <c r="I9" s="46">
        <f>F9*$L$6+G9*$L$5+H9*$L$7</f>
        <v>0</v>
      </c>
      <c r="J9" s="13"/>
      <c r="K9" s="13"/>
      <c r="L9" s="3"/>
    </row>
    <row r="10" spans="1:12" x14ac:dyDescent="0.25">
      <c r="A10" s="89" t="s">
        <v>118</v>
      </c>
      <c r="B10" s="10">
        <v>2</v>
      </c>
      <c r="C10" s="10">
        <v>1</v>
      </c>
      <c r="D10" s="10">
        <f t="shared" si="7"/>
        <v>2</v>
      </c>
      <c r="E10" s="10">
        <v>0</v>
      </c>
      <c r="F10" s="10">
        <f t="shared" si="8"/>
        <v>0</v>
      </c>
      <c r="G10" s="10">
        <f t="shared" si="9"/>
        <v>0</v>
      </c>
      <c r="H10" s="10">
        <f t="shared" si="10"/>
        <v>0</v>
      </c>
      <c r="I10" s="46">
        <f>F10*$L$6+G10*$L$5+H10*$L$7</f>
        <v>0</v>
      </c>
      <c r="J10" s="15"/>
      <c r="K10" s="15"/>
      <c r="L10" s="48"/>
    </row>
    <row r="11" spans="1:12" x14ac:dyDescent="0.25">
      <c r="A11" s="89" t="s">
        <v>119</v>
      </c>
      <c r="B11" s="10">
        <v>2</v>
      </c>
      <c r="C11" s="10">
        <v>1</v>
      </c>
      <c r="D11" s="10">
        <f t="shared" si="7"/>
        <v>2</v>
      </c>
      <c r="E11" s="10">
        <v>0</v>
      </c>
      <c r="F11" s="10">
        <f t="shared" si="8"/>
        <v>0</v>
      </c>
      <c r="G11" s="10">
        <f t="shared" si="9"/>
        <v>0</v>
      </c>
      <c r="H11" s="10">
        <f t="shared" si="10"/>
        <v>0</v>
      </c>
      <c r="I11" s="46">
        <f>F11*$L$6+G11*$L$5+H11*$L$7</f>
        <v>0</v>
      </c>
      <c r="J11" s="1"/>
      <c r="K11" s="1"/>
      <c r="L11" s="1"/>
    </row>
    <row r="12" spans="1:12" x14ac:dyDescent="0.25">
      <c r="A12" s="89" t="s">
        <v>120</v>
      </c>
      <c r="B12" s="10">
        <v>40</v>
      </c>
      <c r="C12" s="10">
        <v>1</v>
      </c>
      <c r="D12" s="10">
        <f t="shared" si="7"/>
        <v>40</v>
      </c>
      <c r="E12" s="10">
        <v>0</v>
      </c>
      <c r="F12" s="10">
        <f t="shared" si="8"/>
        <v>0</v>
      </c>
      <c r="G12" s="10">
        <f t="shared" si="9"/>
        <v>0</v>
      </c>
      <c r="H12" s="10">
        <f t="shared" si="10"/>
        <v>0</v>
      </c>
      <c r="I12" s="46">
        <f>F12*$L$6+G12*$L$5+H12*$L$7</f>
        <v>0</v>
      </c>
      <c r="J12" s="3"/>
      <c r="K12" s="1"/>
      <c r="L12" s="1"/>
    </row>
    <row r="13" spans="1:12" ht="18" x14ac:dyDescent="0.25">
      <c r="A13" s="89" t="s">
        <v>121</v>
      </c>
      <c r="B13" s="10"/>
      <c r="C13" s="10"/>
      <c r="D13" s="10"/>
      <c r="E13" s="10"/>
      <c r="F13" s="10"/>
      <c r="G13" s="10"/>
      <c r="H13" s="10"/>
      <c r="I13" s="46"/>
      <c r="J13" s="3"/>
      <c r="K13" s="1"/>
      <c r="L13" s="1"/>
    </row>
    <row r="14" spans="1:12" ht="18" x14ac:dyDescent="0.25">
      <c r="A14" s="90" t="s">
        <v>122</v>
      </c>
      <c r="B14" s="10">
        <v>20</v>
      </c>
      <c r="C14" s="10">
        <v>1</v>
      </c>
      <c r="D14" s="10">
        <f t="shared" ref="D14:D15" si="11">B14*C14</f>
        <v>20</v>
      </c>
      <c r="E14" s="10">
        <v>0</v>
      </c>
      <c r="F14" s="10">
        <f t="shared" ref="F14:F15" si="12">D14*E14</f>
        <v>0</v>
      </c>
      <c r="G14" s="10">
        <f t="shared" ref="G14:G15" si="13">F14*0.05</f>
        <v>0</v>
      </c>
      <c r="H14" s="10">
        <f t="shared" ref="H14:H15" si="14">F14*0.1</f>
        <v>0</v>
      </c>
      <c r="I14" s="46">
        <f>F14*$L$6+G14*$L$5+H14*$L$7</f>
        <v>0</v>
      </c>
      <c r="J14" s="3"/>
      <c r="K14" s="1"/>
      <c r="L14" s="1"/>
    </row>
    <row r="15" spans="1:12" x14ac:dyDescent="0.25">
      <c r="A15" s="90" t="s">
        <v>123</v>
      </c>
      <c r="B15" s="10">
        <v>4</v>
      </c>
      <c r="C15" s="10">
        <v>1</v>
      </c>
      <c r="D15" s="10">
        <f t="shared" si="11"/>
        <v>4</v>
      </c>
      <c r="E15" s="10">
        <v>0</v>
      </c>
      <c r="F15" s="10">
        <f t="shared" si="12"/>
        <v>0</v>
      </c>
      <c r="G15" s="10">
        <f t="shared" si="13"/>
        <v>0</v>
      </c>
      <c r="H15" s="10">
        <f t="shared" si="14"/>
        <v>0</v>
      </c>
      <c r="I15" s="46">
        <f>F15*$L$6+G15*$L$5+H15*$L$7</f>
        <v>0</v>
      </c>
      <c r="J15" s="3"/>
      <c r="K15" s="1"/>
      <c r="L15" s="1"/>
    </row>
    <row r="16" spans="1:12" x14ac:dyDescent="0.25">
      <c r="A16" s="87" t="s">
        <v>124</v>
      </c>
      <c r="B16" s="10"/>
      <c r="C16" s="10"/>
      <c r="D16" s="10"/>
      <c r="E16" s="10"/>
      <c r="F16" s="10"/>
      <c r="G16" s="10"/>
      <c r="H16" s="10"/>
      <c r="I16" s="11"/>
      <c r="J16" s="1"/>
      <c r="K16" s="1"/>
      <c r="L16" s="1"/>
    </row>
    <row r="17" spans="1:12" x14ac:dyDescent="0.25">
      <c r="A17" s="89" t="s">
        <v>125</v>
      </c>
      <c r="B17" s="10"/>
      <c r="C17" s="10"/>
      <c r="D17" s="10"/>
      <c r="E17" s="10"/>
      <c r="F17" s="10"/>
      <c r="G17" s="10"/>
      <c r="H17" s="10"/>
      <c r="I17" s="11"/>
      <c r="J17" s="1"/>
      <c r="K17" s="1"/>
      <c r="L17" s="1"/>
    </row>
    <row r="18" spans="1:12" ht="18" x14ac:dyDescent="0.25">
      <c r="A18" s="90" t="s">
        <v>83</v>
      </c>
      <c r="B18" s="10">
        <v>2</v>
      </c>
      <c r="C18" s="10">
        <v>2</v>
      </c>
      <c r="D18" s="10">
        <f t="shared" ref="D18:D23" si="15">B18*C18</f>
        <v>4</v>
      </c>
      <c r="E18" s="10">
        <v>24</v>
      </c>
      <c r="F18" s="10">
        <f t="shared" ref="F18:F23" si="16">D18*E18</f>
        <v>96</v>
      </c>
      <c r="G18" s="10">
        <f t="shared" ref="G18:G23" si="17">F18*0.05</f>
        <v>4.8000000000000007</v>
      </c>
      <c r="H18" s="10">
        <f t="shared" ref="H18:H23" si="18">F18*0.1</f>
        <v>9.6000000000000014</v>
      </c>
      <c r="I18" s="11">
        <f t="shared" ref="I18:I23" si="19">F18*$L$6+G18*$L$5+H18*$L$7</f>
        <v>5868.768</v>
      </c>
      <c r="J18" s="1"/>
      <c r="K18" s="1"/>
      <c r="L18" s="1"/>
    </row>
    <row r="19" spans="1:12" ht="18" x14ac:dyDescent="0.25">
      <c r="A19" s="90" t="s">
        <v>84</v>
      </c>
      <c r="B19" s="10">
        <v>8</v>
      </c>
      <c r="C19" s="10">
        <v>2</v>
      </c>
      <c r="D19" s="10">
        <f t="shared" si="15"/>
        <v>16</v>
      </c>
      <c r="E19" s="10">
        <v>3</v>
      </c>
      <c r="F19" s="10">
        <f t="shared" si="16"/>
        <v>48</v>
      </c>
      <c r="G19" s="10">
        <f t="shared" si="17"/>
        <v>2.4000000000000004</v>
      </c>
      <c r="H19" s="10">
        <f t="shared" si="18"/>
        <v>4.8000000000000007</v>
      </c>
      <c r="I19" s="11">
        <f t="shared" si="19"/>
        <v>2934.384</v>
      </c>
      <c r="J19" s="1"/>
      <c r="K19" s="1"/>
      <c r="L19" s="1"/>
    </row>
    <row r="20" spans="1:12" ht="18" x14ac:dyDescent="0.25">
      <c r="A20" s="89" t="s">
        <v>126</v>
      </c>
      <c r="B20" s="10">
        <v>8</v>
      </c>
      <c r="C20" s="10">
        <v>3</v>
      </c>
      <c r="D20" s="10">
        <f t="shared" si="15"/>
        <v>24</v>
      </c>
      <c r="E20" s="10">
        <v>27</v>
      </c>
      <c r="F20" s="10">
        <f t="shared" si="16"/>
        <v>648</v>
      </c>
      <c r="G20" s="10">
        <f t="shared" si="17"/>
        <v>32.4</v>
      </c>
      <c r="H20" s="10">
        <f t="shared" si="18"/>
        <v>64.8</v>
      </c>
      <c r="I20" s="11">
        <f t="shared" si="19"/>
        <v>39614.183999999994</v>
      </c>
      <c r="J20" s="1"/>
      <c r="K20" s="1"/>
      <c r="L20" s="1"/>
    </row>
    <row r="21" spans="1:12" ht="18" x14ac:dyDescent="0.25">
      <c r="A21" s="89" t="s">
        <v>127</v>
      </c>
      <c r="B21" s="10">
        <v>2</v>
      </c>
      <c r="C21" s="10">
        <v>2</v>
      </c>
      <c r="D21" s="10">
        <f t="shared" si="15"/>
        <v>4</v>
      </c>
      <c r="E21" s="10">
        <v>27</v>
      </c>
      <c r="F21" s="10">
        <f t="shared" si="16"/>
        <v>108</v>
      </c>
      <c r="G21" s="10">
        <f t="shared" si="17"/>
        <v>5.4</v>
      </c>
      <c r="H21" s="10">
        <f t="shared" si="18"/>
        <v>10.8</v>
      </c>
      <c r="I21" s="11">
        <f t="shared" si="19"/>
        <v>6602.3640000000005</v>
      </c>
      <c r="J21" s="1"/>
      <c r="K21" s="1"/>
      <c r="L21" s="1"/>
    </row>
    <row r="22" spans="1:12" ht="18" x14ac:dyDescent="0.25">
      <c r="A22" s="89" t="s">
        <v>128</v>
      </c>
      <c r="B22" s="10">
        <v>8</v>
      </c>
      <c r="C22" s="10">
        <v>2</v>
      </c>
      <c r="D22" s="10">
        <f t="shared" si="15"/>
        <v>16</v>
      </c>
      <c r="E22" s="10">
        <v>27</v>
      </c>
      <c r="F22" s="10">
        <f t="shared" si="16"/>
        <v>432</v>
      </c>
      <c r="G22" s="10">
        <f t="shared" si="17"/>
        <v>21.6</v>
      </c>
      <c r="H22" s="10">
        <f t="shared" si="18"/>
        <v>43.2</v>
      </c>
      <c r="I22" s="11">
        <f t="shared" si="19"/>
        <v>26409.456000000002</v>
      </c>
      <c r="J22" s="1"/>
      <c r="K22" s="1"/>
      <c r="L22" s="1"/>
    </row>
    <row r="23" spans="1:12" ht="18" x14ac:dyDescent="0.25">
      <c r="A23" s="89" t="s">
        <v>129</v>
      </c>
      <c r="B23" s="10">
        <v>8</v>
      </c>
      <c r="C23" s="10">
        <v>2</v>
      </c>
      <c r="D23" s="10">
        <f t="shared" si="15"/>
        <v>16</v>
      </c>
      <c r="E23" s="10">
        <v>3</v>
      </c>
      <c r="F23" s="10">
        <f t="shared" si="16"/>
        <v>48</v>
      </c>
      <c r="G23" s="10">
        <f t="shared" si="17"/>
        <v>2.4000000000000004</v>
      </c>
      <c r="H23" s="10">
        <f t="shared" si="18"/>
        <v>4.8000000000000007</v>
      </c>
      <c r="I23" s="11">
        <f t="shared" si="19"/>
        <v>2934.384</v>
      </c>
      <c r="J23" s="1"/>
      <c r="K23" s="1"/>
      <c r="L23" s="1"/>
    </row>
    <row r="24" spans="1:12" ht="15" customHeight="1" x14ac:dyDescent="0.25">
      <c r="A24" s="47" t="s">
        <v>130</v>
      </c>
      <c r="B24" s="122"/>
      <c r="C24" s="122"/>
      <c r="D24" s="122"/>
      <c r="E24" s="122"/>
      <c r="F24" s="123">
        <f>ROUND(SUM(F4:H23), -1)</f>
        <v>1590</v>
      </c>
      <c r="G24" s="123"/>
      <c r="H24" s="123"/>
      <c r="I24" s="82">
        <f>ROUND(SUM(I4:I23), -2)</f>
        <v>84400</v>
      </c>
      <c r="J24" s="1"/>
      <c r="K24" s="1"/>
      <c r="L24" s="1"/>
    </row>
    <row r="25" spans="1:12" ht="9.75" customHeight="1" x14ac:dyDescent="0.25">
      <c r="A25" s="126"/>
      <c r="B25" s="126"/>
      <c r="C25" s="126"/>
      <c r="D25" s="126"/>
      <c r="E25" s="126"/>
      <c r="F25" s="126"/>
      <c r="G25" s="126"/>
      <c r="H25" s="126"/>
      <c r="I25" s="126"/>
      <c r="J25" s="1"/>
      <c r="K25" s="1"/>
      <c r="L25" s="1"/>
    </row>
    <row r="26" spans="1:12" ht="18.75" customHeight="1" x14ac:dyDescent="0.25">
      <c r="A26" s="125" t="s">
        <v>23</v>
      </c>
      <c r="B26" s="125"/>
      <c r="C26" s="125"/>
      <c r="D26" s="125"/>
      <c r="E26" s="125"/>
      <c r="F26" s="125"/>
      <c r="G26" s="125"/>
      <c r="H26" s="125"/>
      <c r="I26" s="125"/>
      <c r="J26" s="1"/>
      <c r="K26" s="1"/>
      <c r="L26" s="1"/>
    </row>
    <row r="27" spans="1:12" ht="32.25" customHeight="1" x14ac:dyDescent="0.25">
      <c r="A27" s="102" t="s">
        <v>131</v>
      </c>
      <c r="B27" s="102"/>
      <c r="C27" s="102"/>
      <c r="D27" s="102"/>
      <c r="E27" s="102"/>
      <c r="F27" s="102"/>
      <c r="G27" s="102"/>
      <c r="H27" s="102"/>
      <c r="I27" s="102"/>
      <c r="J27" s="1"/>
      <c r="K27" s="1"/>
      <c r="L27" s="1"/>
    </row>
    <row r="28" spans="1:12" ht="60.75" customHeight="1" x14ac:dyDescent="0.25">
      <c r="A28" s="102" t="s">
        <v>132</v>
      </c>
      <c r="B28" s="102"/>
      <c r="C28" s="102"/>
      <c r="D28" s="102"/>
      <c r="E28" s="102"/>
      <c r="F28" s="102"/>
      <c r="G28" s="102"/>
      <c r="H28" s="102"/>
      <c r="I28" s="102"/>
      <c r="J28" s="1"/>
      <c r="K28" s="1"/>
      <c r="L28" s="1"/>
    </row>
    <row r="29" spans="1:12" ht="16.899999999999999" customHeight="1" x14ac:dyDescent="0.25">
      <c r="A29" s="124" t="s">
        <v>133</v>
      </c>
      <c r="B29" s="124"/>
      <c r="C29" s="124"/>
      <c r="D29" s="124"/>
      <c r="E29" s="124"/>
      <c r="F29" s="124"/>
      <c r="G29" s="124"/>
      <c r="H29" s="124"/>
      <c r="I29" s="124"/>
      <c r="J29" s="1"/>
      <c r="K29" s="1"/>
      <c r="L29" s="1"/>
    </row>
    <row r="30" spans="1:12" ht="32.450000000000003" customHeight="1" x14ac:dyDescent="0.25">
      <c r="A30" s="124" t="s">
        <v>134</v>
      </c>
      <c r="B30" s="124"/>
      <c r="C30" s="124"/>
      <c r="D30" s="124"/>
      <c r="E30" s="124"/>
      <c r="F30" s="124"/>
      <c r="G30" s="124"/>
      <c r="H30" s="124"/>
      <c r="I30" s="124"/>
      <c r="J30" s="1"/>
      <c r="K30" s="1"/>
      <c r="L30" s="1"/>
    </row>
    <row r="31" spans="1:12" ht="15" customHeight="1" x14ac:dyDescent="0.25">
      <c r="A31" s="102" t="s">
        <v>135</v>
      </c>
      <c r="B31" s="102"/>
      <c r="C31" s="102"/>
      <c r="D31" s="102"/>
      <c r="E31" s="102"/>
      <c r="F31" s="102"/>
      <c r="G31" s="102"/>
      <c r="H31" s="102"/>
      <c r="I31" s="102"/>
      <c r="J31" s="1"/>
      <c r="K31" s="1"/>
      <c r="L31" s="1"/>
    </row>
    <row r="32" spans="1:12" ht="28.9" customHeight="1" x14ac:dyDescent="0.25">
      <c r="A32" s="102" t="s">
        <v>136</v>
      </c>
      <c r="B32" s="102"/>
      <c r="C32" s="102"/>
      <c r="D32" s="102"/>
      <c r="E32" s="102"/>
      <c r="F32" s="102"/>
      <c r="G32" s="102"/>
      <c r="H32" s="102"/>
      <c r="I32" s="102"/>
      <c r="J32" s="1"/>
      <c r="K32" s="1"/>
      <c r="L32" s="1"/>
    </row>
    <row r="33" spans="1:12" ht="15" customHeight="1" x14ac:dyDescent="0.25">
      <c r="A33" s="100" t="s">
        <v>137</v>
      </c>
      <c r="B33" s="100"/>
      <c r="C33" s="100"/>
      <c r="D33" s="100"/>
      <c r="E33" s="100"/>
      <c r="F33" s="100"/>
      <c r="G33" s="100"/>
      <c r="H33" s="100"/>
      <c r="I33" s="100"/>
      <c r="J33" s="1"/>
      <c r="K33" s="1"/>
      <c r="L33" s="1"/>
    </row>
    <row r="34" spans="1:12" ht="15.6" customHeight="1" x14ac:dyDescent="0.25">
      <c r="A34" s="100" t="s">
        <v>138</v>
      </c>
      <c r="B34" s="100"/>
      <c r="C34" s="100"/>
      <c r="D34" s="100"/>
      <c r="E34" s="100"/>
      <c r="F34" s="100"/>
      <c r="G34" s="100"/>
      <c r="H34" s="100"/>
      <c r="I34" s="100"/>
      <c r="J34" s="1"/>
      <c r="K34" s="1"/>
      <c r="L34" s="1"/>
    </row>
    <row r="35" spans="1:12" ht="15.75" x14ac:dyDescent="0.25">
      <c r="A35" s="100" t="s">
        <v>139</v>
      </c>
      <c r="B35" s="100"/>
      <c r="C35" s="100"/>
      <c r="D35" s="100"/>
      <c r="E35" s="100"/>
      <c r="F35" s="100"/>
      <c r="G35" s="100"/>
      <c r="H35" s="100"/>
      <c r="I35" s="100"/>
      <c r="J35" s="1"/>
      <c r="K35" s="1"/>
      <c r="L35" s="1"/>
    </row>
    <row r="36" spans="1:12" ht="15.75" x14ac:dyDescent="0.25">
      <c r="A36" s="100" t="s">
        <v>140</v>
      </c>
      <c r="B36" s="100"/>
      <c r="C36" s="100"/>
      <c r="D36" s="100"/>
      <c r="E36" s="100"/>
      <c r="F36" s="100"/>
      <c r="G36" s="100"/>
      <c r="H36" s="100"/>
      <c r="I36" s="100"/>
      <c r="J36" s="1"/>
      <c r="K36" s="1"/>
      <c r="L36" s="1"/>
    </row>
    <row r="37" spans="1:12" ht="15.75" x14ac:dyDescent="0.25">
      <c r="A37" s="100" t="s">
        <v>141</v>
      </c>
      <c r="B37" s="100"/>
      <c r="C37" s="100"/>
      <c r="D37" s="100"/>
      <c r="E37" s="100"/>
      <c r="F37" s="100"/>
      <c r="G37" s="100"/>
      <c r="H37" s="100"/>
      <c r="I37" s="100"/>
      <c r="J37" s="1"/>
      <c r="K37" s="1"/>
      <c r="L37" s="1"/>
    </row>
    <row r="38" spans="1:12" ht="15.75" x14ac:dyDescent="0.25">
      <c r="A38" s="100" t="s">
        <v>142</v>
      </c>
      <c r="B38" s="100"/>
      <c r="C38" s="100"/>
      <c r="D38" s="100"/>
      <c r="E38" s="100"/>
      <c r="F38" s="100"/>
      <c r="G38" s="100"/>
      <c r="H38" s="100"/>
      <c r="I38" s="100"/>
      <c r="J38" s="1"/>
      <c r="K38" s="1"/>
      <c r="L38" s="1"/>
    </row>
    <row r="39" spans="1:12" ht="15.75" x14ac:dyDescent="0.25">
      <c r="A39" s="121" t="s">
        <v>143</v>
      </c>
      <c r="B39" s="121"/>
      <c r="C39" s="121"/>
      <c r="D39" s="121"/>
      <c r="E39" s="121"/>
      <c r="F39" s="121"/>
      <c r="G39" s="121"/>
      <c r="H39" s="121"/>
      <c r="I39" s="121"/>
      <c r="J39" s="1"/>
      <c r="K39" s="1"/>
      <c r="L39" s="1"/>
    </row>
    <row r="40" spans="1:12" x14ac:dyDescent="0.25">
      <c r="A40" s="1"/>
      <c r="B40" s="86"/>
      <c r="C40" s="86"/>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sheetData>
  <mergeCells count="18">
    <mergeCell ref="A35:I35"/>
    <mergeCell ref="A36:I36"/>
    <mergeCell ref="A37:I37"/>
    <mergeCell ref="A38:I38"/>
    <mergeCell ref="A39:I39"/>
    <mergeCell ref="K4:L4"/>
    <mergeCell ref="A34:I34"/>
    <mergeCell ref="B24:E24"/>
    <mergeCell ref="A31:I31"/>
    <mergeCell ref="A32:I32"/>
    <mergeCell ref="A33:I33"/>
    <mergeCell ref="F24:H24"/>
    <mergeCell ref="A27:I27"/>
    <mergeCell ref="A28:I28"/>
    <mergeCell ref="A30:I30"/>
    <mergeCell ref="A29:I29"/>
    <mergeCell ref="A26:I26"/>
    <mergeCell ref="A25:I25"/>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J10"/>
  <sheetViews>
    <sheetView zoomScale="90" zoomScaleNormal="90" workbookViewId="0"/>
  </sheetViews>
  <sheetFormatPr defaultColWidth="22" defaultRowHeight="12.75" x14ac:dyDescent="0.2"/>
  <cols>
    <col min="1" max="1" width="22" style="18"/>
    <col min="2" max="2" width="17.5703125" style="18" customWidth="1"/>
    <col min="3" max="3" width="17.28515625" style="18" customWidth="1"/>
    <col min="4" max="4" width="22" style="18"/>
    <col min="5" max="5" width="19.85546875" style="18" customWidth="1"/>
    <col min="6" max="7" width="16.85546875" style="18" customWidth="1"/>
    <col min="8" max="8" width="6" style="18" customWidth="1"/>
    <col min="9" max="16384" width="22" style="18"/>
  </cols>
  <sheetData>
    <row r="1" spans="1:10" x14ac:dyDescent="0.2">
      <c r="A1" s="5"/>
      <c r="B1" s="6"/>
      <c r="C1" s="6"/>
    </row>
    <row r="2" spans="1:10" x14ac:dyDescent="0.2">
      <c r="A2" s="129" t="s">
        <v>33</v>
      </c>
      <c r="B2" s="129"/>
      <c r="C2" s="129"/>
      <c r="D2" s="129"/>
      <c r="E2" s="129"/>
      <c r="F2" s="129"/>
      <c r="G2" s="129"/>
      <c r="H2" s="27"/>
    </row>
    <row r="3" spans="1:10" x14ac:dyDescent="0.2">
      <c r="A3" s="23" t="s">
        <v>34</v>
      </c>
      <c r="B3" s="23" t="s">
        <v>35</v>
      </c>
      <c r="C3" s="23" t="s">
        <v>36</v>
      </c>
      <c r="D3" s="23" t="s">
        <v>37</v>
      </c>
      <c r="E3" s="23" t="s">
        <v>38</v>
      </c>
      <c r="F3" s="23" t="s">
        <v>39</v>
      </c>
      <c r="G3" s="23" t="s">
        <v>40</v>
      </c>
      <c r="H3" s="27"/>
    </row>
    <row r="4" spans="1:10" ht="46.5" customHeight="1" x14ac:dyDescent="0.2">
      <c r="A4" s="23" t="s">
        <v>41</v>
      </c>
      <c r="B4" s="23" t="s">
        <v>164</v>
      </c>
      <c r="C4" s="23" t="s">
        <v>167</v>
      </c>
      <c r="D4" s="23" t="s">
        <v>42</v>
      </c>
      <c r="E4" s="23" t="s">
        <v>166</v>
      </c>
      <c r="F4" s="23" t="s">
        <v>165</v>
      </c>
      <c r="G4" s="23" t="s">
        <v>43</v>
      </c>
      <c r="H4" s="27"/>
      <c r="J4" s="96"/>
    </row>
    <row r="5" spans="1:10" ht="36.75" customHeight="1" x14ac:dyDescent="0.2">
      <c r="A5" s="34" t="s">
        <v>146</v>
      </c>
      <c r="B5" s="98">
        <f>4400*(816/525.4)</f>
        <v>6833.6505519604107</v>
      </c>
      <c r="C5" s="35">
        <v>0</v>
      </c>
      <c r="D5" s="98">
        <f>B5*C5</f>
        <v>0</v>
      </c>
      <c r="E5" s="98">
        <f>4158*(816/525.4)</f>
        <v>6457.7997716025884</v>
      </c>
      <c r="F5" s="35">
        <v>27</v>
      </c>
      <c r="G5" s="24">
        <f>E5*F5</f>
        <v>174360.5938332699</v>
      </c>
      <c r="H5" s="28"/>
      <c r="I5" s="96"/>
    </row>
    <row r="6" spans="1:10" ht="46.5" customHeight="1" x14ac:dyDescent="0.2">
      <c r="A6" s="25" t="s">
        <v>147</v>
      </c>
      <c r="B6" s="20"/>
      <c r="C6" s="20"/>
      <c r="D6" s="26">
        <f>ROUND(SUM(D5:D5), -3)</f>
        <v>0</v>
      </c>
      <c r="E6" s="20"/>
      <c r="F6" s="20"/>
      <c r="G6" s="26">
        <f>ROUND(SUM(G5), -3)</f>
        <v>174000</v>
      </c>
      <c r="I6" s="73">
        <f>D6+G6</f>
        <v>174000</v>
      </c>
    </row>
    <row r="7" spans="1:10" ht="11.25" customHeight="1" x14ac:dyDescent="0.2">
      <c r="A7" s="71"/>
      <c r="B7" s="72"/>
      <c r="C7" s="72"/>
      <c r="D7" s="29"/>
      <c r="E7" s="72"/>
      <c r="F7" s="72"/>
      <c r="G7" s="29"/>
    </row>
    <row r="8" spans="1:10" ht="22.5" customHeight="1" x14ac:dyDescent="0.2">
      <c r="A8" s="127" t="s">
        <v>148</v>
      </c>
      <c r="B8" s="128"/>
      <c r="C8" s="128"/>
      <c r="D8" s="128"/>
      <c r="E8" s="128"/>
      <c r="F8" s="128"/>
      <c r="G8" s="128"/>
    </row>
    <row r="9" spans="1:10" ht="15.75" x14ac:dyDescent="0.2">
      <c r="A9" s="97" t="s">
        <v>162</v>
      </c>
      <c r="B9" s="44"/>
      <c r="C9" s="44"/>
      <c r="D9" s="44"/>
      <c r="E9" s="44"/>
      <c r="F9" s="44"/>
      <c r="G9" s="44"/>
    </row>
    <row r="10" spans="1:10" ht="15.75" x14ac:dyDescent="0.2">
      <c r="A10" s="97" t="s">
        <v>163</v>
      </c>
    </row>
  </sheetData>
  <mergeCells count="2">
    <mergeCell ref="A8:G8"/>
    <mergeCell ref="A2:G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8"/>
  <sheetViews>
    <sheetView zoomScaleNormal="100" workbookViewId="0">
      <selection activeCell="F1" sqref="F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18" customFormat="1" ht="15.75" x14ac:dyDescent="0.2">
      <c r="A1" s="130" t="s">
        <v>44</v>
      </c>
      <c r="B1" s="130"/>
      <c r="C1" s="130"/>
      <c r="D1" s="130"/>
      <c r="E1" s="130"/>
    </row>
    <row r="2" spans="1:6" s="18" customFormat="1" ht="12.75" x14ac:dyDescent="0.2">
      <c r="A2" s="19" t="s">
        <v>34</v>
      </c>
      <c r="B2" s="19" t="s">
        <v>35</v>
      </c>
      <c r="C2" s="19" t="s">
        <v>36</v>
      </c>
      <c r="D2" s="19" t="s">
        <v>37</v>
      </c>
      <c r="E2" s="19" t="s">
        <v>38</v>
      </c>
    </row>
    <row r="3" spans="1:6" s="18" customFormat="1" ht="102" x14ac:dyDescent="0.2">
      <c r="A3" s="19" t="s">
        <v>45</v>
      </c>
      <c r="B3" s="19" t="s">
        <v>46</v>
      </c>
      <c r="C3" s="19" t="s">
        <v>47</v>
      </c>
      <c r="D3" s="19" t="s">
        <v>48</v>
      </c>
      <c r="E3" s="19" t="s">
        <v>49</v>
      </c>
    </row>
    <row r="4" spans="1:6" s="18" customFormat="1" ht="28.9" customHeight="1" x14ac:dyDescent="0.2">
      <c r="A4" s="22" t="s">
        <v>149</v>
      </c>
      <c r="B4" s="20">
        <v>0</v>
      </c>
      <c r="C4" s="20">
        <v>1</v>
      </c>
      <c r="D4" s="20">
        <v>0</v>
      </c>
      <c r="E4" s="20">
        <f t="shared" ref="E4" si="0">(B4*C4)+D4</f>
        <v>0</v>
      </c>
    </row>
    <row r="5" spans="1:6" s="18" customFormat="1" ht="25.5" x14ac:dyDescent="0.2">
      <c r="A5" s="22" t="s">
        <v>150</v>
      </c>
      <c r="B5" s="20">
        <v>27</v>
      </c>
      <c r="C5" s="20">
        <v>3</v>
      </c>
      <c r="D5" s="20">
        <v>0</v>
      </c>
      <c r="E5" s="20">
        <f t="shared" ref="E5:E16" si="1">(B5*C5)+D5</f>
        <v>81</v>
      </c>
    </row>
    <row r="6" spans="1:6" s="18" customFormat="1" ht="25.5" x14ac:dyDescent="0.2">
      <c r="A6" s="22" t="s">
        <v>151</v>
      </c>
      <c r="B6" s="20">
        <v>0</v>
      </c>
      <c r="C6" s="20">
        <v>1</v>
      </c>
      <c r="D6" s="20">
        <v>0</v>
      </c>
      <c r="E6" s="20">
        <f t="shared" si="1"/>
        <v>0</v>
      </c>
    </row>
    <row r="7" spans="1:6" s="18" customFormat="1" ht="25.5" x14ac:dyDescent="0.2">
      <c r="A7" s="22" t="s">
        <v>152</v>
      </c>
      <c r="B7" s="20">
        <v>0</v>
      </c>
      <c r="C7" s="20">
        <v>1</v>
      </c>
      <c r="D7" s="20">
        <v>0</v>
      </c>
      <c r="E7" s="20">
        <f t="shared" si="1"/>
        <v>0</v>
      </c>
    </row>
    <row r="8" spans="1:6" s="18" customFormat="1" ht="12.75" x14ac:dyDescent="0.2">
      <c r="A8" s="22" t="s">
        <v>153</v>
      </c>
      <c r="B8" s="20">
        <v>0</v>
      </c>
      <c r="C8" s="20">
        <v>1</v>
      </c>
      <c r="D8" s="20">
        <v>0</v>
      </c>
      <c r="E8" s="20">
        <f t="shared" si="1"/>
        <v>0</v>
      </c>
      <c r="F8" s="3"/>
    </row>
    <row r="9" spans="1:6" s="18" customFormat="1" ht="28.5" customHeight="1" x14ac:dyDescent="0.2">
      <c r="A9" s="22" t="s">
        <v>154</v>
      </c>
      <c r="B9" s="20">
        <v>0</v>
      </c>
      <c r="C9" s="20">
        <v>1</v>
      </c>
      <c r="D9" s="20">
        <v>0</v>
      </c>
      <c r="E9" s="20">
        <f t="shared" si="1"/>
        <v>0</v>
      </c>
    </row>
    <row r="10" spans="1:6" s="18" customFormat="1" ht="28.5" customHeight="1" x14ac:dyDescent="0.2">
      <c r="A10" s="22" t="s">
        <v>50</v>
      </c>
      <c r="B10" s="20">
        <v>0</v>
      </c>
      <c r="C10" s="20">
        <v>1</v>
      </c>
      <c r="D10" s="20">
        <v>0</v>
      </c>
      <c r="E10" s="20">
        <f t="shared" si="1"/>
        <v>0</v>
      </c>
    </row>
    <row r="11" spans="1:6" s="18" customFormat="1" ht="28.5" customHeight="1" x14ac:dyDescent="0.2">
      <c r="A11" s="22" t="s">
        <v>155</v>
      </c>
      <c r="B11" s="20">
        <v>0</v>
      </c>
      <c r="C11" s="20">
        <v>1</v>
      </c>
      <c r="D11" s="20">
        <v>0</v>
      </c>
      <c r="E11" s="20">
        <f t="shared" si="1"/>
        <v>0</v>
      </c>
    </row>
    <row r="12" spans="1:6" s="18" customFormat="1" ht="28.5" customHeight="1" x14ac:dyDescent="0.2">
      <c r="A12" s="22" t="s">
        <v>156</v>
      </c>
      <c r="B12" s="20">
        <v>27</v>
      </c>
      <c r="C12" s="20">
        <v>2</v>
      </c>
      <c r="D12" s="20">
        <v>0</v>
      </c>
      <c r="E12" s="20">
        <f t="shared" si="1"/>
        <v>54</v>
      </c>
    </row>
    <row r="13" spans="1:6" s="18" customFormat="1" ht="28.5" customHeight="1" x14ac:dyDescent="0.2">
      <c r="A13" s="22" t="s">
        <v>157</v>
      </c>
      <c r="B13" s="20">
        <v>24</v>
      </c>
      <c r="C13" s="20">
        <v>2</v>
      </c>
      <c r="D13" s="20">
        <v>0</v>
      </c>
      <c r="E13" s="20">
        <f t="shared" si="1"/>
        <v>48</v>
      </c>
    </row>
    <row r="14" spans="1:6" s="18" customFormat="1" ht="28.5" customHeight="1" x14ac:dyDescent="0.2">
      <c r="A14" s="22" t="s">
        <v>158</v>
      </c>
      <c r="B14" s="20">
        <v>3</v>
      </c>
      <c r="C14" s="20">
        <v>2</v>
      </c>
      <c r="D14" s="20">
        <v>0</v>
      </c>
      <c r="E14" s="20">
        <f t="shared" si="1"/>
        <v>6</v>
      </c>
    </row>
    <row r="15" spans="1:6" s="18" customFormat="1" ht="28.5" customHeight="1" x14ac:dyDescent="0.2">
      <c r="A15" s="22" t="s">
        <v>159</v>
      </c>
      <c r="B15" s="20">
        <v>27</v>
      </c>
      <c r="C15" s="20">
        <v>2</v>
      </c>
      <c r="D15" s="20">
        <v>0</v>
      </c>
      <c r="E15" s="20">
        <f t="shared" si="1"/>
        <v>54</v>
      </c>
    </row>
    <row r="16" spans="1:6" s="18" customFormat="1" ht="29.25" customHeight="1" x14ac:dyDescent="0.2">
      <c r="A16" s="22" t="s">
        <v>160</v>
      </c>
      <c r="B16" s="20">
        <v>3</v>
      </c>
      <c r="C16" s="20">
        <v>2</v>
      </c>
      <c r="D16" s="20">
        <v>0</v>
      </c>
      <c r="E16" s="20">
        <f t="shared" si="1"/>
        <v>6</v>
      </c>
    </row>
    <row r="17" spans="1:5" s="18" customFormat="1" ht="12.75" x14ac:dyDescent="0.2">
      <c r="A17" s="22"/>
      <c r="B17" s="20"/>
      <c r="C17" s="20"/>
      <c r="D17" s="23" t="s">
        <v>51</v>
      </c>
      <c r="E17" s="70">
        <f>SUM(E4:E16)</f>
        <v>249</v>
      </c>
    </row>
    <row r="18" spans="1:5" s="18" customFormat="1" ht="9.75" customHeight="1" x14ac:dyDescent="0.2">
      <c r="A18" s="74"/>
      <c r="B18" s="75"/>
      <c r="C18" s="75"/>
      <c r="D18" s="76"/>
      <c r="E18" s="77"/>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G1" sqref="G1"/>
    </sheetView>
  </sheetViews>
  <sheetFormatPr defaultColWidth="17.7109375" defaultRowHeight="31.9" customHeight="1" x14ac:dyDescent="0.25"/>
  <sheetData>
    <row r="1" spans="1:6" s="18" customFormat="1" ht="31.9" customHeight="1" x14ac:dyDescent="0.2">
      <c r="A1" s="130" t="s">
        <v>1</v>
      </c>
      <c r="B1" s="130"/>
      <c r="C1" s="130"/>
      <c r="D1" s="130"/>
      <c r="E1" s="130"/>
      <c r="F1" s="130"/>
    </row>
    <row r="2" spans="1:6" s="18" customFormat="1" ht="31.9" customHeight="1" x14ac:dyDescent="0.2">
      <c r="A2" s="30"/>
      <c r="B2" s="131" t="s">
        <v>52</v>
      </c>
      <c r="C2" s="131"/>
      <c r="D2" s="30" t="s">
        <v>53</v>
      </c>
      <c r="E2" s="131"/>
      <c r="F2" s="131"/>
    </row>
    <row r="3" spans="1:6" s="18" customFormat="1" ht="31.9" customHeight="1" x14ac:dyDescent="0.2">
      <c r="A3" s="30"/>
      <c r="B3" s="31" t="s">
        <v>34</v>
      </c>
      <c r="C3" s="31" t="s">
        <v>35</v>
      </c>
      <c r="D3" s="31" t="s">
        <v>36</v>
      </c>
      <c r="E3" s="31" t="s">
        <v>37</v>
      </c>
      <c r="F3" s="31" t="s">
        <v>38</v>
      </c>
    </row>
    <row r="4" spans="1:6" s="18" customFormat="1" ht="70.900000000000006" customHeight="1" x14ac:dyDescent="0.2">
      <c r="A4" s="31" t="s">
        <v>54</v>
      </c>
      <c r="B4" s="30" t="s">
        <v>55</v>
      </c>
      <c r="C4" s="30" t="s">
        <v>56</v>
      </c>
      <c r="D4" s="30" t="s">
        <v>57</v>
      </c>
      <c r="E4" s="30" t="s">
        <v>58</v>
      </c>
      <c r="F4" s="30" t="s">
        <v>59</v>
      </c>
    </row>
    <row r="5" spans="1:6" s="18" customFormat="1" ht="31.9" customHeight="1" x14ac:dyDescent="0.2">
      <c r="A5" s="19">
        <v>1</v>
      </c>
      <c r="B5" s="20">
        <v>0</v>
      </c>
      <c r="C5" s="20">
        <v>27</v>
      </c>
      <c r="D5" s="20">
        <v>0</v>
      </c>
      <c r="E5" s="20">
        <v>0</v>
      </c>
      <c r="F5" s="20">
        <f>B5+C5+D5-E5</f>
        <v>27</v>
      </c>
    </row>
    <row r="6" spans="1:6" s="18" customFormat="1" ht="31.9" customHeight="1" x14ac:dyDescent="0.2">
      <c r="A6" s="19">
        <v>2</v>
      </c>
      <c r="B6" s="20">
        <v>0</v>
      </c>
      <c r="C6" s="20">
        <v>27</v>
      </c>
      <c r="D6" s="20">
        <v>0</v>
      </c>
      <c r="E6" s="20">
        <v>0</v>
      </c>
      <c r="F6" s="20">
        <f>B6+C6+D6-E6</f>
        <v>27</v>
      </c>
    </row>
    <row r="7" spans="1:6" s="18" customFormat="1" ht="31.9" customHeight="1" x14ac:dyDescent="0.2">
      <c r="A7" s="19">
        <v>3</v>
      </c>
      <c r="B7" s="20">
        <v>0</v>
      </c>
      <c r="C7" s="20">
        <v>27</v>
      </c>
      <c r="D7" s="20">
        <v>0</v>
      </c>
      <c r="E7" s="20">
        <v>0</v>
      </c>
      <c r="F7" s="20">
        <f>B7+C7+D7-E7</f>
        <v>27</v>
      </c>
    </row>
    <row r="8" spans="1:6" s="18" customFormat="1" ht="31.9" customHeight="1" x14ac:dyDescent="0.2">
      <c r="A8" s="19" t="s">
        <v>60</v>
      </c>
      <c r="B8" s="20">
        <f>AVERAGE(B5:B7)</f>
        <v>0</v>
      </c>
      <c r="C8" s="20">
        <f>AVERAGE(C5:C7)</f>
        <v>27</v>
      </c>
      <c r="D8" s="20">
        <v>0</v>
      </c>
      <c r="E8" s="20">
        <v>0</v>
      </c>
      <c r="F8" s="23">
        <f>AVERAGE(F5:F7)</f>
        <v>27</v>
      </c>
    </row>
    <row r="9" spans="1:6" s="18" customFormat="1" ht="20.45" customHeight="1" x14ac:dyDescent="0.2">
      <c r="A9" s="21" t="s">
        <v>161</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2024-10-24T20:53:17+00:00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A99F429A-4BD9-4C00-B1D3-67990C1FDA10}"/>
</file>

<file path=customXml/itemProps4.xml><?xml version="1.0" encoding="utf-8"?>
<ds:datastoreItem xmlns:ds="http://schemas.openxmlformats.org/officeDocument/2006/customXml" ds:itemID="{4EB3975D-4615-4F1F-A86A-657CBA774E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2024-02-29T16:15:06Z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