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Tracy\ICRs - SPPD\FY2024\1712.12 Shipbuilding and Ship Repair Facilities NESHAP\Jackson's Draft Files\Send to EPA\"/>
    </mc:Choice>
  </mc:AlternateContent>
  <xr:revisionPtr revIDLastSave="0" documentId="13_ncr:1_{A45BECA1-B12F-491E-93E0-1B99015D8C65}"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a" sheetId="1" r:id="rId2"/>
    <sheet name="Table 1b" sheetId="7" r:id="rId3"/>
    <sheet name="Table 1c" sheetId="8" r:id="rId4"/>
    <sheet name="Table 2" sheetId="2" r:id="rId5"/>
    <sheet name="Capital O&amp;M" sheetId="9" r:id="rId6"/>
    <sheet name="Responses" sheetId="5" r:id="rId7"/>
    <sheet name="Respondents" sheetId="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I6" i="8"/>
  <c r="E6" i="8"/>
  <c r="I28" i="7"/>
  <c r="I26" i="7"/>
  <c r="F26" i="7"/>
  <c r="F25" i="1"/>
  <c r="D4" i="8" s="1"/>
  <c r="D6" i="8" s="1"/>
  <c r="F17" i="1"/>
  <c r="D9" i="2"/>
  <c r="F9" i="2" s="1"/>
  <c r="D5" i="8"/>
  <c r="G6" i="8"/>
  <c r="B6" i="8"/>
  <c r="D23" i="7"/>
  <c r="F23" i="7" s="1"/>
  <c r="D22" i="7"/>
  <c r="F22" i="7" s="1"/>
  <c r="D21" i="7"/>
  <c r="F21" i="7" s="1"/>
  <c r="D16" i="7"/>
  <c r="F16" i="7" s="1"/>
  <c r="F15" i="7"/>
  <c r="D15" i="7"/>
  <c r="D12" i="7"/>
  <c r="F12" i="7" s="1"/>
  <c r="D7" i="7"/>
  <c r="F7" i="7" s="1"/>
  <c r="D21" i="1"/>
  <c r="F21" i="1" s="1"/>
  <c r="C8" i="4"/>
  <c r="B8" i="4"/>
  <c r="F7" i="4"/>
  <c r="F6" i="4"/>
  <c r="F5" i="4"/>
  <c r="D8" i="2"/>
  <c r="D12" i="1"/>
  <c r="D16" i="1"/>
  <c r="F8" i="4" l="1"/>
  <c r="B3" i="6" s="1"/>
  <c r="H9" i="2"/>
  <c r="G9" i="2"/>
  <c r="H12" i="7"/>
  <c r="G12" i="7"/>
  <c r="I12" i="7" s="1"/>
  <c r="H7" i="7"/>
  <c r="G7" i="7"/>
  <c r="I7" i="7" s="1"/>
  <c r="I15" i="7"/>
  <c r="H16" i="7"/>
  <c r="G16" i="7"/>
  <c r="H21" i="7"/>
  <c r="G21" i="7"/>
  <c r="I21" i="7" s="1"/>
  <c r="F25" i="7"/>
  <c r="H22" i="7"/>
  <c r="I22" i="7"/>
  <c r="G22" i="7"/>
  <c r="G23" i="7"/>
  <c r="I23" i="7" s="1"/>
  <c r="H23" i="7"/>
  <c r="G15" i="7"/>
  <c r="H15" i="7"/>
  <c r="F17" i="7" s="1"/>
  <c r="C5" i="8" s="1"/>
  <c r="E5" i="8" s="1"/>
  <c r="H21" i="1"/>
  <c r="G21" i="1"/>
  <c r="F16" i="1"/>
  <c r="H16" i="1" s="1"/>
  <c r="I9" i="2" l="1"/>
  <c r="I16" i="7"/>
  <c r="I17" i="7" s="1"/>
  <c r="I25" i="7"/>
  <c r="I21" i="1"/>
  <c r="G16" i="1"/>
  <c r="I16" i="1" s="1"/>
  <c r="D15" i="1" l="1"/>
  <c r="F15" i="1" s="1"/>
  <c r="F5" i="8" l="1"/>
  <c r="H15" i="1"/>
  <c r="G15" i="1"/>
  <c r="I15" i="1" l="1"/>
  <c r="F12" i="1" l="1"/>
  <c r="G12" i="1" s="1"/>
  <c r="E8" i="2"/>
  <c r="F8" i="2" s="1"/>
  <c r="H12" i="1" l="1"/>
  <c r="I12" i="1" s="1"/>
  <c r="G8" i="2"/>
  <c r="H8" i="2"/>
  <c r="E7" i="2"/>
  <c r="E4" i="5"/>
  <c r="E5" i="5" s="1"/>
  <c r="D7" i="2"/>
  <c r="D23" i="1"/>
  <c r="F23" i="1" s="1"/>
  <c r="D22" i="1"/>
  <c r="F22" i="1" s="1"/>
  <c r="D7" i="1"/>
  <c r="F7" i="1" s="1"/>
  <c r="I8" i="2" l="1"/>
  <c r="F7" i="2"/>
  <c r="H7" i="1"/>
  <c r="G7" i="1"/>
  <c r="C4" i="8" s="1"/>
  <c r="H23" i="1"/>
  <c r="H22" i="1"/>
  <c r="G22" i="1"/>
  <c r="G23" i="1"/>
  <c r="H7" i="2" l="1"/>
  <c r="E4" i="8"/>
  <c r="C6" i="8"/>
  <c r="F26" i="1"/>
  <c r="I22" i="1"/>
  <c r="G7" i="2"/>
  <c r="I7" i="2" s="1"/>
  <c r="I10" i="2" s="1"/>
  <c r="I7" i="1"/>
  <c r="I17" i="1" s="1"/>
  <c r="I23" i="1"/>
  <c r="B4" i="6" l="1"/>
  <c r="I25" i="1"/>
  <c r="I26" i="1" s="1"/>
  <c r="F4" i="8" s="1"/>
  <c r="F6" i="8" s="1"/>
  <c r="B5" i="6" s="1"/>
  <c r="I28" i="1" l="1"/>
  <c r="B2" i="6"/>
</calcChain>
</file>

<file path=xl/sharedStrings.xml><?xml version="1.0" encoding="utf-8"?>
<sst xmlns="http://schemas.openxmlformats.org/spreadsheetml/2006/main" count="188" uniqueCount="112">
  <si>
    <t>ICR Summary Information</t>
  </si>
  <si>
    <t>Number of Respondents</t>
  </si>
  <si>
    <t>Total Estimated Burden Hours</t>
  </si>
  <si>
    <t>Total Estimated Costs</t>
  </si>
  <si>
    <t>Annualized Capital O&amp;M</t>
  </si>
  <si>
    <t>Form Number</t>
  </si>
  <si>
    <t>Not Applicable</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</si>
  <si>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</si>
  <si>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</si>
  <si>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</si>
  <si>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</si>
  <si>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</si>
  <si>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</si>
  <si>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</si>
  <si>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</si>
  <si>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</si>
  <si>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</si>
  <si>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Management</t>
  </si>
  <si>
    <t>Technical</t>
  </si>
  <si>
    <t>Clerical</t>
  </si>
  <si>
    <t>Subtotal for Reporting Requirements</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</si>
  <si>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</si>
  <si>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</si>
  <si>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</si>
  <si>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</si>
  <si>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</si>
  <si>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</si>
  <si>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</si>
  <si>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</si>
  <si>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</si>
  <si>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</si>
  <si>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</si>
  <si>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t>(A)</t>
  </si>
  <si>
    <t>(B)</t>
  </si>
  <si>
    <t>(C)</t>
  </si>
  <si>
    <t>(D)</t>
  </si>
  <si>
    <t>(E)</t>
  </si>
  <si>
    <t>Total Annual Responses</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</si>
  <si>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</si>
  <si>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</si>
  <si>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</si>
  <si>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</si>
  <si>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</si>
  <si>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</si>
  <si>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</si>
  <si>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</si>
  <si>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</si>
  <si>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</si>
  <si>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</si>
  <si>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</si>
  <si>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</si>
  <si>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</si>
  <si>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</si>
  <si>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</si>
  <si>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1.    Applications</t>
  </si>
  <si>
    <t>2.    Survey and Studies</t>
  </si>
  <si>
    <t>3.    Reporting Requirements</t>
  </si>
  <si>
    <t>a.    Familiarization with Regulatory Requirements</t>
  </si>
  <si>
    <t>b.    Required Activities</t>
  </si>
  <si>
    <t>c.    Create Information</t>
  </si>
  <si>
    <t>d.    Gather Existing Information</t>
  </si>
  <si>
    <t>e.    Write Report</t>
  </si>
  <si>
    <r>
      <t>Notification of Construction/Reconstruction</t>
    </r>
    <r>
      <rPr>
        <vertAlign val="superscript"/>
        <sz val="10"/>
        <color rgb="FF000000"/>
        <rFont val="Times New Roman"/>
        <family val="1"/>
      </rPr>
      <t>c</t>
    </r>
  </si>
  <si>
    <r>
      <t>Notification of Demonstration of CMS</t>
    </r>
    <r>
      <rPr>
        <vertAlign val="superscript"/>
        <sz val="10"/>
        <color rgb="FF000000"/>
        <rFont val="Times New Roman"/>
        <family val="1"/>
      </rPr>
      <t>c</t>
    </r>
  </si>
  <si>
    <r>
      <t>Report of Performance Test</t>
    </r>
    <r>
      <rPr>
        <vertAlign val="superscript"/>
        <sz val="10"/>
        <color rgb="FF000000"/>
        <rFont val="Times New Roman"/>
        <family val="1"/>
      </rPr>
      <t>c</t>
    </r>
  </si>
  <si>
    <r>
      <t>Initial Notification and Implementation</t>
    </r>
    <r>
      <rPr>
        <vertAlign val="superscript"/>
        <sz val="10"/>
        <color rgb="FF000000"/>
        <rFont val="Times New Roman"/>
        <family val="1"/>
      </rPr>
      <t>c</t>
    </r>
  </si>
  <si>
    <t>Semiannual Notification of Compliance Status</t>
  </si>
  <si>
    <t>4.    Recordkeeping Requirements</t>
  </si>
  <si>
    <t>b.    Plan Activities</t>
  </si>
  <si>
    <t>c.    Implement Activities</t>
  </si>
  <si>
    <r>
      <t>d.    Develop Record System</t>
    </r>
    <r>
      <rPr>
        <vertAlign val="superscript"/>
        <sz val="10"/>
        <color rgb="FF000000"/>
        <rFont val="Times New Roman"/>
        <family val="1"/>
      </rPr>
      <t>c</t>
    </r>
  </si>
  <si>
    <t>e.    Train Personnel</t>
  </si>
  <si>
    <t>g.    Audits</t>
  </si>
  <si>
    <t>Subtotal for Recordkeeping Requirements</t>
  </si>
  <si>
    <t>N/A</t>
  </si>
  <si>
    <t>See 3e</t>
  </si>
  <si>
    <r>
      <t xml:space="preserve">Total Labor Burden and Costs (rounded) </t>
    </r>
    <r>
      <rPr>
        <b/>
        <vertAlign val="superscript"/>
        <sz val="10"/>
        <rFont val="Times New Roman"/>
        <family val="1"/>
      </rPr>
      <t>d</t>
    </r>
  </si>
  <si>
    <r>
      <t>Total Capital and O&amp;M Cost (rounded)</t>
    </r>
    <r>
      <rPr>
        <b/>
        <vertAlign val="superscript"/>
        <sz val="10"/>
        <rFont val="Times New Roman"/>
        <family val="1"/>
      </rPr>
      <t xml:space="preserve"> d</t>
    </r>
  </si>
  <si>
    <r>
      <t xml:space="preserve">GRAND TOTAL (rounded) </t>
    </r>
    <r>
      <rPr>
        <b/>
        <vertAlign val="superscript"/>
        <sz val="10"/>
        <rFont val="Times New Roman"/>
        <family val="1"/>
      </rPr>
      <t>d</t>
    </r>
  </si>
  <si>
    <r>
      <t>a</t>
    </r>
    <r>
      <rPr>
        <sz val="10"/>
        <rFont val="Times New Roman"/>
        <family val="1"/>
      </rPr>
      <t xml:space="preserve">  Number of affected facilities per year is 56. We assume 90 percent of sources are in the private sector, or approximately 50 respondents. We have assumed that there will be no new growth over the three-year period of this ICR. We assume that each respondent will have to familiarize with the regulatory requirements each year. </t>
    </r>
  </si>
  <si>
    <r>
      <t>c</t>
    </r>
    <r>
      <rPr>
        <sz val="10"/>
        <rFont val="Times New Roman"/>
        <family val="1"/>
      </rPr>
      <t xml:space="preserve">  We have assumed this is a one-time-only cost.</t>
    </r>
  </si>
  <si>
    <r>
      <t xml:space="preserve">d </t>
    </r>
    <r>
      <rPr>
        <sz val="10"/>
        <rFont val="Times New Roman"/>
        <family val="1"/>
      </rPr>
      <t xml:space="preserve"> Totals have been rounded to 3 significant figures. Figures may not add exactly due to rounding.</t>
    </r>
  </si>
  <si>
    <t>Table 1a: Annual Respondent Burden and Cost – NESHAP for Shipbuilding and Ship Repair Facilities - Surface Coating (40 CFR Part 63, Subpart II) (Renewal) (Private Sector)</t>
  </si>
  <si>
    <r>
      <t>b</t>
    </r>
    <r>
      <rPr>
        <sz val="10"/>
        <color rgb="FF000000"/>
        <rFont val="Times New Roman"/>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</si>
  <si>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t>Affected Sector</t>
  </si>
  <si>
    <t>Labor Hours</t>
  </si>
  <si>
    <t>Labor Cost</t>
  </si>
  <si>
    <t>Capital and O&amp;M Cost</t>
  </si>
  <si>
    <t>Reporting</t>
  </si>
  <si>
    <t>Recordkeeping</t>
  </si>
  <si>
    <t>Private</t>
  </si>
  <si>
    <t>Public (Federal)</t>
  </si>
  <si>
    <r>
      <t xml:space="preserve">Total </t>
    </r>
    <r>
      <rPr>
        <b/>
        <i/>
        <vertAlign val="superscript"/>
        <sz val="11"/>
        <rFont val="Times New Roman"/>
        <family val="1"/>
      </rPr>
      <t>a</t>
    </r>
  </si>
  <si>
    <r>
      <rPr>
        <vertAlign val="superscript"/>
        <sz val="9"/>
        <color theme="1"/>
        <rFont val="Times New Roman"/>
        <family val="1"/>
      </rPr>
      <t>a</t>
    </r>
    <r>
      <rPr>
        <sz val="9"/>
        <color theme="1"/>
        <rFont val="Times New Roman"/>
        <family val="1"/>
      </rPr>
      <t xml:space="preserve"> Totals have been rounded to 3 significant figures. Figures may not add exactly due to rounding.</t>
    </r>
  </si>
  <si>
    <t>Table 1c: Annual Respondent Burden and Cost Breakdown by Affected Sector – NESHAP for Shipbuilding and Ship Repair Facilities - Surface Coating (40 CFR Part 63, Subpart II) (Renewal)</t>
  </si>
  <si>
    <r>
      <t>Initial Performance Tests</t>
    </r>
    <r>
      <rPr>
        <vertAlign val="superscript"/>
        <sz val="10"/>
        <color rgb="FF000000"/>
        <rFont val="Times New Roman"/>
        <family val="1"/>
      </rPr>
      <t>c</t>
    </r>
  </si>
  <si>
    <t>Repeat Performance Test</t>
  </si>
  <si>
    <t>Report Review</t>
  </si>
  <si>
    <r>
      <t>Notification of Construction</t>
    </r>
    <r>
      <rPr>
        <vertAlign val="superscript"/>
        <sz val="10"/>
        <color rgb="FF000000"/>
        <rFont val="Times New Roman"/>
        <family val="1"/>
      </rPr>
      <t>c</t>
    </r>
  </si>
  <si>
    <r>
      <t>Review of Initial Notification and Implementation Plan</t>
    </r>
    <r>
      <rPr>
        <vertAlign val="superscript"/>
        <sz val="10"/>
        <color rgb="FF000000"/>
        <rFont val="Times New Roman"/>
        <family val="1"/>
      </rPr>
      <t>c</t>
    </r>
  </si>
  <si>
    <t>Review of Semiannual Notification of Compliance Status</t>
  </si>
  <si>
    <r>
      <t xml:space="preserve">TOTAL (rounded) </t>
    </r>
    <r>
      <rPr>
        <b/>
        <vertAlign val="superscript"/>
        <sz val="10"/>
        <rFont val="Times New Roman"/>
        <family val="1"/>
      </rPr>
      <t>d</t>
    </r>
  </si>
  <si>
    <r>
      <t>a</t>
    </r>
    <r>
      <rPr>
        <sz val="10"/>
        <rFont val="Times New Roman"/>
        <family val="1"/>
      </rPr>
      <t xml:space="preserve">  Number of affected facilities per year is 56.</t>
    </r>
  </si>
  <si>
    <r>
      <t>b</t>
    </r>
    <r>
      <rPr>
        <sz val="10"/>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</si>
  <si>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t>d</t>
    </r>
    <r>
      <rPr>
        <sz val="10"/>
        <rFont val="Times New Roman"/>
        <family val="1"/>
      </rPr>
      <t xml:space="preserve">  Totals have been rounded to 3 significant figures. Figures may not add exactly due to rounding.</t>
    </r>
  </si>
  <si>
    <t>Semiannual Report/Notification</t>
  </si>
  <si>
    <t>Table 2: Average Annual EPA Burden and Cost – NESHAP for Shipbuilding and Ship Repair Facilities - Surface Coating (40 CFR Part 63, Subpart II) (Renewal)</t>
  </si>
  <si>
    <r>
      <t>b</t>
    </r>
    <r>
      <rPr>
        <sz val="10"/>
        <color rgb="FF000000"/>
        <rFont val="Times New Roman"/>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</si>
  <si>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The only type of industry costs associated with the information collection activity in the regulations are labor costs. There are no capital/startup or operation and maintenance costs.</t>
  </si>
  <si>
    <r>
      <t>a</t>
    </r>
    <r>
      <rPr>
        <sz val="10"/>
        <rFont val="Times New Roman"/>
        <family val="1"/>
      </rPr>
      <t xml:space="preserve">  Number of affected facilities per year is 56. We assume 10 percent of sources are in the public sector, or approximately 6 respondents. We have assumed that there will be no new growth over the three-year period of this ICR. We assume that each respondent will have to familiarize with the regulatory requirements each year. </t>
    </r>
  </si>
  <si>
    <t>Table 1b: Annual Respondent Burden and Cost – NESHAP for Shipbuilding and Ship Repair Facilities - Surface Coating (40 CFR Part 63, Subpart II) (Renewal) (Public Sector)</t>
  </si>
  <si>
    <t>Hours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</si>
</sst>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37"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2"/>
      <color theme="1"/>
      <name val="Times New Roman"/>
      <family val="1"/>
    </font>
    <font>
      <sz val="12"/>
      <color rgb="FF000000"/>
      <name val="Times New Roman"/>
      <family val="1"/>
    </font>
    <font>
      <sz val="10"/>
      <color rgb="FF000000"/>
      <name val="Times New Roman"/>
    </font>
    <font>
      <b/>
      <sz val="11"/>
      <name val="Times New Roman"/>
      <family val="1"/>
    </font>
    <font>
      <sz val="11"/>
      <name val="Times New Roman"/>
      <family val="1"/>
    </font>
    <font>
      <b/>
      <i/>
      <sz val="11"/>
      <name val="Times New Roman"/>
      <family val="1"/>
    </font>
    <font>
      <b/>
      <i/>
      <vertAlign val="superscript"/>
      <sz val="11"/>
      <name val="Times New Roman"/>
      <family val="1"/>
    </font>
    <font>
      <sz val="9"/>
      <color theme="1"/>
      <name val="Times New Roman"/>
      <family val="1"/>
    </font>
    <font>
      <vertAlign val="superscript"/>
      <sz val="9"/>
      <color theme="1"/>
      <name val="Times New Roman"/>
      <family val="1"/>
    </font>
    <font>
      <strike/>
      <sz val="10"/>
      <name val="Times New Roman"/>
      <family val="1"/>
    </font>
    <font>
      <sz val="11"/>
      <color theme="1"/>
      <name val="Times New Roman"/>
      <family val="1"/>
    </font>
    <font>
      <b/>
      <sz val="11"/>
      <color theme="1"/>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4" fontId="10" fillId="0" borderId="0"/>
  </cellStyleXfs>
  <cellXfs count="132">
    <xf numFmtId="0" fontId="0" fillId="0" borderId="0" xfId="0"/>
    <xf numFmtId="0" fontId="2" fillId="0" borderId="0" xfId="0" applyFont="1"/>
    <xf numFmtId="0" fontId="2" fillId="0" borderId="1" xfId="0" applyFont="1" applyBorder="1" applyAlignment="1">
      <alignment horizontal="center" wrapText="1"/>
    </xf>
    <xf numFmtId="0" fontId="8" fillId="0" borderId="0" xfId="0" applyFont="1"/>
    <xf numFmtId="164" fontId="12" fillId="0" borderId="0" xfId="1" applyFont="1" applyAlignment="1">
      <alignment horizontal="center" vertical="center" wrapText="1"/>
    </xf>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9" fillId="0" borderId="0" xfId="0" applyFont="1"/>
    <xf numFmtId="0" fontId="2" fillId="0" borderId="0" xfId="0" applyFont="1" applyAlignment="1">
      <alignment horizontal="right"/>
    </xf>
    <xf numFmtId="0" fontId="8" fillId="0" borderId="0" xfId="0" applyFont="1" applyAlignment="1">
      <alignment wrapText="1"/>
    </xf>
    <xf numFmtId="0" fontId="9" fillId="0" borderId="1" xfId="0" applyFont="1" applyBorder="1" applyAlignment="1">
      <alignment horizontal="center" wrapText="1"/>
    </xf>
    <xf numFmtId="8" fontId="9" fillId="0" borderId="1" xfId="0" applyNumberFormat="1" applyFont="1" applyBorder="1" applyAlignment="1">
      <alignment horizontal="right" wrapText="1"/>
    </xf>
    <xf numFmtId="6" fontId="20" fillId="0" borderId="2" xfId="0" applyNumberFormat="1" applyFont="1" applyBorder="1" applyAlignment="1">
      <alignment horizontal="right" wrapText="1"/>
    </xf>
    <xf numFmtId="0" fontId="17" fillId="0" borderId="0" xfId="0" applyFont="1"/>
    <xf numFmtId="0" fontId="14" fillId="0" borderId="1" xfId="0" applyFont="1" applyBorder="1"/>
    <xf numFmtId="41" fontId="17" fillId="0" borderId="0" xfId="0" applyNumberFormat="1" applyFont="1"/>
    <xf numFmtId="41" fontId="17" fillId="0" borderId="5" xfId="0" applyNumberFormat="1" applyFont="1" applyBorder="1"/>
    <xf numFmtId="164" fontId="12" fillId="0" borderId="0" xfId="1" applyFont="1" applyAlignment="1">
      <alignment wrapText="1"/>
    </xf>
    <xf numFmtId="0" fontId="23" fillId="0" borderId="0" xfId="0" applyFont="1"/>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0" xfId="0" applyFont="1" applyAlignment="1">
      <alignment vertical="top" wrapText="1"/>
    </xf>
    <xf numFmtId="165" fontId="9" fillId="0" borderId="1" xfId="0" applyNumberFormat="1" applyFont="1" applyBorder="1"/>
    <xf numFmtId="0" fontId="9"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0" xfId="0" applyFont="1"/>
    <xf numFmtId="0" fontId="2" fillId="0" borderId="1" xfId="0" applyFont="1" applyBorder="1" applyAlignment="1">
      <alignment horizontal="right" wrapText="1"/>
    </xf>
    <xf numFmtId="8" fontId="2" fillId="0" borderId="1" xfId="0" applyNumberFormat="1" applyFont="1" applyBorder="1" applyAlignment="1">
      <alignment horizontal="right" vertical="center" wrapText="1"/>
    </xf>
    <xf numFmtId="1" fontId="2" fillId="0" borderId="1" xfId="0" applyNumberFormat="1" applyFont="1" applyBorder="1" applyAlignment="1">
      <alignment horizontal="center" vertical="center" wrapText="1"/>
    </xf>
    <xf numFmtId="6" fontId="6" fillId="0" borderId="1" xfId="0" applyNumberFormat="1" applyFont="1" applyBorder="1" applyAlignment="1">
      <alignment horizontal="right" wrapText="1"/>
    </xf>
    <xf numFmtId="8" fontId="2" fillId="0" borderId="1" xfId="0" applyNumberFormat="1" applyFont="1" applyBorder="1" applyAlignment="1">
      <alignment horizontal="right" wrapText="1"/>
    </xf>
    <xf numFmtId="3" fontId="2" fillId="0" borderId="0" xfId="0" applyNumberFormat="1" applyFont="1"/>
    <xf numFmtId="0" fontId="3" fillId="0" borderId="0" xfId="0" applyFont="1"/>
    <xf numFmtId="0" fontId="2" fillId="0" borderId="0" xfId="0" applyFont="1" applyAlignment="1">
      <alignment vertical="top" wrapText="1"/>
    </xf>
    <xf numFmtId="41" fontId="9" fillId="0" borderId="0" xfId="0" applyNumberFormat="1" applyFont="1"/>
    <xf numFmtId="6" fontId="9" fillId="0" borderId="1" xfId="0" applyNumberFormat="1" applyFont="1" applyBorder="1" applyAlignment="1">
      <alignment horizontal="right" wrapText="1"/>
    </xf>
    <xf numFmtId="0" fontId="11" fillId="0" borderId="1" xfId="0" applyFont="1" applyBorder="1" applyAlignment="1">
      <alignment wrapText="1"/>
    </xf>
    <xf numFmtId="0" fontId="21"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7" fillId="0" borderId="0" xfId="0" applyFont="1" applyAlignment="1">
      <alignment vertical="top" wrapText="1"/>
    </xf>
    <xf numFmtId="3" fontId="6" fillId="0" borderId="0" xfId="0" applyNumberFormat="1" applyFont="1" applyAlignment="1">
      <alignment wrapText="1"/>
    </xf>
    <xf numFmtId="6" fontId="6" fillId="0" borderId="0" xfId="0" applyNumberFormat="1" applyFont="1" applyAlignment="1">
      <alignment horizontal="right" wrapText="1"/>
    </xf>
    <xf numFmtId="0" fontId="3" fillId="0" borderId="0" xfId="0" applyFont="1" applyAlignment="1">
      <alignment wrapText="1"/>
    </xf>
    <xf numFmtId="3" fontId="2" fillId="0" borderId="1" xfId="0" applyNumberFormat="1" applyFont="1" applyBorder="1" applyAlignment="1">
      <alignment horizontal="center" vertical="center" wrapText="1"/>
    </xf>
    <xf numFmtId="3" fontId="9" fillId="0" borderId="1" xfId="0" applyNumberFormat="1" applyFont="1" applyBorder="1" applyAlignment="1">
      <alignment horizontal="center" wrapText="1"/>
    </xf>
    <xf numFmtId="164" fontId="8" fillId="0" borderId="0" xfId="1" applyFont="1" applyAlignment="1">
      <alignment vertical="center"/>
    </xf>
    <xf numFmtId="164" fontId="8" fillId="0" borderId="0" xfId="1" applyFont="1"/>
    <xf numFmtId="0" fontId="25" fillId="0" borderId="0" xfId="0" applyFont="1" applyAlignment="1">
      <alignment vertical="center" wrapText="1"/>
    </xf>
    <xf numFmtId="0" fontId="26" fillId="0" borderId="0" xfId="0" applyFont="1" applyAlignment="1">
      <alignment vertical="center" wrapText="1"/>
    </xf>
    <xf numFmtId="1" fontId="3" fillId="0" borderId="1" xfId="0" applyNumberFormat="1" applyFont="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9" fillId="0" borderId="1" xfId="0" applyFont="1" applyBorder="1" applyAlignment="1">
      <alignment horizontal="center" vertical="top" wrapText="1"/>
    </xf>
    <xf numFmtId="164" fontId="8" fillId="0" borderId="0" xfId="1" applyFont="1" applyAlignment="1">
      <alignment horizontal="left" vertical="center"/>
    </xf>
    <xf numFmtId="6" fontId="20" fillId="0" borderId="1" xfId="0" applyNumberFormat="1" applyFont="1" applyBorder="1" applyAlignment="1">
      <alignment horizontal="right" wrapText="1"/>
    </xf>
    <xf numFmtId="6" fontId="11"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8" fontId="2" fillId="0" borderId="0" xfId="0" applyNumberFormat="1" applyFont="1"/>
    <xf numFmtId="0" fontId="14" fillId="0" borderId="1" xfId="0" applyFont="1" applyBorder="1" applyAlignment="1">
      <alignment horizontal="left"/>
    </xf>
    <xf numFmtId="0" fontId="14" fillId="0" borderId="1" xfId="0" applyFont="1" applyBorder="1" applyAlignment="1">
      <alignment horizontal="left" indent="1"/>
    </xf>
    <xf numFmtId="0" fontId="14" fillId="0" borderId="1" xfId="0" applyFont="1" applyBorder="1" applyAlignment="1">
      <alignment horizontal="left" indent="3"/>
    </xf>
    <xf numFmtId="0" fontId="20" fillId="0" borderId="1" xfId="0" applyFont="1" applyBorder="1"/>
    <xf numFmtId="0" fontId="6" fillId="0" borderId="1" xfId="0" applyFont="1" applyBorder="1" applyAlignment="1">
      <alignment vertical="top" wrapText="1"/>
    </xf>
    <xf numFmtId="0" fontId="2" fillId="0" borderId="1" xfId="0" applyFont="1" applyBorder="1"/>
    <xf numFmtId="3" fontId="5" fillId="0" borderId="1" xfId="0" applyNumberFormat="1" applyFont="1" applyBorder="1" applyAlignment="1">
      <alignment wrapText="1"/>
    </xf>
    <xf numFmtId="8" fontId="3" fillId="0" borderId="1" xfId="0" applyNumberFormat="1" applyFont="1" applyBorder="1" applyAlignment="1">
      <alignment horizontal="right" vertical="center" wrapText="1"/>
    </xf>
    <xf numFmtId="6" fontId="2" fillId="0" borderId="1" xfId="0" applyNumberFormat="1" applyFont="1" applyBorder="1" applyAlignment="1">
      <alignment horizontal="right" vertical="center" wrapText="1"/>
    </xf>
    <xf numFmtId="6" fontId="2" fillId="0" borderId="1" xfId="0" applyNumberFormat="1" applyFont="1" applyBorder="1" applyAlignment="1">
      <alignment horizontal="right" wrapText="1"/>
    </xf>
    <xf numFmtId="0" fontId="28" fillId="2" borderId="1" xfId="0" applyFont="1" applyFill="1" applyBorder="1" applyAlignment="1">
      <alignment horizontal="center" vertical="center"/>
    </xf>
    <xf numFmtId="0" fontId="29" fillId="0" borderId="1" xfId="0" applyFont="1" applyBorder="1" applyAlignment="1">
      <alignment vertical="center"/>
    </xf>
    <xf numFmtId="0" fontId="29" fillId="0" borderId="1" xfId="0" applyFont="1" applyBorder="1" applyAlignment="1">
      <alignment horizontal="right" vertical="center"/>
    </xf>
    <xf numFmtId="3" fontId="29" fillId="0" borderId="1" xfId="0" applyNumberFormat="1" applyFont="1" applyBorder="1" applyAlignment="1">
      <alignment horizontal="right" vertical="center"/>
    </xf>
    <xf numFmtId="6" fontId="29" fillId="0" borderId="1" xfId="0" applyNumberFormat="1" applyFont="1" applyBorder="1" applyAlignment="1">
      <alignment horizontal="right" vertical="center"/>
    </xf>
    <xf numFmtId="0" fontId="30" fillId="0" borderId="1" xfId="0" applyFont="1" applyBorder="1" applyAlignment="1">
      <alignment vertical="center"/>
    </xf>
    <xf numFmtId="0" fontId="30" fillId="0" borderId="1" xfId="0" applyFont="1" applyBorder="1" applyAlignment="1">
      <alignment horizontal="right" vertical="center"/>
    </xf>
    <xf numFmtId="3" fontId="30" fillId="0" borderId="1" xfId="0" applyNumberFormat="1" applyFont="1" applyBorder="1" applyAlignment="1">
      <alignment horizontal="right" vertical="center"/>
    </xf>
    <xf numFmtId="6" fontId="30" fillId="0" borderId="1" xfId="0" applyNumberFormat="1" applyFont="1" applyBorder="1" applyAlignment="1">
      <alignment horizontal="right" vertical="center"/>
    </xf>
    <xf numFmtId="0" fontId="32" fillId="0" borderId="0" xfId="0" applyFont="1" applyAlignment="1">
      <alignment horizontal="left"/>
    </xf>
    <xf numFmtId="0" fontId="14" fillId="2" borderId="1" xfId="0" applyFont="1" applyFill="1" applyBorder="1"/>
    <xf numFmtId="0" fontId="14" fillId="2" borderId="1" xfId="0" applyFont="1" applyFill="1" applyBorder="1" applyAlignment="1">
      <alignment horizontal="left" indent="2"/>
    </xf>
    <xf numFmtId="0" fontId="14" fillId="2" borderId="1" xfId="0" applyFont="1" applyFill="1" applyBorder="1" applyAlignment="1">
      <alignment horizontal="left" wrapText="1" indent="2"/>
    </xf>
    <xf numFmtId="6" fontId="17" fillId="0" borderId="0" xfId="0" applyNumberFormat="1" applyFont="1"/>
    <xf numFmtId="41" fontId="34" fillId="0" borderId="0" xfId="0" applyNumberFormat="1" applyFont="1"/>
    <xf numFmtId="0" fontId="8" fillId="0" borderId="0" xfId="0" applyFont="1" applyAlignment="1">
      <alignment horizontal="left" vertical="top" wrapText="1" indent="1"/>
    </xf>
    <xf numFmtId="0" fontId="35" fillId="0" borderId="0" xfId="0" applyFont="1"/>
    <xf numFmtId="0" fontId="36" fillId="0" borderId="0" xfId="0" applyFont="1"/>
    <xf numFmtId="0" fontId="0" fillId="0" borderId="0" xfId="0" applyAlignment="1">
      <alignment horizontal="center"/>
    </xf>
    <xf numFmtId="0" fontId="18" fillId="0" borderId="0" xfId="0" applyFont="1" applyAlignment="1">
      <alignment wrapText="1"/>
    </xf>
    <xf numFmtId="0" fontId="9" fillId="0" borderId="0" xfId="0" applyFont="1" applyAlignment="1">
      <alignment wrapText="1"/>
    </xf>
    <xf numFmtId="0" fontId="18" fillId="0" borderId="0" xfId="0" applyFont="1" applyAlignment="1">
      <alignment horizontal="left" vertical="top" wrapText="1"/>
    </xf>
    <xf numFmtId="0" fontId="9" fillId="0" borderId="0" xfId="0" applyFont="1" applyAlignment="1">
      <alignment horizontal="left" vertical="top" wrapText="1"/>
    </xf>
    <xf numFmtId="0" fontId="14" fillId="0" borderId="1" xfId="0" applyFont="1" applyBorder="1" applyAlignment="1">
      <alignment horizontal="center"/>
    </xf>
    <xf numFmtId="0" fontId="22" fillId="0" borderId="0" xfId="0" applyFont="1" applyAlignment="1">
      <alignment horizontal="left" vertical="top" wrapText="1"/>
    </xf>
    <xf numFmtId="0" fontId="20" fillId="0" borderId="2" xfId="0" applyFont="1" applyBorder="1" applyAlignment="1">
      <alignment horizontal="center"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top"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3" fontId="20" fillId="0" borderId="2" xfId="0" applyNumberFormat="1" applyFont="1" applyBorder="1" applyAlignment="1">
      <alignment horizontal="center" wrapText="1"/>
    </xf>
    <xf numFmtId="3" fontId="20" fillId="0" borderId="3" xfId="0" applyNumberFormat="1" applyFont="1" applyBorder="1" applyAlignment="1">
      <alignment horizontal="center" wrapText="1"/>
    </xf>
    <xf numFmtId="3" fontId="20" fillId="0" borderId="4" xfId="0" applyNumberFormat="1" applyFont="1" applyBorder="1" applyAlignment="1">
      <alignment horizont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0" fontId="28" fillId="2" borderId="1" xfId="0" applyFont="1" applyFill="1" applyBorder="1" applyAlignment="1">
      <alignment horizontal="center" vertical="center"/>
    </xf>
    <xf numFmtId="0" fontId="28" fillId="2" borderId="1" xfId="0" applyFont="1" applyFill="1" applyBorder="1" applyAlignment="1">
      <alignment horizontal="center" vertical="center" wrapText="1"/>
    </xf>
    <xf numFmtId="0" fontId="18" fillId="0" borderId="0" xfId="0" applyFont="1" applyAlignment="1">
      <alignment vertical="center" wrapText="1"/>
    </xf>
    <xf numFmtId="0" fontId="11" fillId="0" borderId="1" xfId="0" applyFont="1" applyBorder="1" applyAlignment="1">
      <alignment horizontal="center" wrapText="1"/>
    </xf>
    <xf numFmtId="3" fontId="11" fillId="0" borderId="1" xfId="0" applyNumberFormat="1" applyFont="1" applyBorder="1" applyAlignment="1">
      <alignment horizontal="center" wrapText="1"/>
    </xf>
    <xf numFmtId="0" fontId="18" fillId="0" borderId="0" xfId="0" applyFont="1" applyAlignment="1">
      <alignment horizontal="left" wrapText="1"/>
    </xf>
    <xf numFmtId="0" fontId="11" fillId="0" borderId="0" xfId="0" applyFont="1" applyAlignment="1">
      <alignment horizontal="left"/>
    </xf>
    <xf numFmtId="0" fontId="9" fillId="0" borderId="6" xfId="0" applyFont="1" applyBorder="1" applyAlignment="1">
      <alignment horizontal="left" vertical="top"/>
    </xf>
    <xf numFmtId="0" fontId="13" fillId="0" borderId="1" xfId="0" applyFont="1" applyBorder="1" applyAlignment="1">
      <alignment horizontal="center" vertical="center" wrapText="1"/>
    </xf>
    <xf numFmtId="0" fontId="15"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F2" sqref="F2"/>
    </sheetView>
  </sheetViews>
  <sheetFormatPr defaultRowHeight="15" x14ac:dyDescent="0.25"/>
  <cols>
    <col min="1" max="1" width="27.85546875" bestFit="1" customWidth="1"/>
    <col min="2" max="2" width="14.28515625" bestFit="1" customWidth="1"/>
  </cols>
  <sheetData>
    <row r="1" spans="1:2" x14ac:dyDescent="0.25">
      <c r="A1" s="103" t="s">
        <v>0</v>
      </c>
      <c r="B1" s="103"/>
    </row>
    <row r="2" spans="1:2" x14ac:dyDescent="0.25">
      <c r="A2" t="s">
        <v>111</v>
      </c>
      <c r="B2" s="71">
        <f>'Table 1c'!I6</f>
        <v>256.25</v>
      </c>
    </row>
    <row r="3" spans="1:2" x14ac:dyDescent="0.25">
      <c r="A3" t="s">
        <v>1</v>
      </c>
      <c r="B3">
        <f>Respondents!F8</f>
        <v>56</v>
      </c>
    </row>
    <row r="4" spans="1:2" x14ac:dyDescent="0.25">
      <c r="A4" t="s">
        <v>2</v>
      </c>
      <c r="B4" s="72">
        <f>'Table 1c'!E6</f>
        <v>28700</v>
      </c>
    </row>
    <row r="5" spans="1:2" x14ac:dyDescent="0.25">
      <c r="A5" t="s">
        <v>3</v>
      </c>
      <c r="B5" s="73">
        <f>'Table 1c'!F6</f>
        <v>3390000</v>
      </c>
    </row>
    <row r="6" spans="1:2" x14ac:dyDescent="0.25">
      <c r="A6" t="s">
        <v>4</v>
      </c>
      <c r="B6" s="73">
        <v>0</v>
      </c>
    </row>
    <row r="7" spans="1:2" x14ac:dyDescent="0.25">
      <c r="A7" t="s">
        <v>5</v>
      </c>
      <c r="B7" t="s">
        <v>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55"/>
  <sheetViews>
    <sheetView zoomScale="87" zoomScaleNormal="87" workbookViewId="0">
      <selection activeCell="A2" sqref="A2"/>
    </sheetView>
  </sheetViews>
  <sheetFormatPr defaultRowHeight="15" x14ac:dyDescent="0.25"/>
  <cols>
    <col min="1" max="1" width="44.140625" customWidth="1"/>
    <col min="2" max="8" width="11" customWidth="1"/>
    <col min="9" max="9" width="12.710937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30" t="s">
        <v>82</v>
      </c>
      <c r="B1" s="1"/>
      <c r="C1" s="1"/>
      <c r="D1" s="1"/>
      <c r="E1" s="1"/>
      <c r="F1" s="1"/>
      <c r="G1" s="1"/>
      <c r="H1" s="1"/>
      <c r="I1" s="8"/>
      <c r="J1" s="1"/>
      <c r="K1" s="1"/>
      <c r="L1" s="1"/>
      <c r="M1" s="42"/>
      <c r="N1" s="13"/>
    </row>
    <row r="2" spans="1:21" s="1" customFormat="1" ht="12.75" x14ac:dyDescent="0.2">
      <c r="F2" s="7"/>
      <c r="G2" s="7"/>
      <c r="H2" s="7"/>
      <c r="I2" s="8"/>
      <c r="J2" s="3"/>
    </row>
    <row r="3" spans="1:21" s="1" customFormat="1" ht="76.5" x14ac:dyDescent="0.2">
      <c r="A3" s="20" t="s">
        <v>7</v>
      </c>
      <c r="B3" s="66" t="s">
        <v>8</v>
      </c>
      <c r="C3" s="66" t="s">
        <v>9</v>
      </c>
      <c r="D3" s="66" t="s">
        <v>10</v>
      </c>
      <c r="E3" s="66" t="s">
        <v>11</v>
      </c>
      <c r="F3" s="66" t="s">
        <v>12</v>
      </c>
      <c r="G3" s="66" t="s">
        <v>13</v>
      </c>
      <c r="H3" s="66" t="s">
        <v>14</v>
      </c>
      <c r="I3" s="66" t="s">
        <v>15</v>
      </c>
      <c r="J3" s="3"/>
      <c r="M3" s="43"/>
      <c r="N3" s="43"/>
      <c r="O3" s="43"/>
      <c r="P3" s="43"/>
      <c r="Q3" s="43"/>
      <c r="R3" s="43"/>
      <c r="S3" s="43"/>
      <c r="T3" s="43"/>
      <c r="U3" s="43"/>
    </row>
    <row r="4" spans="1:21" s="1" customFormat="1" ht="12.75" x14ac:dyDescent="0.2">
      <c r="A4" s="75" t="s">
        <v>54</v>
      </c>
      <c r="B4" s="2" t="s">
        <v>74</v>
      </c>
      <c r="C4" s="2"/>
      <c r="D4" s="2"/>
      <c r="E4" s="2"/>
      <c r="F4" s="2"/>
      <c r="G4" s="2"/>
      <c r="H4" s="2"/>
      <c r="I4" s="31"/>
      <c r="J4" s="3"/>
      <c r="K4" s="108" t="s">
        <v>16</v>
      </c>
      <c r="L4" s="108"/>
      <c r="O4" s="45"/>
      <c r="P4" s="45"/>
      <c r="Q4" s="45"/>
      <c r="R4" s="45"/>
      <c r="S4" s="45"/>
      <c r="T4" s="45"/>
      <c r="U4" s="46"/>
    </row>
    <row r="5" spans="1:21" s="1" customFormat="1" ht="12.75" x14ac:dyDescent="0.2">
      <c r="A5" s="75" t="s">
        <v>55</v>
      </c>
      <c r="B5" s="20" t="s">
        <v>74</v>
      </c>
      <c r="C5" s="20"/>
      <c r="D5" s="20"/>
      <c r="E5" s="20"/>
      <c r="F5" s="55"/>
      <c r="G5" s="33"/>
      <c r="H5" s="33"/>
      <c r="I5" s="32"/>
      <c r="J5" s="9"/>
      <c r="K5" s="14" t="s">
        <v>17</v>
      </c>
      <c r="L5" s="27">
        <v>163.16999999999999</v>
      </c>
      <c r="M5" s="44"/>
      <c r="N5" s="45"/>
      <c r="O5" s="45"/>
      <c r="P5" s="45"/>
      <c r="Q5" s="45"/>
      <c r="R5" s="47"/>
      <c r="S5" s="45"/>
      <c r="T5" s="45"/>
      <c r="U5" s="48"/>
    </row>
    <row r="6" spans="1:21" s="1" customFormat="1" ht="12.75" x14ac:dyDescent="0.2">
      <c r="A6" s="75" t="s">
        <v>56</v>
      </c>
      <c r="B6" s="80"/>
      <c r="C6" s="80"/>
      <c r="D6" s="80"/>
      <c r="E6" s="80"/>
      <c r="F6" s="80"/>
      <c r="G6" s="80"/>
      <c r="H6" s="80"/>
      <c r="I6" s="80"/>
      <c r="J6" s="3"/>
      <c r="K6" s="14" t="s">
        <v>18</v>
      </c>
      <c r="L6" s="27">
        <v>130.28</v>
      </c>
      <c r="M6" s="44"/>
      <c r="N6" s="45"/>
      <c r="O6" s="45"/>
      <c r="P6" s="45"/>
      <c r="Q6" s="45"/>
      <c r="R6" s="45"/>
      <c r="S6" s="45"/>
      <c r="T6" s="45"/>
      <c r="U6" s="48"/>
    </row>
    <row r="7" spans="1:21" s="1" customFormat="1" ht="12.75" x14ac:dyDescent="0.2">
      <c r="A7" s="76" t="s">
        <v>57</v>
      </c>
      <c r="B7" s="20">
        <v>1</v>
      </c>
      <c r="C7" s="20">
        <v>1</v>
      </c>
      <c r="D7" s="20">
        <f>B7*C7</f>
        <v>1</v>
      </c>
      <c r="E7" s="20">
        <v>50</v>
      </c>
      <c r="F7" s="20">
        <f>D7*E7</f>
        <v>50</v>
      </c>
      <c r="G7" s="20">
        <f>F7*0.05</f>
        <v>2.5</v>
      </c>
      <c r="H7" s="20">
        <f>F7*0.1</f>
        <v>5</v>
      </c>
      <c r="I7" s="32">
        <f>F7*$L$6+G7*$L$5+H7*$L$7</f>
        <v>7250.4750000000004</v>
      </c>
      <c r="J7" s="3"/>
      <c r="K7" s="14" t="s">
        <v>19</v>
      </c>
      <c r="L7" s="27">
        <v>65.709999999999994</v>
      </c>
      <c r="M7" s="44"/>
      <c r="N7" s="45"/>
      <c r="O7" s="45"/>
      <c r="P7" s="45"/>
      <c r="Q7" s="45"/>
      <c r="R7" s="45"/>
      <c r="S7" s="45"/>
      <c r="T7" s="45"/>
      <c r="U7" s="48"/>
    </row>
    <row r="8" spans="1:21" s="1" customFormat="1" ht="12.75" x14ac:dyDescent="0.2">
      <c r="A8" s="76" t="s">
        <v>58</v>
      </c>
      <c r="B8" s="20" t="s">
        <v>75</v>
      </c>
      <c r="C8" s="20"/>
      <c r="D8" s="20"/>
      <c r="E8" s="20"/>
      <c r="F8" s="20"/>
      <c r="G8" s="20"/>
      <c r="H8" s="20"/>
      <c r="I8" s="32"/>
      <c r="J8" s="3"/>
      <c r="K8" s="58"/>
      <c r="L8" s="17"/>
      <c r="M8" s="44"/>
      <c r="N8" s="45"/>
      <c r="O8" s="45"/>
      <c r="P8" s="45"/>
      <c r="Q8" s="49"/>
      <c r="R8" s="49"/>
      <c r="S8" s="49"/>
      <c r="T8" s="49"/>
      <c r="U8" s="48"/>
    </row>
    <row r="9" spans="1:21" s="1" customFormat="1" ht="12.75" x14ac:dyDescent="0.2">
      <c r="A9" s="76" t="s">
        <v>59</v>
      </c>
      <c r="B9" s="20" t="s">
        <v>75</v>
      </c>
      <c r="C9" s="20"/>
      <c r="D9" s="20"/>
      <c r="E9" s="20"/>
      <c r="F9" s="20"/>
      <c r="G9" s="20"/>
      <c r="H9" s="20"/>
      <c r="I9" s="32"/>
      <c r="J9" s="3"/>
      <c r="K9" s="68"/>
      <c r="L9" s="4"/>
      <c r="M9" s="44"/>
      <c r="N9" s="45"/>
      <c r="O9" s="45"/>
      <c r="P9" s="45"/>
      <c r="Q9" s="49"/>
      <c r="R9" s="49"/>
      <c r="S9" s="49"/>
      <c r="T9" s="49"/>
      <c r="U9" s="48"/>
    </row>
    <row r="10" spans="1:21" s="1" customFormat="1" ht="12.75" x14ac:dyDescent="0.2">
      <c r="A10" s="76" t="s">
        <v>60</v>
      </c>
      <c r="B10" s="20" t="s">
        <v>75</v>
      </c>
      <c r="C10" s="20"/>
      <c r="D10" s="20"/>
      <c r="E10" s="20"/>
      <c r="F10" s="20"/>
      <c r="G10" s="20"/>
      <c r="H10" s="20"/>
      <c r="I10" s="32"/>
      <c r="J10" s="3"/>
      <c r="K10" s="4"/>
      <c r="L10" s="4"/>
      <c r="M10" s="44"/>
      <c r="N10" s="45"/>
      <c r="O10" s="45"/>
      <c r="P10" s="45"/>
      <c r="Q10" s="49"/>
      <c r="R10" s="49"/>
      <c r="S10" s="49"/>
      <c r="T10" s="49"/>
      <c r="U10" s="48"/>
    </row>
    <row r="11" spans="1:21" s="1" customFormat="1" ht="12.75" x14ac:dyDescent="0.2">
      <c r="A11" s="76" t="s">
        <v>61</v>
      </c>
      <c r="B11" s="20"/>
      <c r="C11" s="20"/>
      <c r="D11" s="20"/>
      <c r="E11" s="20"/>
      <c r="F11" s="20"/>
      <c r="G11" s="20"/>
      <c r="H11" s="20"/>
      <c r="I11" s="32"/>
      <c r="J11" s="3"/>
      <c r="K11" s="5"/>
      <c r="L11" s="6"/>
      <c r="M11" s="44"/>
      <c r="N11" s="45"/>
      <c r="O11" s="45"/>
      <c r="P11" s="45"/>
      <c r="Q11" s="49"/>
      <c r="R11" s="49"/>
      <c r="S11" s="50"/>
      <c r="T11" s="50"/>
      <c r="U11" s="48"/>
    </row>
    <row r="12" spans="1:21" s="1" customFormat="1" ht="15.75" x14ac:dyDescent="0.2">
      <c r="A12" s="77" t="s">
        <v>62</v>
      </c>
      <c r="B12" s="20">
        <v>2</v>
      </c>
      <c r="C12" s="20">
        <v>1</v>
      </c>
      <c r="D12" s="20">
        <f>B12*C12</f>
        <v>2</v>
      </c>
      <c r="E12" s="20">
        <v>0</v>
      </c>
      <c r="F12" s="20">
        <f>D12*E12</f>
        <v>0</v>
      </c>
      <c r="G12" s="20">
        <f>F12*0.05</f>
        <v>0</v>
      </c>
      <c r="H12" s="20">
        <f>F12*0.1</f>
        <v>0</v>
      </c>
      <c r="I12" s="83">
        <f>F12*$L$6+G12*$L$5+H12*$L$7</f>
        <v>0</v>
      </c>
      <c r="J12" s="3"/>
      <c r="K12" s="5"/>
      <c r="L12" s="6"/>
      <c r="M12" s="44"/>
      <c r="N12" s="45"/>
      <c r="O12" s="45"/>
      <c r="P12" s="45"/>
      <c r="Q12" s="49"/>
      <c r="R12" s="49"/>
      <c r="S12" s="50"/>
      <c r="T12" s="50"/>
      <c r="U12" s="48"/>
    </row>
    <row r="13" spans="1:21" s="1" customFormat="1" ht="15.75" x14ac:dyDescent="0.2">
      <c r="A13" s="77" t="s">
        <v>63</v>
      </c>
      <c r="B13" s="20" t="s">
        <v>74</v>
      </c>
      <c r="C13" s="20"/>
      <c r="D13" s="20"/>
      <c r="E13" s="20"/>
      <c r="F13" s="20"/>
      <c r="G13" s="20"/>
      <c r="H13" s="20"/>
      <c r="I13" s="32"/>
      <c r="J13" s="3"/>
      <c r="K13" s="5"/>
      <c r="L13" s="6"/>
      <c r="M13" s="44"/>
      <c r="N13" s="45"/>
      <c r="O13" s="45"/>
      <c r="P13" s="45"/>
      <c r="Q13" s="45"/>
      <c r="R13" s="45"/>
      <c r="S13" s="45"/>
      <c r="T13" s="45"/>
      <c r="U13" s="48"/>
    </row>
    <row r="14" spans="1:21" s="1" customFormat="1" ht="18" customHeight="1" x14ac:dyDescent="0.2">
      <c r="A14" s="77" t="s">
        <v>64</v>
      </c>
      <c r="B14" s="20" t="s">
        <v>74</v>
      </c>
      <c r="C14" s="20"/>
      <c r="D14" s="20"/>
      <c r="E14" s="33"/>
      <c r="F14" s="33"/>
      <c r="G14" s="33"/>
      <c r="H14" s="33"/>
      <c r="I14" s="32"/>
      <c r="J14" s="9"/>
      <c r="K14" s="57"/>
      <c r="L14" s="6"/>
      <c r="M14" s="44"/>
      <c r="N14" s="45"/>
      <c r="O14" s="45"/>
      <c r="P14" s="45"/>
      <c r="Q14" s="45"/>
      <c r="R14" s="45"/>
      <c r="S14" s="45"/>
      <c r="T14" s="45"/>
      <c r="U14" s="48"/>
    </row>
    <row r="15" spans="1:21" s="1" customFormat="1" ht="15.75" x14ac:dyDescent="0.2">
      <c r="A15" s="77" t="s">
        <v>65</v>
      </c>
      <c r="B15" s="20">
        <v>14</v>
      </c>
      <c r="C15" s="20">
        <v>1</v>
      </c>
      <c r="D15" s="20">
        <f t="shared" ref="D15" si="0">B15*C15</f>
        <v>14</v>
      </c>
      <c r="E15" s="33">
        <v>0</v>
      </c>
      <c r="F15" s="20">
        <f t="shared" ref="F15:F16" si="1">D15*E15</f>
        <v>0</v>
      </c>
      <c r="G15" s="20">
        <f t="shared" ref="G15:G16" si="2">F15*0.05</f>
        <v>0</v>
      </c>
      <c r="H15" s="20">
        <f t="shared" ref="H15:H16" si="3">F15*0.1</f>
        <v>0</v>
      </c>
      <c r="I15" s="83">
        <f t="shared" ref="I15:I16" si="4">F15*$L$6+G15*$L$5+H15*$L$7</f>
        <v>0</v>
      </c>
      <c r="J15" s="3"/>
      <c r="K15" s="57"/>
      <c r="M15" s="44"/>
      <c r="N15" s="45"/>
      <c r="O15" s="45"/>
      <c r="P15" s="45"/>
      <c r="Q15" s="45"/>
      <c r="R15" s="45"/>
      <c r="S15" s="45"/>
      <c r="T15" s="45"/>
      <c r="U15" s="48"/>
    </row>
    <row r="16" spans="1:21" s="1" customFormat="1" ht="27.75" customHeight="1" x14ac:dyDescent="0.2">
      <c r="A16" s="77" t="s">
        <v>66</v>
      </c>
      <c r="B16" s="20">
        <v>8</v>
      </c>
      <c r="C16" s="20">
        <v>2</v>
      </c>
      <c r="D16" s="20">
        <f t="shared" ref="D16" si="5">B16*C16</f>
        <v>16</v>
      </c>
      <c r="E16" s="33">
        <v>50</v>
      </c>
      <c r="F16" s="33">
        <f t="shared" si="1"/>
        <v>800</v>
      </c>
      <c r="G16" s="20">
        <f t="shared" si="2"/>
        <v>40</v>
      </c>
      <c r="H16" s="33">
        <f t="shared" si="3"/>
        <v>80</v>
      </c>
      <c r="I16" s="32">
        <f t="shared" si="4"/>
        <v>116007.6</v>
      </c>
      <c r="J16" s="3"/>
      <c r="K16" s="57"/>
      <c r="M16" s="44"/>
      <c r="N16" s="45"/>
      <c r="O16" s="45"/>
      <c r="P16" s="45"/>
      <c r="Q16" s="45"/>
      <c r="R16" s="45"/>
      <c r="S16" s="45"/>
      <c r="T16" s="45"/>
      <c r="U16" s="48"/>
    </row>
    <row r="17" spans="1:21" s="1" customFormat="1" ht="13.5" x14ac:dyDescent="0.25">
      <c r="A17" s="78" t="s">
        <v>20</v>
      </c>
      <c r="B17" s="20"/>
      <c r="C17" s="20"/>
      <c r="D17" s="20"/>
      <c r="E17" s="33"/>
      <c r="F17" s="119">
        <f>SUM(F7:H16)</f>
        <v>977.5</v>
      </c>
      <c r="G17" s="120"/>
      <c r="H17" s="121"/>
      <c r="I17" s="82">
        <f>SUM(I7:I16)</f>
        <v>123258.07500000001</v>
      </c>
      <c r="J17" s="3"/>
      <c r="K17" s="57"/>
      <c r="M17" s="44"/>
      <c r="N17" s="45"/>
      <c r="O17" s="45"/>
      <c r="P17" s="45"/>
      <c r="Q17" s="45"/>
      <c r="R17" s="45"/>
      <c r="S17" s="45"/>
      <c r="T17" s="45"/>
      <c r="U17" s="48"/>
    </row>
    <row r="18" spans="1:21" s="1" customFormat="1" ht="19.5" customHeight="1" x14ac:dyDescent="0.2">
      <c r="A18" s="75" t="s">
        <v>67</v>
      </c>
      <c r="B18" s="20"/>
      <c r="C18" s="20"/>
      <c r="D18" s="20"/>
      <c r="E18" s="33"/>
      <c r="F18" s="20"/>
      <c r="G18" s="20"/>
      <c r="H18" s="20"/>
      <c r="I18" s="32"/>
      <c r="J18" s="3"/>
      <c r="K18" s="57"/>
      <c r="M18" s="44"/>
      <c r="N18" s="45"/>
      <c r="O18" s="45"/>
      <c r="P18" s="45"/>
      <c r="Q18" s="45"/>
      <c r="R18" s="45"/>
      <c r="S18" s="45"/>
      <c r="T18" s="45"/>
      <c r="U18" s="48"/>
    </row>
    <row r="19" spans="1:21" s="1" customFormat="1" ht="16.5" customHeight="1" x14ac:dyDescent="0.2">
      <c r="A19" s="76" t="s">
        <v>57</v>
      </c>
      <c r="B19" s="20" t="s">
        <v>75</v>
      </c>
      <c r="C19" s="20"/>
      <c r="D19" s="20"/>
      <c r="E19" s="20"/>
      <c r="F19" s="55"/>
      <c r="G19" s="20"/>
      <c r="H19" s="20"/>
      <c r="I19" s="32"/>
      <c r="J19" s="3"/>
      <c r="K19" s="3"/>
      <c r="M19" s="44"/>
      <c r="N19" s="45"/>
      <c r="O19" s="45"/>
      <c r="P19" s="45"/>
      <c r="Q19" s="45"/>
      <c r="R19" s="45"/>
      <c r="S19" s="45"/>
      <c r="T19" s="45"/>
      <c r="U19" s="48"/>
    </row>
    <row r="20" spans="1:21" s="1" customFormat="1" ht="13.5" x14ac:dyDescent="0.25">
      <c r="A20" s="76" t="s">
        <v>68</v>
      </c>
      <c r="B20" s="66" t="s">
        <v>74</v>
      </c>
      <c r="C20" s="79"/>
      <c r="D20" s="79"/>
      <c r="E20" s="79"/>
      <c r="F20" s="81"/>
      <c r="G20" s="81"/>
      <c r="H20" s="81"/>
      <c r="I20" s="34"/>
      <c r="J20" s="3"/>
      <c r="M20" s="44"/>
      <c r="N20" s="45"/>
      <c r="O20" s="45"/>
      <c r="P20" s="45"/>
      <c r="Q20" s="45"/>
      <c r="R20" s="45"/>
      <c r="S20" s="45"/>
      <c r="T20" s="45"/>
      <c r="U20" s="48"/>
    </row>
    <row r="21" spans="1:21" s="1" customFormat="1" ht="12.75" x14ac:dyDescent="0.2">
      <c r="A21" s="76" t="s">
        <v>69</v>
      </c>
      <c r="B21" s="2">
        <v>8</v>
      </c>
      <c r="C21" s="2">
        <v>50</v>
      </c>
      <c r="D21" s="2">
        <f t="shared" ref="D21" si="6">B21*C21</f>
        <v>400</v>
      </c>
      <c r="E21" s="2">
        <v>50</v>
      </c>
      <c r="F21" s="2">
        <f t="shared" ref="F21" si="7">D21*E21</f>
        <v>20000</v>
      </c>
      <c r="G21" s="2">
        <f t="shared" ref="G21" si="8">F21*0.05</f>
        <v>1000</v>
      </c>
      <c r="H21" s="2">
        <f t="shared" ref="H21" si="9">F21*0.1</f>
        <v>2000</v>
      </c>
      <c r="I21" s="35">
        <f>F21*$L$6+G21*$L$5+H21*$L$7</f>
        <v>2900190</v>
      </c>
      <c r="J21" s="3"/>
      <c r="M21" s="44"/>
      <c r="N21" s="45"/>
      <c r="O21" s="45"/>
      <c r="P21" s="45"/>
      <c r="Q21" s="45"/>
      <c r="R21" s="47"/>
      <c r="S21" s="45"/>
      <c r="T21" s="45"/>
      <c r="U21" s="48"/>
    </row>
    <row r="22" spans="1:21" s="1" customFormat="1" ht="16.5" x14ac:dyDescent="0.25">
      <c r="A22" s="76" t="s">
        <v>70</v>
      </c>
      <c r="B22" s="2">
        <v>8</v>
      </c>
      <c r="C22" s="2">
        <v>1</v>
      </c>
      <c r="D22" s="2">
        <f t="shared" ref="D22:D23" si="10">B22*C22</f>
        <v>8</v>
      </c>
      <c r="E22" s="2">
        <v>0</v>
      </c>
      <c r="F22" s="2">
        <f t="shared" ref="F22:F23" si="11">D22*E22</f>
        <v>0</v>
      </c>
      <c r="G22" s="2">
        <f t="shared" ref="G22:G23" si="12">F22*0.05</f>
        <v>0</v>
      </c>
      <c r="H22" s="2">
        <f t="shared" ref="H22:H23" si="13">F22*0.1</f>
        <v>0</v>
      </c>
      <c r="I22" s="84">
        <f>F22*$L$6+G22*$L$5+H22*$L$7</f>
        <v>0</v>
      </c>
      <c r="J22" s="3"/>
      <c r="K22" s="3"/>
      <c r="M22" s="51"/>
      <c r="N22" s="51"/>
      <c r="O22" s="51"/>
      <c r="P22" s="51"/>
      <c r="Q22" s="51"/>
      <c r="R22" s="52"/>
      <c r="S22" s="52"/>
      <c r="T22" s="52"/>
      <c r="U22" s="53"/>
    </row>
    <row r="23" spans="1:21" s="1" customFormat="1" ht="12.75" x14ac:dyDescent="0.2">
      <c r="A23" s="76" t="s">
        <v>71</v>
      </c>
      <c r="B23" s="10">
        <v>28</v>
      </c>
      <c r="C23" s="10">
        <v>1</v>
      </c>
      <c r="D23" s="10">
        <f t="shared" si="10"/>
        <v>28</v>
      </c>
      <c r="E23" s="10">
        <v>50</v>
      </c>
      <c r="F23" s="10">
        <f t="shared" si="11"/>
        <v>1400</v>
      </c>
      <c r="G23" s="10">
        <f t="shared" si="12"/>
        <v>70</v>
      </c>
      <c r="H23" s="10">
        <f t="shared" si="13"/>
        <v>140</v>
      </c>
      <c r="I23" s="11">
        <f>F23*$L$6+G23*$L$5+H23*$L$7</f>
        <v>203013.3</v>
      </c>
      <c r="J23" s="3"/>
      <c r="K23" s="3"/>
      <c r="M23" s="44"/>
      <c r="N23" s="45"/>
      <c r="O23" s="45"/>
      <c r="P23" s="45"/>
      <c r="Q23" s="45"/>
      <c r="R23" s="45"/>
      <c r="S23" s="45"/>
      <c r="T23" s="45"/>
      <c r="U23" s="46"/>
    </row>
    <row r="24" spans="1:21" s="1" customFormat="1" ht="12.75" x14ac:dyDescent="0.2">
      <c r="A24" s="76" t="s">
        <v>72</v>
      </c>
      <c r="B24" s="10" t="s">
        <v>74</v>
      </c>
      <c r="C24" s="10"/>
      <c r="D24" s="10"/>
      <c r="E24" s="10"/>
      <c r="F24" s="56"/>
      <c r="G24" s="10"/>
      <c r="H24" s="10"/>
      <c r="I24" s="11"/>
      <c r="J24" s="3"/>
      <c r="K24" s="3"/>
      <c r="M24" s="44"/>
      <c r="N24" s="45"/>
      <c r="O24" s="45"/>
      <c r="P24" s="45"/>
      <c r="Q24" s="45"/>
      <c r="R24" s="45"/>
      <c r="S24" s="45"/>
      <c r="T24" s="45"/>
      <c r="U24" s="48"/>
    </row>
    <row r="25" spans="1:21" s="1" customFormat="1" ht="13.5" x14ac:dyDescent="0.25">
      <c r="A25" s="78" t="s">
        <v>73</v>
      </c>
      <c r="B25" s="110"/>
      <c r="C25" s="111"/>
      <c r="D25" s="111"/>
      <c r="E25" s="112"/>
      <c r="F25" s="116">
        <f>SUM(F20:H24)</f>
        <v>24610</v>
      </c>
      <c r="G25" s="117"/>
      <c r="H25" s="118"/>
      <c r="I25" s="12">
        <f>SUM(I20:I24)</f>
        <v>3103203.3</v>
      </c>
      <c r="J25" s="16"/>
      <c r="M25" s="44"/>
      <c r="N25" s="45"/>
      <c r="O25" s="45"/>
      <c r="P25" s="45"/>
      <c r="Q25" s="45"/>
      <c r="R25" s="45"/>
      <c r="S25" s="45"/>
      <c r="T25" s="45"/>
      <c r="U25" s="48"/>
    </row>
    <row r="26" spans="1:21" s="1" customFormat="1" ht="13.5" customHeight="1" x14ac:dyDescent="0.25">
      <c r="A26" s="41" t="s">
        <v>76</v>
      </c>
      <c r="B26" s="113"/>
      <c r="C26" s="114"/>
      <c r="D26" s="114"/>
      <c r="E26" s="115"/>
      <c r="F26" s="116">
        <f>ROUND(SUM(F17,F25), -2)</f>
        <v>25600</v>
      </c>
      <c r="G26" s="117"/>
      <c r="H26" s="118"/>
      <c r="I26" s="69">
        <f>ROUND(SUM(I25,I17), -4)</f>
        <v>3230000</v>
      </c>
      <c r="K26" s="15"/>
      <c r="L26" s="3"/>
      <c r="M26" s="98"/>
      <c r="N26" s="45"/>
      <c r="O26" s="45"/>
      <c r="P26" s="45"/>
      <c r="Q26" s="45"/>
      <c r="R26" s="45"/>
      <c r="S26" s="45"/>
      <c r="T26" s="45"/>
      <c r="U26" s="48"/>
    </row>
    <row r="27" spans="1:21" s="1" customFormat="1" ht="13.5" customHeight="1" x14ac:dyDescent="0.25">
      <c r="A27" s="41" t="s">
        <v>77</v>
      </c>
      <c r="B27" s="113"/>
      <c r="C27" s="114"/>
      <c r="D27" s="114"/>
      <c r="E27" s="114"/>
      <c r="F27" s="114"/>
      <c r="G27" s="114"/>
      <c r="H27" s="115"/>
      <c r="I27" s="69">
        <v>0</v>
      </c>
      <c r="J27" s="3"/>
      <c r="M27" s="51"/>
      <c r="N27" s="51"/>
      <c r="O27" s="51"/>
      <c r="P27" s="51"/>
      <c r="Q27" s="51"/>
      <c r="R27" s="52"/>
      <c r="S27" s="52"/>
      <c r="T27" s="52"/>
      <c r="U27" s="53"/>
    </row>
    <row r="28" spans="1:21" s="1" customFormat="1" ht="13.5" customHeight="1" x14ac:dyDescent="0.25">
      <c r="A28" s="41" t="s">
        <v>78</v>
      </c>
      <c r="B28" s="113"/>
      <c r="C28" s="114"/>
      <c r="D28" s="114"/>
      <c r="E28" s="114"/>
      <c r="F28" s="114"/>
      <c r="G28" s="114"/>
      <c r="H28" s="115"/>
      <c r="I28" s="69">
        <f>ROUND(SUM(I26:I27), -4)</f>
        <v>3230000</v>
      </c>
      <c r="J28" s="3"/>
      <c r="M28" s="54"/>
      <c r="N28" s="54"/>
      <c r="O28" s="54"/>
      <c r="P28" s="54"/>
      <c r="Q28" s="54"/>
      <c r="R28" s="52"/>
      <c r="S28" s="52"/>
      <c r="T28" s="52"/>
      <c r="U28" s="53"/>
    </row>
    <row r="29" spans="1:21" s="1" customFormat="1" ht="13.5" x14ac:dyDescent="0.25">
      <c r="G29" s="36"/>
      <c r="I29" s="8"/>
      <c r="J29" s="3"/>
      <c r="M29" s="54"/>
      <c r="N29" s="54"/>
      <c r="O29" s="54"/>
      <c r="P29" s="54"/>
      <c r="Q29" s="54"/>
      <c r="R29" s="54"/>
      <c r="S29" s="54"/>
      <c r="T29" s="54"/>
      <c r="U29" s="53"/>
    </row>
    <row r="30" spans="1:21" s="1" customFormat="1" ht="13.5" x14ac:dyDescent="0.25">
      <c r="A30" s="37" t="s">
        <v>22</v>
      </c>
      <c r="I30" s="8"/>
      <c r="J30" s="3"/>
      <c r="M30" s="54"/>
      <c r="N30" s="54"/>
      <c r="O30" s="54"/>
      <c r="P30" s="54"/>
      <c r="Q30" s="54"/>
      <c r="R30" s="54"/>
      <c r="S30" s="54"/>
      <c r="T30" s="54"/>
      <c r="U30" s="53"/>
    </row>
    <row r="31" spans="1:21" s="1" customFormat="1" ht="34.5" customHeight="1" x14ac:dyDescent="0.2">
      <c r="A31" s="106" t="s">
        <v>79</v>
      </c>
      <c r="B31" s="107"/>
      <c r="C31" s="107"/>
      <c r="D31" s="107"/>
      <c r="E31" s="107"/>
      <c r="F31" s="107"/>
      <c r="G31" s="107"/>
      <c r="H31" s="107"/>
      <c r="I31" s="107"/>
      <c r="J31" s="3"/>
      <c r="M31" s="26"/>
      <c r="N31" s="26"/>
      <c r="O31" s="26"/>
      <c r="P31" s="26"/>
      <c r="Q31" s="26"/>
      <c r="R31" s="26"/>
      <c r="S31" s="26"/>
      <c r="T31" s="26"/>
      <c r="U31" s="26"/>
    </row>
    <row r="32" spans="1:21" s="1" customFormat="1" ht="62.25" customHeight="1" x14ac:dyDescent="0.2">
      <c r="A32" s="109" t="s">
        <v>107</v>
      </c>
      <c r="B32" s="106"/>
      <c r="C32" s="106"/>
      <c r="D32" s="106"/>
      <c r="E32" s="106"/>
      <c r="F32" s="106"/>
      <c r="G32" s="106"/>
      <c r="H32" s="106"/>
      <c r="I32" s="106"/>
      <c r="J32" s="3"/>
      <c r="M32" s="26"/>
      <c r="N32" s="26"/>
      <c r="O32" s="26"/>
      <c r="P32" s="26"/>
      <c r="Q32" s="26"/>
      <c r="R32" s="26"/>
      <c r="S32" s="26"/>
      <c r="T32" s="26"/>
      <c r="U32" s="26"/>
    </row>
    <row r="33" spans="1:21" s="1" customFormat="1" ht="17.45" customHeight="1" x14ac:dyDescent="0.2">
      <c r="A33" s="104" t="s">
        <v>80</v>
      </c>
      <c r="B33" s="105"/>
      <c r="C33" s="105"/>
      <c r="D33" s="105"/>
      <c r="E33" s="105"/>
      <c r="F33" s="105"/>
      <c r="G33" s="105"/>
      <c r="H33" s="105"/>
      <c r="I33" s="105"/>
      <c r="J33" s="9"/>
      <c r="M33" s="26"/>
      <c r="N33" s="26"/>
      <c r="O33" s="26"/>
      <c r="P33" s="26"/>
      <c r="Q33" s="26"/>
      <c r="R33" s="26"/>
      <c r="S33" s="26"/>
      <c r="T33" s="26"/>
      <c r="U33" s="26"/>
    </row>
    <row r="34" spans="1:21" s="1" customFormat="1" ht="18" customHeight="1" x14ac:dyDescent="0.2">
      <c r="A34" s="104" t="s">
        <v>81</v>
      </c>
      <c r="B34" s="105"/>
      <c r="C34" s="105"/>
      <c r="D34" s="105"/>
      <c r="E34" s="105"/>
      <c r="F34" s="105"/>
      <c r="G34" s="105"/>
      <c r="H34" s="105"/>
      <c r="I34" s="105"/>
      <c r="J34" s="3"/>
      <c r="M34" s="26"/>
      <c r="N34" s="26"/>
      <c r="O34" s="26"/>
      <c r="P34" s="26"/>
      <c r="Q34" s="26"/>
      <c r="R34" s="26"/>
      <c r="S34" s="26"/>
      <c r="T34" s="26"/>
      <c r="U34" s="26"/>
    </row>
    <row r="35" spans="1:21" s="1" customFormat="1" ht="30" customHeight="1" x14ac:dyDescent="0.2">
      <c r="A35" s="38"/>
      <c r="B35" s="38"/>
      <c r="C35" s="38"/>
      <c r="D35" s="38"/>
      <c r="E35" s="38"/>
      <c r="F35" s="38"/>
      <c r="G35" s="38"/>
      <c r="H35" s="38"/>
      <c r="I35" s="38"/>
      <c r="M35" s="26"/>
      <c r="N35" s="26"/>
      <c r="O35" s="26"/>
      <c r="P35" s="26"/>
      <c r="Q35" s="26"/>
      <c r="R35" s="26"/>
      <c r="S35" s="26"/>
      <c r="T35" s="26"/>
      <c r="U35" s="26"/>
    </row>
    <row r="41" spans="1:21" ht="15.75" x14ac:dyDescent="0.25">
      <c r="A41" s="59"/>
      <c r="B41" s="59"/>
      <c r="C41" s="59"/>
    </row>
    <row r="42" spans="1:21" ht="15.75" x14ac:dyDescent="0.25">
      <c r="A42" s="59"/>
      <c r="B42" s="59"/>
      <c r="C42" s="59"/>
    </row>
    <row r="43" spans="1:21" ht="15.75" x14ac:dyDescent="0.25">
      <c r="A43" s="59"/>
      <c r="B43" s="59"/>
      <c r="C43" s="59"/>
    </row>
    <row r="44" spans="1:21" ht="15.75" x14ac:dyDescent="0.25">
      <c r="A44" s="60"/>
      <c r="B44" s="60"/>
      <c r="C44" s="60"/>
    </row>
    <row r="45" spans="1:21" ht="15.75" x14ac:dyDescent="0.25">
      <c r="A45" s="59"/>
      <c r="B45" s="59"/>
      <c r="C45" s="59"/>
    </row>
    <row r="46" spans="1:21" ht="15.75" x14ac:dyDescent="0.25">
      <c r="A46" s="59"/>
      <c r="B46" s="59"/>
      <c r="C46" s="59"/>
    </row>
    <row r="47" spans="1:21" ht="15.75" x14ac:dyDescent="0.25">
      <c r="A47" s="60"/>
      <c r="B47" s="60"/>
      <c r="C47" s="60"/>
    </row>
    <row r="48" spans="1:21" ht="15.75" x14ac:dyDescent="0.25">
      <c r="A48" s="60"/>
      <c r="B48" s="60"/>
      <c r="C48" s="60"/>
    </row>
    <row r="49" spans="1:3" ht="15.75" customHeight="1" x14ac:dyDescent="0.25">
      <c r="A49" s="59"/>
      <c r="B49" s="59"/>
      <c r="C49" s="59"/>
    </row>
    <row r="50" spans="1:3" ht="15" customHeight="1" x14ac:dyDescent="0.25">
      <c r="A50" s="59"/>
      <c r="B50" s="59"/>
      <c r="C50" s="59"/>
    </row>
    <row r="51" spans="1:3" ht="15.75" x14ac:dyDescent="0.25">
      <c r="A51" s="59"/>
      <c r="B51" s="59"/>
      <c r="C51" s="59"/>
    </row>
    <row r="52" spans="1:3" ht="15.75" x14ac:dyDescent="0.25">
      <c r="A52" s="60"/>
      <c r="B52" s="60"/>
      <c r="C52" s="60"/>
    </row>
    <row r="53" spans="1:3" ht="15.75" x14ac:dyDescent="0.25">
      <c r="A53" s="60"/>
      <c r="B53" s="59"/>
      <c r="C53" s="59"/>
    </row>
    <row r="54" spans="1:3" ht="15.75" x14ac:dyDescent="0.25">
      <c r="A54" s="59"/>
      <c r="B54" s="59"/>
      <c r="C54" s="59"/>
    </row>
    <row r="55" spans="1:3" ht="15.75" x14ac:dyDescent="0.25">
      <c r="A55" s="60"/>
      <c r="B55" s="59"/>
      <c r="C55" s="59"/>
    </row>
  </sheetData>
  <sortState xmlns:xlrd2="http://schemas.microsoft.com/office/spreadsheetml/2017/richdata2" ref="A40:C55">
    <sortCondition ref="C40:C55"/>
  </sortState>
  <mergeCells count="12">
    <mergeCell ref="A33:I33"/>
    <mergeCell ref="A34:I34"/>
    <mergeCell ref="A31:I31"/>
    <mergeCell ref="K4:L4"/>
    <mergeCell ref="A32:I32"/>
    <mergeCell ref="B25:E25"/>
    <mergeCell ref="B26:E26"/>
    <mergeCell ref="B27:H27"/>
    <mergeCell ref="B28:H28"/>
    <mergeCell ref="F25:H25"/>
    <mergeCell ref="F26:H26"/>
    <mergeCell ref="F17:H17"/>
  </mergeCells>
  <phoneticPr fontId="24"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EB505-CA95-4F00-A291-082E5FA152CE}">
  <dimension ref="A1:U55"/>
  <sheetViews>
    <sheetView zoomScale="87" zoomScaleNormal="87" workbookViewId="0">
      <selection activeCell="A3" sqref="A3"/>
    </sheetView>
  </sheetViews>
  <sheetFormatPr defaultRowHeight="15" x14ac:dyDescent="0.25"/>
  <cols>
    <col min="1" max="1" width="44.140625" customWidth="1"/>
    <col min="2" max="8" width="11" customWidth="1"/>
    <col min="9" max="9" width="12.710937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30" t="s">
        <v>110</v>
      </c>
      <c r="B1" s="1"/>
      <c r="C1" s="1"/>
      <c r="D1" s="1"/>
      <c r="E1" s="1"/>
      <c r="F1" s="1"/>
      <c r="G1" s="1"/>
      <c r="H1" s="1"/>
      <c r="I1" s="8"/>
      <c r="J1" s="1"/>
      <c r="K1" s="1"/>
      <c r="L1" s="1"/>
      <c r="M1" s="42"/>
      <c r="N1" s="13"/>
    </row>
    <row r="2" spans="1:21" s="1" customFormat="1" ht="12.75" x14ac:dyDescent="0.2">
      <c r="F2" s="7"/>
      <c r="G2" s="7"/>
      <c r="H2" s="7"/>
      <c r="I2" s="8"/>
      <c r="J2" s="3"/>
    </row>
    <row r="3" spans="1:21" s="1" customFormat="1" ht="76.5" x14ac:dyDescent="0.2">
      <c r="A3" s="20" t="s">
        <v>7</v>
      </c>
      <c r="B3" s="66" t="s">
        <v>8</v>
      </c>
      <c r="C3" s="66" t="s">
        <v>9</v>
      </c>
      <c r="D3" s="66" t="s">
        <v>10</v>
      </c>
      <c r="E3" s="66" t="s">
        <v>11</v>
      </c>
      <c r="F3" s="66" t="s">
        <v>12</v>
      </c>
      <c r="G3" s="66" t="s">
        <v>13</v>
      </c>
      <c r="H3" s="66" t="s">
        <v>14</v>
      </c>
      <c r="I3" s="66" t="s">
        <v>15</v>
      </c>
      <c r="J3" s="3"/>
      <c r="M3" s="43"/>
      <c r="N3" s="43"/>
      <c r="O3" s="43"/>
      <c r="P3" s="43"/>
      <c r="Q3" s="43"/>
      <c r="R3" s="43"/>
      <c r="S3" s="43"/>
      <c r="T3" s="43"/>
      <c r="U3" s="43"/>
    </row>
    <row r="4" spans="1:21" s="1" customFormat="1" ht="12.75" x14ac:dyDescent="0.2">
      <c r="A4" s="75" t="s">
        <v>54</v>
      </c>
      <c r="B4" s="2" t="s">
        <v>74</v>
      </c>
      <c r="C4" s="2"/>
      <c r="D4" s="2"/>
      <c r="E4" s="2"/>
      <c r="F4" s="2"/>
      <c r="G4" s="2"/>
      <c r="H4" s="2"/>
      <c r="I4" s="31"/>
      <c r="J4" s="3"/>
      <c r="K4" s="108" t="s">
        <v>16</v>
      </c>
      <c r="L4" s="108"/>
      <c r="O4" s="45"/>
      <c r="P4" s="45"/>
      <c r="Q4" s="45"/>
      <c r="R4" s="45"/>
      <c r="S4" s="45"/>
      <c r="T4" s="45"/>
      <c r="U4" s="46"/>
    </row>
    <row r="5" spans="1:21" s="1" customFormat="1" ht="12.75" x14ac:dyDescent="0.2">
      <c r="A5" s="75" t="s">
        <v>55</v>
      </c>
      <c r="B5" s="20" t="s">
        <v>74</v>
      </c>
      <c r="C5" s="20"/>
      <c r="D5" s="20"/>
      <c r="E5" s="20"/>
      <c r="F5" s="55"/>
      <c r="G5" s="33"/>
      <c r="H5" s="33"/>
      <c r="I5" s="32"/>
      <c r="J5" s="9"/>
      <c r="K5" s="14" t="s">
        <v>17</v>
      </c>
      <c r="L5" s="27">
        <v>73.459999999999994</v>
      </c>
      <c r="M5" s="44"/>
      <c r="N5" s="45"/>
      <c r="O5" s="45"/>
      <c r="P5" s="45"/>
      <c r="Q5" s="45"/>
      <c r="R5" s="47"/>
      <c r="S5" s="45"/>
      <c r="T5" s="45"/>
      <c r="U5" s="48"/>
    </row>
    <row r="6" spans="1:21" s="1" customFormat="1" ht="12.75" x14ac:dyDescent="0.2">
      <c r="A6" s="75" t="s">
        <v>56</v>
      </c>
      <c r="B6" s="80"/>
      <c r="C6" s="80"/>
      <c r="D6" s="80"/>
      <c r="E6" s="80"/>
      <c r="F6" s="80"/>
      <c r="G6" s="80"/>
      <c r="H6" s="80"/>
      <c r="I6" s="80"/>
      <c r="J6" s="3"/>
      <c r="K6" s="14" t="s">
        <v>18</v>
      </c>
      <c r="L6" s="27">
        <v>54.51</v>
      </c>
      <c r="M6" s="44"/>
      <c r="N6" s="45"/>
      <c r="O6" s="45"/>
      <c r="P6" s="45"/>
      <c r="Q6" s="45"/>
      <c r="R6" s="45"/>
      <c r="S6" s="45"/>
      <c r="T6" s="45"/>
      <c r="U6" s="48"/>
    </row>
    <row r="7" spans="1:21" s="1" customFormat="1" ht="12.75" x14ac:dyDescent="0.2">
      <c r="A7" s="76" t="s">
        <v>57</v>
      </c>
      <c r="B7" s="20">
        <v>1</v>
      </c>
      <c r="C7" s="20">
        <v>1</v>
      </c>
      <c r="D7" s="20">
        <f>B7*C7</f>
        <v>1</v>
      </c>
      <c r="E7" s="20">
        <v>6</v>
      </c>
      <c r="F7" s="20">
        <f>D7*E7</f>
        <v>6</v>
      </c>
      <c r="G7" s="20">
        <f>F7*0.05</f>
        <v>0.30000000000000004</v>
      </c>
      <c r="H7" s="20">
        <f>F7*0.1</f>
        <v>0.60000000000000009</v>
      </c>
      <c r="I7" s="32">
        <f>F7*$L$6+G7*$L$5+H7*$L$7</f>
        <v>366.798</v>
      </c>
      <c r="J7" s="3"/>
      <c r="K7" s="14" t="s">
        <v>19</v>
      </c>
      <c r="L7" s="27">
        <v>29.5</v>
      </c>
      <c r="M7" s="44"/>
      <c r="N7" s="45"/>
      <c r="O7" s="45"/>
      <c r="P7" s="45"/>
      <c r="Q7" s="45"/>
      <c r="R7" s="45"/>
      <c r="S7" s="45"/>
      <c r="T7" s="45"/>
      <c r="U7" s="48"/>
    </row>
    <row r="8" spans="1:21" s="1" customFormat="1" ht="12.75" x14ac:dyDescent="0.2">
      <c r="A8" s="76" t="s">
        <v>58</v>
      </c>
      <c r="B8" s="20" t="s">
        <v>75</v>
      </c>
      <c r="C8" s="20"/>
      <c r="D8" s="20"/>
      <c r="E8" s="20"/>
      <c r="F8" s="20"/>
      <c r="G8" s="20"/>
      <c r="H8" s="20"/>
      <c r="I8" s="32"/>
      <c r="J8" s="3"/>
      <c r="K8" s="58"/>
      <c r="L8" s="17"/>
      <c r="M8" s="44"/>
      <c r="N8" s="45"/>
      <c r="O8" s="45"/>
      <c r="P8" s="45"/>
      <c r="Q8" s="49"/>
      <c r="R8" s="49"/>
      <c r="S8" s="49"/>
      <c r="T8" s="49"/>
      <c r="U8" s="48"/>
    </row>
    <row r="9" spans="1:21" s="1" customFormat="1" ht="12.75" x14ac:dyDescent="0.2">
      <c r="A9" s="76" t="s">
        <v>59</v>
      </c>
      <c r="B9" s="20" t="s">
        <v>75</v>
      </c>
      <c r="C9" s="20"/>
      <c r="D9" s="20"/>
      <c r="E9" s="20"/>
      <c r="F9" s="20"/>
      <c r="G9" s="20"/>
      <c r="H9" s="20"/>
      <c r="I9" s="32"/>
      <c r="J9" s="3"/>
      <c r="K9" s="68"/>
      <c r="L9" s="4"/>
      <c r="M9" s="44"/>
      <c r="N9" s="45"/>
      <c r="O9" s="45"/>
      <c r="P9" s="45"/>
      <c r="Q9" s="49"/>
      <c r="R9" s="49"/>
      <c r="S9" s="49"/>
      <c r="T9" s="49"/>
      <c r="U9" s="48"/>
    </row>
    <row r="10" spans="1:21" s="1" customFormat="1" ht="12.75" x14ac:dyDescent="0.2">
      <c r="A10" s="76" t="s">
        <v>60</v>
      </c>
      <c r="B10" s="20" t="s">
        <v>75</v>
      </c>
      <c r="C10" s="20"/>
      <c r="D10" s="20"/>
      <c r="E10" s="20"/>
      <c r="F10" s="20"/>
      <c r="G10" s="20"/>
      <c r="H10" s="20"/>
      <c r="I10" s="32"/>
      <c r="J10" s="3"/>
      <c r="K10" s="4"/>
      <c r="L10" s="4"/>
      <c r="M10" s="44"/>
      <c r="N10" s="45"/>
      <c r="O10" s="45"/>
      <c r="P10" s="45"/>
      <c r="Q10" s="49"/>
      <c r="R10" s="49"/>
      <c r="S10" s="49"/>
      <c r="T10" s="49"/>
      <c r="U10" s="48"/>
    </row>
    <row r="11" spans="1:21" s="1" customFormat="1" ht="12.75" x14ac:dyDescent="0.2">
      <c r="A11" s="76" t="s">
        <v>61</v>
      </c>
      <c r="B11" s="20"/>
      <c r="C11" s="20"/>
      <c r="D11" s="20"/>
      <c r="E11" s="20"/>
      <c r="F11" s="20"/>
      <c r="G11" s="20"/>
      <c r="H11" s="20"/>
      <c r="I11" s="32"/>
      <c r="J11" s="3"/>
      <c r="K11" s="5"/>
      <c r="L11" s="6"/>
      <c r="M11" s="44"/>
      <c r="N11" s="45"/>
      <c r="O11" s="45"/>
      <c r="P11" s="45"/>
      <c r="Q11" s="49"/>
      <c r="R11" s="49"/>
      <c r="S11" s="50"/>
      <c r="T11" s="50"/>
      <c r="U11" s="48"/>
    </row>
    <row r="12" spans="1:21" s="1" customFormat="1" ht="15.75" x14ac:dyDescent="0.2">
      <c r="A12" s="77" t="s">
        <v>62</v>
      </c>
      <c r="B12" s="20">
        <v>2</v>
      </c>
      <c r="C12" s="20">
        <v>1</v>
      </c>
      <c r="D12" s="20">
        <f>B12*C12</f>
        <v>2</v>
      </c>
      <c r="E12" s="20">
        <v>0</v>
      </c>
      <c r="F12" s="20">
        <f>D12*E12</f>
        <v>0</v>
      </c>
      <c r="G12" s="20">
        <f>F12*0.05</f>
        <v>0</v>
      </c>
      <c r="H12" s="20">
        <f>F12*0.1</f>
        <v>0</v>
      </c>
      <c r="I12" s="83">
        <f>F12*$L$6+G12*$L$5+H12*$L$7</f>
        <v>0</v>
      </c>
      <c r="J12" s="3"/>
      <c r="K12" s="5"/>
      <c r="L12" s="6"/>
      <c r="M12" s="44"/>
      <c r="N12" s="45"/>
      <c r="O12" s="45"/>
      <c r="P12" s="45"/>
      <c r="Q12" s="49"/>
      <c r="R12" s="49"/>
      <c r="S12" s="50"/>
      <c r="T12" s="50"/>
      <c r="U12" s="48"/>
    </row>
    <row r="13" spans="1:21" s="1" customFormat="1" ht="15.75" x14ac:dyDescent="0.2">
      <c r="A13" s="77" t="s">
        <v>63</v>
      </c>
      <c r="B13" s="20" t="s">
        <v>74</v>
      </c>
      <c r="C13" s="20"/>
      <c r="D13" s="20"/>
      <c r="E13" s="20"/>
      <c r="F13" s="20"/>
      <c r="G13" s="20"/>
      <c r="H13" s="20"/>
      <c r="I13" s="32"/>
      <c r="J13" s="3"/>
      <c r="K13" s="5"/>
      <c r="L13" s="6"/>
      <c r="M13" s="44"/>
      <c r="N13" s="45"/>
      <c r="O13" s="45"/>
      <c r="P13" s="45"/>
      <c r="Q13" s="45"/>
      <c r="R13" s="45"/>
      <c r="S13" s="45"/>
      <c r="T13" s="45"/>
      <c r="U13" s="48"/>
    </row>
    <row r="14" spans="1:21" s="1" customFormat="1" ht="18" customHeight="1" x14ac:dyDescent="0.2">
      <c r="A14" s="77" t="s">
        <v>64</v>
      </c>
      <c r="B14" s="20" t="s">
        <v>74</v>
      </c>
      <c r="C14" s="20"/>
      <c r="D14" s="20"/>
      <c r="E14" s="33"/>
      <c r="F14" s="33"/>
      <c r="G14" s="33"/>
      <c r="H14" s="33"/>
      <c r="I14" s="32"/>
      <c r="J14" s="9"/>
      <c r="K14" s="57"/>
      <c r="L14" s="6"/>
      <c r="M14" s="44"/>
      <c r="N14" s="45"/>
      <c r="O14" s="45"/>
      <c r="P14" s="45"/>
      <c r="Q14" s="45"/>
      <c r="R14" s="45"/>
      <c r="S14" s="45"/>
      <c r="T14" s="45"/>
      <c r="U14" s="48"/>
    </row>
    <row r="15" spans="1:21" s="1" customFormat="1" ht="15.75" x14ac:dyDescent="0.2">
      <c r="A15" s="77" t="s">
        <v>65</v>
      </c>
      <c r="B15" s="20">
        <v>14</v>
      </c>
      <c r="C15" s="20">
        <v>1</v>
      </c>
      <c r="D15" s="20">
        <f t="shared" ref="D15:D16" si="0">B15*C15</f>
        <v>14</v>
      </c>
      <c r="E15" s="33">
        <v>0</v>
      </c>
      <c r="F15" s="20">
        <f t="shared" ref="F15:F16" si="1">D15*E15</f>
        <v>0</v>
      </c>
      <c r="G15" s="20">
        <f t="shared" ref="G15:G16" si="2">F15*0.05</f>
        <v>0</v>
      </c>
      <c r="H15" s="20">
        <f t="shared" ref="H15:H16" si="3">F15*0.1</f>
        <v>0</v>
      </c>
      <c r="I15" s="83">
        <f t="shared" ref="I15:I16" si="4">F15*$L$6+G15*$L$5+H15*$L$7</f>
        <v>0</v>
      </c>
      <c r="J15" s="3"/>
      <c r="K15" s="57"/>
      <c r="M15" s="44"/>
      <c r="N15" s="45"/>
      <c r="O15" s="45"/>
      <c r="P15" s="45"/>
      <c r="Q15" s="45"/>
      <c r="R15" s="45"/>
      <c r="S15" s="45"/>
      <c r="T15" s="45"/>
      <c r="U15" s="48"/>
    </row>
    <row r="16" spans="1:21" s="1" customFormat="1" ht="27.75" customHeight="1" x14ac:dyDescent="0.2">
      <c r="A16" s="77" t="s">
        <v>66</v>
      </c>
      <c r="B16" s="20">
        <v>8</v>
      </c>
      <c r="C16" s="20">
        <v>2</v>
      </c>
      <c r="D16" s="20">
        <f t="shared" si="0"/>
        <v>16</v>
      </c>
      <c r="E16" s="33">
        <v>6</v>
      </c>
      <c r="F16" s="33">
        <f t="shared" si="1"/>
        <v>96</v>
      </c>
      <c r="G16" s="20">
        <f t="shared" si="2"/>
        <v>4.8000000000000007</v>
      </c>
      <c r="H16" s="33">
        <f t="shared" si="3"/>
        <v>9.6000000000000014</v>
      </c>
      <c r="I16" s="32">
        <f t="shared" si="4"/>
        <v>5868.768</v>
      </c>
      <c r="J16" s="3"/>
      <c r="K16" s="57"/>
      <c r="M16" s="44"/>
      <c r="N16" s="45"/>
      <c r="O16" s="45"/>
      <c r="P16" s="45"/>
      <c r="Q16" s="45"/>
      <c r="R16" s="45"/>
      <c r="S16" s="45"/>
      <c r="T16" s="45"/>
      <c r="U16" s="48"/>
    </row>
    <row r="17" spans="1:21" s="1" customFormat="1" ht="13.5" x14ac:dyDescent="0.25">
      <c r="A17" s="78" t="s">
        <v>20</v>
      </c>
      <c r="B17" s="20"/>
      <c r="C17" s="20"/>
      <c r="D17" s="20"/>
      <c r="E17" s="33"/>
      <c r="F17" s="119">
        <f>SUM(F7:H16)</f>
        <v>117.30000000000001</v>
      </c>
      <c r="G17" s="120"/>
      <c r="H17" s="121"/>
      <c r="I17" s="82">
        <f>SUM(I7:I16)</f>
        <v>6235.5659999999998</v>
      </c>
      <c r="J17" s="3"/>
      <c r="K17" s="57"/>
      <c r="M17" s="44"/>
      <c r="N17" s="45"/>
      <c r="O17" s="45"/>
      <c r="P17" s="45"/>
      <c r="Q17" s="45"/>
      <c r="R17" s="45"/>
      <c r="S17" s="45"/>
      <c r="T17" s="45"/>
      <c r="U17" s="48"/>
    </row>
    <row r="18" spans="1:21" s="1" customFormat="1" ht="19.5" customHeight="1" x14ac:dyDescent="0.2">
      <c r="A18" s="75" t="s">
        <v>67</v>
      </c>
      <c r="B18" s="20"/>
      <c r="C18" s="20"/>
      <c r="D18" s="20"/>
      <c r="E18" s="33"/>
      <c r="F18" s="20"/>
      <c r="G18" s="20"/>
      <c r="H18" s="20"/>
      <c r="I18" s="32"/>
      <c r="J18" s="3"/>
      <c r="K18" s="57"/>
      <c r="M18" s="44"/>
      <c r="N18" s="45"/>
      <c r="O18" s="45"/>
      <c r="P18" s="45"/>
      <c r="Q18" s="45"/>
      <c r="R18" s="45"/>
      <c r="S18" s="45"/>
      <c r="T18" s="45"/>
      <c r="U18" s="48"/>
    </row>
    <row r="19" spans="1:21" s="1" customFormat="1" ht="16.5" customHeight="1" x14ac:dyDescent="0.2">
      <c r="A19" s="76" t="s">
        <v>57</v>
      </c>
      <c r="B19" s="20" t="s">
        <v>75</v>
      </c>
      <c r="C19" s="20"/>
      <c r="D19" s="20"/>
      <c r="E19" s="20"/>
      <c r="F19" s="55"/>
      <c r="G19" s="20"/>
      <c r="H19" s="20"/>
      <c r="I19" s="32"/>
      <c r="J19" s="3"/>
      <c r="K19" s="3"/>
      <c r="M19" s="44"/>
      <c r="N19" s="45"/>
      <c r="O19" s="45"/>
      <c r="P19" s="45"/>
      <c r="Q19" s="45"/>
      <c r="R19" s="45"/>
      <c r="S19" s="45"/>
      <c r="T19" s="45"/>
      <c r="U19" s="48"/>
    </row>
    <row r="20" spans="1:21" s="1" customFormat="1" ht="13.5" x14ac:dyDescent="0.25">
      <c r="A20" s="76" t="s">
        <v>68</v>
      </c>
      <c r="B20" s="66" t="s">
        <v>74</v>
      </c>
      <c r="C20" s="79"/>
      <c r="D20" s="79"/>
      <c r="E20" s="79"/>
      <c r="F20" s="81"/>
      <c r="G20" s="81"/>
      <c r="H20" s="81"/>
      <c r="I20" s="34"/>
      <c r="J20" s="3"/>
      <c r="M20" s="44"/>
      <c r="N20" s="45"/>
      <c r="O20" s="45"/>
      <c r="P20" s="45"/>
      <c r="Q20" s="45"/>
      <c r="R20" s="45"/>
      <c r="S20" s="45"/>
      <c r="T20" s="45"/>
      <c r="U20" s="48"/>
    </row>
    <row r="21" spans="1:21" s="1" customFormat="1" ht="12.75" x14ac:dyDescent="0.2">
      <c r="A21" s="76" t="s">
        <v>69</v>
      </c>
      <c r="B21" s="2">
        <v>8</v>
      </c>
      <c r="C21" s="2">
        <v>50</v>
      </c>
      <c r="D21" s="2">
        <f t="shared" ref="D21:D23" si="5">B21*C21</f>
        <v>400</v>
      </c>
      <c r="E21" s="2">
        <v>6</v>
      </c>
      <c r="F21" s="2">
        <f t="shared" ref="F21:F23" si="6">D21*E21</f>
        <v>2400</v>
      </c>
      <c r="G21" s="2">
        <f t="shared" ref="G21:G23" si="7">F21*0.05</f>
        <v>120</v>
      </c>
      <c r="H21" s="2">
        <f t="shared" ref="H21:H23" si="8">F21*0.1</f>
        <v>240</v>
      </c>
      <c r="I21" s="35">
        <f>F21*$L$6+G21*$L$5+H21*$L$7</f>
        <v>146719.20000000001</v>
      </c>
      <c r="J21" s="3"/>
      <c r="M21" s="44"/>
      <c r="N21" s="45"/>
      <c r="O21" s="45"/>
      <c r="P21" s="45"/>
      <c r="Q21" s="45"/>
      <c r="R21" s="47"/>
      <c r="S21" s="45"/>
      <c r="T21" s="45"/>
      <c r="U21" s="48"/>
    </row>
    <row r="22" spans="1:21" s="1" customFormat="1" ht="16.5" x14ac:dyDescent="0.25">
      <c r="A22" s="76" t="s">
        <v>70</v>
      </c>
      <c r="B22" s="2">
        <v>8</v>
      </c>
      <c r="C22" s="2">
        <v>1</v>
      </c>
      <c r="D22" s="2">
        <f t="shared" si="5"/>
        <v>8</v>
      </c>
      <c r="E22" s="2">
        <v>0</v>
      </c>
      <c r="F22" s="2">
        <f t="shared" si="6"/>
        <v>0</v>
      </c>
      <c r="G22" s="2">
        <f t="shared" si="7"/>
        <v>0</v>
      </c>
      <c r="H22" s="2">
        <f t="shared" si="8"/>
        <v>0</v>
      </c>
      <c r="I22" s="84">
        <f>F22*$L$6+G22*$L$5+H22*$L$7</f>
        <v>0</v>
      </c>
      <c r="J22" s="3"/>
      <c r="K22" s="3"/>
      <c r="M22" s="51"/>
      <c r="N22" s="51"/>
      <c r="O22" s="51"/>
      <c r="P22" s="51"/>
      <c r="Q22" s="51"/>
      <c r="R22" s="52"/>
      <c r="S22" s="52"/>
      <c r="T22" s="52"/>
      <c r="U22" s="53"/>
    </row>
    <row r="23" spans="1:21" s="1" customFormat="1" ht="12.75" x14ac:dyDescent="0.2">
      <c r="A23" s="76" t="s">
        <v>71</v>
      </c>
      <c r="B23" s="10">
        <v>28</v>
      </c>
      <c r="C23" s="10">
        <v>1</v>
      </c>
      <c r="D23" s="10">
        <f t="shared" si="5"/>
        <v>28</v>
      </c>
      <c r="E23" s="10">
        <v>6</v>
      </c>
      <c r="F23" s="10">
        <f t="shared" si="6"/>
        <v>168</v>
      </c>
      <c r="G23" s="10">
        <f t="shared" si="7"/>
        <v>8.4</v>
      </c>
      <c r="H23" s="10">
        <f t="shared" si="8"/>
        <v>16.8</v>
      </c>
      <c r="I23" s="11">
        <f>F23*$L$6+G23*$L$5+H23*$L$7</f>
        <v>10270.344000000001</v>
      </c>
      <c r="J23" s="3"/>
      <c r="K23" s="3"/>
      <c r="M23" s="44"/>
      <c r="N23" s="45"/>
      <c r="O23" s="45"/>
      <c r="P23" s="45"/>
      <c r="Q23" s="45"/>
      <c r="R23" s="45"/>
      <c r="S23" s="45"/>
      <c r="T23" s="45"/>
      <c r="U23" s="46"/>
    </row>
    <row r="24" spans="1:21" s="1" customFormat="1" ht="12.75" x14ac:dyDescent="0.2">
      <c r="A24" s="76" t="s">
        <v>72</v>
      </c>
      <c r="B24" s="10" t="s">
        <v>74</v>
      </c>
      <c r="C24" s="10"/>
      <c r="D24" s="10"/>
      <c r="E24" s="10"/>
      <c r="F24" s="56"/>
      <c r="G24" s="10"/>
      <c r="H24" s="10"/>
      <c r="I24" s="11"/>
      <c r="J24" s="3"/>
      <c r="K24" s="3"/>
      <c r="N24" s="45"/>
      <c r="O24" s="45"/>
      <c r="P24" s="45"/>
      <c r="Q24" s="45"/>
      <c r="R24" s="45"/>
      <c r="S24" s="45"/>
      <c r="T24" s="45"/>
      <c r="U24" s="48"/>
    </row>
    <row r="25" spans="1:21" s="1" customFormat="1" ht="13.5" x14ac:dyDescent="0.25">
      <c r="A25" s="78" t="s">
        <v>73</v>
      </c>
      <c r="B25" s="110"/>
      <c r="C25" s="111"/>
      <c r="D25" s="111"/>
      <c r="E25" s="112"/>
      <c r="F25" s="116">
        <f>SUM(F20:H24)</f>
        <v>2953.2000000000003</v>
      </c>
      <c r="G25" s="117"/>
      <c r="H25" s="118"/>
      <c r="I25" s="12">
        <f>SUM(I20:I24)</f>
        <v>156989.54400000002</v>
      </c>
      <c r="J25" s="16"/>
      <c r="K25" s="99"/>
      <c r="L25" s="99"/>
      <c r="M25" s="100"/>
      <c r="N25" s="45"/>
      <c r="O25" s="45"/>
      <c r="P25" s="45"/>
      <c r="Q25" s="45"/>
      <c r="R25" s="45"/>
      <c r="S25" s="45"/>
      <c r="T25" s="45"/>
      <c r="U25" s="48"/>
    </row>
    <row r="26" spans="1:21" s="1" customFormat="1" ht="13.5" customHeight="1" x14ac:dyDescent="0.25">
      <c r="A26" s="41" t="s">
        <v>76</v>
      </c>
      <c r="B26" s="113"/>
      <c r="C26" s="114"/>
      <c r="D26" s="114"/>
      <c r="E26" s="115"/>
      <c r="F26" s="116">
        <f>ROUND(SUM(F17,F25), -1)</f>
        <v>3070</v>
      </c>
      <c r="G26" s="117"/>
      <c r="H26" s="118"/>
      <c r="I26" s="12">
        <f>ROUND(SUM(I25,I17), -3)</f>
        <v>163000</v>
      </c>
      <c r="J26" s="16"/>
      <c r="K26" s="15"/>
      <c r="L26" s="3"/>
      <c r="M26" s="44"/>
      <c r="N26" s="45"/>
      <c r="O26" s="45"/>
      <c r="P26" s="45"/>
      <c r="Q26" s="45"/>
      <c r="R26" s="45"/>
      <c r="S26" s="45"/>
      <c r="T26" s="45"/>
      <c r="U26" s="48"/>
    </row>
    <row r="27" spans="1:21" s="1" customFormat="1" ht="13.5" customHeight="1" x14ac:dyDescent="0.25">
      <c r="A27" s="41" t="s">
        <v>77</v>
      </c>
      <c r="B27" s="113"/>
      <c r="C27" s="114"/>
      <c r="D27" s="114"/>
      <c r="E27" s="114"/>
      <c r="F27" s="114"/>
      <c r="G27" s="114"/>
      <c r="H27" s="115"/>
      <c r="I27" s="69">
        <v>0</v>
      </c>
      <c r="J27" s="3"/>
      <c r="M27" s="51"/>
      <c r="N27" s="51"/>
      <c r="O27" s="51"/>
      <c r="P27" s="51"/>
      <c r="Q27" s="51"/>
      <c r="R27" s="52"/>
      <c r="S27" s="52"/>
      <c r="T27" s="52"/>
      <c r="U27" s="53"/>
    </row>
    <row r="28" spans="1:21" s="1" customFormat="1" ht="13.5" customHeight="1" x14ac:dyDescent="0.25">
      <c r="A28" s="41" t="s">
        <v>78</v>
      </c>
      <c r="B28" s="113"/>
      <c r="C28" s="114"/>
      <c r="D28" s="114"/>
      <c r="E28" s="114"/>
      <c r="F28" s="114"/>
      <c r="G28" s="114"/>
      <c r="H28" s="115"/>
      <c r="I28" s="69">
        <f>ROUND(SUM(I26:I27), -3)</f>
        <v>163000</v>
      </c>
      <c r="J28" s="3"/>
      <c r="M28" s="54"/>
      <c r="N28" s="54"/>
      <c r="O28" s="54"/>
      <c r="P28" s="54"/>
      <c r="Q28" s="54"/>
      <c r="R28" s="52"/>
      <c r="S28" s="52"/>
      <c r="T28" s="52"/>
      <c r="U28" s="53"/>
    </row>
    <row r="29" spans="1:21" s="1" customFormat="1" ht="13.5" x14ac:dyDescent="0.25">
      <c r="G29" s="36"/>
      <c r="I29" s="8"/>
      <c r="J29" s="3"/>
      <c r="M29" s="54"/>
      <c r="N29" s="54"/>
      <c r="O29" s="54"/>
      <c r="P29" s="54"/>
      <c r="Q29" s="54"/>
      <c r="R29" s="54"/>
      <c r="S29" s="54"/>
      <c r="T29" s="54"/>
      <c r="U29" s="53"/>
    </row>
    <row r="30" spans="1:21" s="1" customFormat="1" ht="13.5" x14ac:dyDescent="0.25">
      <c r="A30" s="37" t="s">
        <v>22</v>
      </c>
      <c r="I30" s="8"/>
      <c r="J30" s="3"/>
      <c r="M30" s="54"/>
      <c r="N30" s="54"/>
      <c r="O30" s="54"/>
      <c r="P30" s="54"/>
      <c r="Q30" s="54"/>
      <c r="R30" s="54"/>
      <c r="S30" s="54"/>
      <c r="T30" s="54"/>
      <c r="U30" s="53"/>
    </row>
    <row r="31" spans="1:21" s="1" customFormat="1" ht="35.25" customHeight="1" x14ac:dyDescent="0.2">
      <c r="A31" s="106" t="s">
        <v>109</v>
      </c>
      <c r="B31" s="107"/>
      <c r="C31" s="107"/>
      <c r="D31" s="107"/>
      <c r="E31" s="107"/>
      <c r="F31" s="107"/>
      <c r="G31" s="107"/>
      <c r="H31" s="107"/>
      <c r="I31" s="107"/>
      <c r="J31" s="3"/>
      <c r="M31" s="26"/>
      <c r="N31" s="26"/>
      <c r="O31" s="26"/>
      <c r="P31" s="26"/>
      <c r="Q31" s="26"/>
      <c r="R31" s="26"/>
      <c r="S31" s="26"/>
      <c r="T31" s="26"/>
      <c r="U31" s="26"/>
    </row>
    <row r="32" spans="1:21" s="1" customFormat="1" ht="58.15" customHeight="1" x14ac:dyDescent="0.2">
      <c r="A32" s="109" t="s">
        <v>83</v>
      </c>
      <c r="B32" s="106"/>
      <c r="C32" s="106"/>
      <c r="D32" s="106"/>
      <c r="E32" s="106"/>
      <c r="F32" s="106"/>
      <c r="G32" s="106"/>
      <c r="H32" s="106"/>
      <c r="I32" s="106"/>
      <c r="J32" s="3"/>
      <c r="M32" s="26"/>
      <c r="N32" s="26"/>
      <c r="O32" s="26"/>
      <c r="P32" s="26"/>
      <c r="Q32" s="26"/>
      <c r="R32" s="26"/>
      <c r="S32" s="26"/>
      <c r="T32" s="26"/>
      <c r="U32" s="26"/>
    </row>
    <row r="33" spans="1:21" s="1" customFormat="1" ht="17.45" customHeight="1" x14ac:dyDescent="0.2">
      <c r="A33" s="104" t="s">
        <v>80</v>
      </c>
      <c r="B33" s="105"/>
      <c r="C33" s="105"/>
      <c r="D33" s="105"/>
      <c r="E33" s="105"/>
      <c r="F33" s="105"/>
      <c r="G33" s="105"/>
      <c r="H33" s="105"/>
      <c r="I33" s="105"/>
      <c r="J33" s="9"/>
      <c r="M33" s="26"/>
      <c r="N33" s="26"/>
      <c r="O33" s="26"/>
      <c r="P33" s="26"/>
      <c r="Q33" s="26"/>
      <c r="R33" s="26"/>
      <c r="S33" s="26"/>
      <c r="T33" s="26"/>
      <c r="U33" s="26"/>
    </row>
    <row r="34" spans="1:21" s="1" customFormat="1" ht="18" customHeight="1" x14ac:dyDescent="0.2">
      <c r="A34" s="104" t="s">
        <v>81</v>
      </c>
      <c r="B34" s="105"/>
      <c r="C34" s="105"/>
      <c r="D34" s="105"/>
      <c r="E34" s="105"/>
      <c r="F34" s="105"/>
      <c r="G34" s="105"/>
      <c r="H34" s="105"/>
      <c r="I34" s="105"/>
      <c r="J34" s="3"/>
      <c r="M34" s="26"/>
      <c r="N34" s="26"/>
      <c r="O34" s="26"/>
      <c r="P34" s="26"/>
      <c r="Q34" s="26"/>
      <c r="R34" s="26"/>
      <c r="S34" s="26"/>
      <c r="T34" s="26"/>
      <c r="U34" s="26"/>
    </row>
    <row r="35" spans="1:21" s="1" customFormat="1" ht="30" customHeight="1" x14ac:dyDescent="0.2">
      <c r="A35" s="38"/>
      <c r="B35" s="38"/>
      <c r="C35" s="38"/>
      <c r="D35" s="38"/>
      <c r="E35" s="38"/>
      <c r="F35" s="38"/>
      <c r="G35" s="38"/>
      <c r="H35" s="38"/>
      <c r="I35" s="38"/>
      <c r="M35" s="26"/>
      <c r="N35" s="26"/>
      <c r="O35" s="26"/>
      <c r="P35" s="26"/>
      <c r="Q35" s="26"/>
      <c r="R35" s="26"/>
      <c r="S35" s="26"/>
      <c r="T35" s="26"/>
      <c r="U35" s="26"/>
    </row>
    <row r="41" spans="1:21" ht="15.75" x14ac:dyDescent="0.25">
      <c r="A41" s="59"/>
      <c r="B41" s="59"/>
      <c r="C41" s="59"/>
    </row>
    <row r="42" spans="1:21" ht="15.75" x14ac:dyDescent="0.25">
      <c r="A42" s="59"/>
      <c r="B42" s="59"/>
      <c r="C42" s="59"/>
    </row>
    <row r="43" spans="1:21" ht="15.75" x14ac:dyDescent="0.25">
      <c r="A43" s="59"/>
      <c r="B43" s="59"/>
      <c r="C43" s="59"/>
    </row>
    <row r="44" spans="1:21" ht="15.75" x14ac:dyDescent="0.25">
      <c r="A44" s="60"/>
      <c r="B44" s="60"/>
      <c r="C44" s="60"/>
    </row>
    <row r="45" spans="1:21" ht="15.75" x14ac:dyDescent="0.25">
      <c r="A45" s="59"/>
      <c r="B45" s="59"/>
      <c r="C45" s="59"/>
    </row>
    <row r="46" spans="1:21" ht="15.75" x14ac:dyDescent="0.25">
      <c r="A46" s="59"/>
      <c r="B46" s="59"/>
      <c r="C46" s="59"/>
    </row>
    <row r="47" spans="1:21" ht="15.75" x14ac:dyDescent="0.25">
      <c r="A47" s="60"/>
      <c r="B47" s="60"/>
      <c r="C47" s="60"/>
    </row>
    <row r="48" spans="1:21" ht="15.75" x14ac:dyDescent="0.25">
      <c r="A48" s="60"/>
      <c r="B48" s="60"/>
      <c r="C48" s="60"/>
    </row>
    <row r="49" spans="1:3" ht="15.75" customHeight="1" x14ac:dyDescent="0.25">
      <c r="A49" s="59"/>
      <c r="B49" s="59"/>
      <c r="C49" s="59"/>
    </row>
    <row r="50" spans="1:3" ht="15" customHeight="1" x14ac:dyDescent="0.25">
      <c r="A50" s="59"/>
      <c r="B50" s="59"/>
      <c r="C50" s="59"/>
    </row>
    <row r="51" spans="1:3" ht="15.75" x14ac:dyDescent="0.25">
      <c r="A51" s="59"/>
      <c r="B51" s="59"/>
      <c r="C51" s="59"/>
    </row>
    <row r="52" spans="1:3" ht="15.75" x14ac:dyDescent="0.25">
      <c r="A52" s="60"/>
      <c r="B52" s="60"/>
      <c r="C52" s="60"/>
    </row>
    <row r="53" spans="1:3" ht="15.75" x14ac:dyDescent="0.25">
      <c r="A53" s="60"/>
      <c r="B53" s="59"/>
      <c r="C53" s="59"/>
    </row>
    <row r="54" spans="1:3" ht="15.75" x14ac:dyDescent="0.25">
      <c r="A54" s="59"/>
      <c r="B54" s="59"/>
      <c r="C54" s="59"/>
    </row>
    <row r="55" spans="1:3" ht="15.75" x14ac:dyDescent="0.25">
      <c r="A55" s="60"/>
      <c r="B55" s="59"/>
      <c r="C55" s="59"/>
    </row>
  </sheetData>
  <mergeCells count="12">
    <mergeCell ref="A34:I34"/>
    <mergeCell ref="K4:L4"/>
    <mergeCell ref="F17:H17"/>
    <mergeCell ref="B25:E25"/>
    <mergeCell ref="F25:H25"/>
    <mergeCell ref="B26:E26"/>
    <mergeCell ref="F26:H26"/>
    <mergeCell ref="B27:H27"/>
    <mergeCell ref="B28:H28"/>
    <mergeCell ref="A31:I31"/>
    <mergeCell ref="A32:I32"/>
    <mergeCell ref="A33:I33"/>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27AA1-E798-4085-A407-7ADE7810AB02}">
  <dimension ref="A1:J7"/>
  <sheetViews>
    <sheetView workbookViewId="0">
      <selection activeCell="F14" sqref="F14"/>
    </sheetView>
  </sheetViews>
  <sheetFormatPr defaultRowHeight="15" x14ac:dyDescent="0.25"/>
  <cols>
    <col min="1" max="1" width="22.140625" customWidth="1"/>
    <col min="2" max="2" width="13.85546875" customWidth="1"/>
    <col min="3" max="3" width="9.7109375" bestFit="1" customWidth="1"/>
    <col min="4" max="4" width="14" bestFit="1" customWidth="1"/>
    <col min="5" max="5" width="9.5703125" customWidth="1"/>
    <col min="6" max="6" width="15.85546875" customWidth="1"/>
    <col min="7" max="7" width="12.140625" customWidth="1"/>
  </cols>
  <sheetData>
    <row r="1" spans="1:10" x14ac:dyDescent="0.25">
      <c r="A1" s="102" t="s">
        <v>94</v>
      </c>
    </row>
    <row r="2" spans="1:10" ht="31.15" customHeight="1" x14ac:dyDescent="0.25">
      <c r="A2" s="122" t="s">
        <v>84</v>
      </c>
      <c r="B2" s="123" t="s">
        <v>40</v>
      </c>
      <c r="C2" s="122" t="s">
        <v>85</v>
      </c>
      <c r="D2" s="122"/>
      <c r="E2" s="122"/>
      <c r="F2" s="122" t="s">
        <v>86</v>
      </c>
      <c r="G2" s="123" t="s">
        <v>87</v>
      </c>
    </row>
    <row r="3" spans="1:10" x14ac:dyDescent="0.25">
      <c r="A3" s="122"/>
      <c r="B3" s="123"/>
      <c r="C3" s="85" t="s">
        <v>88</v>
      </c>
      <c r="D3" s="85" t="s">
        <v>89</v>
      </c>
      <c r="E3" s="85" t="s">
        <v>43</v>
      </c>
      <c r="F3" s="122"/>
      <c r="G3" s="123"/>
    </row>
    <row r="4" spans="1:10" x14ac:dyDescent="0.25">
      <c r="A4" s="86" t="s">
        <v>90</v>
      </c>
      <c r="B4" s="87">
        <v>50</v>
      </c>
      <c r="C4" s="88">
        <f>'Table 1a'!F17</f>
        <v>977.5</v>
      </c>
      <c r="D4" s="88">
        <f>'Table 1a'!F25</f>
        <v>24610</v>
      </c>
      <c r="E4" s="88">
        <f>ROUND(SUM(C4:D4),-2)</f>
        <v>25600</v>
      </c>
      <c r="F4" s="89">
        <f>'Table 1a'!I26</f>
        <v>3230000</v>
      </c>
      <c r="G4" s="89">
        <v>0</v>
      </c>
    </row>
    <row r="5" spans="1:10" x14ac:dyDescent="0.25">
      <c r="A5" s="86" t="s">
        <v>91</v>
      </c>
      <c r="B5" s="87">
        <v>6</v>
      </c>
      <c r="C5" s="88">
        <f>'Table 1b'!F17</f>
        <v>117.30000000000001</v>
      </c>
      <c r="D5" s="88">
        <f>'Table 1b'!F25</f>
        <v>2953.2000000000003</v>
      </c>
      <c r="E5" s="88">
        <f>ROUND(SUM(C5:D5),-1)</f>
        <v>3070</v>
      </c>
      <c r="F5" s="89">
        <f>'Table 1b'!I26</f>
        <v>163000</v>
      </c>
      <c r="G5" s="89">
        <v>0</v>
      </c>
    </row>
    <row r="6" spans="1:10" ht="16.5" x14ac:dyDescent="0.25">
      <c r="A6" s="90" t="s">
        <v>92</v>
      </c>
      <c r="B6" s="91">
        <f t="shared" ref="B6:G6" si="0">+B4+B5</f>
        <v>56</v>
      </c>
      <c r="C6" s="92">
        <f>ROUND(SUM(C4:C5),-1)</f>
        <v>1090</v>
      </c>
      <c r="D6" s="92">
        <f>ROUND(SUM(D4:D5),-2)</f>
        <v>27600</v>
      </c>
      <c r="E6" s="92">
        <f>ROUND(SUM(E4:E5),-2)</f>
        <v>28700</v>
      </c>
      <c r="F6" s="93">
        <f>ROUND(SUM(F4:F5),-4)</f>
        <v>3390000</v>
      </c>
      <c r="G6" s="93">
        <f t="shared" si="0"/>
        <v>0</v>
      </c>
      <c r="I6" s="39">
        <f>E6/Responses!E5</f>
        <v>256.25</v>
      </c>
      <c r="J6" s="39" t="s">
        <v>21</v>
      </c>
    </row>
    <row r="7" spans="1:10" x14ac:dyDescent="0.25">
      <c r="A7" s="94" t="s">
        <v>93</v>
      </c>
    </row>
  </sheetData>
  <mergeCells count="5">
    <mergeCell ref="A2:A3"/>
    <mergeCell ref="B2:B3"/>
    <mergeCell ref="C2:E2"/>
    <mergeCell ref="F2:F3"/>
    <mergeCell ref="G2: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26"/>
  <sheetViews>
    <sheetView workbookViewId="0">
      <selection activeCell="A2" sqref="A2"/>
    </sheetView>
  </sheetViews>
  <sheetFormatPr defaultRowHeight="15" x14ac:dyDescent="0.25"/>
  <cols>
    <col min="1" max="1" width="43.140625" customWidth="1"/>
    <col min="2" max="9" width="11.7109375" customWidth="1"/>
    <col min="10" max="10" width="8.140625" customWidth="1"/>
    <col min="11" max="11" width="11.85546875" customWidth="1"/>
  </cols>
  <sheetData>
    <row r="1" spans="1:12" ht="15.75" x14ac:dyDescent="0.25">
      <c r="A1" s="30" t="s">
        <v>106</v>
      </c>
      <c r="B1" s="1"/>
      <c r="C1" s="1"/>
      <c r="D1" s="1"/>
      <c r="E1" s="1"/>
      <c r="F1" s="1"/>
      <c r="G1" s="1"/>
      <c r="H1" s="1"/>
      <c r="I1" s="1"/>
    </row>
    <row r="2" spans="1:12" x14ac:dyDescent="0.25">
      <c r="A2" s="1"/>
      <c r="B2" s="1"/>
      <c r="C2" s="1"/>
      <c r="D2" s="1"/>
      <c r="E2" s="1"/>
      <c r="F2" s="7"/>
      <c r="G2" s="7"/>
      <c r="H2" s="7"/>
      <c r="I2" s="7"/>
    </row>
    <row r="3" spans="1:12" ht="76.5" x14ac:dyDescent="0.25">
      <c r="A3" s="28" t="s">
        <v>23</v>
      </c>
      <c r="B3" s="67" t="s">
        <v>24</v>
      </c>
      <c r="C3" s="67" t="s">
        <v>25</v>
      </c>
      <c r="D3" s="67" t="s">
        <v>26</v>
      </c>
      <c r="E3" s="67" t="s">
        <v>27</v>
      </c>
      <c r="F3" s="67" t="s">
        <v>12</v>
      </c>
      <c r="G3" s="67" t="s">
        <v>28</v>
      </c>
      <c r="H3" s="67" t="s">
        <v>29</v>
      </c>
      <c r="I3" s="67" t="s">
        <v>30</v>
      </c>
      <c r="J3" s="1"/>
      <c r="K3" s="1"/>
      <c r="L3" s="1"/>
    </row>
    <row r="4" spans="1:12" ht="16.5" x14ac:dyDescent="0.25">
      <c r="A4" s="95" t="s">
        <v>95</v>
      </c>
      <c r="B4" s="10" t="s">
        <v>74</v>
      </c>
      <c r="C4" s="10"/>
      <c r="D4" s="10"/>
      <c r="E4" s="10"/>
      <c r="F4" s="10"/>
      <c r="G4" s="10"/>
      <c r="H4" s="10"/>
      <c r="I4" s="11"/>
      <c r="J4" s="1"/>
      <c r="K4" s="108" t="s">
        <v>16</v>
      </c>
      <c r="L4" s="108"/>
    </row>
    <row r="5" spans="1:12" x14ac:dyDescent="0.25">
      <c r="A5" s="95" t="s">
        <v>96</v>
      </c>
      <c r="B5" s="10" t="s">
        <v>74</v>
      </c>
      <c r="C5" s="10"/>
      <c r="D5" s="10"/>
      <c r="E5" s="10"/>
      <c r="F5" s="10"/>
      <c r="G5" s="10"/>
      <c r="H5" s="10"/>
      <c r="I5" s="11"/>
      <c r="J5" s="1"/>
      <c r="K5" s="14" t="s">
        <v>17</v>
      </c>
      <c r="L5" s="27">
        <v>73.459999999999994</v>
      </c>
    </row>
    <row r="6" spans="1:12" x14ac:dyDescent="0.25">
      <c r="A6" s="95" t="s">
        <v>97</v>
      </c>
      <c r="B6" s="10"/>
      <c r="C6" s="10"/>
      <c r="D6" s="10"/>
      <c r="E6" s="10"/>
      <c r="F6" s="10"/>
      <c r="G6" s="10"/>
      <c r="H6" s="10"/>
      <c r="I6" s="40"/>
      <c r="J6" s="1"/>
      <c r="K6" s="14" t="s">
        <v>31</v>
      </c>
      <c r="L6" s="27">
        <v>54.51</v>
      </c>
    </row>
    <row r="7" spans="1:12" ht="16.5" x14ac:dyDescent="0.25">
      <c r="A7" s="96" t="s">
        <v>98</v>
      </c>
      <c r="B7" s="10">
        <v>2</v>
      </c>
      <c r="C7" s="10">
        <v>1</v>
      </c>
      <c r="D7" s="10">
        <f t="shared" ref="D7:D8" si="0">B7*C7</f>
        <v>2</v>
      </c>
      <c r="E7" s="10">
        <f>'Table 1a'!E10</f>
        <v>0</v>
      </c>
      <c r="F7" s="10">
        <f t="shared" ref="F7" si="1">D7*E7</f>
        <v>0</v>
      </c>
      <c r="G7" s="10">
        <f t="shared" ref="G7" si="2">F7*0.05</f>
        <v>0</v>
      </c>
      <c r="H7" s="10">
        <f t="shared" ref="H7" si="3">F7*0.1</f>
        <v>0</v>
      </c>
      <c r="I7" s="11">
        <f>F7*$L$6+G7*$L$5+H7*$L$7</f>
        <v>0</v>
      </c>
      <c r="J7" s="1"/>
      <c r="K7" s="14" t="s">
        <v>19</v>
      </c>
      <c r="L7" s="27">
        <v>29.5</v>
      </c>
    </row>
    <row r="8" spans="1:12" ht="29.25" x14ac:dyDescent="0.25">
      <c r="A8" s="97" t="s">
        <v>99</v>
      </c>
      <c r="B8" s="10">
        <v>2</v>
      </c>
      <c r="C8" s="10">
        <v>1</v>
      </c>
      <c r="D8" s="10">
        <f t="shared" si="0"/>
        <v>2</v>
      </c>
      <c r="E8" s="10">
        <f>'Table 1a'!E12</f>
        <v>0</v>
      </c>
      <c r="F8" s="10">
        <f t="shared" ref="F8" si="4">D8*E8</f>
        <v>0</v>
      </c>
      <c r="G8" s="10">
        <f t="shared" ref="G8" si="5">F8*0.05</f>
        <v>0</v>
      </c>
      <c r="H8" s="10">
        <f t="shared" ref="H8" si="6">F8*0.1</f>
        <v>0</v>
      </c>
      <c r="I8" s="11">
        <f>F8*$L$6+G8*$L$5+H8*$L$7</f>
        <v>0</v>
      </c>
      <c r="J8" s="13"/>
      <c r="K8" s="13"/>
      <c r="L8" s="1"/>
    </row>
    <row r="9" spans="1:12" ht="27.6" customHeight="1" x14ac:dyDescent="0.25">
      <c r="A9" s="97" t="s">
        <v>100</v>
      </c>
      <c r="B9" s="10">
        <v>2</v>
      </c>
      <c r="C9" s="10">
        <v>2</v>
      </c>
      <c r="D9" s="10">
        <f t="shared" ref="D9" si="7">B9*C9</f>
        <v>4</v>
      </c>
      <c r="E9" s="10">
        <v>56</v>
      </c>
      <c r="F9" s="10">
        <f t="shared" ref="F9" si="8">D9*E9</f>
        <v>224</v>
      </c>
      <c r="G9" s="10">
        <f t="shared" ref="G9" si="9">F9*0.05</f>
        <v>11.200000000000001</v>
      </c>
      <c r="H9" s="10">
        <f t="shared" ref="H9" si="10">F9*0.1</f>
        <v>22.400000000000002</v>
      </c>
      <c r="I9" s="11">
        <f>F9*$L$6+G9*$L$5+H9*$L$7</f>
        <v>13693.791999999999</v>
      </c>
      <c r="J9" s="13"/>
      <c r="K9" s="13"/>
      <c r="L9" s="3"/>
    </row>
    <row r="10" spans="1:12" ht="15" customHeight="1" x14ac:dyDescent="0.25">
      <c r="A10" s="41" t="s">
        <v>101</v>
      </c>
      <c r="B10" s="125"/>
      <c r="C10" s="125"/>
      <c r="D10" s="125"/>
      <c r="E10" s="125"/>
      <c r="F10" s="126">
        <f>ROUND(SUM(F4:H9), 0)</f>
        <v>258</v>
      </c>
      <c r="G10" s="126"/>
      <c r="H10" s="126"/>
      <c r="I10" s="70">
        <f>ROUND(SUM(I4:I9), -2)</f>
        <v>13700</v>
      </c>
      <c r="J10" s="1"/>
      <c r="K10" s="1"/>
      <c r="L10" s="1"/>
    </row>
    <row r="11" spans="1:12" ht="9.75" customHeight="1" x14ac:dyDescent="0.25">
      <c r="A11" s="129"/>
      <c r="B11" s="129"/>
      <c r="C11" s="129"/>
      <c r="D11" s="129"/>
      <c r="E11" s="129"/>
      <c r="F11" s="129"/>
      <c r="G11" s="129"/>
      <c r="H11" s="129"/>
      <c r="I11" s="129"/>
      <c r="J11" s="1"/>
      <c r="K11" s="1"/>
      <c r="L11" s="1"/>
    </row>
    <row r="12" spans="1:12" ht="18.75" customHeight="1" x14ac:dyDescent="0.25">
      <c r="A12" s="128" t="s">
        <v>22</v>
      </c>
      <c r="B12" s="128"/>
      <c r="C12" s="128"/>
      <c r="D12" s="128"/>
      <c r="E12" s="128"/>
      <c r="F12" s="128"/>
      <c r="G12" s="128"/>
      <c r="H12" s="128"/>
      <c r="I12" s="128"/>
      <c r="J12" s="1"/>
      <c r="K12" s="1"/>
      <c r="L12" s="1"/>
    </row>
    <row r="13" spans="1:12" ht="16.149999999999999" customHeight="1" x14ac:dyDescent="0.25">
      <c r="A13" s="127" t="s">
        <v>102</v>
      </c>
      <c r="B13" s="127"/>
      <c r="C13" s="127"/>
      <c r="D13" s="127"/>
      <c r="E13" s="127"/>
      <c r="F13" s="127"/>
      <c r="G13" s="127"/>
      <c r="H13" s="127"/>
      <c r="I13" s="127"/>
      <c r="J13" s="1"/>
      <c r="K13" s="1"/>
      <c r="L13" s="1"/>
    </row>
    <row r="14" spans="1:12" ht="60.75" customHeight="1" x14ac:dyDescent="0.25">
      <c r="A14" s="127" t="s">
        <v>103</v>
      </c>
      <c r="B14" s="127"/>
      <c r="C14" s="127"/>
      <c r="D14" s="127"/>
      <c r="E14" s="127"/>
      <c r="F14" s="127"/>
      <c r="G14" s="127"/>
      <c r="H14" s="127"/>
      <c r="I14" s="127"/>
      <c r="J14" s="1"/>
      <c r="K14" s="1"/>
      <c r="L14" s="1"/>
    </row>
    <row r="15" spans="1:12" ht="17.45" customHeight="1" x14ac:dyDescent="0.25">
      <c r="A15" s="104" t="s">
        <v>80</v>
      </c>
      <c r="B15" s="105"/>
      <c r="C15" s="105"/>
      <c r="D15" s="105"/>
      <c r="E15" s="105"/>
      <c r="F15" s="105"/>
      <c r="G15" s="105"/>
      <c r="H15" s="105"/>
      <c r="I15" s="105"/>
      <c r="J15" s="1"/>
      <c r="K15" s="1"/>
      <c r="L15" s="1"/>
    </row>
    <row r="16" spans="1:12" x14ac:dyDescent="0.25">
      <c r="A16" s="124" t="s">
        <v>104</v>
      </c>
      <c r="B16" s="105"/>
      <c r="C16" s="105"/>
      <c r="D16" s="105"/>
      <c r="E16" s="105"/>
      <c r="F16" s="105"/>
      <c r="G16" s="105"/>
      <c r="H16" s="105"/>
      <c r="I16" s="105"/>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74"/>
      <c r="C20" s="74"/>
      <c r="D20" s="1"/>
      <c r="E20" s="1"/>
      <c r="F20" s="1"/>
      <c r="G20" s="1"/>
      <c r="H20" s="1"/>
      <c r="I20" s="1"/>
      <c r="J20" s="1"/>
      <c r="K20" s="1"/>
      <c r="L20" s="1"/>
    </row>
    <row r="21" spans="1:12" x14ac:dyDescent="0.25">
      <c r="A21" s="1"/>
      <c r="B21" s="74"/>
      <c r="C21" s="74"/>
      <c r="D21" s="1"/>
      <c r="E21" s="1"/>
      <c r="F21" s="1"/>
      <c r="G21" s="1"/>
      <c r="H21" s="1"/>
      <c r="I21" s="1"/>
      <c r="J21" s="1"/>
      <c r="K21" s="1"/>
      <c r="L21" s="1"/>
    </row>
    <row r="22" spans="1:12" x14ac:dyDescent="0.25">
      <c r="A22" s="1"/>
      <c r="B22" s="74"/>
      <c r="C22" s="74"/>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sheetData>
  <mergeCells count="9">
    <mergeCell ref="K4:L4"/>
    <mergeCell ref="A16:I16"/>
    <mergeCell ref="B10:E10"/>
    <mergeCell ref="F10:H10"/>
    <mergeCell ref="A13:I13"/>
    <mergeCell ref="A14:I14"/>
    <mergeCell ref="A15:I15"/>
    <mergeCell ref="A12:I12"/>
    <mergeCell ref="A11:I11"/>
  </mergeCells>
  <pageMargins left="0.7" right="0.7" top="0.75" bottom="0.75" header="0.3" footer="0.3"/>
  <pageSetup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5701A-F810-490E-BF1A-BB64F1A1868A}">
  <dimension ref="A1"/>
  <sheetViews>
    <sheetView workbookViewId="0">
      <selection activeCell="H15" sqref="H15"/>
    </sheetView>
  </sheetViews>
  <sheetFormatPr defaultRowHeight="15" x14ac:dyDescent="0.25"/>
  <sheetData>
    <row r="1" spans="1:1" x14ac:dyDescent="0.25">
      <c r="A1" s="101"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E6"/>
  <sheetViews>
    <sheetView zoomScaleNormal="100" workbookViewId="0">
      <selection activeCell="C11" sqref="C11"/>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5" s="18" customFormat="1" ht="15.75" x14ac:dyDescent="0.2">
      <c r="A1" s="130" t="s">
        <v>37</v>
      </c>
      <c r="B1" s="130"/>
      <c r="C1" s="130"/>
      <c r="D1" s="130"/>
      <c r="E1" s="130"/>
    </row>
    <row r="2" spans="1:5" s="18" customFormat="1" ht="12.75" x14ac:dyDescent="0.2">
      <c r="A2" s="19" t="s">
        <v>32</v>
      </c>
      <c r="B2" s="19" t="s">
        <v>33</v>
      </c>
      <c r="C2" s="19" t="s">
        <v>34</v>
      </c>
      <c r="D2" s="19" t="s">
        <v>35</v>
      </c>
      <c r="E2" s="19" t="s">
        <v>36</v>
      </c>
    </row>
    <row r="3" spans="1:5" s="18" customFormat="1" ht="102" x14ac:dyDescent="0.2">
      <c r="A3" s="19" t="s">
        <v>38</v>
      </c>
      <c r="B3" s="19" t="s">
        <v>39</v>
      </c>
      <c r="C3" s="19" t="s">
        <v>40</v>
      </c>
      <c r="D3" s="19" t="s">
        <v>41</v>
      </c>
      <c r="E3" s="19" t="s">
        <v>42</v>
      </c>
    </row>
    <row r="4" spans="1:5" s="18" customFormat="1" ht="29.25" customHeight="1" x14ac:dyDescent="0.2">
      <c r="A4" s="29" t="s">
        <v>105</v>
      </c>
      <c r="B4" s="20">
        <v>56</v>
      </c>
      <c r="C4" s="20">
        <v>2</v>
      </c>
      <c r="D4" s="20">
        <v>0</v>
      </c>
      <c r="E4" s="20">
        <f t="shared" ref="E4" si="0">(B4*C4)+D4</f>
        <v>112</v>
      </c>
    </row>
    <row r="5" spans="1:5" s="18" customFormat="1" ht="12.75" x14ac:dyDescent="0.2">
      <c r="A5" s="22"/>
      <c r="B5" s="20"/>
      <c r="C5" s="20"/>
      <c r="D5" s="23" t="s">
        <v>43</v>
      </c>
      <c r="E5" s="61">
        <f>SUM(E4:E4)</f>
        <v>112</v>
      </c>
    </row>
    <row r="6" spans="1:5" s="18" customFormat="1" ht="9.75" customHeight="1" x14ac:dyDescent="0.2">
      <c r="A6" s="62"/>
      <c r="B6" s="63"/>
      <c r="C6" s="63"/>
      <c r="D6" s="64"/>
      <c r="E6" s="65"/>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C6" sqref="C6"/>
    </sheetView>
  </sheetViews>
  <sheetFormatPr defaultColWidth="17.7109375" defaultRowHeight="31.9" customHeight="1" x14ac:dyDescent="0.25"/>
  <sheetData>
    <row r="1" spans="1:6" s="18" customFormat="1" ht="31.9" customHeight="1" x14ac:dyDescent="0.2">
      <c r="A1" s="130" t="s">
        <v>1</v>
      </c>
      <c r="B1" s="130"/>
      <c r="C1" s="130"/>
      <c r="D1" s="130"/>
      <c r="E1" s="130"/>
      <c r="F1" s="130"/>
    </row>
    <row r="2" spans="1:6" s="18" customFormat="1" ht="31.9" customHeight="1" x14ac:dyDescent="0.2">
      <c r="A2" s="24"/>
      <c r="B2" s="131" t="s">
        <v>44</v>
      </c>
      <c r="C2" s="131"/>
      <c r="D2" s="24" t="s">
        <v>45</v>
      </c>
      <c r="E2" s="131"/>
      <c r="F2" s="131"/>
    </row>
    <row r="3" spans="1:6" s="18" customFormat="1" ht="31.9" customHeight="1" x14ac:dyDescent="0.2">
      <c r="A3" s="24"/>
      <c r="B3" s="25" t="s">
        <v>32</v>
      </c>
      <c r="C3" s="25" t="s">
        <v>33</v>
      </c>
      <c r="D3" s="25" t="s">
        <v>34</v>
      </c>
      <c r="E3" s="25" t="s">
        <v>35</v>
      </c>
      <c r="F3" s="25" t="s">
        <v>36</v>
      </c>
    </row>
    <row r="4" spans="1:6" s="18" customFormat="1" ht="70.900000000000006" customHeight="1" x14ac:dyDescent="0.2">
      <c r="A4" s="25" t="s">
        <v>46</v>
      </c>
      <c r="B4" s="24" t="s">
        <v>47</v>
      </c>
      <c r="C4" s="24" t="s">
        <v>48</v>
      </c>
      <c r="D4" s="24" t="s">
        <v>49</v>
      </c>
      <c r="E4" s="24" t="s">
        <v>50</v>
      </c>
      <c r="F4" s="24" t="s">
        <v>51</v>
      </c>
    </row>
    <row r="5" spans="1:6" s="18" customFormat="1" ht="31.9" customHeight="1" x14ac:dyDescent="0.2">
      <c r="A5" s="19">
        <v>1</v>
      </c>
      <c r="B5" s="20">
        <v>0</v>
      </c>
      <c r="C5" s="20">
        <v>56</v>
      </c>
      <c r="D5" s="20">
        <v>0</v>
      </c>
      <c r="E5" s="20">
        <v>0</v>
      </c>
      <c r="F5" s="20">
        <f>B5+C5+D5-E5</f>
        <v>56</v>
      </c>
    </row>
    <row r="6" spans="1:6" s="18" customFormat="1" ht="31.9" customHeight="1" x14ac:dyDescent="0.2">
      <c r="A6" s="19">
        <v>2</v>
      </c>
      <c r="B6" s="20">
        <v>0</v>
      </c>
      <c r="C6" s="20">
        <v>56</v>
      </c>
      <c r="D6" s="20">
        <v>0</v>
      </c>
      <c r="E6" s="20">
        <v>0</v>
      </c>
      <c r="F6" s="20">
        <f>B6+C6+D6-E6</f>
        <v>56</v>
      </c>
    </row>
    <row r="7" spans="1:6" s="18" customFormat="1" ht="31.9" customHeight="1" x14ac:dyDescent="0.2">
      <c r="A7" s="19">
        <v>3</v>
      </c>
      <c r="B7" s="20">
        <v>0</v>
      </c>
      <c r="C7" s="20">
        <v>56</v>
      </c>
      <c r="D7" s="20">
        <v>0</v>
      </c>
      <c r="E7" s="20">
        <v>0</v>
      </c>
      <c r="F7" s="20">
        <f>B7+C7+D7-E7</f>
        <v>56</v>
      </c>
    </row>
    <row r="8" spans="1:6" s="18" customFormat="1" ht="31.9" customHeight="1" x14ac:dyDescent="0.2">
      <c r="A8" s="19" t="s">
        <v>52</v>
      </c>
      <c r="B8" s="20">
        <f>AVERAGE(B5:B7)</f>
        <v>0</v>
      </c>
      <c r="C8" s="20">
        <f>AVERAGE(C5:C7)</f>
        <v>56</v>
      </c>
      <c r="D8" s="20">
        <v>0</v>
      </c>
      <c r="E8" s="20">
        <v>0</v>
      </c>
      <c r="F8" s="23">
        <f>AVERAGE(F5:F7)</f>
        <v>56</v>
      </c>
    </row>
    <row r="9" spans="1:6" s="18" customFormat="1" ht="20.45" customHeight="1" x14ac:dyDescent="0.2">
      <c r="A9" s="21" t="s">
        <v>53</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2024-10-24T20:38:52+00:00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547354E-0C36-45B0-84E9-74B5FD5A3441}"/>
</file>

<file path=customXml/itemProps3.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4.xml><?xml version="1.0" encoding="utf-8"?>
<ds:datastoreItem xmlns:ds="http://schemas.openxmlformats.org/officeDocument/2006/customXml" ds:itemID="{291B9A6A-6BD4-4FB5-8A82-AE55A1B91C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Table 1a</vt:lpstr>
      <vt:lpstr>Table 1b</vt:lpstr>
      <vt:lpstr>Table 1c</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2024-03-01T20:26:22Z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