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S:\Tracy\ICRs - SPPD\FY2024\0186.17 Vinyl Chloride NESHAP\Drafts\Send to EPA\"/>
    </mc:Choice>
  </mc:AlternateContent>
  <xr:revisionPtr revIDLastSave="0" documentId="13_ncr:1_{0191933A-CB76-4771-8576-49303F2A6DFA}" xr6:coauthVersionLast="47" xr6:coauthVersionMax="47" xr10:uidLastSave="{00000000-0000-0000-0000-000000000000}"/>
  <bookViews>
    <workbookView xWindow="-28920" yWindow="-3765" windowWidth="29040" windowHeight="16440" xr2:uid="{D855CF00-F869-48B3-9963-4AD001D31E8A}"/>
  </bookViews>
  <sheets>
    <sheet name="Summary" sheetId="6" r:id="rId1"/>
    <sheet name="Table 1" sheetId="1" r:id="rId2"/>
    <sheet name="Table 2" sheetId="2" r:id="rId3"/>
    <sheet name="Capital O&amp;M" sheetId="3" r:id="rId4"/>
    <sheet name="Responses" sheetId="5" r:id="rId5"/>
    <sheet name="Respondents" sheetId="4"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9" i="2" l="1"/>
  <c r="K41" i="1"/>
  <c r="I40" i="1"/>
  <c r="G6" i="3"/>
  <c r="I26" i="1"/>
  <c r="I37" i="1"/>
  <c r="I8" i="1"/>
  <c r="F26" i="1"/>
  <c r="F37" i="1"/>
  <c r="B5" i="3"/>
  <c r="E5" i="3"/>
  <c r="F38" i="1" l="1"/>
  <c r="B4" i="6" s="1"/>
  <c r="I38" i="1"/>
  <c r="I5" i="2"/>
  <c r="E5" i="5" l="1"/>
  <c r="E6" i="5"/>
  <c r="E7" i="5"/>
  <c r="E8" i="5"/>
  <c r="E9" i="5"/>
  <c r="E10" i="5"/>
  <c r="E11" i="5"/>
  <c r="E12" i="5"/>
  <c r="E13" i="5"/>
  <c r="E14" i="5"/>
  <c r="E4" i="5"/>
  <c r="I9" i="2" l="1"/>
  <c r="I10" i="2"/>
  <c r="I11" i="2"/>
  <c r="I12" i="2"/>
  <c r="I13" i="2"/>
  <c r="I14" i="2"/>
  <c r="I15" i="2"/>
  <c r="I16" i="2"/>
  <c r="I8" i="2"/>
  <c r="I6" i="2"/>
  <c r="I17" i="1"/>
  <c r="I18" i="1"/>
  <c r="I19" i="1"/>
  <c r="I20" i="1"/>
  <c r="I21" i="1"/>
  <c r="I22" i="1"/>
  <c r="I23" i="1"/>
  <c r="I16" i="1"/>
  <c r="I15" i="1"/>
  <c r="I11" i="1"/>
  <c r="I10" i="1"/>
  <c r="E15" i="5" l="1"/>
  <c r="G5" i="3"/>
  <c r="D5" i="3"/>
  <c r="D18" i="2"/>
  <c r="F18" i="2" s="1"/>
  <c r="D17" i="2"/>
  <c r="F17" i="2" s="1"/>
  <c r="F16" i="2"/>
  <c r="D16" i="2"/>
  <c r="D15" i="2"/>
  <c r="F15" i="2" s="1"/>
  <c r="D14" i="2"/>
  <c r="F14" i="2" s="1"/>
  <c r="D13" i="2"/>
  <c r="F13" i="2" s="1"/>
  <c r="F12" i="2"/>
  <c r="D12" i="2"/>
  <c r="D11" i="2"/>
  <c r="F11" i="2" s="1"/>
  <c r="D10" i="2"/>
  <c r="F10" i="2" s="1"/>
  <c r="D9" i="2"/>
  <c r="F9" i="2" s="1"/>
  <c r="F8" i="2"/>
  <c r="D8" i="2"/>
  <c r="D6" i="2"/>
  <c r="F6" i="2" s="1"/>
  <c r="H5" i="2"/>
  <c r="F5" i="2"/>
  <c r="G5" i="2" s="1"/>
  <c r="D5" i="2"/>
  <c r="D34" i="1"/>
  <c r="F34" i="1" s="1"/>
  <c r="D33" i="1"/>
  <c r="F33" i="1" s="1"/>
  <c r="D25" i="1"/>
  <c r="F25" i="1" s="1"/>
  <c r="F24" i="1"/>
  <c r="D24" i="1"/>
  <c r="D23" i="1"/>
  <c r="F23" i="1" s="1"/>
  <c r="D22" i="1"/>
  <c r="F22" i="1" s="1"/>
  <c r="D21" i="1"/>
  <c r="F21" i="1" s="1"/>
  <c r="D20" i="1"/>
  <c r="F20" i="1" s="1"/>
  <c r="H19" i="1"/>
  <c r="G19" i="1"/>
  <c r="F19" i="1"/>
  <c r="D19" i="1"/>
  <c r="D18" i="1"/>
  <c r="F18" i="1" s="1"/>
  <c r="D17" i="1"/>
  <c r="F17" i="1" s="1"/>
  <c r="F16" i="1"/>
  <c r="H16" i="1" s="1"/>
  <c r="D16" i="1"/>
  <c r="D15" i="1"/>
  <c r="F15" i="1" s="1"/>
  <c r="D11" i="1"/>
  <c r="F11" i="1" s="1"/>
  <c r="D10" i="1"/>
  <c r="F10" i="1" s="1"/>
  <c r="D8" i="1"/>
  <c r="F8" i="1" s="1"/>
  <c r="I34" i="1" l="1"/>
  <c r="H24" i="1"/>
  <c r="I24" i="1"/>
  <c r="H15" i="2"/>
  <c r="G15" i="2"/>
  <c r="H9" i="2"/>
  <c r="G9" i="2"/>
  <c r="H10" i="2"/>
  <c r="G10" i="2"/>
  <c r="G11" i="2"/>
  <c r="H11" i="2"/>
  <c r="H17" i="2"/>
  <c r="G17" i="2"/>
  <c r="I17" i="2" s="1"/>
  <c r="G6" i="2"/>
  <c r="H6" i="2"/>
  <c r="H13" i="2"/>
  <c r="G13" i="2"/>
  <c r="G14" i="2"/>
  <c r="H14" i="2"/>
  <c r="H18" i="2"/>
  <c r="G18" i="2"/>
  <c r="I18" i="2" s="1"/>
  <c r="G8" i="2"/>
  <c r="H8" i="2"/>
  <c r="H16" i="2"/>
  <c r="G16" i="2"/>
  <c r="G12" i="2"/>
  <c r="H12" i="2"/>
  <c r="G18" i="1"/>
  <c r="H18" i="1"/>
  <c r="H17" i="1"/>
  <c r="G17" i="1"/>
  <c r="H23" i="1"/>
  <c r="G23" i="1"/>
  <c r="G10" i="1"/>
  <c r="H10" i="1"/>
  <c r="H11" i="1"/>
  <c r="G11" i="1"/>
  <c r="H25" i="1"/>
  <c r="G25" i="1"/>
  <c r="I25" i="1" s="1"/>
  <c r="H33" i="1"/>
  <c r="G33" i="1"/>
  <c r="I33" i="1" s="1"/>
  <c r="H8" i="1"/>
  <c r="G8" i="1"/>
  <c r="H15" i="1"/>
  <c r="G15" i="1"/>
  <c r="H20" i="1"/>
  <c r="G20" i="1"/>
  <c r="G34" i="1"/>
  <c r="H34" i="1"/>
  <c r="G22" i="1"/>
  <c r="H22" i="1"/>
  <c r="G21" i="1"/>
  <c r="H21" i="1"/>
  <c r="G16" i="1"/>
  <c r="G24" i="1"/>
  <c r="I19" i="2" l="1"/>
  <c r="C8" i="4" l="1"/>
  <c r="B8" i="4"/>
  <c r="F7" i="4"/>
  <c r="F6" i="4"/>
  <c r="F5" i="4"/>
  <c r="F8" i="4" l="1"/>
  <c r="B3" i="6" s="1"/>
  <c r="D6" i="3"/>
  <c r="I6" i="3" s="1"/>
  <c r="I39" i="1" s="1"/>
  <c r="B5" i="6" s="1"/>
  <c r="B6" i="6" l="1"/>
  <c r="B2" i="6" l="1"/>
</calcChain>
</file>

<file path=xl/sharedStrings.xml><?xml version="1.0" encoding="utf-8"?>
<sst xmlns="http://schemas.openxmlformats.org/spreadsheetml/2006/main" count="199" uniqueCount="152">
  <si>
    <t>ICR Summary Information</t>
  </si>
  <si>
    <t>Number of Respondents</t>
  </si>
  <si>
    <t>Total Estimated Burden Hours</t>
  </si>
  <si>
    <t>Total Estimated Costs</t>
  </si>
  <si>
    <t>Annualized Capital O&amp;M</t>
  </si>
  <si>
    <t>Total Annual Responses</t>
  </si>
  <si>
    <t>Form Number</t>
  </si>
  <si>
    <t>Labor Rates</t>
  </si>
  <si>
    <t>Management</t>
  </si>
  <si>
    <t>Technical</t>
  </si>
  <si>
    <t>Clerical</t>
  </si>
  <si>
    <t>Subtotal for Reporting Requirements</t>
  </si>
  <si>
    <t>hr/response</t>
  </si>
  <si>
    <t>Assumptions:</t>
  </si>
  <si>
    <t>Burden item</t>
  </si>
  <si>
    <t xml:space="preserve">Technical </t>
  </si>
  <si>
    <r>
      <t>Capital/Startup vs. Operation and Maintenance (O&amp;M) Costs</t>
    </r>
    <r>
      <rPr>
        <sz val="10"/>
        <color theme="1"/>
        <rFont val="Times New Roman"/>
        <family val="1"/>
      </rPr>
      <t> </t>
    </r>
  </si>
  <si>
    <t>(A)</t>
  </si>
  <si>
    <t>(B)</t>
  </si>
  <si>
    <t>(C)</t>
  </si>
  <si>
    <t>(D)</t>
  </si>
  <si>
    <t>(E)</t>
  </si>
  <si>
    <t>(F)</t>
  </si>
  <si>
    <t>(G)</t>
  </si>
  <si>
    <t>Continuous Monitoring Device</t>
  </si>
  <si>
    <t>Capital/Startup Cost for One Respondent</t>
  </si>
  <si>
    <t>Total Capital/Startup Cost,  (B X C)</t>
  </si>
  <si>
    <t>Total O&amp;M, 
(E X F)</t>
  </si>
  <si>
    <t>Information Collection Activity</t>
  </si>
  <si>
    <r>
      <t xml:space="preserve">Number of Respondents </t>
    </r>
    <r>
      <rPr>
        <vertAlign val="superscript"/>
        <sz val="10"/>
        <color rgb="FF000000"/>
        <rFont val="Times New Roman"/>
        <family val="1"/>
      </rPr>
      <t>a</t>
    </r>
  </si>
  <si>
    <t>Number of Responses</t>
  </si>
  <si>
    <t>Number of Existing Respondents That Keep Records But Do Not Submit Reports</t>
  </si>
  <si>
    <t>Total Annual Responses E=(BxC)+D</t>
  </si>
  <si>
    <t>Total</t>
  </si>
  <si>
    <t>Respondents That Submit Reports</t>
  </si>
  <si>
    <t>Respondents That Do Not Submit Any Reports</t>
  </si>
  <si>
    <t>Year</t>
  </si>
  <si>
    <r>
      <t xml:space="preserve">Number of New Respondents </t>
    </r>
    <r>
      <rPr>
        <b/>
        <vertAlign val="superscript"/>
        <sz val="10"/>
        <color rgb="FF000000"/>
        <rFont val="Times New Roman"/>
        <family val="1"/>
      </rPr>
      <t>a</t>
    </r>
  </si>
  <si>
    <t>Number of Existing Respondents</t>
  </si>
  <si>
    <t>Number of Existing Respondents that keep records but do not submit reports</t>
  </si>
  <si>
    <t>Number of Existing Respondents That Are Also New Respondents</t>
  </si>
  <si>
    <t>Number of Respondents (E=A+B+C-D)</t>
  </si>
  <si>
    <t>Average</t>
  </si>
  <si>
    <t>Not Applicable</t>
  </si>
  <si>
    <t>Table 1: Annual Respondent Burden and Cost – NESHAP for Vinyl Chloride (40 CFR Part 61, Subpart F) (Renewal)</t>
  </si>
  <si>
    <t xml:space="preserve">(B) </t>
  </si>
  <si>
    <t xml:space="preserve">(C) </t>
  </si>
  <si>
    <t xml:space="preserve">(E) </t>
  </si>
  <si>
    <t xml:space="preserve">(H) </t>
  </si>
  <si>
    <t>Person-‌hours per occurrence</t>
  </si>
  <si>
    <t>No. of occurrences per respondent per year</t>
  </si>
  <si>
    <t>Person- hours per respondent per year 
(C=AxB)</t>
  </si>
  <si>
    <r>
      <t xml:space="preserve">Respondents per year </t>
    </r>
    <r>
      <rPr>
        <b/>
        <vertAlign val="superscript"/>
        <sz val="10"/>
        <color rgb="FF000000"/>
        <rFont val="Times New Roman"/>
        <family val="1"/>
      </rPr>
      <t>a</t>
    </r>
  </si>
  <si>
    <t>Technical person- hours per year 
(E=CxD)</t>
  </si>
  <si>
    <t>Management person-hours per year 
(F=Ex0.05)</t>
  </si>
  <si>
    <t>Clerical person-hours per year 
(G=Ex0.1)</t>
  </si>
  <si>
    <r>
      <t xml:space="preserve">Cost ($) </t>
    </r>
    <r>
      <rPr>
        <b/>
        <vertAlign val="superscript"/>
        <sz val="10"/>
        <color rgb="FF000000"/>
        <rFont val="Times New Roman"/>
        <family val="1"/>
      </rPr>
      <t>b</t>
    </r>
  </si>
  <si>
    <t>1. Applications</t>
  </si>
  <si>
    <t>N/A</t>
  </si>
  <si>
    <t>2. Survey and Studies</t>
  </si>
  <si>
    <t>3. Reporting requirements</t>
  </si>
  <si>
    <r>
      <t xml:space="preserve">A. Familiarize with regulatory requirements </t>
    </r>
    <r>
      <rPr>
        <vertAlign val="superscript"/>
        <sz val="10"/>
        <color rgb="FF000000"/>
        <rFont val="Times New Roman"/>
        <family val="1"/>
      </rPr>
      <t>c</t>
    </r>
  </si>
  <si>
    <t>B. Required activities</t>
  </si>
  <si>
    <r>
      <t xml:space="preserve">Initial performance test </t>
    </r>
    <r>
      <rPr>
        <vertAlign val="superscript"/>
        <sz val="10"/>
        <color rgb="FF000000"/>
        <rFont val="Times New Roman"/>
        <family val="1"/>
      </rPr>
      <t>d</t>
    </r>
  </si>
  <si>
    <r>
      <t xml:space="preserve">Repeat performance tests </t>
    </r>
    <r>
      <rPr>
        <vertAlign val="superscript"/>
        <sz val="10"/>
        <color rgb="FF000000"/>
        <rFont val="Times New Roman"/>
        <family val="1"/>
      </rPr>
      <t>e</t>
    </r>
  </si>
  <si>
    <t>C. Create information</t>
  </si>
  <si>
    <t>See 3B</t>
  </si>
  <si>
    <t>D. Gather existing information</t>
  </si>
  <si>
    <t>E. Write Report</t>
  </si>
  <si>
    <t>Notification of construction/reconstruction</t>
  </si>
  <si>
    <t>Notification of anticipated startup</t>
  </si>
  <si>
    <t>Notification of actual startup</t>
  </si>
  <si>
    <t>Notification of emission testing</t>
  </si>
  <si>
    <t>Notification of test report</t>
  </si>
  <si>
    <r>
      <t xml:space="preserve">Notification of physical or operational change </t>
    </r>
    <r>
      <rPr>
        <vertAlign val="superscript"/>
        <sz val="10"/>
        <color rgb="FF000000"/>
        <rFont val="Times New Roman"/>
        <family val="1"/>
      </rPr>
      <t>f</t>
    </r>
  </si>
  <si>
    <r>
      <t xml:space="preserve">Application for waiver of testing </t>
    </r>
    <r>
      <rPr>
        <vertAlign val="superscript"/>
        <sz val="10"/>
        <color rgb="FF000000"/>
        <rFont val="Times New Roman"/>
        <family val="1"/>
      </rPr>
      <t>g</t>
    </r>
  </si>
  <si>
    <r>
      <t xml:space="preserve">Application of equivalency </t>
    </r>
    <r>
      <rPr>
        <vertAlign val="superscript"/>
        <sz val="10"/>
        <color rgb="FF000000"/>
        <rFont val="Times New Roman"/>
        <family val="1"/>
      </rPr>
      <t>h</t>
    </r>
  </si>
  <si>
    <t>Initial report</t>
  </si>
  <si>
    <r>
      <t xml:space="preserve">Quarterly report </t>
    </r>
    <r>
      <rPr>
        <vertAlign val="superscript"/>
        <sz val="10"/>
        <color rgb="FF000000"/>
        <rFont val="Times New Roman"/>
        <family val="1"/>
      </rPr>
      <t>i</t>
    </r>
  </si>
  <si>
    <r>
      <t xml:space="preserve">MVV/RVD report </t>
    </r>
    <r>
      <rPr>
        <vertAlign val="superscript"/>
        <sz val="10"/>
        <color rgb="FF000000"/>
        <rFont val="Times New Roman"/>
        <family val="1"/>
      </rPr>
      <t>j</t>
    </r>
  </si>
  <si>
    <t>4. Recordkeeping requirements</t>
  </si>
  <si>
    <t>A. Familiarize with regulatory requirements</t>
  </si>
  <si>
    <t>See 3A</t>
  </si>
  <si>
    <t>B. Plan activities</t>
  </si>
  <si>
    <t>C. Implement Activities</t>
  </si>
  <si>
    <t>See 3D</t>
  </si>
  <si>
    <t>D. Develop record system</t>
  </si>
  <si>
    <t>E. Time to enter information</t>
  </si>
  <si>
    <r>
      <t xml:space="preserve">Records of reactor parameters and emission </t>
    </r>
    <r>
      <rPr>
        <vertAlign val="superscript"/>
        <sz val="10"/>
        <color rgb="FF000000"/>
        <rFont val="Times New Roman"/>
        <family val="1"/>
      </rPr>
      <t>k</t>
    </r>
  </si>
  <si>
    <r>
      <t xml:space="preserve">Records of leaks detected </t>
    </r>
    <r>
      <rPr>
        <vertAlign val="superscript"/>
        <sz val="10"/>
        <color rgb="FF000000"/>
        <rFont val="Times New Roman"/>
        <family val="1"/>
      </rPr>
      <t>l</t>
    </r>
  </si>
  <si>
    <t>F. Time to train personnel</t>
  </si>
  <si>
    <t>G. Time for audits</t>
  </si>
  <si>
    <t>Subtotal for Recordkeeping Requirements</t>
  </si>
  <si>
    <r>
      <t xml:space="preserve">TOTAL ANNUAL BURDEN AND LABOR COST (rounded) </t>
    </r>
    <r>
      <rPr>
        <b/>
        <vertAlign val="superscript"/>
        <sz val="10"/>
        <color rgb="FF000000"/>
        <rFont val="Times New Roman"/>
        <family val="1"/>
      </rPr>
      <t>m</t>
    </r>
  </si>
  <si>
    <r>
      <t xml:space="preserve">TOTAL CAPITAL AND O&amp;M COST (rounded) </t>
    </r>
    <r>
      <rPr>
        <b/>
        <vertAlign val="superscript"/>
        <sz val="10"/>
        <color rgb="FF000000"/>
        <rFont val="Times New Roman"/>
        <family val="1"/>
      </rPr>
      <t>m</t>
    </r>
  </si>
  <si>
    <r>
      <t xml:space="preserve">GRAND TOTAL (rounded) </t>
    </r>
    <r>
      <rPr>
        <b/>
        <vertAlign val="superscript"/>
        <sz val="10"/>
        <color rgb="FF000000"/>
        <rFont val="Times New Roman"/>
        <family val="1"/>
      </rPr>
      <t>m</t>
    </r>
  </si>
  <si>
    <r>
      <t>c</t>
    </r>
    <r>
      <rPr>
        <sz val="10"/>
        <color theme="1"/>
        <rFont val="Times New Roman"/>
        <family val="1"/>
      </rPr>
      <t xml:space="preserve">  We have assumed that all sources will have to familiarize with the regulatory requirements quarterly.</t>
    </r>
  </si>
  <si>
    <r>
      <t>d</t>
    </r>
    <r>
      <rPr>
        <sz val="10"/>
        <color theme="1"/>
        <rFont val="Times New Roman"/>
        <family val="1"/>
      </rPr>
      <t xml:space="preserve">  We have assumed that it will take 60 hours to complete the performance tests.</t>
    </r>
  </si>
  <si>
    <r>
      <t>e</t>
    </r>
    <r>
      <rPr>
        <sz val="10"/>
        <color theme="1"/>
        <rFont val="Times New Roman"/>
        <family val="1"/>
      </rPr>
      <t xml:space="preserve">  We have assumed that 20 percent of initial performance tests must be repeated due to failure.</t>
    </r>
  </si>
  <si>
    <r>
      <t>f</t>
    </r>
    <r>
      <rPr>
        <sz val="10"/>
        <color theme="1"/>
        <rFont val="Times New Roman"/>
        <family val="1"/>
      </rPr>
      <t xml:space="preserve">  Assumed that there will be no physical or operational changes over the next three years.</t>
    </r>
  </si>
  <si>
    <r>
      <t xml:space="preserve">g  </t>
    </r>
    <r>
      <rPr>
        <sz val="10"/>
        <color theme="1"/>
        <rFont val="Times New Roman"/>
        <family val="1"/>
      </rPr>
      <t>Assume it will take eight hours to prepare application for waiver of testing.</t>
    </r>
  </si>
  <si>
    <r>
      <t>h</t>
    </r>
    <r>
      <rPr>
        <sz val="10"/>
        <color theme="1"/>
        <rFont val="Times New Roman"/>
        <family val="1"/>
      </rPr>
      <t xml:space="preserve">  Assume it will take 40 hours to prepare application for equivalency.</t>
    </r>
  </si>
  <si>
    <r>
      <t>i</t>
    </r>
    <r>
      <rPr>
        <sz val="10"/>
        <color theme="1"/>
        <rFont val="Times New Roman"/>
        <family val="1"/>
      </rPr>
      <t xml:space="preserve">  We have assumed that it will take 50 hours to prepare the quarterly report.</t>
    </r>
  </si>
  <si>
    <r>
      <t>j</t>
    </r>
    <r>
      <rPr>
        <sz val="10"/>
        <color theme="1"/>
        <rFont val="Times New Roman"/>
        <family val="1"/>
      </rPr>
      <t xml:space="preserve">  We have estimated that there will be one manual vent valve/relief valve discharge (MVV/RVD) per year.</t>
    </r>
  </si>
  <si>
    <r>
      <t>k</t>
    </r>
    <r>
      <rPr>
        <sz val="10"/>
        <color theme="1"/>
        <rFont val="Times New Roman"/>
        <family val="1"/>
      </rPr>
      <t xml:space="preserve">  Assume that affected facilities will operate 365 days per year as required of all facilities that are subject to the rule.</t>
    </r>
  </si>
  <si>
    <r>
      <t>l</t>
    </r>
    <r>
      <rPr>
        <sz val="10"/>
        <rFont val="Times New Roman"/>
        <family val="1"/>
      </rPr>
      <t xml:space="preserve">  It is estimated that respondents will enter records of leak detection 52 times per year.</t>
    </r>
  </si>
  <si>
    <r>
      <t>m</t>
    </r>
    <r>
      <rPr>
        <sz val="10"/>
        <color theme="1"/>
        <rFont val="Times New Roman"/>
        <family val="1"/>
      </rPr>
      <t xml:space="preserve">  Totals have been rounded to 3 significant figures. Figures may not add exactly due to rounding. </t>
    </r>
  </si>
  <si>
    <t>Table 2: Average Annual EPA Burden and Cost – NESHAP for Vinyl Chloride (40 CFR Part 61, Subpart F) (Renewal)</t>
  </si>
  <si>
    <t>Activity</t>
  </si>
  <si>
    <t xml:space="preserve">(A) </t>
  </si>
  <si>
    <t>EPA person- hours per occurrence</t>
  </si>
  <si>
    <t>No. of occurrences per plant per year</t>
  </si>
  <si>
    <t>EPA person-hours per plant per year 
(C=AxB)</t>
  </si>
  <si>
    <t>Plants per year</t>
  </si>
  <si>
    <t>Management person-hours per year (F=Ex0.05)</t>
  </si>
  <si>
    <t>Clerical person-hours per year (G=Ex0.1)</t>
  </si>
  <si>
    <r>
      <t xml:space="preserve">1. Initial performance test </t>
    </r>
    <r>
      <rPr>
        <vertAlign val="superscript"/>
        <sz val="10"/>
        <color rgb="FF000000"/>
        <rFont val="Times New Roman"/>
        <family val="1"/>
      </rPr>
      <t>c</t>
    </r>
  </si>
  <si>
    <r>
      <t xml:space="preserve">2. Repeat performance test </t>
    </r>
    <r>
      <rPr>
        <vertAlign val="superscript"/>
        <sz val="10"/>
        <color rgb="FF000000"/>
        <rFont val="Times New Roman"/>
        <family val="1"/>
      </rPr>
      <t>d</t>
    </r>
  </si>
  <si>
    <t>3. Report review</t>
  </si>
  <si>
    <r>
      <t>Notification of physical or operational change </t>
    </r>
    <r>
      <rPr>
        <vertAlign val="superscript"/>
        <sz val="10"/>
        <color rgb="FF000000"/>
        <rFont val="Times New Roman"/>
        <family val="1"/>
      </rPr>
      <t>e</t>
    </r>
  </si>
  <si>
    <r>
      <t xml:space="preserve">Emission test report </t>
    </r>
    <r>
      <rPr>
        <vertAlign val="superscript"/>
        <sz val="10"/>
        <color rgb="FF000000"/>
        <rFont val="Times New Roman"/>
        <family val="1"/>
      </rPr>
      <t>f</t>
    </r>
  </si>
  <si>
    <t>Application for equivalency</t>
  </si>
  <si>
    <r>
      <t xml:space="preserve">Quarterly report </t>
    </r>
    <r>
      <rPr>
        <vertAlign val="superscript"/>
        <sz val="10"/>
        <color rgb="FF000000"/>
        <rFont val="Times New Roman"/>
        <family val="1"/>
      </rPr>
      <t>h</t>
    </r>
  </si>
  <si>
    <r>
      <t xml:space="preserve">MVV/RVD report </t>
    </r>
    <r>
      <rPr>
        <vertAlign val="superscript"/>
        <sz val="10"/>
        <color rgb="FF000000"/>
        <rFont val="Times New Roman"/>
        <family val="1"/>
      </rPr>
      <t>i</t>
    </r>
  </si>
  <si>
    <r>
      <t xml:space="preserve">TOTAL ANNUAL BURDEN (rounded) </t>
    </r>
    <r>
      <rPr>
        <b/>
        <vertAlign val="superscript"/>
        <sz val="10"/>
        <color rgb="FF000000"/>
        <rFont val="Times New Roman"/>
        <family val="1"/>
      </rPr>
      <t>j</t>
    </r>
  </si>
  <si>
    <r>
      <t>c</t>
    </r>
    <r>
      <rPr>
        <sz val="10"/>
        <color theme="1"/>
        <rFont val="Times New Roman"/>
        <family val="1"/>
      </rPr>
      <t xml:space="preserve">  We have assumed that it will take twenty-four hours to complete the performance tests.</t>
    </r>
  </si>
  <si>
    <r>
      <t xml:space="preserve">d  </t>
    </r>
    <r>
      <rPr>
        <sz val="10"/>
        <color theme="1"/>
        <rFont val="Times New Roman"/>
        <family val="1"/>
      </rPr>
      <t>We have assumed that 20 percent of initial performance tests must be repeated due to failure.</t>
    </r>
  </si>
  <si>
    <r>
      <t>e</t>
    </r>
    <r>
      <rPr>
        <sz val="10"/>
        <color theme="1"/>
        <rFont val="Times New Roman"/>
        <family val="1"/>
      </rPr>
      <t xml:space="preserve">  Assume that there will be no physical or operational changes over the next three years.</t>
    </r>
  </si>
  <si>
    <r>
      <t xml:space="preserve">f  </t>
    </r>
    <r>
      <rPr>
        <sz val="10"/>
        <color theme="1"/>
        <rFont val="Times New Roman"/>
        <family val="1"/>
      </rPr>
      <t>It is assumed that it will take twenty-four hours to review an emissions test report.</t>
    </r>
  </si>
  <si>
    <r>
      <t xml:space="preserve">g  </t>
    </r>
    <r>
      <rPr>
        <sz val="10"/>
        <color theme="1"/>
        <rFont val="Times New Roman"/>
        <family val="1"/>
      </rPr>
      <t>Assume that it will take twenty-four hours to review application for waiver of test.</t>
    </r>
  </si>
  <si>
    <r>
      <t xml:space="preserve">h  </t>
    </r>
    <r>
      <rPr>
        <sz val="10"/>
        <color theme="1"/>
        <rFont val="Times New Roman"/>
        <family val="1"/>
      </rPr>
      <t>We have assumed that it will take four hours to review the quarterly report.</t>
    </r>
  </si>
  <si>
    <r>
      <t xml:space="preserve">i  </t>
    </r>
    <r>
      <rPr>
        <sz val="10"/>
        <color theme="1"/>
        <rFont val="Times New Roman"/>
        <family val="1"/>
      </rPr>
      <t>We have assumed that there will be one manual vent valve/relief valve discharge (MVV/RVD) per year.</t>
    </r>
  </si>
  <si>
    <r>
      <t>j</t>
    </r>
    <r>
      <rPr>
        <sz val="10"/>
        <color theme="1"/>
        <rFont val="Times New Roman"/>
        <family val="1"/>
      </rPr>
      <t xml:space="preserve">  Totals have been rounded to 3 significant figures. Figures may not add exactly due to rounding. </t>
    </r>
  </si>
  <si>
    <t>CEMS</t>
  </si>
  <si>
    <t>Notification of physical or operational change</t>
  </si>
  <si>
    <t>Application for waiver of testing</t>
  </si>
  <si>
    <t>Application of equivalency</t>
  </si>
  <si>
    <t>Quarterly report</t>
  </si>
  <si>
    <t>MVV/RVD report</t>
  </si>
  <si>
    <r>
      <rPr>
        <vertAlign val="superscript"/>
        <sz val="10"/>
        <rFont val="Times New Roman"/>
        <family val="1"/>
      </rPr>
      <t xml:space="preserve">b </t>
    </r>
    <r>
      <rPr>
        <sz val="10"/>
        <rFont val="Times New Roman"/>
        <family val="1"/>
      </rPr>
      <t xml:space="preserve">The cost is based on the following labor rate which incorporates a 1.6 benefits multiplication factor to account for government overhead expenses.  Managerial rates of $73.46 (GS-13, Step 5, $45.91 + 60%), Technical rate of $54.51 (GS-12, Step 1, $34.07 + 60%), and Clerical rate of $29.50 (GS-6, Step 3, $18.44 + 60%).  These rates are from the Office of Personnel Management (OPM), 2023 General Schedule, which excludes locality, rates of pay. The rates have been increased by 60 percent to account for the benefit packages available to government employees. </t>
    </r>
  </si>
  <si>
    <r>
      <rPr>
        <vertAlign val="superscript"/>
        <sz val="10"/>
        <color theme="1"/>
        <rFont val="Times New Roman"/>
        <family val="1"/>
      </rPr>
      <t>b</t>
    </r>
    <r>
      <rPr>
        <sz val="10"/>
        <color theme="1"/>
        <rFont val="Times New Roman"/>
        <family val="1"/>
      </rPr>
      <t xml:space="preserve"> This ICR uses the following labor rates: $163.17 ($77.70 + 110%) per hour for Executive, Administrative, and Managerial labor; $130.28 ($62.04 + 110%) per hour for Technical labor, and $65.71 ($31.29 + 110%) per hour for Clerical labor.  These rates are from the United States Department of Labor, Bureau of Labor Statistics, September 2022, “Table 2. Civilian workers by occupational and industry group.” The rates are from column 1, “Total compensation.” The rates have been increased by 110 percent to account for varying industry wage rates and the additional overhead business costs of employing workers beyond their wages and benefits, including business expenses associated with hiring, training, and equipping their employees.</t>
    </r>
  </si>
  <si>
    <r>
      <t>a</t>
    </r>
    <r>
      <rPr>
        <sz val="10"/>
        <color theme="1"/>
        <rFont val="Times New Roman"/>
        <family val="1"/>
      </rPr>
      <t xml:space="preserve">  We estimate there are 25 existing sources subject to the standard and no additional sources will become subject over the three-year period of this ICR.</t>
    </r>
  </si>
  <si>
    <r>
      <rPr>
        <vertAlign val="superscript"/>
        <sz val="10"/>
        <color rgb="FF000000"/>
        <rFont val="Times New Roman"/>
        <family val="1"/>
      </rPr>
      <t>a</t>
    </r>
    <r>
      <rPr>
        <sz val="10"/>
        <color rgb="FF000000"/>
        <rFont val="Times New Roman"/>
        <family val="1"/>
      </rPr>
      <t xml:space="preserve"> New respondents include sources with constructed, reconstructed and modified affected facilities.</t>
    </r>
    <r>
      <rPr>
        <sz val="10"/>
        <color rgb="FFFF0000"/>
        <rFont val="Times New Roman"/>
        <family val="1"/>
      </rPr>
      <t xml:space="preserve"> </t>
    </r>
  </si>
  <si>
    <r>
      <t>Totals</t>
    </r>
    <r>
      <rPr>
        <sz val="10"/>
        <color theme="1"/>
        <rFont val="Times New Roman"/>
        <family val="1"/>
      </rPr>
      <t xml:space="preserve"> (rounded)</t>
    </r>
    <r>
      <rPr>
        <b/>
        <sz val="10"/>
        <color theme="1"/>
        <rFont val="Times New Roman"/>
        <family val="1"/>
      </rPr>
      <t xml:space="preserve"> </t>
    </r>
    <r>
      <rPr>
        <b/>
        <vertAlign val="superscript"/>
        <sz val="10"/>
        <color theme="1"/>
        <rFont val="Times New Roman"/>
        <family val="1"/>
      </rPr>
      <t>b</t>
    </r>
  </si>
  <si>
    <r>
      <rPr>
        <vertAlign val="superscript"/>
        <sz val="10"/>
        <color theme="1"/>
        <rFont val="Times New Roman"/>
        <family val="1"/>
      </rPr>
      <t>b</t>
    </r>
    <r>
      <rPr>
        <sz val="10"/>
        <color theme="1"/>
        <rFont val="Times New Roman"/>
        <family val="1"/>
      </rPr>
      <t xml:space="preserve"> Totals have been rounded to 3 significant digits. Figures may not add exactly due to rounding. </t>
    </r>
  </si>
  <si>
    <t>Number of New  Respondents</t>
  </si>
  <si>
    <r>
      <t xml:space="preserve">Annual O&amp;M Costs for One Respondent </t>
    </r>
    <r>
      <rPr>
        <b/>
        <vertAlign val="superscript"/>
        <sz val="10"/>
        <color theme="1"/>
        <rFont val="Times New Roman"/>
        <family val="1"/>
      </rPr>
      <t>a</t>
    </r>
  </si>
  <si>
    <t>Number of Respondents with O&amp;M</t>
  </si>
  <si>
    <r>
      <rPr>
        <vertAlign val="superscript"/>
        <sz val="10"/>
        <color theme="1"/>
        <rFont val="Times New Roman"/>
        <family val="1"/>
      </rPr>
      <t>a</t>
    </r>
    <r>
      <rPr>
        <sz val="10"/>
        <color theme="1"/>
        <rFont val="Times New Roman"/>
        <family val="1"/>
      </rPr>
      <t xml:space="preserve">  Capital/startup costs and O&amp;M costs have been updated from 2008 dollars to 2022 dollars using the CEPCI CE Index.</t>
    </r>
  </si>
  <si>
    <t>2022 CEPCI CE Index</t>
  </si>
  <si>
    <t>2008 CEPCI CE Index</t>
  </si>
  <si>
    <t>Hours per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</si>
</sst>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1" formatCode="_(* #,##0_);_(* \(#,##0\);_(* &quot;-&quot;_);_(@_)"/>
    <numFmt numFmtId="164" formatCode="General_)"/>
    <numFmt numFmtId="165" formatCode="&quot;$&quot;#,##0.00"/>
    <numFmt numFmtId="166" formatCode="&quot;$&quot;#,##0"/>
    <numFmt numFmtId="167" formatCode="0.0"/>
  </numFmts>
  <fonts count="26" x14ac:knownFonts="1">
    <font>
      <sz val="11"/>
      <color theme="1"/>
      <name val="Calibri"/>
      <family val="2"/>
      <scheme val="minor"/>
    </font>
    <font>
      <sz val="10"/>
      <color theme="1"/>
      <name val="Times New Roman"/>
      <family val="1"/>
    </font>
    <font>
      <b/>
      <sz val="10"/>
      <color theme="1"/>
      <name val="Times New Roman"/>
      <family val="1"/>
    </font>
    <font>
      <b/>
      <vertAlign val="superscript"/>
      <sz val="10"/>
      <color theme="1"/>
      <name val="Times New Roman"/>
      <family val="1"/>
    </font>
    <font>
      <vertAlign val="superscript"/>
      <sz val="10"/>
      <color theme="1"/>
      <name val="Times New Roman"/>
      <family val="1"/>
    </font>
    <font>
      <b/>
      <i/>
      <sz val="10"/>
      <color rgb="FF000000"/>
      <name val="Times New Roman"/>
      <family val="1"/>
    </font>
    <font>
      <b/>
      <i/>
      <sz val="10"/>
      <color theme="1"/>
      <name val="Times New Roman"/>
      <family val="1"/>
    </font>
    <font>
      <i/>
      <sz val="10"/>
      <color theme="1"/>
      <name val="Times New Roman"/>
      <family val="1"/>
    </font>
    <font>
      <sz val="10"/>
      <color rgb="FFFF0000"/>
      <name val="Times New Roman"/>
      <family val="1"/>
    </font>
    <font>
      <sz val="10"/>
      <name val="Times New Roman"/>
      <family val="1"/>
    </font>
    <font>
      <sz val="8"/>
      <name val="Helv"/>
    </font>
    <font>
      <b/>
      <u/>
      <sz val="10"/>
      <name val="Times New Roman"/>
      <family val="1"/>
    </font>
    <font>
      <b/>
      <sz val="12"/>
      <color rgb="FF000000"/>
      <name val="Times New Roman"/>
      <family val="1"/>
    </font>
    <font>
      <sz val="10"/>
      <color rgb="FF000000"/>
      <name val="Times New Roman"/>
      <family val="1"/>
    </font>
    <font>
      <b/>
      <sz val="10"/>
      <color rgb="FF000000"/>
      <name val="Times New Roman"/>
      <family val="1"/>
    </font>
    <font>
      <b/>
      <vertAlign val="superscript"/>
      <sz val="10"/>
      <color rgb="FF000000"/>
      <name val="Times New Roman"/>
      <family val="1"/>
    </font>
    <font>
      <b/>
      <sz val="10"/>
      <color rgb="FFFF0000"/>
      <name val="Times New Roman"/>
      <family val="1"/>
    </font>
    <font>
      <vertAlign val="superscript"/>
      <sz val="10"/>
      <name val="Times New Roman"/>
      <family val="1"/>
    </font>
    <font>
      <b/>
      <sz val="16"/>
      <color theme="1"/>
      <name val="Times New Roman"/>
      <family val="1"/>
    </font>
    <font>
      <vertAlign val="superscript"/>
      <sz val="10"/>
      <color rgb="FF000000"/>
      <name val="Times New Roman"/>
      <family val="1"/>
    </font>
    <font>
      <sz val="10"/>
      <color theme="1"/>
      <name val="Calibri"/>
      <family val="2"/>
      <scheme val="minor"/>
    </font>
    <font>
      <sz val="10"/>
      <color rgb="FFFF0000"/>
      <name val="Calibri"/>
      <family val="2"/>
      <scheme val="minor"/>
    </font>
    <font>
      <sz val="8"/>
      <name val="Calibri"/>
      <family val="2"/>
      <scheme val="minor"/>
    </font>
    <font>
      <sz val="11"/>
      <color theme="1"/>
      <name val="Calibri"/>
      <family val="2"/>
      <scheme val="minor"/>
    </font>
    <font>
      <sz val="9"/>
      <color rgb="FF000000"/>
      <name val="Times New Roman"/>
      <family val="1"/>
    </font>
    <font>
      <b/>
      <sz val="9"/>
      <color rgb="FF000000"/>
      <name val="Times New Roman"/>
      <family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xf numFmtId="164" fontId="10" fillId="0" borderId="0"/>
  </cellStyleXfs>
  <cellXfs count="108">
    <xf numFmtId="0" fontId="0" fillId="0" borderId="0" xfId="0"/>
    <xf numFmtId="0" fontId="1" fillId="0" borderId="0" xfId="0" applyFont="1"/>
    <xf numFmtId="0" fontId="8" fillId="0" borderId="0" xfId="0" applyFont="1"/>
    <xf numFmtId="164" fontId="11" fillId="0" borderId="0" xfId="1" applyFont="1" applyAlignment="1">
      <alignment horizontal="center" vertical="center" wrapText="1"/>
    </xf>
    <xf numFmtId="164" fontId="9" fillId="0" borderId="0" xfId="1" applyFont="1" applyAlignment="1">
      <alignment horizontal="center" vertical="center" wrapText="1"/>
    </xf>
    <xf numFmtId="165" fontId="9" fillId="0" borderId="0" xfId="1" applyNumberFormat="1" applyFont="1" applyAlignment="1">
      <alignment horizontal="right" wrapText="1"/>
    </xf>
    <xf numFmtId="0" fontId="8" fillId="0" borderId="0" xfId="0" applyFont="1" applyAlignment="1">
      <alignment wrapText="1"/>
    </xf>
    <xf numFmtId="0" fontId="16" fillId="0" borderId="0" xfId="0" applyFont="1"/>
    <xf numFmtId="0" fontId="16" fillId="0" borderId="3" xfId="0" applyFont="1" applyBorder="1"/>
    <xf numFmtId="0" fontId="13" fillId="0" borderId="1" xfId="0" applyFont="1" applyBorder="1"/>
    <xf numFmtId="41" fontId="16" fillId="0" borderId="0" xfId="0" applyNumberFormat="1" applyFont="1"/>
    <xf numFmtId="0" fontId="16" fillId="0" borderId="3" xfId="0" applyFont="1" applyBorder="1" applyAlignment="1">
      <alignment horizontal="center"/>
    </xf>
    <xf numFmtId="41" fontId="16" fillId="0" borderId="3" xfId="0" applyNumberFormat="1" applyFont="1" applyBorder="1"/>
    <xf numFmtId="164" fontId="11" fillId="0" borderId="0" xfId="1" applyFont="1" applyAlignment="1">
      <alignment wrapText="1"/>
    </xf>
    <xf numFmtId="0" fontId="20" fillId="0" borderId="0" xfId="0" applyFont="1"/>
    <xf numFmtId="0" fontId="1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6" fontId="1" fillId="0" borderId="1" xfId="0" applyNumberFormat="1" applyFont="1" applyBorder="1" applyAlignment="1">
      <alignment horizontal="center" vertical="center" wrapText="1"/>
    </xf>
    <xf numFmtId="0" fontId="2" fillId="0" borderId="1" xfId="0" applyFont="1" applyBorder="1" applyAlignment="1">
      <alignment vertical="center" wrapText="1"/>
    </xf>
    <xf numFmtId="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6" fontId="1" fillId="0" borderId="0" xfId="0" applyNumberFormat="1" applyFont="1" applyAlignment="1">
      <alignment horizontal="center" vertical="center" wrapText="1"/>
    </xf>
    <xf numFmtId="6" fontId="2" fillId="0" borderId="0" xfId="0" applyNumberFormat="1" applyFont="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vertical="center" wrapText="1"/>
    </xf>
    <xf numFmtId="0" fontId="13" fillId="0" borderId="0" xfId="0" applyFont="1" applyAlignment="1">
      <alignment vertical="top" wrapText="1"/>
    </xf>
    <xf numFmtId="165" fontId="9" fillId="0" borderId="1" xfId="0" applyNumberFormat="1" applyFont="1" applyBorder="1"/>
    <xf numFmtId="0" fontId="9" fillId="0" borderId="1" xfId="0" applyFont="1" applyBorder="1" applyAlignment="1">
      <alignment horizontal="left" vertical="center" wrapText="1"/>
    </xf>
    <xf numFmtId="6"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1" fillId="0" borderId="0" xfId="0" applyFont="1" applyAlignment="1">
      <alignment vertical="top" wrapText="1"/>
    </xf>
    <xf numFmtId="41" fontId="9" fillId="0" borderId="0" xfId="0" applyNumberFormat="1" applyFont="1"/>
    <xf numFmtId="3" fontId="8" fillId="0" borderId="0" xfId="0" applyNumberFormat="1" applyFont="1"/>
    <xf numFmtId="0" fontId="18" fillId="0" borderId="0" xfId="0" applyFont="1"/>
    <xf numFmtId="0" fontId="2" fillId="0" borderId="0" xfId="0" applyFont="1" applyAlignment="1">
      <alignment horizontal="center" wrapText="1"/>
    </xf>
    <xf numFmtId="0" fontId="1" fillId="0" borderId="0" xfId="0" applyFont="1" applyAlignment="1">
      <alignment horizontal="left" vertical="top" wrapText="1" indent="1"/>
    </xf>
    <xf numFmtId="0" fontId="1" fillId="0" borderId="0" xfId="0" applyFont="1" applyAlignment="1">
      <alignment horizontal="center" wrapText="1"/>
    </xf>
    <xf numFmtId="0" fontId="1" fillId="0" borderId="0" xfId="0" applyFont="1" applyAlignment="1">
      <alignment horizontal="right" wrapText="1"/>
    </xf>
    <xf numFmtId="3" fontId="1" fillId="0" borderId="0" xfId="0" applyNumberFormat="1" applyFont="1" applyAlignment="1">
      <alignment horizontal="center" wrapText="1"/>
    </xf>
    <xf numFmtId="166" fontId="1" fillId="0" borderId="0" xfId="0" applyNumberFormat="1" applyFont="1" applyAlignment="1">
      <alignment horizontal="right" wrapText="1"/>
    </xf>
    <xf numFmtId="1" fontId="1" fillId="0" borderId="0" xfId="0" applyNumberFormat="1" applyFont="1" applyAlignment="1">
      <alignment horizontal="center" wrapText="1"/>
    </xf>
    <xf numFmtId="167" fontId="1" fillId="0" borderId="0" xfId="0" applyNumberFormat="1" applyFont="1" applyAlignment="1">
      <alignment horizontal="center" wrapText="1"/>
    </xf>
    <xf numFmtId="0" fontId="7" fillId="0" borderId="0" xfId="0" applyFont="1" applyAlignment="1">
      <alignment vertical="top" wrapText="1"/>
    </xf>
    <xf numFmtId="3" fontId="6" fillId="0" borderId="0" xfId="0" applyNumberFormat="1" applyFont="1" applyAlignment="1">
      <alignment wrapText="1"/>
    </xf>
    <xf numFmtId="6" fontId="6" fillId="0" borderId="0" xfId="0" applyNumberFormat="1" applyFont="1" applyAlignment="1">
      <alignment horizontal="right" wrapText="1"/>
    </xf>
    <xf numFmtId="0" fontId="2" fillId="0" borderId="0" xfId="0" applyFont="1" applyAlignment="1">
      <alignment wrapText="1"/>
    </xf>
    <xf numFmtId="0" fontId="13" fillId="0" borderId="0" xfId="0" applyFont="1" applyAlignment="1">
      <alignment vertical="top"/>
    </xf>
    <xf numFmtId="3" fontId="1" fillId="0" borderId="1" xfId="0" applyNumberFormat="1" applyFont="1" applyBorder="1" applyAlignment="1">
      <alignment horizontal="center" vertical="center" wrapText="1"/>
    </xf>
    <xf numFmtId="164" fontId="8" fillId="0" borderId="0" xfId="1" applyFont="1" applyAlignment="1">
      <alignment vertical="center"/>
    </xf>
    <xf numFmtId="164" fontId="8" fillId="0" borderId="0" xfId="1" applyFont="1"/>
    <xf numFmtId="0" fontId="2" fillId="0" borderId="0" xfId="0" applyFont="1" applyAlignment="1">
      <alignment vertical="center" wrapText="1"/>
    </xf>
    <xf numFmtId="0" fontId="1" fillId="0" borderId="0" xfId="0" applyFont="1" applyAlignment="1">
      <alignment horizontal="center" vertical="center" wrapText="1"/>
    </xf>
    <xf numFmtId="6" fontId="20" fillId="0" borderId="0" xfId="0" applyNumberFormat="1" applyFont="1"/>
    <xf numFmtId="164" fontId="8" fillId="0" borderId="0" xfId="1" applyFont="1" applyAlignment="1">
      <alignment horizontal="left" vertical="center"/>
    </xf>
    <xf numFmtId="41" fontId="0" fillId="0" borderId="0" xfId="0" applyNumberFormat="1"/>
    <xf numFmtId="3" fontId="0" fillId="0" borderId="0" xfId="0" applyNumberFormat="1"/>
    <xf numFmtId="6" fontId="0" fillId="0" borderId="0" xfId="0" applyNumberFormat="1"/>
    <xf numFmtId="0" fontId="12" fillId="0" borderId="0" xfId="0" applyFont="1"/>
    <xf numFmtId="0" fontId="23" fillId="0" borderId="0" xfId="0" applyFont="1"/>
    <xf numFmtId="0" fontId="14" fillId="0" borderId="1" xfId="0" applyFont="1" applyBorder="1" applyAlignment="1">
      <alignment horizontal="center" vertical="center"/>
    </xf>
    <xf numFmtId="0" fontId="13" fillId="0" borderId="1" xfId="0" applyFont="1" applyBorder="1" applyAlignment="1">
      <alignment vertical="center"/>
    </xf>
    <xf numFmtId="0" fontId="13" fillId="0" borderId="1" xfId="0" applyFont="1" applyBorder="1" applyAlignment="1">
      <alignment horizontal="left" vertical="center" indent="1"/>
    </xf>
    <xf numFmtId="8" fontId="13" fillId="0" borderId="1" xfId="0" applyNumberFormat="1" applyFont="1" applyBorder="1" applyAlignment="1">
      <alignment horizontal="center" vertical="center" wrapText="1"/>
    </xf>
    <xf numFmtId="0" fontId="13" fillId="0" borderId="1" xfId="0" applyFont="1" applyBorder="1" applyAlignment="1">
      <alignment horizontal="left" vertical="center" indent="2"/>
    </xf>
    <xf numFmtId="6" fontId="13" fillId="0" borderId="1" xfId="0" applyNumberFormat="1" applyFont="1" applyBorder="1" applyAlignment="1">
      <alignment horizontal="center" vertical="center" wrapText="1"/>
    </xf>
    <xf numFmtId="0" fontId="5" fillId="0" borderId="1" xfId="0" applyFont="1" applyBorder="1" applyAlignment="1">
      <alignment vertical="center"/>
    </xf>
    <xf numFmtId="0" fontId="5"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6"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4" fillId="0" borderId="1" xfId="0" applyFont="1" applyBorder="1" applyAlignment="1">
      <alignment vertical="center"/>
    </xf>
    <xf numFmtId="3" fontId="2" fillId="0" borderId="1" xfId="0" applyNumberFormat="1"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17" fillId="0" borderId="0" xfId="0" applyFont="1" applyAlignment="1">
      <alignment vertical="center"/>
    </xf>
    <xf numFmtId="0" fontId="12" fillId="0" borderId="0" xfId="0" applyFont="1" applyAlignment="1">
      <alignment horizontal="left" vertical="center"/>
    </xf>
    <xf numFmtId="0" fontId="13" fillId="0" borderId="1" xfId="0" applyFont="1" applyBorder="1" applyAlignment="1">
      <alignment horizontal="center" vertical="center"/>
    </xf>
    <xf numFmtId="6" fontId="13" fillId="0" borderId="1" xfId="0" applyNumberFormat="1" applyFont="1" applyBorder="1" applyAlignment="1">
      <alignment horizontal="right" vertical="center"/>
    </xf>
    <xf numFmtId="0" fontId="13" fillId="0" borderId="1" xfId="0" applyFont="1" applyBorder="1" applyAlignment="1">
      <alignment horizontal="right" vertical="center"/>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0" fontId="1" fillId="0" borderId="1" xfId="0" applyFont="1" applyBorder="1" applyAlignment="1">
      <alignment vertical="center"/>
    </xf>
    <xf numFmtId="6" fontId="2" fillId="0" borderId="1" xfId="0" applyNumberFormat="1" applyFont="1" applyBorder="1" applyAlignment="1">
      <alignment horizontal="right" vertical="center"/>
    </xf>
    <xf numFmtId="0" fontId="13" fillId="0" borderId="0" xfId="0" applyFont="1" applyAlignment="1">
      <alignment vertical="center" wrapText="1"/>
    </xf>
    <xf numFmtId="0" fontId="24" fillId="0" borderId="0" xfId="0" applyFont="1" applyAlignment="1">
      <alignment horizontal="center" vertical="center" wrapText="1"/>
    </xf>
    <xf numFmtId="0" fontId="13" fillId="0" borderId="1" xfId="0" applyFont="1" applyBorder="1" applyAlignment="1">
      <alignment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3" fillId="0" borderId="0" xfId="0" applyFont="1"/>
    <xf numFmtId="0" fontId="0" fillId="0" borderId="0" xfId="0" applyAlignment="1">
      <alignment horizontal="center"/>
    </xf>
    <xf numFmtId="0" fontId="1" fillId="0" borderId="0" xfId="0" applyFont="1" applyAlignment="1">
      <alignment vertical="center" wrapText="1"/>
    </xf>
    <xf numFmtId="0" fontId="13" fillId="0" borderId="1" xfId="0" applyFont="1" applyBorder="1" applyAlignment="1">
      <alignment horizontal="center"/>
    </xf>
    <xf numFmtId="0" fontId="14"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0" fontId="17" fillId="0" borderId="0" xfId="0" applyFont="1" applyAlignment="1">
      <alignment horizontal="left" vertical="center" wrapText="1"/>
    </xf>
    <xf numFmtId="0" fontId="4" fillId="0" borderId="0" xfId="0" applyFont="1" applyAlignment="1">
      <alignment horizontal="left" vertical="center" wrapText="1"/>
    </xf>
    <xf numFmtId="0" fontId="14" fillId="0" borderId="1" xfId="0" applyFont="1" applyBorder="1" applyAlignment="1">
      <alignment horizontal="center" vertical="center" wrapText="1"/>
    </xf>
    <xf numFmtId="0" fontId="1" fillId="0" borderId="0" xfId="0" applyFont="1" applyAlignment="1">
      <alignment horizontal="left"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left" wrapText="1"/>
    </xf>
    <xf numFmtId="0" fontId="12" fillId="0" borderId="1" xfId="0" applyFont="1" applyBorder="1" applyAlignment="1">
      <alignment horizontal="center" vertical="center" wrapText="1"/>
    </xf>
    <xf numFmtId="0" fontId="14" fillId="0" borderId="1" xfId="0" applyFont="1" applyBorder="1" applyAlignment="1">
      <alignment vertical="center" wrapText="1"/>
    </xf>
  </cellXfs>
  <cellStyles count="2">
    <cellStyle name="Normal" xfId="0" builtinId="0"/>
    <cellStyle name="Normal_SSI Burden Estimate BML 060710" xfId="1" xr:uid="{A07D4530-980E-478C-AD05-99F0F1CD2970}"/>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11E90-6FAB-477D-9C4D-FB71EFB87D93}">
  <dimension ref="A1:B7"/>
  <sheetViews>
    <sheetView tabSelected="1" workbookViewId="0">
      <selection activeCell="D1" sqref="D1"/>
    </sheetView>
  </sheetViews>
  <sheetFormatPr defaultRowHeight="15" x14ac:dyDescent="0.25"/>
  <cols>
    <col min="1" max="1" width="27.85546875" bestFit="1" customWidth="1"/>
    <col min="2" max="2" width="14.28515625" bestFit="1" customWidth="1"/>
  </cols>
  <sheetData>
    <row r="1" spans="1:2" x14ac:dyDescent="0.25">
      <c r="A1" s="93" t="s">
        <v>0</v>
      </c>
      <c r="B1" s="93"/>
    </row>
    <row r="2" spans="1:2" x14ac:dyDescent="0.25">
      <c r="A2" t="s">
        <v>151</v>
      </c>
      <c r="B2" s="57">
        <f>'Table 1'!K41</f>
        <v>81.680000000000007</v>
      </c>
    </row>
    <row r="3" spans="1:2" x14ac:dyDescent="0.25">
      <c r="A3" t="s">
        <v>1</v>
      </c>
      <c r="B3">
        <f>Respondents!F8</f>
        <v>25</v>
      </c>
    </row>
    <row r="4" spans="1:2" x14ac:dyDescent="0.25">
      <c r="A4" t="s">
        <v>2</v>
      </c>
      <c r="B4" s="58">
        <f>'Table 1'!F38</f>
        <v>10210</v>
      </c>
    </row>
    <row r="5" spans="1:2" x14ac:dyDescent="0.25">
      <c r="A5" t="s">
        <v>3</v>
      </c>
      <c r="B5" s="59">
        <f>'Table 1'!I40</f>
        <v>2890000</v>
      </c>
    </row>
    <row r="6" spans="1:2" x14ac:dyDescent="0.25">
      <c r="A6" t="s">
        <v>4</v>
      </c>
      <c r="B6" s="59">
        <f>'Capital O&amp;M'!D6+'Capital O&amp;M'!G6</f>
        <v>1600000</v>
      </c>
    </row>
    <row r="7" spans="1:2" x14ac:dyDescent="0.25">
      <c r="A7" t="s">
        <v>6</v>
      </c>
      <c r="B7" t="s">
        <v>43</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54DA1-2EC2-470A-B0BB-BC64BD0BE2BC}">
  <dimension ref="A1:U71"/>
  <sheetViews>
    <sheetView zoomScale="87" zoomScaleNormal="87" workbookViewId="0">
      <selection activeCell="A2" sqref="A2"/>
    </sheetView>
  </sheetViews>
  <sheetFormatPr defaultRowHeight="15" x14ac:dyDescent="0.25"/>
  <cols>
    <col min="1" max="1" width="49.28515625" style="61" customWidth="1"/>
    <col min="2" max="2" width="9.5703125" style="61" customWidth="1"/>
    <col min="3" max="3" width="10.42578125" style="61" customWidth="1"/>
    <col min="4" max="4" width="9.7109375" style="61" customWidth="1"/>
    <col min="5" max="5" width="10.7109375" style="61" customWidth="1"/>
    <col min="6" max="6" width="9.28515625" style="61"/>
    <col min="7" max="7" width="11.28515625" style="61" customWidth="1"/>
    <col min="8" max="8" width="9.28515625" style="61"/>
    <col min="9" max="9" width="11.28515625" style="61" bestFit="1" customWidth="1"/>
    <col min="10" max="10" width="6.7109375" customWidth="1"/>
    <col min="11" max="11" width="11.42578125" customWidth="1"/>
    <col min="12" max="12" width="7.7109375" customWidth="1"/>
    <col min="13" max="13" width="47.85546875" customWidth="1"/>
    <col min="14" max="14" width="12.140625" customWidth="1"/>
    <col min="21" max="21" width="11.7109375" customWidth="1"/>
  </cols>
  <sheetData>
    <row r="1" spans="1:21" ht="20.25" x14ac:dyDescent="0.3">
      <c r="A1" s="60" t="s">
        <v>44</v>
      </c>
      <c r="J1" s="1"/>
      <c r="K1" s="2"/>
      <c r="L1" s="1"/>
      <c r="M1" s="36"/>
      <c r="N1" s="7"/>
    </row>
    <row r="2" spans="1:21" s="1" customFormat="1" x14ac:dyDescent="0.25">
      <c r="A2" s="61"/>
      <c r="B2" s="61"/>
      <c r="C2" s="61"/>
      <c r="D2" s="61"/>
      <c r="E2" s="61"/>
      <c r="F2" s="61"/>
      <c r="G2" s="61"/>
      <c r="H2" s="61"/>
      <c r="I2" s="61"/>
      <c r="J2" s="2"/>
    </row>
    <row r="3" spans="1:21" s="1" customFormat="1" ht="12.75" x14ac:dyDescent="0.2">
      <c r="A3" s="96" t="s">
        <v>14</v>
      </c>
      <c r="B3" s="26" t="s">
        <v>17</v>
      </c>
      <c r="C3" s="26" t="s">
        <v>45</v>
      </c>
      <c r="D3" s="26" t="s">
        <v>46</v>
      </c>
      <c r="E3" s="26" t="s">
        <v>20</v>
      </c>
      <c r="F3" s="26" t="s">
        <v>47</v>
      </c>
      <c r="G3" s="26" t="s">
        <v>22</v>
      </c>
      <c r="H3" s="26" t="s">
        <v>23</v>
      </c>
      <c r="I3" s="26" t="s">
        <v>48</v>
      </c>
      <c r="J3" s="2"/>
      <c r="M3" s="37"/>
      <c r="N3" s="37"/>
      <c r="O3" s="37"/>
      <c r="P3" s="37"/>
      <c r="Q3" s="37"/>
      <c r="R3" s="37"/>
      <c r="S3" s="37"/>
      <c r="T3" s="37"/>
      <c r="U3" s="37"/>
    </row>
    <row r="4" spans="1:21" s="1" customFormat="1" ht="63.75" x14ac:dyDescent="0.2">
      <c r="A4" s="96"/>
      <c r="B4" s="26" t="s">
        <v>49</v>
      </c>
      <c r="C4" s="26" t="s">
        <v>50</v>
      </c>
      <c r="D4" s="26" t="s">
        <v>51</v>
      </c>
      <c r="E4" s="26" t="s">
        <v>52</v>
      </c>
      <c r="F4" s="26" t="s">
        <v>53</v>
      </c>
      <c r="G4" s="26" t="s">
        <v>54</v>
      </c>
      <c r="H4" s="26" t="s">
        <v>55</v>
      </c>
      <c r="I4" s="26" t="s">
        <v>56</v>
      </c>
      <c r="J4" s="2"/>
      <c r="K4" s="95" t="s">
        <v>7</v>
      </c>
      <c r="L4" s="95"/>
      <c r="O4" s="39"/>
      <c r="P4" s="39"/>
      <c r="Q4" s="39"/>
      <c r="R4" s="39"/>
      <c r="S4" s="39"/>
      <c r="T4" s="39"/>
      <c r="U4" s="40"/>
    </row>
    <row r="5" spans="1:21" s="1" customFormat="1" ht="12.75" x14ac:dyDescent="0.2">
      <c r="A5" s="63" t="s">
        <v>57</v>
      </c>
      <c r="B5" s="15" t="s">
        <v>58</v>
      </c>
      <c r="C5" s="15"/>
      <c r="D5" s="15"/>
      <c r="E5" s="15"/>
      <c r="F5" s="15"/>
      <c r="G5" s="15"/>
      <c r="H5" s="15"/>
      <c r="I5" s="15"/>
      <c r="J5" s="6"/>
      <c r="K5" s="9" t="s">
        <v>8</v>
      </c>
      <c r="L5" s="28">
        <v>163.16999999999999</v>
      </c>
      <c r="M5" s="38"/>
      <c r="N5" s="39"/>
      <c r="O5" s="39"/>
      <c r="P5" s="39"/>
      <c r="Q5" s="39"/>
      <c r="R5" s="41"/>
      <c r="S5" s="39"/>
      <c r="T5" s="39"/>
      <c r="U5" s="42"/>
    </row>
    <row r="6" spans="1:21" s="1" customFormat="1" ht="12.75" x14ac:dyDescent="0.2">
      <c r="A6" s="63" t="s">
        <v>59</v>
      </c>
      <c r="B6" s="15" t="s">
        <v>58</v>
      </c>
      <c r="C6" s="15"/>
      <c r="D6" s="15"/>
      <c r="E6" s="15"/>
      <c r="F6" s="15"/>
      <c r="G6" s="15"/>
      <c r="H6" s="15"/>
      <c r="I6" s="15"/>
      <c r="J6" s="2"/>
      <c r="K6" s="9" t="s">
        <v>9</v>
      </c>
      <c r="L6" s="28">
        <v>130.28</v>
      </c>
      <c r="M6" s="38"/>
      <c r="N6" s="39"/>
      <c r="O6" s="39"/>
      <c r="P6" s="39"/>
      <c r="Q6" s="39"/>
      <c r="R6" s="39"/>
      <c r="S6" s="39"/>
      <c r="T6" s="39"/>
      <c r="U6" s="42"/>
    </row>
    <row r="7" spans="1:21" s="1" customFormat="1" ht="12.75" x14ac:dyDescent="0.2">
      <c r="A7" s="63" t="s">
        <v>60</v>
      </c>
      <c r="B7" s="15"/>
      <c r="C7" s="15"/>
      <c r="D7" s="15"/>
      <c r="E7" s="15"/>
      <c r="F7" s="15"/>
      <c r="G7" s="15"/>
      <c r="H7" s="15"/>
      <c r="I7" s="15"/>
      <c r="J7" s="2"/>
      <c r="K7" s="9" t="s">
        <v>10</v>
      </c>
      <c r="L7" s="28">
        <v>65.709999999999994</v>
      </c>
      <c r="M7" s="38"/>
      <c r="N7" s="39"/>
      <c r="O7" s="39"/>
      <c r="P7" s="39"/>
      <c r="Q7" s="39"/>
      <c r="R7" s="39"/>
      <c r="S7" s="39"/>
      <c r="T7" s="39"/>
      <c r="U7" s="42"/>
    </row>
    <row r="8" spans="1:21" s="1" customFormat="1" ht="15.75" x14ac:dyDescent="0.2">
      <c r="A8" s="64" t="s">
        <v>61</v>
      </c>
      <c r="B8" s="15">
        <v>1</v>
      </c>
      <c r="C8" s="15">
        <v>4</v>
      </c>
      <c r="D8" s="15">
        <f>+B8*C8</f>
        <v>4</v>
      </c>
      <c r="E8" s="15">
        <v>25</v>
      </c>
      <c r="F8" s="15">
        <f>+D8*E8</f>
        <v>100</v>
      </c>
      <c r="G8" s="15">
        <f>+F8*0.05</f>
        <v>5</v>
      </c>
      <c r="H8" s="15">
        <f>+F8*0.1</f>
        <v>10</v>
      </c>
      <c r="I8" s="65">
        <f>+$L$6*F8+$L$5*G8+$L$7*H8</f>
        <v>14500.95</v>
      </c>
      <c r="J8" s="2"/>
      <c r="K8" s="52"/>
      <c r="L8" s="13"/>
      <c r="M8" s="38"/>
      <c r="N8" s="39"/>
      <c r="O8" s="39"/>
      <c r="P8" s="39"/>
      <c r="Q8" s="43"/>
      <c r="R8" s="43"/>
      <c r="S8" s="43"/>
      <c r="T8" s="43"/>
      <c r="U8" s="42"/>
    </row>
    <row r="9" spans="1:21" s="1" customFormat="1" ht="12.75" x14ac:dyDescent="0.2">
      <c r="A9" s="64" t="s">
        <v>62</v>
      </c>
      <c r="B9" s="15"/>
      <c r="C9" s="15"/>
      <c r="D9" s="15"/>
      <c r="E9" s="15"/>
      <c r="F9" s="15"/>
      <c r="G9" s="15"/>
      <c r="H9" s="15"/>
      <c r="I9" s="15"/>
      <c r="J9" s="2"/>
      <c r="K9" s="56"/>
      <c r="L9" s="3"/>
      <c r="M9" s="38"/>
      <c r="N9" s="39"/>
      <c r="O9" s="39"/>
      <c r="P9" s="39"/>
      <c r="Q9" s="43"/>
      <c r="R9" s="43"/>
      <c r="S9" s="43"/>
      <c r="T9" s="43"/>
      <c r="U9" s="42"/>
    </row>
    <row r="10" spans="1:21" s="1" customFormat="1" ht="15.75" x14ac:dyDescent="0.2">
      <c r="A10" s="66" t="s">
        <v>63</v>
      </c>
      <c r="B10" s="15">
        <v>60</v>
      </c>
      <c r="C10" s="15">
        <v>1</v>
      </c>
      <c r="D10" s="15">
        <f t="shared" ref="D10:D34" si="0">+B10*C10</f>
        <v>60</v>
      </c>
      <c r="E10" s="15">
        <v>0</v>
      </c>
      <c r="F10" s="15">
        <f t="shared" ref="F10:F25" si="1">+D10*E10</f>
        <v>0</v>
      </c>
      <c r="G10" s="15">
        <f t="shared" ref="G10:G25" si="2">+F10*0.05</f>
        <v>0</v>
      </c>
      <c r="H10" s="15">
        <f t="shared" ref="H10:H25" si="3">+F10*0.1</f>
        <v>0</v>
      </c>
      <c r="I10" s="67">
        <f>+$L$6*F10+$L$5*G10+$L$7*H10</f>
        <v>0</v>
      </c>
      <c r="J10" s="2"/>
      <c r="K10" s="3"/>
      <c r="L10" s="3"/>
      <c r="M10" s="38"/>
      <c r="N10" s="39"/>
      <c r="O10" s="39"/>
      <c r="P10" s="39"/>
      <c r="Q10" s="43"/>
      <c r="R10" s="43"/>
      <c r="S10" s="43"/>
      <c r="T10" s="43"/>
      <c r="U10" s="42"/>
    </row>
    <row r="11" spans="1:21" s="1" customFormat="1" ht="15.75" x14ac:dyDescent="0.2">
      <c r="A11" s="66" t="s">
        <v>64</v>
      </c>
      <c r="B11" s="15">
        <v>60</v>
      </c>
      <c r="C11" s="15">
        <v>0.2</v>
      </c>
      <c r="D11" s="15">
        <f t="shared" si="0"/>
        <v>12</v>
      </c>
      <c r="E11" s="15">
        <v>0</v>
      </c>
      <c r="F11" s="15">
        <f t="shared" si="1"/>
        <v>0</v>
      </c>
      <c r="G11" s="15">
        <f t="shared" si="2"/>
        <v>0</v>
      </c>
      <c r="H11" s="15">
        <f t="shared" si="3"/>
        <v>0</v>
      </c>
      <c r="I11" s="67">
        <f>+$L$6*F11+$L$5*G11+$L$7*H11</f>
        <v>0</v>
      </c>
      <c r="J11" s="2"/>
      <c r="K11" s="4"/>
      <c r="L11" s="5"/>
      <c r="M11" s="38"/>
      <c r="N11" s="39"/>
      <c r="O11" s="39"/>
      <c r="P11" s="39"/>
      <c r="Q11" s="43"/>
      <c r="R11" s="43"/>
      <c r="S11" s="44"/>
      <c r="T11" s="44"/>
      <c r="U11" s="42"/>
    </row>
    <row r="12" spans="1:21" s="1" customFormat="1" ht="12.75" x14ac:dyDescent="0.2">
      <c r="A12" s="64" t="s">
        <v>65</v>
      </c>
      <c r="B12" s="15" t="s">
        <v>66</v>
      </c>
      <c r="C12" s="15"/>
      <c r="D12" s="15"/>
      <c r="E12" s="15"/>
      <c r="F12" s="15"/>
      <c r="G12" s="15"/>
      <c r="H12" s="15"/>
      <c r="I12" s="67"/>
      <c r="J12" s="2"/>
      <c r="K12" s="4"/>
      <c r="L12" s="5"/>
      <c r="M12" s="38"/>
      <c r="N12" s="39"/>
      <c r="O12" s="39"/>
      <c r="P12" s="39"/>
      <c r="Q12" s="43"/>
      <c r="R12" s="43"/>
      <c r="S12" s="44"/>
      <c r="T12" s="44"/>
      <c r="U12" s="42"/>
    </row>
    <row r="13" spans="1:21" s="1" customFormat="1" ht="12.75" x14ac:dyDescent="0.2">
      <c r="A13" s="64" t="s">
        <v>67</v>
      </c>
      <c r="B13" s="15" t="s">
        <v>66</v>
      </c>
      <c r="C13" s="15"/>
      <c r="D13" s="15"/>
      <c r="E13" s="15"/>
      <c r="F13" s="15"/>
      <c r="G13" s="15"/>
      <c r="H13" s="15"/>
      <c r="I13" s="67"/>
      <c r="J13" s="2"/>
      <c r="K13" s="4"/>
      <c r="L13" s="5"/>
      <c r="M13" s="38"/>
      <c r="N13" s="39"/>
      <c r="O13" s="39"/>
      <c r="P13" s="39"/>
      <c r="Q13" s="39"/>
      <c r="R13" s="39"/>
      <c r="S13" s="39"/>
      <c r="T13" s="39"/>
      <c r="U13" s="42"/>
    </row>
    <row r="14" spans="1:21" s="1" customFormat="1" ht="18" customHeight="1" x14ac:dyDescent="0.2">
      <c r="A14" s="64" t="s">
        <v>68</v>
      </c>
      <c r="B14" s="15"/>
      <c r="C14" s="15"/>
      <c r="D14" s="15"/>
      <c r="E14" s="15"/>
      <c r="F14" s="15"/>
      <c r="G14" s="15"/>
      <c r="H14" s="15"/>
      <c r="I14" s="67"/>
      <c r="J14" s="6"/>
      <c r="K14" s="51"/>
      <c r="L14" s="5"/>
      <c r="M14" s="38"/>
      <c r="N14" s="39"/>
      <c r="O14" s="39"/>
      <c r="P14" s="39"/>
      <c r="Q14" s="39"/>
      <c r="R14" s="39"/>
      <c r="S14" s="39"/>
      <c r="T14" s="39"/>
      <c r="U14" s="42"/>
    </row>
    <row r="15" spans="1:21" s="1" customFormat="1" ht="12.75" x14ac:dyDescent="0.2">
      <c r="A15" s="66" t="s">
        <v>69</v>
      </c>
      <c r="B15" s="15">
        <v>2</v>
      </c>
      <c r="C15" s="15">
        <v>1</v>
      </c>
      <c r="D15" s="15">
        <f t="shared" si="0"/>
        <v>2</v>
      </c>
      <c r="E15" s="15">
        <v>0</v>
      </c>
      <c r="F15" s="15">
        <f t="shared" si="1"/>
        <v>0</v>
      </c>
      <c r="G15" s="15">
        <f t="shared" si="2"/>
        <v>0</v>
      </c>
      <c r="H15" s="15">
        <f t="shared" si="3"/>
        <v>0</v>
      </c>
      <c r="I15" s="67">
        <f>+$L$6*F15+$L$5*G15+$L$7*H15</f>
        <v>0</v>
      </c>
      <c r="J15" s="2"/>
      <c r="K15" s="51"/>
      <c r="M15" s="38"/>
      <c r="N15" s="39"/>
      <c r="O15" s="39"/>
      <c r="P15" s="39"/>
      <c r="Q15" s="39"/>
      <c r="R15" s="39"/>
      <c r="S15" s="39"/>
      <c r="T15" s="39"/>
      <c r="U15" s="42"/>
    </row>
    <row r="16" spans="1:21" s="1" customFormat="1" ht="27.75" customHeight="1" x14ac:dyDescent="0.2">
      <c r="A16" s="66" t="s">
        <v>70</v>
      </c>
      <c r="B16" s="15">
        <v>2</v>
      </c>
      <c r="C16" s="15">
        <v>1</v>
      </c>
      <c r="D16" s="15">
        <f t="shared" si="0"/>
        <v>2</v>
      </c>
      <c r="E16" s="15">
        <v>0</v>
      </c>
      <c r="F16" s="15">
        <f t="shared" si="1"/>
        <v>0</v>
      </c>
      <c r="G16" s="15">
        <f t="shared" si="2"/>
        <v>0</v>
      </c>
      <c r="H16" s="15">
        <f t="shared" si="3"/>
        <v>0</v>
      </c>
      <c r="I16" s="67">
        <f>+$L$6*F16+$L$5*G16+$L$7*H16</f>
        <v>0</v>
      </c>
      <c r="J16" s="2"/>
      <c r="K16" s="51"/>
      <c r="M16" s="38"/>
      <c r="N16" s="39"/>
      <c r="O16" s="39"/>
      <c r="P16" s="39"/>
      <c r="Q16" s="39"/>
      <c r="R16" s="39"/>
      <c r="S16" s="39"/>
      <c r="T16" s="39"/>
      <c r="U16" s="42"/>
    </row>
    <row r="17" spans="1:21" s="1" customFormat="1" ht="12.75" x14ac:dyDescent="0.2">
      <c r="A17" s="66" t="s">
        <v>71</v>
      </c>
      <c r="B17" s="15">
        <v>2</v>
      </c>
      <c r="C17" s="15">
        <v>1</v>
      </c>
      <c r="D17" s="15">
        <f t="shared" si="0"/>
        <v>2</v>
      </c>
      <c r="E17" s="15">
        <v>0</v>
      </c>
      <c r="F17" s="15">
        <f t="shared" si="1"/>
        <v>0</v>
      </c>
      <c r="G17" s="15">
        <f t="shared" si="2"/>
        <v>0</v>
      </c>
      <c r="H17" s="15">
        <f t="shared" si="3"/>
        <v>0</v>
      </c>
      <c r="I17" s="67">
        <f t="shared" ref="I17:I25" si="4">+$L$6*F17+$L$5*G17+$L$7*H17</f>
        <v>0</v>
      </c>
      <c r="J17" s="2"/>
      <c r="K17" s="51"/>
      <c r="M17" s="38"/>
      <c r="N17" s="39"/>
      <c r="O17" s="39"/>
      <c r="P17" s="39"/>
      <c r="Q17" s="39"/>
      <c r="R17" s="39"/>
      <c r="S17" s="39"/>
      <c r="T17" s="39"/>
      <c r="U17" s="42"/>
    </row>
    <row r="18" spans="1:21" s="1" customFormat="1" ht="19.5" customHeight="1" x14ac:dyDescent="0.2">
      <c r="A18" s="66" t="s">
        <v>72</v>
      </c>
      <c r="B18" s="15">
        <v>2</v>
      </c>
      <c r="C18" s="15">
        <v>1</v>
      </c>
      <c r="D18" s="15">
        <f t="shared" si="0"/>
        <v>2</v>
      </c>
      <c r="E18" s="15">
        <v>0</v>
      </c>
      <c r="F18" s="15">
        <f t="shared" si="1"/>
        <v>0</v>
      </c>
      <c r="G18" s="15">
        <f t="shared" si="2"/>
        <v>0</v>
      </c>
      <c r="H18" s="15">
        <f t="shared" si="3"/>
        <v>0</v>
      </c>
      <c r="I18" s="67">
        <f t="shared" si="4"/>
        <v>0</v>
      </c>
      <c r="J18" s="2"/>
      <c r="K18" s="51"/>
      <c r="M18" s="38"/>
      <c r="N18" s="39"/>
      <c r="O18" s="39"/>
      <c r="P18" s="39"/>
      <c r="Q18" s="39"/>
      <c r="R18" s="39"/>
      <c r="S18" s="39"/>
      <c r="T18" s="39"/>
      <c r="U18" s="42"/>
    </row>
    <row r="19" spans="1:21" s="1" customFormat="1" ht="16.5" customHeight="1" x14ac:dyDescent="0.2">
      <c r="A19" s="66" t="s">
        <v>73</v>
      </c>
      <c r="B19" s="15">
        <v>2</v>
      </c>
      <c r="C19" s="15">
        <v>1</v>
      </c>
      <c r="D19" s="15">
        <f t="shared" si="0"/>
        <v>2</v>
      </c>
      <c r="E19" s="15">
        <v>0</v>
      </c>
      <c r="F19" s="15">
        <f t="shared" si="1"/>
        <v>0</v>
      </c>
      <c r="G19" s="15">
        <f t="shared" si="2"/>
        <v>0</v>
      </c>
      <c r="H19" s="15">
        <f t="shared" si="3"/>
        <v>0</v>
      </c>
      <c r="I19" s="67">
        <f t="shared" si="4"/>
        <v>0</v>
      </c>
      <c r="J19" s="2"/>
      <c r="K19" s="2"/>
      <c r="M19" s="38"/>
      <c r="N19" s="39"/>
      <c r="O19" s="39"/>
      <c r="P19" s="39"/>
      <c r="Q19" s="39"/>
      <c r="R19" s="39"/>
      <c r="S19" s="39"/>
      <c r="T19" s="39"/>
      <c r="U19" s="42"/>
    </row>
    <row r="20" spans="1:21" s="1" customFormat="1" ht="15.75" x14ac:dyDescent="0.2">
      <c r="A20" s="66" t="s">
        <v>74</v>
      </c>
      <c r="B20" s="15">
        <v>2</v>
      </c>
      <c r="C20" s="15">
        <v>1</v>
      </c>
      <c r="D20" s="15">
        <f t="shared" si="0"/>
        <v>2</v>
      </c>
      <c r="E20" s="15">
        <v>0</v>
      </c>
      <c r="F20" s="15">
        <f t="shared" si="1"/>
        <v>0</v>
      </c>
      <c r="G20" s="15">
        <f t="shared" si="2"/>
        <v>0</v>
      </c>
      <c r="H20" s="15">
        <f t="shared" si="3"/>
        <v>0</v>
      </c>
      <c r="I20" s="67">
        <f t="shared" si="4"/>
        <v>0</v>
      </c>
      <c r="J20" s="2"/>
      <c r="M20" s="38"/>
      <c r="N20" s="39"/>
      <c r="O20" s="39"/>
      <c r="P20" s="39"/>
      <c r="Q20" s="39"/>
      <c r="R20" s="39"/>
      <c r="S20" s="39"/>
      <c r="T20" s="39"/>
      <c r="U20" s="42"/>
    </row>
    <row r="21" spans="1:21" s="1" customFormat="1" ht="15.75" x14ac:dyDescent="0.2">
      <c r="A21" s="66" t="s">
        <v>75</v>
      </c>
      <c r="B21" s="15">
        <v>8</v>
      </c>
      <c r="C21" s="15">
        <v>1</v>
      </c>
      <c r="D21" s="15">
        <f t="shared" si="0"/>
        <v>8</v>
      </c>
      <c r="E21" s="15">
        <v>0</v>
      </c>
      <c r="F21" s="15">
        <f t="shared" si="1"/>
        <v>0</v>
      </c>
      <c r="G21" s="15">
        <f t="shared" si="2"/>
        <v>0</v>
      </c>
      <c r="H21" s="15">
        <f t="shared" si="3"/>
        <v>0</v>
      </c>
      <c r="I21" s="67">
        <f t="shared" si="4"/>
        <v>0</v>
      </c>
      <c r="J21" s="2"/>
      <c r="M21" s="38"/>
      <c r="N21" s="39"/>
      <c r="O21" s="39"/>
      <c r="P21" s="39"/>
      <c r="Q21" s="39"/>
      <c r="R21" s="41"/>
      <c r="S21" s="39"/>
      <c r="T21" s="39"/>
      <c r="U21" s="42"/>
    </row>
    <row r="22" spans="1:21" s="1" customFormat="1" ht="15.75" x14ac:dyDescent="0.25">
      <c r="A22" s="66" t="s">
        <v>76</v>
      </c>
      <c r="B22" s="15">
        <v>40</v>
      </c>
      <c r="C22" s="15">
        <v>1</v>
      </c>
      <c r="D22" s="15">
        <f t="shared" si="0"/>
        <v>40</v>
      </c>
      <c r="E22" s="15">
        <v>0</v>
      </c>
      <c r="F22" s="15">
        <f t="shared" si="1"/>
        <v>0</v>
      </c>
      <c r="G22" s="15">
        <f t="shared" si="2"/>
        <v>0</v>
      </c>
      <c r="H22" s="15">
        <f t="shared" si="3"/>
        <v>0</v>
      </c>
      <c r="I22" s="67">
        <f t="shared" si="4"/>
        <v>0</v>
      </c>
      <c r="J22" s="2"/>
      <c r="K22" s="2"/>
      <c r="M22" s="45"/>
      <c r="N22" s="45"/>
      <c r="O22" s="45"/>
      <c r="P22" s="45"/>
      <c r="Q22" s="45"/>
      <c r="R22" s="46"/>
      <c r="S22" s="46"/>
      <c r="T22" s="46"/>
      <c r="U22" s="47"/>
    </row>
    <row r="23" spans="1:21" s="1" customFormat="1" ht="12.75" x14ac:dyDescent="0.2">
      <c r="A23" s="66" t="s">
        <v>77</v>
      </c>
      <c r="B23" s="15">
        <v>24</v>
      </c>
      <c r="C23" s="15">
        <v>1</v>
      </c>
      <c r="D23" s="15">
        <f>+B23*C23</f>
        <v>24</v>
      </c>
      <c r="E23" s="15">
        <v>0</v>
      </c>
      <c r="F23" s="15">
        <f t="shared" si="1"/>
        <v>0</v>
      </c>
      <c r="G23" s="15">
        <f t="shared" si="2"/>
        <v>0</v>
      </c>
      <c r="H23" s="15">
        <f t="shared" si="3"/>
        <v>0</v>
      </c>
      <c r="I23" s="67">
        <f t="shared" si="4"/>
        <v>0</v>
      </c>
      <c r="J23" s="2"/>
      <c r="K23" s="2"/>
      <c r="M23" s="38"/>
      <c r="N23" s="39"/>
      <c r="O23" s="39"/>
      <c r="P23" s="39"/>
      <c r="Q23" s="39"/>
      <c r="R23" s="39"/>
      <c r="S23" s="39"/>
      <c r="T23" s="39"/>
      <c r="U23" s="40"/>
    </row>
    <row r="24" spans="1:21" s="1" customFormat="1" ht="15.75" x14ac:dyDescent="0.2">
      <c r="A24" s="66" t="s">
        <v>78</v>
      </c>
      <c r="B24" s="15">
        <v>50</v>
      </c>
      <c r="C24" s="15">
        <v>4</v>
      </c>
      <c r="D24" s="15">
        <f t="shared" si="0"/>
        <v>200</v>
      </c>
      <c r="E24" s="16">
        <v>25</v>
      </c>
      <c r="F24" s="50">
        <f t="shared" si="1"/>
        <v>5000</v>
      </c>
      <c r="G24" s="16">
        <f t="shared" si="2"/>
        <v>250</v>
      </c>
      <c r="H24" s="16">
        <f t="shared" si="3"/>
        <v>500</v>
      </c>
      <c r="I24" s="65">
        <f t="shared" si="4"/>
        <v>725047.5</v>
      </c>
      <c r="J24" s="2"/>
      <c r="K24" s="2"/>
      <c r="M24" s="38"/>
      <c r="N24" s="39"/>
      <c r="O24" s="39"/>
      <c r="P24" s="39"/>
      <c r="Q24" s="39"/>
      <c r="R24" s="39"/>
      <c r="S24" s="39"/>
      <c r="T24" s="39"/>
      <c r="U24" s="42"/>
    </row>
    <row r="25" spans="1:21" s="1" customFormat="1" ht="15.75" x14ac:dyDescent="0.2">
      <c r="A25" s="66" t="s">
        <v>79</v>
      </c>
      <c r="B25" s="15">
        <v>8</v>
      </c>
      <c r="C25" s="15">
        <v>1</v>
      </c>
      <c r="D25" s="15">
        <f t="shared" si="0"/>
        <v>8</v>
      </c>
      <c r="E25" s="16">
        <v>25</v>
      </c>
      <c r="F25" s="16">
        <f t="shared" si="1"/>
        <v>200</v>
      </c>
      <c r="G25" s="16">
        <f t="shared" si="2"/>
        <v>10</v>
      </c>
      <c r="H25" s="16">
        <f t="shared" si="3"/>
        <v>20</v>
      </c>
      <c r="I25" s="65">
        <f t="shared" si="4"/>
        <v>29001.9</v>
      </c>
      <c r="J25" s="2"/>
      <c r="M25" s="38"/>
      <c r="N25" s="39"/>
      <c r="O25" s="39"/>
      <c r="P25" s="39"/>
      <c r="Q25" s="39"/>
      <c r="R25" s="39"/>
      <c r="S25" s="39"/>
      <c r="T25" s="39"/>
      <c r="U25" s="42"/>
    </row>
    <row r="26" spans="1:21" s="1" customFormat="1" ht="13.5" x14ac:dyDescent="0.2">
      <c r="A26" s="68" t="s">
        <v>11</v>
      </c>
      <c r="B26" s="69"/>
      <c r="C26" s="69"/>
      <c r="D26" s="15"/>
      <c r="E26" s="17"/>
      <c r="F26" s="97">
        <f>+SUM(F5:H25)</f>
        <v>6095</v>
      </c>
      <c r="G26" s="97"/>
      <c r="H26" s="97"/>
      <c r="I26" s="21">
        <f>+SUM(I5:I25)</f>
        <v>768550.35</v>
      </c>
      <c r="J26" s="2"/>
      <c r="K26" s="2"/>
      <c r="M26" s="38"/>
      <c r="N26" s="39"/>
      <c r="O26" s="39"/>
      <c r="P26" s="39"/>
      <c r="Q26" s="39"/>
      <c r="R26" s="41"/>
      <c r="S26" s="39"/>
      <c r="T26" s="39"/>
      <c r="U26" s="42"/>
    </row>
    <row r="27" spans="1:21" s="1" customFormat="1" ht="18" customHeight="1" x14ac:dyDescent="0.2">
      <c r="A27" s="63" t="s">
        <v>80</v>
      </c>
      <c r="B27" s="69"/>
      <c r="C27" s="69"/>
      <c r="D27" s="15"/>
      <c r="E27" s="17"/>
      <c r="F27" s="70"/>
      <c r="G27" s="70"/>
      <c r="H27" s="70"/>
      <c r="I27" s="71"/>
      <c r="J27" s="2"/>
      <c r="K27" s="2"/>
      <c r="M27" s="38"/>
      <c r="N27" s="39"/>
      <c r="O27" s="39"/>
      <c r="P27" s="39"/>
      <c r="Q27" s="39"/>
      <c r="R27" s="39"/>
      <c r="S27" s="39"/>
      <c r="T27" s="39"/>
      <c r="U27" s="42"/>
    </row>
    <row r="28" spans="1:21" s="1" customFormat="1" ht="12.75" x14ac:dyDescent="0.2">
      <c r="A28" s="64" t="s">
        <v>81</v>
      </c>
      <c r="B28" s="15" t="s">
        <v>82</v>
      </c>
      <c r="C28" s="15"/>
      <c r="D28" s="15"/>
      <c r="E28" s="16"/>
      <c r="F28" s="16"/>
      <c r="G28" s="16"/>
      <c r="H28" s="16"/>
      <c r="I28" s="16"/>
      <c r="J28" s="2"/>
      <c r="K28" s="2"/>
      <c r="M28" s="38"/>
      <c r="N28" s="39"/>
      <c r="O28" s="39"/>
      <c r="P28" s="39"/>
      <c r="Q28" s="39"/>
      <c r="R28" s="39"/>
      <c r="S28" s="39"/>
      <c r="T28" s="39"/>
      <c r="U28" s="42"/>
    </row>
    <row r="29" spans="1:21" s="1" customFormat="1" ht="12.75" x14ac:dyDescent="0.2">
      <c r="A29" s="64" t="s">
        <v>83</v>
      </c>
      <c r="B29" s="15" t="s">
        <v>66</v>
      </c>
      <c r="C29" s="15"/>
      <c r="D29" s="15"/>
      <c r="E29" s="16"/>
      <c r="F29" s="16"/>
      <c r="G29" s="16"/>
      <c r="H29" s="16"/>
      <c r="I29" s="16"/>
      <c r="J29" s="2"/>
      <c r="K29" s="2"/>
      <c r="M29" s="38"/>
      <c r="N29" s="39"/>
      <c r="O29" s="39"/>
      <c r="P29" s="39"/>
      <c r="Q29" s="39"/>
      <c r="R29" s="39"/>
      <c r="S29" s="39"/>
      <c r="T29" s="39"/>
      <c r="U29" s="42"/>
    </row>
    <row r="30" spans="1:21" s="1" customFormat="1" ht="12.75" x14ac:dyDescent="0.2">
      <c r="A30" s="64" t="s">
        <v>84</v>
      </c>
      <c r="B30" s="15" t="s">
        <v>85</v>
      </c>
      <c r="C30" s="15"/>
      <c r="D30" s="15"/>
      <c r="E30" s="16"/>
      <c r="F30" s="16"/>
      <c r="G30" s="16"/>
      <c r="H30" s="16"/>
      <c r="I30" s="16"/>
      <c r="J30" s="2"/>
      <c r="K30" s="2"/>
      <c r="M30" s="38"/>
      <c r="N30" s="39"/>
      <c r="O30" s="39"/>
      <c r="P30" s="39"/>
      <c r="Q30" s="39"/>
      <c r="R30" s="39"/>
      <c r="S30" s="39"/>
      <c r="T30" s="39"/>
      <c r="U30" s="42"/>
    </row>
    <row r="31" spans="1:21" s="1" customFormat="1" ht="12.75" x14ac:dyDescent="0.2">
      <c r="A31" s="64" t="s">
        <v>86</v>
      </c>
      <c r="B31" s="15" t="s">
        <v>58</v>
      </c>
      <c r="C31" s="15"/>
      <c r="D31" s="15"/>
      <c r="E31" s="16"/>
      <c r="F31" s="16"/>
      <c r="G31" s="16"/>
      <c r="H31" s="16"/>
      <c r="I31" s="16"/>
      <c r="J31" s="2"/>
      <c r="K31" s="2"/>
      <c r="M31" s="38"/>
      <c r="N31" s="39"/>
      <c r="O31" s="39"/>
      <c r="P31" s="39"/>
      <c r="Q31" s="39"/>
      <c r="R31" s="39"/>
      <c r="S31" s="39"/>
      <c r="T31" s="39"/>
      <c r="U31" s="42"/>
    </row>
    <row r="32" spans="1:21" s="1" customFormat="1" ht="12.75" x14ac:dyDescent="0.2">
      <c r="A32" s="64" t="s">
        <v>87</v>
      </c>
      <c r="B32" s="15"/>
      <c r="C32" s="15"/>
      <c r="D32" s="15"/>
      <c r="E32" s="16"/>
      <c r="F32" s="16"/>
      <c r="G32" s="16"/>
      <c r="H32" s="16"/>
      <c r="I32" s="16"/>
      <c r="J32" s="2"/>
      <c r="K32" s="2"/>
      <c r="M32" s="38"/>
      <c r="N32" s="39"/>
      <c r="O32" s="39"/>
      <c r="P32" s="39"/>
      <c r="Q32" s="39"/>
      <c r="R32" s="39"/>
      <c r="S32" s="39"/>
      <c r="T32" s="39"/>
      <c r="U32" s="42"/>
    </row>
    <row r="33" spans="1:21" s="1" customFormat="1" ht="19.5" customHeight="1" x14ac:dyDescent="0.2">
      <c r="A33" s="66" t="s">
        <v>88</v>
      </c>
      <c r="B33" s="15">
        <v>0.25</v>
      </c>
      <c r="C33" s="15">
        <v>365</v>
      </c>
      <c r="D33" s="15">
        <f t="shared" si="0"/>
        <v>91.25</v>
      </c>
      <c r="E33" s="16">
        <v>25</v>
      </c>
      <c r="F33" s="50">
        <f t="shared" ref="F33:F34" si="5">+D33*E33</f>
        <v>2281.25</v>
      </c>
      <c r="G33" s="32">
        <f t="shared" ref="G33:G34" si="6">+F33*0.05</f>
        <v>114.0625</v>
      </c>
      <c r="H33" s="16">
        <f t="shared" ref="H33:H34" si="7">+F33*0.1</f>
        <v>228.125</v>
      </c>
      <c r="I33" s="65">
        <f t="shared" ref="I33:I34" si="8">+$L$6*F33+$L$5*G33+$L$7*H33</f>
        <v>330802.921875</v>
      </c>
      <c r="J33" s="2"/>
      <c r="K33" s="2"/>
      <c r="M33" s="38"/>
      <c r="N33" s="39"/>
      <c r="O33" s="39"/>
      <c r="P33" s="39"/>
      <c r="Q33" s="39"/>
      <c r="R33" s="39"/>
      <c r="S33" s="39"/>
      <c r="T33" s="39"/>
      <c r="U33" s="42"/>
    </row>
    <row r="34" spans="1:21" s="1" customFormat="1" ht="31.5" customHeight="1" x14ac:dyDescent="0.2">
      <c r="A34" s="66" t="s">
        <v>89</v>
      </c>
      <c r="B34" s="15">
        <v>1</v>
      </c>
      <c r="C34" s="15">
        <v>52</v>
      </c>
      <c r="D34" s="15">
        <f t="shared" si="0"/>
        <v>52</v>
      </c>
      <c r="E34" s="16">
        <v>25</v>
      </c>
      <c r="F34" s="16">
        <f t="shared" si="5"/>
        <v>1300</v>
      </c>
      <c r="G34" s="16">
        <f t="shared" si="6"/>
        <v>65</v>
      </c>
      <c r="H34" s="16">
        <f t="shared" si="7"/>
        <v>130</v>
      </c>
      <c r="I34" s="65">
        <f t="shared" si="8"/>
        <v>188512.34999999998</v>
      </c>
      <c r="J34" s="2"/>
      <c r="K34" s="2"/>
      <c r="M34" s="38"/>
      <c r="N34" s="39"/>
      <c r="O34" s="39"/>
      <c r="P34" s="39"/>
      <c r="Q34" s="39"/>
      <c r="R34" s="41"/>
      <c r="S34" s="39"/>
      <c r="T34" s="39"/>
      <c r="U34" s="42"/>
    </row>
    <row r="35" spans="1:21" s="1" customFormat="1" ht="12.75" x14ac:dyDescent="0.2">
      <c r="A35" s="64" t="s">
        <v>90</v>
      </c>
      <c r="B35" s="15" t="s">
        <v>58</v>
      </c>
      <c r="C35" s="15"/>
      <c r="D35" s="15"/>
      <c r="E35" s="16"/>
      <c r="F35" s="16"/>
      <c r="G35" s="16"/>
      <c r="H35" s="16"/>
      <c r="I35" s="16"/>
      <c r="J35" s="2"/>
      <c r="K35" s="2"/>
      <c r="M35" s="38"/>
      <c r="N35" s="39"/>
      <c r="O35" s="39"/>
      <c r="P35" s="39"/>
      <c r="Q35" s="39"/>
      <c r="R35" s="39"/>
      <c r="S35" s="39"/>
      <c r="T35" s="39"/>
      <c r="U35" s="42"/>
    </row>
    <row r="36" spans="1:21" s="1" customFormat="1" ht="18.75" customHeight="1" x14ac:dyDescent="0.2">
      <c r="A36" s="64" t="s">
        <v>91</v>
      </c>
      <c r="B36" s="15" t="s">
        <v>58</v>
      </c>
      <c r="C36" s="15"/>
      <c r="D36" s="15"/>
      <c r="E36" s="16"/>
      <c r="F36" s="16"/>
      <c r="G36" s="16"/>
      <c r="H36" s="16"/>
      <c r="I36" s="16"/>
      <c r="J36" s="2"/>
      <c r="K36" s="2"/>
      <c r="M36" s="38"/>
      <c r="N36" s="39"/>
      <c r="O36" s="39"/>
      <c r="P36" s="39"/>
      <c r="Q36" s="39"/>
      <c r="R36" s="39"/>
      <c r="S36" s="39"/>
      <c r="T36" s="39"/>
      <c r="U36" s="42"/>
    </row>
    <row r="37" spans="1:21" s="1" customFormat="1" ht="13.5" x14ac:dyDescent="0.2">
      <c r="A37" s="68" t="s">
        <v>92</v>
      </c>
      <c r="B37" s="69"/>
      <c r="C37" s="69"/>
      <c r="D37" s="69"/>
      <c r="E37" s="72"/>
      <c r="F37" s="97">
        <f>+SUM(F27:H36)</f>
        <v>4118.4375</v>
      </c>
      <c r="G37" s="97"/>
      <c r="H37" s="97"/>
      <c r="I37" s="21">
        <f>+SUM(I27:I36)</f>
        <v>519315.27187499998</v>
      </c>
      <c r="J37" s="2"/>
      <c r="K37" s="2"/>
      <c r="M37" s="38"/>
      <c r="N37" s="39"/>
      <c r="O37" s="39"/>
      <c r="P37" s="39"/>
      <c r="Q37" s="39"/>
      <c r="R37" s="39"/>
      <c r="S37" s="39"/>
      <c r="T37" s="39"/>
      <c r="U37" s="42"/>
    </row>
    <row r="38" spans="1:21" s="1" customFormat="1" ht="15.75" x14ac:dyDescent="0.2">
      <c r="A38" s="73" t="s">
        <v>93</v>
      </c>
      <c r="B38" s="26"/>
      <c r="C38" s="26"/>
      <c r="D38" s="26"/>
      <c r="E38" s="18"/>
      <c r="F38" s="98">
        <f>+ROUND(F26+F37,-1)</f>
        <v>10210</v>
      </c>
      <c r="G38" s="98"/>
      <c r="H38" s="98"/>
      <c r="I38" s="21">
        <f>+ROUND(I26+I37,-4)</f>
        <v>1290000</v>
      </c>
      <c r="J38" s="11"/>
      <c r="K38" s="2"/>
      <c r="M38" s="38"/>
      <c r="N38" s="39"/>
      <c r="O38" s="39"/>
      <c r="P38" s="39"/>
      <c r="Q38" s="39"/>
      <c r="R38" s="39"/>
      <c r="S38" s="39"/>
      <c r="T38" s="39"/>
      <c r="U38" s="42"/>
    </row>
    <row r="39" spans="1:21" s="1" customFormat="1" ht="15.75" x14ac:dyDescent="0.2">
      <c r="A39" s="73" t="s">
        <v>94</v>
      </c>
      <c r="B39" s="26"/>
      <c r="C39" s="26"/>
      <c r="D39" s="26"/>
      <c r="E39" s="18"/>
      <c r="F39" s="74"/>
      <c r="G39" s="74"/>
      <c r="H39" s="74"/>
      <c r="I39" s="21">
        <f>ROUND('Capital O&amp;M'!I6,-3)</f>
        <v>1600000</v>
      </c>
      <c r="J39" s="8"/>
      <c r="K39" s="7"/>
      <c r="L39" s="2"/>
      <c r="M39" s="38"/>
      <c r="N39" s="39"/>
      <c r="O39" s="39"/>
      <c r="P39" s="39"/>
      <c r="Q39" s="39"/>
      <c r="R39" s="39"/>
      <c r="S39" s="39"/>
      <c r="T39" s="39"/>
      <c r="U39" s="42"/>
    </row>
    <row r="40" spans="1:21" s="1" customFormat="1" ht="15.75" x14ac:dyDescent="0.2">
      <c r="A40" s="73" t="s">
        <v>95</v>
      </c>
      <c r="B40" s="26"/>
      <c r="C40" s="26"/>
      <c r="D40" s="26"/>
      <c r="E40" s="18"/>
      <c r="F40" s="74"/>
      <c r="G40" s="74"/>
      <c r="H40" s="74"/>
      <c r="I40" s="21">
        <f>+ROUND(I38+I39,-4)</f>
        <v>2890000</v>
      </c>
      <c r="J40" s="12"/>
      <c r="L40" s="2"/>
      <c r="M40" s="38"/>
      <c r="N40" s="39"/>
      <c r="O40" s="39"/>
      <c r="P40" s="39"/>
      <c r="Q40" s="39"/>
      <c r="R40" s="41"/>
      <c r="S40" s="39"/>
      <c r="T40" s="39"/>
      <c r="U40" s="42"/>
    </row>
    <row r="41" spans="1:21" s="1" customFormat="1" x14ac:dyDescent="0.25">
      <c r="A41" s="61"/>
      <c r="B41" s="61"/>
      <c r="C41" s="61"/>
      <c r="D41" s="61"/>
      <c r="E41" s="61"/>
      <c r="F41" s="61"/>
      <c r="G41" s="61"/>
      <c r="H41" s="61"/>
      <c r="I41" s="61"/>
      <c r="J41" s="12"/>
      <c r="K41" s="34">
        <f>F38/Responses!E15</f>
        <v>81.680000000000007</v>
      </c>
      <c r="L41" s="34" t="s">
        <v>12</v>
      </c>
      <c r="M41" s="38"/>
      <c r="N41" s="39"/>
      <c r="O41" s="39"/>
      <c r="P41" s="39"/>
      <c r="Q41" s="39"/>
      <c r="R41" s="39"/>
      <c r="S41" s="39"/>
      <c r="T41" s="39"/>
      <c r="U41" s="42"/>
    </row>
    <row r="42" spans="1:21" s="1" customFormat="1" ht="13.5" customHeight="1" x14ac:dyDescent="0.25">
      <c r="A42" s="75" t="s">
        <v>13</v>
      </c>
      <c r="B42" s="61"/>
      <c r="C42" s="61"/>
      <c r="D42" s="61"/>
      <c r="E42" s="61"/>
      <c r="F42" s="61"/>
      <c r="G42" s="61"/>
      <c r="H42" s="61"/>
      <c r="I42" s="61"/>
      <c r="J42" s="12"/>
      <c r="K42" s="10"/>
      <c r="L42" s="2"/>
      <c r="M42" s="38"/>
      <c r="N42" s="39"/>
      <c r="O42" s="39"/>
      <c r="P42" s="39"/>
      <c r="Q42" s="39"/>
      <c r="R42" s="39"/>
      <c r="S42" s="39"/>
      <c r="T42" s="39"/>
      <c r="U42" s="42"/>
    </row>
    <row r="43" spans="1:21" s="1" customFormat="1" ht="21" customHeight="1" x14ac:dyDescent="0.25">
      <c r="A43" s="76" t="s">
        <v>141</v>
      </c>
      <c r="B43" s="61"/>
      <c r="C43" s="61"/>
      <c r="D43" s="61"/>
      <c r="E43" s="61"/>
      <c r="F43" s="61"/>
      <c r="G43" s="61"/>
      <c r="H43" s="61"/>
      <c r="I43" s="61"/>
      <c r="J43" s="2"/>
      <c r="M43" s="45"/>
      <c r="N43" s="45"/>
      <c r="O43" s="45"/>
      <c r="P43" s="45"/>
      <c r="Q43" s="45"/>
      <c r="R43" s="46"/>
      <c r="S43" s="46"/>
      <c r="T43" s="46"/>
      <c r="U43" s="47"/>
    </row>
    <row r="44" spans="1:21" s="1" customFormat="1" ht="81.599999999999994" customHeight="1" x14ac:dyDescent="0.25">
      <c r="A44" s="94" t="s">
        <v>140</v>
      </c>
      <c r="B44" s="94"/>
      <c r="C44" s="94"/>
      <c r="D44" s="94"/>
      <c r="E44" s="94"/>
      <c r="F44" s="94"/>
      <c r="G44" s="94"/>
      <c r="H44" s="94"/>
      <c r="I44" s="94"/>
      <c r="J44" s="2"/>
      <c r="M44" s="48"/>
      <c r="N44" s="48"/>
      <c r="O44" s="48"/>
      <c r="P44" s="48"/>
      <c r="Q44" s="48"/>
      <c r="R44" s="46"/>
      <c r="S44" s="46"/>
      <c r="T44" s="46"/>
      <c r="U44" s="47"/>
    </row>
    <row r="45" spans="1:21" s="1" customFormat="1" ht="15.75" x14ac:dyDescent="0.25">
      <c r="A45" s="76" t="s">
        <v>96</v>
      </c>
      <c r="B45" s="61"/>
      <c r="C45" s="61"/>
      <c r="D45" s="61"/>
      <c r="E45" s="61"/>
      <c r="F45" s="61"/>
      <c r="G45" s="61"/>
      <c r="H45" s="61"/>
      <c r="I45" s="61"/>
      <c r="J45" s="2"/>
      <c r="M45" s="48"/>
      <c r="N45" s="48"/>
      <c r="O45" s="48"/>
      <c r="P45" s="48"/>
      <c r="Q45" s="48"/>
      <c r="R45" s="48"/>
      <c r="S45" s="48"/>
      <c r="T45" s="48"/>
      <c r="U45" s="47"/>
    </row>
    <row r="46" spans="1:21" s="1" customFormat="1" ht="15.75" x14ac:dyDescent="0.25">
      <c r="A46" s="76" t="s">
        <v>97</v>
      </c>
      <c r="B46" s="61"/>
      <c r="C46" s="61"/>
      <c r="D46" s="61"/>
      <c r="E46" s="61"/>
      <c r="F46" s="61"/>
      <c r="G46" s="61"/>
      <c r="H46" s="61"/>
      <c r="I46" s="61"/>
      <c r="J46" s="2"/>
      <c r="M46" s="48"/>
      <c r="N46" s="48"/>
      <c r="O46" s="48"/>
      <c r="P46" s="48"/>
      <c r="Q46" s="48"/>
      <c r="R46" s="48"/>
      <c r="S46" s="48"/>
      <c r="T46" s="48"/>
      <c r="U46" s="47"/>
    </row>
    <row r="47" spans="1:21" s="1" customFormat="1" ht="15.75" x14ac:dyDescent="0.25">
      <c r="A47" s="76" t="s">
        <v>98</v>
      </c>
      <c r="B47" s="61"/>
      <c r="C47" s="61"/>
      <c r="D47" s="61"/>
      <c r="E47" s="61"/>
      <c r="F47" s="61"/>
      <c r="G47" s="61"/>
      <c r="H47" s="61"/>
      <c r="I47" s="61"/>
      <c r="J47" s="2"/>
      <c r="M47" s="27"/>
      <c r="N47" s="27"/>
      <c r="O47" s="27"/>
      <c r="P47" s="27"/>
      <c r="Q47" s="27"/>
      <c r="R47" s="27"/>
      <c r="S47" s="27"/>
      <c r="T47" s="27"/>
      <c r="U47" s="27"/>
    </row>
    <row r="48" spans="1:21" s="1" customFormat="1" ht="15.75" x14ac:dyDescent="0.25">
      <c r="A48" s="76" t="s">
        <v>99</v>
      </c>
      <c r="B48" s="61"/>
      <c r="C48" s="61"/>
      <c r="D48" s="61"/>
      <c r="E48" s="61"/>
      <c r="F48" s="61"/>
      <c r="G48" s="61"/>
      <c r="H48" s="61"/>
      <c r="I48" s="61"/>
      <c r="J48" s="2"/>
      <c r="M48" s="27"/>
      <c r="N48" s="27"/>
      <c r="O48" s="27"/>
      <c r="P48" s="27"/>
      <c r="Q48" s="27"/>
      <c r="R48" s="27"/>
      <c r="S48" s="27"/>
      <c r="T48" s="27"/>
      <c r="U48" s="27"/>
    </row>
    <row r="49" spans="1:21" s="1" customFormat="1" ht="15.75" x14ac:dyDescent="0.25">
      <c r="A49" s="76" t="s">
        <v>100</v>
      </c>
      <c r="B49" s="61"/>
      <c r="C49" s="61"/>
      <c r="D49" s="61"/>
      <c r="E49" s="61"/>
      <c r="F49" s="61"/>
      <c r="G49" s="61"/>
      <c r="H49" s="61"/>
      <c r="I49" s="61"/>
      <c r="J49" s="6"/>
      <c r="M49" s="27"/>
      <c r="N49" s="27"/>
      <c r="O49" s="27"/>
      <c r="P49" s="27"/>
      <c r="Q49" s="27"/>
      <c r="R49" s="27"/>
      <c r="S49" s="27"/>
      <c r="T49" s="27"/>
      <c r="U49" s="27"/>
    </row>
    <row r="50" spans="1:21" s="1" customFormat="1" ht="15.75" x14ac:dyDescent="0.25">
      <c r="A50" s="76" t="s">
        <v>101</v>
      </c>
      <c r="B50" s="61"/>
      <c r="C50" s="61"/>
      <c r="D50" s="61"/>
      <c r="E50" s="61"/>
      <c r="F50" s="61"/>
      <c r="G50" s="61"/>
      <c r="H50" s="61"/>
      <c r="I50" s="61"/>
      <c r="J50" s="2"/>
      <c r="M50" s="27"/>
      <c r="N50" s="27"/>
      <c r="O50" s="27"/>
      <c r="P50" s="27"/>
      <c r="Q50" s="27"/>
      <c r="R50" s="27"/>
      <c r="S50" s="27"/>
      <c r="T50" s="27"/>
      <c r="U50" s="27"/>
    </row>
    <row r="51" spans="1:21" s="1" customFormat="1" ht="15.75" x14ac:dyDescent="0.25">
      <c r="A51" s="76" t="s">
        <v>102</v>
      </c>
      <c r="B51" s="61"/>
      <c r="C51" s="61"/>
      <c r="D51" s="61"/>
      <c r="E51" s="61"/>
      <c r="F51" s="61"/>
      <c r="G51" s="61"/>
      <c r="H51" s="61"/>
      <c r="I51" s="61"/>
      <c r="M51" s="27"/>
      <c r="N51" s="27"/>
      <c r="O51" s="27"/>
      <c r="P51" s="27"/>
      <c r="Q51" s="27"/>
      <c r="R51" s="27"/>
      <c r="S51" s="27"/>
      <c r="T51" s="27"/>
      <c r="U51" s="27"/>
    </row>
    <row r="52" spans="1:21" s="1" customFormat="1" ht="15.75" x14ac:dyDescent="0.25">
      <c r="A52" s="76" t="s">
        <v>103</v>
      </c>
      <c r="B52" s="61"/>
      <c r="C52" s="61"/>
      <c r="D52" s="61"/>
      <c r="E52" s="61"/>
      <c r="F52" s="61"/>
      <c r="G52" s="61"/>
      <c r="H52" s="61"/>
      <c r="I52" s="61"/>
      <c r="M52" s="27"/>
      <c r="N52" s="27"/>
      <c r="O52" s="27"/>
      <c r="P52" s="27"/>
      <c r="Q52" s="27"/>
      <c r="R52" s="27"/>
      <c r="S52" s="27"/>
      <c r="T52" s="27"/>
      <c r="U52" s="27"/>
    </row>
    <row r="53" spans="1:21" s="1" customFormat="1" ht="15.75" x14ac:dyDescent="0.25">
      <c r="A53" s="76" t="s">
        <v>104</v>
      </c>
      <c r="B53" s="61"/>
      <c r="C53" s="61"/>
      <c r="D53" s="61"/>
      <c r="E53" s="61"/>
      <c r="F53" s="61"/>
      <c r="G53" s="61"/>
      <c r="H53" s="61"/>
      <c r="I53" s="61"/>
      <c r="M53" s="49"/>
      <c r="N53" s="49"/>
      <c r="O53" s="49"/>
      <c r="P53" s="49"/>
      <c r="Q53" s="49"/>
      <c r="R53" s="49"/>
      <c r="S53" s="49"/>
      <c r="T53" s="49"/>
      <c r="U53" s="49"/>
    </row>
    <row r="54" spans="1:21" s="1" customFormat="1" ht="15.75" x14ac:dyDescent="0.25">
      <c r="A54" s="77" t="s">
        <v>105</v>
      </c>
      <c r="B54" s="61"/>
      <c r="C54" s="61"/>
      <c r="D54" s="61"/>
      <c r="E54" s="61"/>
      <c r="F54" s="61"/>
      <c r="G54" s="61"/>
      <c r="H54" s="61"/>
      <c r="I54" s="61"/>
      <c r="M54" s="27"/>
      <c r="N54" s="27"/>
      <c r="O54" s="27"/>
      <c r="P54" s="27"/>
      <c r="Q54" s="27"/>
      <c r="R54" s="27"/>
      <c r="S54" s="27"/>
      <c r="T54" s="27"/>
      <c r="U54" s="27"/>
    </row>
    <row r="55" spans="1:21" s="1" customFormat="1" ht="15.75" x14ac:dyDescent="0.25">
      <c r="A55" s="76" t="s">
        <v>106</v>
      </c>
      <c r="B55" s="61"/>
      <c r="C55" s="61"/>
      <c r="D55" s="61"/>
      <c r="E55" s="61"/>
      <c r="F55" s="61"/>
      <c r="G55" s="61"/>
      <c r="H55" s="61"/>
      <c r="I55" s="61"/>
      <c r="M55" s="27"/>
      <c r="N55" s="27"/>
      <c r="O55" s="27"/>
      <c r="P55" s="27"/>
      <c r="Q55" s="27"/>
      <c r="R55" s="27"/>
      <c r="S55" s="27"/>
      <c r="T55" s="27"/>
      <c r="U55" s="27"/>
    </row>
    <row r="56" spans="1:21" s="1" customFormat="1" x14ac:dyDescent="0.25">
      <c r="A56" s="61"/>
      <c r="B56" s="61"/>
      <c r="C56" s="61"/>
      <c r="D56" s="61"/>
      <c r="E56" s="61"/>
      <c r="F56" s="61"/>
      <c r="G56" s="61"/>
      <c r="H56" s="61"/>
      <c r="I56" s="61"/>
      <c r="M56" s="27"/>
      <c r="N56" s="27"/>
      <c r="O56" s="27"/>
      <c r="P56" s="27"/>
      <c r="Q56" s="27"/>
      <c r="R56" s="27"/>
      <c r="S56" s="27"/>
      <c r="T56" s="27"/>
      <c r="U56" s="27"/>
    </row>
    <row r="70" ht="15.75" customHeight="1" x14ac:dyDescent="0.25"/>
    <row r="71" ht="15" customHeight="1" x14ac:dyDescent="0.25"/>
  </sheetData>
  <sortState xmlns:xlrd2="http://schemas.microsoft.com/office/spreadsheetml/2017/richdata2" ref="A61:C76">
    <sortCondition ref="C61:C76"/>
  </sortState>
  <mergeCells count="6">
    <mergeCell ref="A44:I44"/>
    <mergeCell ref="K4:L4"/>
    <mergeCell ref="A3:A4"/>
    <mergeCell ref="F26:H26"/>
    <mergeCell ref="F37:H37"/>
    <mergeCell ref="F38:H38"/>
  </mergeCells>
  <phoneticPr fontId="22" type="noConversion"/>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443F-7CF2-4AB9-A4F5-AA1F42586018}">
  <dimension ref="A1:L33"/>
  <sheetViews>
    <sheetView workbookViewId="0">
      <selection activeCell="A2" sqref="A2"/>
    </sheetView>
  </sheetViews>
  <sheetFormatPr defaultRowHeight="15" x14ac:dyDescent="0.25"/>
  <cols>
    <col min="1" max="1" width="38.7109375" customWidth="1"/>
    <col min="2" max="2" width="10" customWidth="1"/>
    <col min="3" max="3" width="10.5703125" customWidth="1"/>
    <col min="7" max="7" width="10.7109375" customWidth="1"/>
    <col min="9" max="9" width="11.28515625" customWidth="1"/>
    <col min="10" max="10" width="8.140625" customWidth="1"/>
    <col min="11" max="11" width="11.85546875" customWidth="1"/>
  </cols>
  <sheetData>
    <row r="1" spans="1:12" ht="15.75" x14ac:dyDescent="0.25">
      <c r="A1" s="78" t="s">
        <v>107</v>
      </c>
      <c r="K1" s="2"/>
    </row>
    <row r="3" spans="1:12" x14ac:dyDescent="0.25">
      <c r="A3" s="101" t="s">
        <v>108</v>
      </c>
      <c r="B3" s="26" t="s">
        <v>109</v>
      </c>
      <c r="C3" s="26" t="s">
        <v>45</v>
      </c>
      <c r="D3" s="26" t="s">
        <v>46</v>
      </c>
      <c r="E3" s="26" t="s">
        <v>20</v>
      </c>
      <c r="F3" s="26" t="s">
        <v>47</v>
      </c>
      <c r="G3" s="26" t="s">
        <v>22</v>
      </c>
      <c r="H3" s="26" t="s">
        <v>23</v>
      </c>
      <c r="I3" s="26" t="s">
        <v>48</v>
      </c>
      <c r="J3" s="1"/>
      <c r="K3" s="1"/>
      <c r="L3" s="1"/>
    </row>
    <row r="4" spans="1:12" ht="76.5" x14ac:dyDescent="0.25">
      <c r="A4" s="101"/>
      <c r="B4" s="26" t="s">
        <v>110</v>
      </c>
      <c r="C4" s="26" t="s">
        <v>111</v>
      </c>
      <c r="D4" s="26" t="s">
        <v>112</v>
      </c>
      <c r="E4" s="26" t="s">
        <v>113</v>
      </c>
      <c r="F4" s="26" t="s">
        <v>53</v>
      </c>
      <c r="G4" s="26" t="s">
        <v>114</v>
      </c>
      <c r="H4" s="26" t="s">
        <v>115</v>
      </c>
      <c r="I4" s="26" t="s">
        <v>56</v>
      </c>
      <c r="J4" s="1"/>
      <c r="K4" s="95" t="s">
        <v>7</v>
      </c>
      <c r="L4" s="95"/>
    </row>
    <row r="5" spans="1:12" ht="15.75" x14ac:dyDescent="0.25">
      <c r="A5" s="63" t="s">
        <v>116</v>
      </c>
      <c r="B5" s="79">
        <v>24</v>
      </c>
      <c r="C5" s="79">
        <v>1</v>
      </c>
      <c r="D5" s="79">
        <f>+B5*C5</f>
        <v>24</v>
      </c>
      <c r="E5" s="79">
        <v>0</v>
      </c>
      <c r="F5" s="79">
        <f>+D5*E5</f>
        <v>0</v>
      </c>
      <c r="G5" s="79">
        <f>+F5*0.05</f>
        <v>0</v>
      </c>
      <c r="H5" s="79">
        <f>+F5*0.1</f>
        <v>0</v>
      </c>
      <c r="I5" s="80">
        <f>+$L$6*F5+$L$5*G5+$L$7*H5</f>
        <v>0</v>
      </c>
      <c r="J5" s="1"/>
      <c r="K5" s="9" t="s">
        <v>8</v>
      </c>
      <c r="L5" s="28">
        <v>73.456000000000003</v>
      </c>
    </row>
    <row r="6" spans="1:12" ht="15.75" x14ac:dyDescent="0.25">
      <c r="A6" s="63" t="s">
        <v>117</v>
      </c>
      <c r="B6" s="79">
        <v>24</v>
      </c>
      <c r="C6" s="79">
        <v>0.2</v>
      </c>
      <c r="D6" s="79">
        <f t="shared" ref="D6:D18" si="0">+B6*C6</f>
        <v>4.8000000000000007</v>
      </c>
      <c r="E6" s="79">
        <v>0</v>
      </c>
      <c r="F6" s="79">
        <f t="shared" ref="F6:F18" si="1">+D6*E6</f>
        <v>0</v>
      </c>
      <c r="G6" s="79">
        <f t="shared" ref="G6:G18" si="2">+F6*0.05</f>
        <v>0</v>
      </c>
      <c r="H6" s="79">
        <f t="shared" ref="H6:H18" si="3">+F6*0.1</f>
        <v>0</v>
      </c>
      <c r="I6" s="80">
        <f>+$L$6*F6+$L$5*G6+$L$7*H6</f>
        <v>0</v>
      </c>
      <c r="J6" s="1"/>
      <c r="K6" s="9" t="s">
        <v>15</v>
      </c>
      <c r="L6" s="28">
        <v>54.512</v>
      </c>
    </row>
    <row r="7" spans="1:12" x14ac:dyDescent="0.25">
      <c r="A7" s="63" t="s">
        <v>118</v>
      </c>
      <c r="B7" s="79"/>
      <c r="C7" s="79"/>
      <c r="D7" s="79"/>
      <c r="E7" s="79"/>
      <c r="F7" s="79"/>
      <c r="G7" s="79"/>
      <c r="H7" s="79"/>
      <c r="I7" s="81"/>
      <c r="J7" s="1"/>
      <c r="K7" s="9" t="s">
        <v>10</v>
      </c>
      <c r="L7" s="28">
        <v>29.504000000000001</v>
      </c>
    </row>
    <row r="8" spans="1:12" x14ac:dyDescent="0.25">
      <c r="A8" s="64" t="s">
        <v>69</v>
      </c>
      <c r="B8" s="79">
        <v>1</v>
      </c>
      <c r="C8" s="79">
        <v>1</v>
      </c>
      <c r="D8" s="79">
        <f t="shared" si="0"/>
        <v>1</v>
      </c>
      <c r="E8" s="79">
        <v>0</v>
      </c>
      <c r="F8" s="79">
        <f t="shared" si="1"/>
        <v>0</v>
      </c>
      <c r="G8" s="79">
        <f t="shared" si="2"/>
        <v>0</v>
      </c>
      <c r="H8" s="79">
        <f t="shared" si="3"/>
        <v>0</v>
      </c>
      <c r="I8" s="80">
        <f>+$L$6*F8+$L$5*G8+$L$7*H8</f>
        <v>0</v>
      </c>
      <c r="J8" s="7"/>
      <c r="K8" s="7"/>
      <c r="L8" s="1"/>
    </row>
    <row r="9" spans="1:12" ht="19.5" customHeight="1" x14ac:dyDescent="0.25">
      <c r="A9" s="64" t="s">
        <v>70</v>
      </c>
      <c r="B9" s="79">
        <v>0.5</v>
      </c>
      <c r="C9" s="79">
        <v>1</v>
      </c>
      <c r="D9" s="79">
        <f t="shared" si="0"/>
        <v>0.5</v>
      </c>
      <c r="E9" s="79">
        <v>0</v>
      </c>
      <c r="F9" s="79">
        <f t="shared" si="1"/>
        <v>0</v>
      </c>
      <c r="G9" s="79">
        <f t="shared" si="2"/>
        <v>0</v>
      </c>
      <c r="H9" s="79">
        <f t="shared" si="3"/>
        <v>0</v>
      </c>
      <c r="I9" s="80">
        <f t="shared" ref="I9:I18" si="4">+$L$6*F9+$L$5*G9+$L$7*H9</f>
        <v>0</v>
      </c>
      <c r="J9" s="7"/>
      <c r="K9" s="7"/>
      <c r="L9" s="2"/>
    </row>
    <row r="10" spans="1:12" x14ac:dyDescent="0.25">
      <c r="A10" s="64" t="s">
        <v>71</v>
      </c>
      <c r="B10" s="79">
        <v>0.5</v>
      </c>
      <c r="C10" s="79">
        <v>1</v>
      </c>
      <c r="D10" s="79">
        <f t="shared" si="0"/>
        <v>0.5</v>
      </c>
      <c r="E10" s="79">
        <v>0</v>
      </c>
      <c r="F10" s="79">
        <f t="shared" si="1"/>
        <v>0</v>
      </c>
      <c r="G10" s="79">
        <f t="shared" si="2"/>
        <v>0</v>
      </c>
      <c r="H10" s="79">
        <f t="shared" si="3"/>
        <v>0</v>
      </c>
      <c r="I10" s="80">
        <f t="shared" si="4"/>
        <v>0</v>
      </c>
      <c r="J10" s="10"/>
      <c r="K10" s="10"/>
      <c r="L10" s="35"/>
    </row>
    <row r="11" spans="1:12" x14ac:dyDescent="0.25">
      <c r="A11" s="64" t="s">
        <v>72</v>
      </c>
      <c r="B11" s="79">
        <v>0.5</v>
      </c>
      <c r="C11" s="79">
        <v>1</v>
      </c>
      <c r="D11" s="79">
        <f t="shared" si="0"/>
        <v>0.5</v>
      </c>
      <c r="E11" s="79">
        <v>0</v>
      </c>
      <c r="F11" s="79">
        <f t="shared" si="1"/>
        <v>0</v>
      </c>
      <c r="G11" s="79">
        <f t="shared" si="2"/>
        <v>0</v>
      </c>
      <c r="H11" s="79">
        <f t="shared" si="3"/>
        <v>0</v>
      </c>
      <c r="I11" s="80">
        <f t="shared" si="4"/>
        <v>0</v>
      </c>
      <c r="J11" s="1"/>
      <c r="K11" s="1"/>
      <c r="L11" s="1"/>
    </row>
    <row r="12" spans="1:12" ht="15.75" x14ac:dyDescent="0.25">
      <c r="A12" s="64" t="s">
        <v>119</v>
      </c>
      <c r="B12" s="79">
        <v>0.5</v>
      </c>
      <c r="C12" s="79">
        <v>1</v>
      </c>
      <c r="D12" s="79">
        <f t="shared" si="0"/>
        <v>0.5</v>
      </c>
      <c r="E12" s="79">
        <v>0</v>
      </c>
      <c r="F12" s="79">
        <f t="shared" si="1"/>
        <v>0</v>
      </c>
      <c r="G12" s="79">
        <f t="shared" si="2"/>
        <v>0</v>
      </c>
      <c r="H12" s="79">
        <f t="shared" si="3"/>
        <v>0</v>
      </c>
      <c r="I12" s="80">
        <f t="shared" si="4"/>
        <v>0</v>
      </c>
      <c r="J12" s="1"/>
      <c r="K12" s="1"/>
      <c r="L12" s="1"/>
    </row>
    <row r="13" spans="1:12" ht="15" customHeight="1" x14ac:dyDescent="0.25">
      <c r="A13" s="64" t="s">
        <v>120</v>
      </c>
      <c r="B13" s="79">
        <v>24</v>
      </c>
      <c r="C13" s="79">
        <v>1</v>
      </c>
      <c r="D13" s="79">
        <f t="shared" si="0"/>
        <v>24</v>
      </c>
      <c r="E13" s="79">
        <v>0</v>
      </c>
      <c r="F13" s="79">
        <f t="shared" si="1"/>
        <v>0</v>
      </c>
      <c r="G13" s="79">
        <f t="shared" si="2"/>
        <v>0</v>
      </c>
      <c r="H13" s="79">
        <f t="shared" si="3"/>
        <v>0</v>
      </c>
      <c r="I13" s="80">
        <f t="shared" si="4"/>
        <v>0</v>
      </c>
      <c r="J13" s="1"/>
      <c r="K13" s="1"/>
      <c r="L13" s="1"/>
    </row>
    <row r="14" spans="1:12" ht="15.75" x14ac:dyDescent="0.25">
      <c r="A14" s="64" t="s">
        <v>75</v>
      </c>
      <c r="B14" s="79">
        <v>24</v>
      </c>
      <c r="C14" s="79">
        <v>1</v>
      </c>
      <c r="D14" s="79">
        <f t="shared" si="0"/>
        <v>24</v>
      </c>
      <c r="E14" s="79">
        <v>0</v>
      </c>
      <c r="F14" s="79">
        <f t="shared" si="1"/>
        <v>0</v>
      </c>
      <c r="G14" s="79">
        <f t="shared" si="2"/>
        <v>0</v>
      </c>
      <c r="H14" s="79">
        <f t="shared" si="3"/>
        <v>0</v>
      </c>
      <c r="I14" s="80">
        <f t="shared" si="4"/>
        <v>0</v>
      </c>
      <c r="J14" s="1"/>
      <c r="K14" s="1"/>
      <c r="L14" s="1"/>
    </row>
    <row r="15" spans="1:12" ht="18.75" customHeight="1" x14ac:dyDescent="0.25">
      <c r="A15" s="64" t="s">
        <v>121</v>
      </c>
      <c r="B15" s="79">
        <v>24</v>
      </c>
      <c r="C15" s="79">
        <v>1</v>
      </c>
      <c r="D15" s="79">
        <f t="shared" si="0"/>
        <v>24</v>
      </c>
      <c r="E15" s="79">
        <v>0</v>
      </c>
      <c r="F15" s="79">
        <f t="shared" si="1"/>
        <v>0</v>
      </c>
      <c r="G15" s="79">
        <f t="shared" si="2"/>
        <v>0</v>
      </c>
      <c r="H15" s="79">
        <f t="shared" si="3"/>
        <v>0</v>
      </c>
      <c r="I15" s="80">
        <f t="shared" si="4"/>
        <v>0</v>
      </c>
      <c r="J15" s="1"/>
      <c r="K15" s="1"/>
      <c r="L15" s="1"/>
    </row>
    <row r="16" spans="1:12" x14ac:dyDescent="0.25">
      <c r="A16" s="64" t="s">
        <v>77</v>
      </c>
      <c r="B16" s="79">
        <v>24</v>
      </c>
      <c r="C16" s="79">
        <v>1</v>
      </c>
      <c r="D16" s="79">
        <f t="shared" si="0"/>
        <v>24</v>
      </c>
      <c r="E16" s="79">
        <v>0</v>
      </c>
      <c r="F16" s="79">
        <f t="shared" si="1"/>
        <v>0</v>
      </c>
      <c r="G16" s="79">
        <f t="shared" si="2"/>
        <v>0</v>
      </c>
      <c r="H16" s="79">
        <f t="shared" si="3"/>
        <v>0</v>
      </c>
      <c r="I16" s="80">
        <f t="shared" si="4"/>
        <v>0</v>
      </c>
      <c r="J16" s="1"/>
      <c r="K16" s="1"/>
      <c r="L16" s="1"/>
    </row>
    <row r="17" spans="1:12" ht="15.75" x14ac:dyDescent="0.25">
      <c r="A17" s="64" t="s">
        <v>122</v>
      </c>
      <c r="B17" s="79">
        <v>4</v>
      </c>
      <c r="C17" s="79">
        <v>4</v>
      </c>
      <c r="D17" s="79">
        <f t="shared" si="0"/>
        <v>16</v>
      </c>
      <c r="E17" s="82">
        <v>25</v>
      </c>
      <c r="F17" s="82">
        <f t="shared" si="1"/>
        <v>400</v>
      </c>
      <c r="G17" s="82">
        <f t="shared" si="2"/>
        <v>20</v>
      </c>
      <c r="H17" s="82">
        <f t="shared" si="3"/>
        <v>40</v>
      </c>
      <c r="I17" s="80">
        <f t="shared" si="4"/>
        <v>24454.079999999998</v>
      </c>
      <c r="J17" s="1"/>
      <c r="K17" s="1"/>
      <c r="L17" s="1"/>
    </row>
    <row r="18" spans="1:12" ht="15.75" x14ac:dyDescent="0.25">
      <c r="A18" s="64" t="s">
        <v>123</v>
      </c>
      <c r="B18" s="79">
        <v>24</v>
      </c>
      <c r="C18" s="79">
        <v>1</v>
      </c>
      <c r="D18" s="79">
        <f t="shared" si="0"/>
        <v>24</v>
      </c>
      <c r="E18" s="82">
        <v>25</v>
      </c>
      <c r="F18" s="83">
        <f t="shared" si="1"/>
        <v>600</v>
      </c>
      <c r="G18" s="84">
        <f t="shared" si="2"/>
        <v>30</v>
      </c>
      <c r="H18" s="84">
        <f t="shared" si="3"/>
        <v>60</v>
      </c>
      <c r="I18" s="80">
        <f t="shared" si="4"/>
        <v>36681.120000000003</v>
      </c>
      <c r="J18" s="1"/>
      <c r="K18" s="1"/>
      <c r="L18" s="1"/>
    </row>
    <row r="19" spans="1:12" ht="15.75" x14ac:dyDescent="0.25">
      <c r="A19" s="73" t="s">
        <v>124</v>
      </c>
      <c r="B19" s="62"/>
      <c r="C19" s="62"/>
      <c r="D19" s="62"/>
      <c r="E19" s="85"/>
      <c r="F19" s="98">
        <f>+ROUND(SUM(F5:H18),0)</f>
        <v>1150</v>
      </c>
      <c r="G19" s="98"/>
      <c r="H19" s="98"/>
      <c r="I19" s="86">
        <f>ROUND(SUM(I5:I18),-2)</f>
        <v>61100</v>
      </c>
      <c r="J19" s="1"/>
      <c r="K19" s="1"/>
      <c r="L19" s="1"/>
    </row>
    <row r="20" spans="1:12" x14ac:dyDescent="0.25">
      <c r="J20" s="1"/>
      <c r="K20" s="1"/>
      <c r="L20" s="1"/>
    </row>
    <row r="21" spans="1:12" ht="14.45" customHeight="1" x14ac:dyDescent="0.25">
      <c r="A21" s="75" t="s">
        <v>13</v>
      </c>
      <c r="J21" s="1"/>
      <c r="K21" s="1"/>
      <c r="L21" s="1"/>
    </row>
    <row r="22" spans="1:12" ht="14.45" customHeight="1" x14ac:dyDescent="0.25">
      <c r="A22" s="76" t="s">
        <v>141</v>
      </c>
      <c r="B22" s="14"/>
      <c r="C22" s="14"/>
      <c r="D22" s="14"/>
      <c r="E22" s="14"/>
      <c r="F22" s="14"/>
      <c r="G22" s="14"/>
      <c r="H22" s="14"/>
      <c r="I22" s="14"/>
      <c r="J22" s="1"/>
      <c r="K22" s="1"/>
      <c r="L22" s="1"/>
    </row>
    <row r="23" spans="1:12" ht="58.9" customHeight="1" x14ac:dyDescent="0.25">
      <c r="A23" s="99" t="s">
        <v>139</v>
      </c>
      <c r="B23" s="100"/>
      <c r="C23" s="100"/>
      <c r="D23" s="100"/>
      <c r="E23" s="100"/>
      <c r="F23" s="100"/>
      <c r="G23" s="100"/>
      <c r="H23" s="100"/>
      <c r="I23" s="100"/>
      <c r="J23" s="2"/>
      <c r="K23" s="1"/>
      <c r="L23" s="1"/>
    </row>
    <row r="24" spans="1:12" ht="15.75" x14ac:dyDescent="0.25">
      <c r="A24" s="76" t="s">
        <v>125</v>
      </c>
      <c r="B24" s="14"/>
      <c r="C24" s="14"/>
      <c r="D24" s="14"/>
      <c r="E24" s="14"/>
      <c r="F24" s="14"/>
      <c r="G24" s="14"/>
      <c r="H24" s="14"/>
      <c r="I24" s="14"/>
      <c r="J24" s="1"/>
      <c r="K24" s="1"/>
      <c r="L24" s="1"/>
    </row>
    <row r="25" spans="1:12" ht="15.75" x14ac:dyDescent="0.25">
      <c r="A25" s="76" t="s">
        <v>126</v>
      </c>
      <c r="B25" s="14"/>
      <c r="C25" s="14"/>
      <c r="D25" s="14"/>
      <c r="E25" s="14"/>
      <c r="F25" s="14"/>
      <c r="G25" s="14"/>
      <c r="H25" s="14"/>
      <c r="I25" s="14"/>
      <c r="J25" s="1"/>
      <c r="K25" s="1"/>
      <c r="L25" s="1"/>
    </row>
    <row r="26" spans="1:12" ht="15.75" x14ac:dyDescent="0.25">
      <c r="A26" s="76" t="s">
        <v>127</v>
      </c>
      <c r="B26" s="14"/>
      <c r="C26" s="14"/>
      <c r="D26" s="14"/>
      <c r="E26" s="14"/>
      <c r="F26" s="14"/>
      <c r="G26" s="14"/>
      <c r="H26" s="14"/>
      <c r="I26" s="14"/>
      <c r="J26" s="1"/>
      <c r="K26" s="1"/>
      <c r="L26" s="1"/>
    </row>
    <row r="27" spans="1:12" ht="15.75" x14ac:dyDescent="0.25">
      <c r="A27" s="76" t="s">
        <v>128</v>
      </c>
      <c r="B27" s="14"/>
      <c r="C27" s="14"/>
      <c r="D27" s="14"/>
      <c r="E27" s="14"/>
      <c r="F27" s="14"/>
      <c r="G27" s="14"/>
      <c r="H27" s="14"/>
      <c r="I27" s="14"/>
      <c r="J27" s="1"/>
      <c r="K27" s="1"/>
      <c r="L27" s="1"/>
    </row>
    <row r="28" spans="1:12" ht="15.75" x14ac:dyDescent="0.25">
      <c r="A28" s="76" t="s">
        <v>129</v>
      </c>
      <c r="B28" s="14"/>
      <c r="C28" s="14"/>
      <c r="D28" s="14"/>
      <c r="E28" s="14"/>
      <c r="F28" s="14"/>
      <c r="G28" s="14"/>
      <c r="H28" s="14"/>
      <c r="I28" s="14"/>
      <c r="J28" s="1"/>
      <c r="K28" s="1"/>
      <c r="L28" s="1"/>
    </row>
    <row r="29" spans="1:12" ht="15.75" x14ac:dyDescent="0.25">
      <c r="A29" s="76" t="s">
        <v>130</v>
      </c>
      <c r="B29" s="14"/>
      <c r="C29" s="14"/>
      <c r="D29" s="14"/>
      <c r="E29" s="14"/>
      <c r="F29" s="14"/>
      <c r="G29" s="14"/>
      <c r="H29" s="14"/>
      <c r="I29" s="14"/>
      <c r="J29" s="1"/>
      <c r="K29" s="1"/>
      <c r="L29" s="1"/>
    </row>
    <row r="30" spans="1:12" ht="15.75" x14ac:dyDescent="0.25">
      <c r="A30" s="76" t="s">
        <v>131</v>
      </c>
      <c r="B30" s="14"/>
      <c r="C30" s="14"/>
      <c r="D30" s="14"/>
      <c r="E30" s="14"/>
      <c r="F30" s="14"/>
      <c r="G30" s="14"/>
      <c r="H30" s="14"/>
      <c r="I30" s="14"/>
      <c r="J30" s="1"/>
      <c r="K30" s="1"/>
      <c r="L30" s="1"/>
    </row>
    <row r="31" spans="1:12" ht="15.75" x14ac:dyDescent="0.25">
      <c r="A31" s="76" t="s">
        <v>132</v>
      </c>
      <c r="B31" s="14"/>
      <c r="C31" s="14"/>
      <c r="D31" s="14"/>
      <c r="E31" s="14"/>
      <c r="F31" s="14"/>
      <c r="G31" s="14"/>
      <c r="H31" s="14"/>
      <c r="I31" s="14"/>
      <c r="J31" s="1"/>
      <c r="K31" s="1"/>
      <c r="L31" s="1"/>
    </row>
    <row r="32" spans="1:12" x14ac:dyDescent="0.25">
      <c r="J32" s="1"/>
      <c r="K32" s="1"/>
      <c r="L32" s="1"/>
    </row>
    <row r="33" spans="10:12" x14ac:dyDescent="0.25">
      <c r="J33" s="1"/>
      <c r="K33" s="1"/>
      <c r="L33" s="1"/>
    </row>
  </sheetData>
  <mergeCells count="4">
    <mergeCell ref="K4:L4"/>
    <mergeCell ref="A23:I23"/>
    <mergeCell ref="A3:A4"/>
    <mergeCell ref="F19:H19"/>
  </mergeCells>
  <pageMargins left="0.7" right="0.7" top="0.75" bottom="0.75" header="0.3" footer="0.3"/>
  <pageSetup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3E3CA-182B-4F98-B2D0-1BA8517B03CE}">
  <dimension ref="A1:J10"/>
  <sheetViews>
    <sheetView zoomScale="90" zoomScaleNormal="90" workbookViewId="0"/>
  </sheetViews>
  <sheetFormatPr defaultColWidth="22" defaultRowHeight="12.75" x14ac:dyDescent="0.2"/>
  <cols>
    <col min="1" max="1" width="22" style="14"/>
    <col min="2" max="2" width="17.5703125" style="14" customWidth="1"/>
    <col min="3" max="3" width="17.28515625" style="14" customWidth="1"/>
    <col min="4" max="4" width="22" style="14"/>
    <col min="5" max="5" width="19.85546875" style="14" customWidth="1"/>
    <col min="6" max="7" width="16.85546875" style="14" customWidth="1"/>
    <col min="8" max="8" width="6" style="14" customWidth="1"/>
    <col min="9" max="16384" width="22" style="14"/>
  </cols>
  <sheetData>
    <row r="1" spans="1:10" x14ac:dyDescent="0.2">
      <c r="A1" s="4"/>
      <c r="B1" s="5"/>
      <c r="C1" s="5"/>
    </row>
    <row r="2" spans="1:10" x14ac:dyDescent="0.2">
      <c r="A2" s="103" t="s">
        <v>16</v>
      </c>
      <c r="B2" s="103"/>
      <c r="C2" s="103"/>
      <c r="D2" s="103"/>
      <c r="E2" s="103"/>
      <c r="F2" s="103"/>
      <c r="G2" s="104"/>
      <c r="H2" s="22"/>
      <c r="I2" s="2"/>
    </row>
    <row r="3" spans="1:10" x14ac:dyDescent="0.2">
      <c r="A3" s="18" t="s">
        <v>17</v>
      </c>
      <c r="B3" s="18" t="s">
        <v>18</v>
      </c>
      <c r="C3" s="18" t="s">
        <v>19</v>
      </c>
      <c r="D3" s="18" t="s">
        <v>20</v>
      </c>
      <c r="E3" s="18" t="s">
        <v>21</v>
      </c>
      <c r="F3" s="18" t="s">
        <v>22</v>
      </c>
      <c r="G3" s="18" t="s">
        <v>23</v>
      </c>
      <c r="H3" s="22"/>
    </row>
    <row r="4" spans="1:10" ht="46.5" customHeight="1" x14ac:dyDescent="0.2">
      <c r="A4" s="18" t="s">
        <v>24</v>
      </c>
      <c r="B4" s="18" t="s">
        <v>25</v>
      </c>
      <c r="C4" s="18" t="s">
        <v>145</v>
      </c>
      <c r="D4" s="18" t="s">
        <v>26</v>
      </c>
      <c r="E4" s="18" t="s">
        <v>146</v>
      </c>
      <c r="F4" s="18" t="s">
        <v>147</v>
      </c>
      <c r="G4" s="18" t="s">
        <v>27</v>
      </c>
      <c r="H4" s="22"/>
      <c r="I4" s="1" t="s">
        <v>150</v>
      </c>
      <c r="J4" s="1">
        <v>575.4</v>
      </c>
    </row>
    <row r="5" spans="1:10" ht="36.75" customHeight="1" x14ac:dyDescent="0.2">
      <c r="A5" s="29" t="s">
        <v>133</v>
      </c>
      <c r="B5" s="30">
        <f>150000*(J5/J4)</f>
        <v>212721.58498435872</v>
      </c>
      <c r="C5" s="31">
        <v>0</v>
      </c>
      <c r="D5" s="19">
        <f>B5*C5</f>
        <v>0</v>
      </c>
      <c r="E5" s="30">
        <f>45000*(J5/J4)</f>
        <v>63816.475495307612</v>
      </c>
      <c r="F5" s="31">
        <v>25</v>
      </c>
      <c r="G5" s="19">
        <f>E5*F5</f>
        <v>1595411.8873826903</v>
      </c>
      <c r="H5" s="23"/>
      <c r="I5" s="1" t="s">
        <v>149</v>
      </c>
      <c r="J5" s="1">
        <v>816</v>
      </c>
    </row>
    <row r="6" spans="1:10" ht="46.5" customHeight="1" x14ac:dyDescent="0.2">
      <c r="A6" s="20" t="s">
        <v>143</v>
      </c>
      <c r="B6" s="16"/>
      <c r="C6" s="16"/>
      <c r="D6" s="21">
        <f>ROUND(SUM(D5:D5), -3)</f>
        <v>0</v>
      </c>
      <c r="E6" s="16"/>
      <c r="F6" s="16"/>
      <c r="G6" s="21">
        <f>ROUND(G5,-4)</f>
        <v>1600000</v>
      </c>
      <c r="I6" s="55">
        <f>D6+G6</f>
        <v>1600000</v>
      </c>
    </row>
    <row r="7" spans="1:10" x14ac:dyDescent="0.2">
      <c r="A7" s="53"/>
      <c r="B7" s="54"/>
      <c r="C7" s="54"/>
      <c r="D7" s="24"/>
      <c r="E7" s="54"/>
      <c r="F7" s="54"/>
      <c r="G7" s="24"/>
    </row>
    <row r="8" spans="1:10" x14ac:dyDescent="0.2">
      <c r="A8" s="105" t="s">
        <v>148</v>
      </c>
      <c r="B8" s="105"/>
      <c r="C8" s="105"/>
      <c r="D8" s="105"/>
      <c r="E8" s="105"/>
      <c r="F8" s="105"/>
      <c r="G8" s="105"/>
    </row>
    <row r="9" spans="1:10" x14ac:dyDescent="0.2">
      <c r="A9" s="102" t="s">
        <v>144</v>
      </c>
      <c r="B9" s="102"/>
      <c r="C9" s="102"/>
      <c r="D9" s="102"/>
      <c r="E9" s="102"/>
      <c r="F9" s="102"/>
      <c r="G9" s="102"/>
    </row>
    <row r="10" spans="1:10" x14ac:dyDescent="0.2">
      <c r="A10" s="33"/>
      <c r="B10" s="33"/>
      <c r="C10" s="33"/>
      <c r="D10" s="33"/>
      <c r="E10" s="33"/>
      <c r="F10" s="33"/>
      <c r="G10" s="33"/>
    </row>
  </sheetData>
  <mergeCells count="3">
    <mergeCell ref="A9:G9"/>
    <mergeCell ref="A2:G2"/>
    <mergeCell ref="A8:G8"/>
  </mergeCells>
  <pageMargins left="0.7" right="0.7" top="0.75" bottom="0.75" header="0.3" footer="0.3"/>
  <pageSetup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A8CA8-D06D-48F9-AB41-065F033F135F}">
  <dimension ref="A1:G16"/>
  <sheetViews>
    <sheetView zoomScaleNormal="100" workbookViewId="0">
      <selection activeCell="G2" sqref="G2"/>
    </sheetView>
  </sheetViews>
  <sheetFormatPr defaultRowHeight="15" x14ac:dyDescent="0.25"/>
  <cols>
    <col min="1" max="1" width="22.28515625" bestFit="1" customWidth="1"/>
    <col min="2" max="2" width="11.85546875" customWidth="1"/>
    <col min="3" max="3" width="12.7109375" customWidth="1"/>
    <col min="4" max="4" width="11.42578125" customWidth="1"/>
    <col min="5" max="5" width="14.7109375" customWidth="1"/>
  </cols>
  <sheetData>
    <row r="1" spans="1:7" s="14" customFormat="1" ht="15.75" x14ac:dyDescent="0.2">
      <c r="A1" s="106" t="s">
        <v>5</v>
      </c>
      <c r="B1" s="106"/>
      <c r="C1" s="106"/>
      <c r="D1" s="106"/>
      <c r="E1" s="106"/>
    </row>
    <row r="2" spans="1:7" s="14" customFormat="1" ht="12.75" x14ac:dyDescent="0.2">
      <c r="A2" s="15" t="s">
        <v>17</v>
      </c>
      <c r="B2" s="15" t="s">
        <v>18</v>
      </c>
      <c r="C2" s="15" t="s">
        <v>19</v>
      </c>
      <c r="D2" s="15" t="s">
        <v>20</v>
      </c>
      <c r="E2" s="15" t="s">
        <v>21</v>
      </c>
      <c r="G2" s="2"/>
    </row>
    <row r="3" spans="1:7" s="14" customFormat="1" ht="102" x14ac:dyDescent="0.2">
      <c r="A3" s="15" t="s">
        <v>28</v>
      </c>
      <c r="B3" s="15" t="s">
        <v>29</v>
      </c>
      <c r="C3" s="15" t="s">
        <v>30</v>
      </c>
      <c r="D3" s="15" t="s">
        <v>31</v>
      </c>
      <c r="E3" s="15" t="s">
        <v>32</v>
      </c>
    </row>
    <row r="4" spans="1:7" s="14" customFormat="1" ht="38.25" x14ac:dyDescent="0.2">
      <c r="A4" s="89" t="s">
        <v>69</v>
      </c>
      <c r="B4" s="90">
        <v>0</v>
      </c>
      <c r="C4" s="90">
        <v>1</v>
      </c>
      <c r="D4" s="90">
        <v>0</v>
      </c>
      <c r="E4" s="90">
        <f>(B4*C4)+D4</f>
        <v>0</v>
      </c>
    </row>
    <row r="5" spans="1:7" s="14" customFormat="1" ht="25.5" x14ac:dyDescent="0.2">
      <c r="A5" s="89" t="s">
        <v>70</v>
      </c>
      <c r="B5" s="90">
        <v>0</v>
      </c>
      <c r="C5" s="90">
        <v>1</v>
      </c>
      <c r="D5" s="90">
        <v>0</v>
      </c>
      <c r="E5" s="90">
        <f t="shared" ref="E5:E14" si="0">(B5*C5)+D5</f>
        <v>0</v>
      </c>
    </row>
    <row r="6" spans="1:7" s="14" customFormat="1" ht="25.5" x14ac:dyDescent="0.2">
      <c r="A6" s="89" t="s">
        <v>71</v>
      </c>
      <c r="B6" s="90">
        <v>0</v>
      </c>
      <c r="C6" s="90">
        <v>1</v>
      </c>
      <c r="D6" s="90">
        <v>0</v>
      </c>
      <c r="E6" s="90">
        <f t="shared" si="0"/>
        <v>0</v>
      </c>
    </row>
    <row r="7" spans="1:7" s="14" customFormat="1" ht="25.5" x14ac:dyDescent="0.2">
      <c r="A7" s="89" t="s">
        <v>72</v>
      </c>
      <c r="B7" s="90">
        <v>0</v>
      </c>
      <c r="C7" s="90">
        <v>1</v>
      </c>
      <c r="D7" s="90">
        <v>0</v>
      </c>
      <c r="E7" s="90">
        <f t="shared" si="0"/>
        <v>0</v>
      </c>
    </row>
    <row r="8" spans="1:7" s="14" customFormat="1" ht="12.75" x14ac:dyDescent="0.2">
      <c r="A8" s="89" t="s">
        <v>73</v>
      </c>
      <c r="B8" s="90">
        <v>0</v>
      </c>
      <c r="C8" s="90">
        <v>1</v>
      </c>
      <c r="D8" s="90">
        <v>0</v>
      </c>
      <c r="E8" s="90">
        <f t="shared" si="0"/>
        <v>0</v>
      </c>
      <c r="F8" s="2"/>
    </row>
    <row r="9" spans="1:7" s="14" customFormat="1" ht="25.5" x14ac:dyDescent="0.2">
      <c r="A9" s="89" t="s">
        <v>134</v>
      </c>
      <c r="B9" s="90">
        <v>0</v>
      </c>
      <c r="C9" s="90">
        <v>1</v>
      </c>
      <c r="D9" s="90">
        <v>0</v>
      </c>
      <c r="E9" s="90">
        <f t="shared" si="0"/>
        <v>0</v>
      </c>
    </row>
    <row r="10" spans="1:7" s="14" customFormat="1" ht="25.5" x14ac:dyDescent="0.2">
      <c r="A10" s="89" t="s">
        <v>135</v>
      </c>
      <c r="B10" s="90">
        <v>0</v>
      </c>
      <c r="C10" s="90">
        <v>1</v>
      </c>
      <c r="D10" s="90">
        <v>0</v>
      </c>
      <c r="E10" s="90">
        <f t="shared" si="0"/>
        <v>0</v>
      </c>
    </row>
    <row r="11" spans="1:7" s="14" customFormat="1" ht="12.75" x14ac:dyDescent="0.2">
      <c r="A11" s="89" t="s">
        <v>136</v>
      </c>
      <c r="B11" s="90">
        <v>0</v>
      </c>
      <c r="C11" s="90">
        <v>1</v>
      </c>
      <c r="D11" s="90">
        <v>0</v>
      </c>
      <c r="E11" s="90">
        <f t="shared" si="0"/>
        <v>0</v>
      </c>
    </row>
    <row r="12" spans="1:7" s="14" customFormat="1" ht="12.75" x14ac:dyDescent="0.2">
      <c r="A12" s="89" t="s">
        <v>77</v>
      </c>
      <c r="B12" s="90">
        <v>0</v>
      </c>
      <c r="C12" s="90">
        <v>1</v>
      </c>
      <c r="D12" s="90">
        <v>0</v>
      </c>
      <c r="E12" s="90">
        <f t="shared" si="0"/>
        <v>0</v>
      </c>
    </row>
    <row r="13" spans="1:7" s="14" customFormat="1" ht="12.75" x14ac:dyDescent="0.2">
      <c r="A13" s="89" t="s">
        <v>137</v>
      </c>
      <c r="B13" s="90">
        <v>25</v>
      </c>
      <c r="C13" s="90">
        <v>4</v>
      </c>
      <c r="D13" s="90">
        <v>0</v>
      </c>
      <c r="E13" s="90">
        <f t="shared" si="0"/>
        <v>100</v>
      </c>
    </row>
    <row r="14" spans="1:7" s="14" customFormat="1" ht="12.75" x14ac:dyDescent="0.2">
      <c r="A14" s="89" t="s">
        <v>138</v>
      </c>
      <c r="B14" s="90">
        <v>25</v>
      </c>
      <c r="C14" s="90">
        <v>1</v>
      </c>
      <c r="D14" s="90">
        <v>0</v>
      </c>
      <c r="E14" s="90">
        <f t="shared" si="0"/>
        <v>25</v>
      </c>
    </row>
    <row r="15" spans="1:7" s="14" customFormat="1" ht="12.75" x14ac:dyDescent="0.2">
      <c r="A15" s="89"/>
      <c r="B15" s="90"/>
      <c r="C15" s="90"/>
      <c r="D15" s="91" t="s">
        <v>33</v>
      </c>
      <c r="E15" s="90">
        <f>SUM(E4:E14)</f>
        <v>125</v>
      </c>
    </row>
    <row r="16" spans="1:7" s="14" customFormat="1" ht="12.75" x14ac:dyDescent="0.2">
      <c r="A16" s="87"/>
      <c r="B16" s="88"/>
      <c r="C16" s="88"/>
      <c r="D16" s="88"/>
      <c r="E16" s="88"/>
    </row>
  </sheetData>
  <mergeCells count="1">
    <mergeCell ref="A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E7754-04D5-4DBA-B79C-283E5E0BF946}">
  <dimension ref="A1:G9"/>
  <sheetViews>
    <sheetView zoomScale="90" zoomScaleNormal="90" workbookViewId="0">
      <selection activeCell="D11" sqref="D11"/>
    </sheetView>
  </sheetViews>
  <sheetFormatPr defaultColWidth="17.7109375" defaultRowHeight="31.9" customHeight="1" x14ac:dyDescent="0.25"/>
  <sheetData>
    <row r="1" spans="1:7" s="14" customFormat="1" ht="31.9" customHeight="1" x14ac:dyDescent="0.2">
      <c r="A1" s="106" t="s">
        <v>1</v>
      </c>
      <c r="B1" s="106"/>
      <c r="C1" s="106"/>
      <c r="D1" s="106"/>
      <c r="E1" s="106"/>
      <c r="F1" s="106"/>
    </row>
    <row r="2" spans="1:7" s="14" customFormat="1" ht="31.9" customHeight="1" x14ac:dyDescent="0.2">
      <c r="A2" s="25"/>
      <c r="B2" s="107" t="s">
        <v>34</v>
      </c>
      <c r="C2" s="107"/>
      <c r="D2" s="25" t="s">
        <v>35</v>
      </c>
      <c r="E2" s="107"/>
      <c r="F2" s="107"/>
      <c r="G2" s="2"/>
    </row>
    <row r="3" spans="1:7" s="14" customFormat="1" ht="31.9" customHeight="1" x14ac:dyDescent="0.2">
      <c r="A3" s="25"/>
      <c r="B3" s="26" t="s">
        <v>17</v>
      </c>
      <c r="C3" s="26" t="s">
        <v>18</v>
      </c>
      <c r="D3" s="26" t="s">
        <v>19</v>
      </c>
      <c r="E3" s="26" t="s">
        <v>20</v>
      </c>
      <c r="F3" s="26" t="s">
        <v>21</v>
      </c>
    </row>
    <row r="4" spans="1:7" s="14" customFormat="1" ht="70.900000000000006" customHeight="1" x14ac:dyDescent="0.2">
      <c r="A4" s="26" t="s">
        <v>36</v>
      </c>
      <c r="B4" s="25" t="s">
        <v>37</v>
      </c>
      <c r="C4" s="25" t="s">
        <v>38</v>
      </c>
      <c r="D4" s="25" t="s">
        <v>39</v>
      </c>
      <c r="E4" s="25" t="s">
        <v>40</v>
      </c>
      <c r="F4" s="25" t="s">
        <v>41</v>
      </c>
    </row>
    <row r="5" spans="1:7" s="14" customFormat="1" ht="31.9" customHeight="1" x14ac:dyDescent="0.2">
      <c r="A5" s="15">
        <v>1</v>
      </c>
      <c r="B5" s="16">
        <v>0</v>
      </c>
      <c r="C5" s="16">
        <v>25</v>
      </c>
      <c r="D5" s="16">
        <v>0</v>
      </c>
      <c r="E5" s="16">
        <v>0</v>
      </c>
      <c r="F5" s="16">
        <f>B5+C5+D5-E5</f>
        <v>25</v>
      </c>
    </row>
    <row r="6" spans="1:7" s="14" customFormat="1" ht="31.9" customHeight="1" x14ac:dyDescent="0.2">
      <c r="A6" s="15">
        <v>2</v>
      </c>
      <c r="B6" s="16">
        <v>0</v>
      </c>
      <c r="C6" s="16">
        <v>25</v>
      </c>
      <c r="D6" s="16">
        <v>0</v>
      </c>
      <c r="E6" s="16">
        <v>0</v>
      </c>
      <c r="F6" s="16">
        <f>B6+C6+D6-E6</f>
        <v>25</v>
      </c>
    </row>
    <row r="7" spans="1:7" s="14" customFormat="1" ht="31.9" customHeight="1" x14ac:dyDescent="0.2">
      <c r="A7" s="15">
        <v>3</v>
      </c>
      <c r="B7" s="16">
        <v>0</v>
      </c>
      <c r="C7" s="16">
        <v>25</v>
      </c>
      <c r="D7" s="16">
        <v>0</v>
      </c>
      <c r="E7" s="16">
        <v>0</v>
      </c>
      <c r="F7" s="16">
        <f>B7+C7+D7-E7</f>
        <v>25</v>
      </c>
    </row>
    <row r="8" spans="1:7" s="14" customFormat="1" ht="31.9" customHeight="1" x14ac:dyDescent="0.2">
      <c r="A8" s="15" t="s">
        <v>42</v>
      </c>
      <c r="B8" s="16">
        <f>AVERAGE(B5:B7)</f>
        <v>0</v>
      </c>
      <c r="C8" s="16">
        <f>AVERAGE(C5:C7)</f>
        <v>25</v>
      </c>
      <c r="D8" s="16">
        <v>0</v>
      </c>
      <c r="E8" s="16">
        <v>0</v>
      </c>
      <c r="F8" s="18">
        <f>AVERAGE(F5:F7)</f>
        <v>25</v>
      </c>
    </row>
    <row r="9" spans="1:7" s="14" customFormat="1" ht="20.45" customHeight="1" x14ac:dyDescent="0.2">
      <c r="A9" s="92" t="s">
        <v>142</v>
      </c>
    </row>
  </sheetData>
  <mergeCells count="3">
    <mergeCell ref="A1:F1"/>
    <mergeCell ref="B2:C2"/>
    <mergeCell ref="E2:F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2C2644CEF3BE14BA984F9E32D274554" ma:contentTypeVersion="16" ma:contentTypeDescription="Create a new document." ma:contentTypeScope="" ma:versionID="d513bca65c16c20fa6621e38b2352de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02fe02c4-dc41-46ff-9d52-90c0a1b1f611" xmlns:ns6="96fc5250-dc30-4f01-945b-7e46a880eeb3" targetNamespace="http://schemas.microsoft.com/office/2006/metadata/properties" ma:root="true" ma:fieldsID="a96de173cb04a30135a30bb001169eca" ns1:_="" ns2:_="" ns3:_="" ns4:_="" ns5:_="" ns6:_="">
    <xsd:import namespace="http://schemas.microsoft.com/sharepoint/v3"/>
    <xsd:import namespace="4ffa91fb-a0ff-4ac5-b2db-65c790d184a4"/>
    <xsd:import namespace="http://schemas.microsoft.com/sharepoint.v3"/>
    <xsd:import namespace="http://schemas.microsoft.com/sharepoint/v3/fields"/>
    <xsd:import namespace="02fe02c4-dc41-46ff-9d52-90c0a1b1f611"/>
    <xsd:import namespace="96fc5250-dc30-4f01-945b-7e46a880eeb3"/>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DateTaken" minOccurs="0"/>
                <xsd:element ref="ns5:MediaServiceAutoTags" minOccurs="0"/>
                <xsd:element ref="ns5:MediaServiceOCR" minOccurs="0"/>
                <xsd:element ref="ns5:MediaServiceGenerationTime" minOccurs="0"/>
                <xsd:element ref="ns5:MediaServiceEventHashCode" minOccurs="0"/>
                <xsd:element ref="ns1:_ip_UnifiedCompliancePolicyProperties" minOccurs="0"/>
                <xsd:element ref="ns1:_ip_UnifiedCompliancePolicyUIAction" minOccurs="0"/>
                <xsd:element ref="ns5:MediaLengthInSeconds"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205dcaf-ae28-4449-b177-6e6c07e37888}" ma:internalName="TaxCatchAllLabel" ma:readOnly="true" ma:showField="CatchAllDataLabel" ma:web="96fc5250-dc30-4f01-945b-7e46a880eeb3">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205dcaf-ae28-4449-b177-6e6c07e37888}" ma:internalName="TaxCatchAll" ma:showField="CatchAllData" ma:web="96fc5250-dc30-4f01-945b-7e46a880ee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fe02c4-dc41-46ff-9d52-90c0a1b1f61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DateTaken" ma:index="32" nillable="true" ma:displayName="MediaServiceDateTaken" ma:hidden="true" ma:internalName="MediaServiceDateTaken" ma:readOnly="true">
      <xsd:simpleType>
        <xsd:restriction base="dms:Text"/>
      </xsd:simpleType>
    </xsd:element>
    <xsd:element name="MediaServiceAutoTags" ma:index="33" nillable="true" ma:displayName="Tags" ma:internalName="MediaServiceAutoTags" ma:readOnly="true">
      <xsd:simpleType>
        <xsd:restriction base="dms:Text"/>
      </xsd:simpleType>
    </xsd:element>
    <xsd:element name="MediaServiceOCR" ma:index="34" nillable="true" ma:displayName="Extracted Text" ma:internalName="MediaServiceOCR" ma:readOnly="true">
      <xsd:simpleType>
        <xsd:restriction base="dms:Note">
          <xsd:maxLength value="255"/>
        </xsd:restriction>
      </xsd:simple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LengthInSeconds" ma:index="39" nillable="true" ma:displayName="MediaLengthInSeconds" ma:hidden="true" ma:internalName="MediaLengthInSeconds" ma:readOnly="true">
      <xsd:simpleType>
        <xsd:restriction base="dms:Unknown"/>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c5250-dc30-4f01-945b-7e46a880eeb3"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2024-10-23T21:19:22+00:00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8DCED415-8393-4634-9968-A495AFA0611E}">
  <ds:schemaRefs>
    <ds:schemaRef ds:uri="http://schemas.microsoft.com/sharepoint/v3/contenttype/forms"/>
  </ds:schemaRefs>
</ds:datastoreItem>
</file>

<file path=customXml/itemProps2.xml><?xml version="1.0" encoding="utf-8"?>
<ds:datastoreItem xmlns:ds="http://schemas.openxmlformats.org/officeDocument/2006/customXml" ds:itemID="{1376E3ED-EBD0-4776-85E8-D966CABF93C2}"/>
</file>

<file path=customXml/itemProps3.xml><?xml version="1.0" encoding="utf-8"?>
<ds:datastoreItem xmlns:ds="http://schemas.openxmlformats.org/officeDocument/2006/customXml" ds:itemID="{1788708A-52BB-4D0F-B232-80F9E123F193}">
  <ds:schemaRefs>
    <ds:schemaRef ds:uri="http://purl.org/dc/dcmitype/"/>
    <ds:schemaRef ds:uri="http://www.w3.org/XML/1998/namespace"/>
    <ds:schemaRef ds:uri="http://schemas.microsoft.com/office/infopath/2007/PartnerControls"/>
    <ds:schemaRef ds:uri="http://schemas.microsoft.com/office/2006/documentManagement/types"/>
    <ds:schemaRef ds:uri="http://purl.org/dc/terms/"/>
    <ds:schemaRef ds:uri="http://schemas.microsoft.com/office/2006/metadata/properties"/>
    <ds:schemaRef ds:uri="1891fcec-84c2-4840-9468-b51a784ab0d1"/>
    <ds:schemaRef ds:uri="http://schemas.openxmlformats.org/package/2006/metadata/core-properties"/>
    <ds:schemaRef ds:uri="4d6aed1e-57d3-46e3-9aba-f706adbce63b"/>
    <ds:schemaRef ds:uri="http://purl.org/dc/elements/1.1/"/>
  </ds:schemaRefs>
</ds:datastoreItem>
</file>

<file path=customXml/itemProps4.xml><?xml version="1.0" encoding="utf-8"?>
<ds:datastoreItem xmlns:ds="http://schemas.openxmlformats.org/officeDocument/2006/customXml" ds:itemID="{DE094374-7F3B-4909-835A-9D432F19FC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Table 1</vt:lpstr>
      <vt:lpstr>Table 2</vt:lpstr>
      <vt:lpstr>Capital O&amp;M</vt:lpstr>
      <vt:lpstr>Responses</vt:lpstr>
      <vt:lpstr>Respondents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Denise Bevington</dc:creator>
  <cp:keywords/>
  <dc:description/>
  <cp:lastModifiedBy>ERG</cp:lastModifiedBy>
  <cp:revision/>
  <dcterms:created xsi:type="dcterms:W3CDTF">2018-07-19T14:57:42Z</dcterms:created>
  <dcterms:modified xsi:type="dcterms:W3CDTF">2024-03-12T16:05:48Z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0x01010052C2644CEF3BE14BA984F9E32D274554</vt:lpwstr>
  </property>
</Properties>
</file>