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salahuddin_diane_epa_gov/Documents/Documents/"/>
    </mc:Choice>
  </mc:AlternateContent>
  <xr:revisionPtr revIDLastSave="0" documentId="8_{5536C195-7944-4F81-91E0-4A279D2BF5C6}" xr6:coauthVersionLast="47" xr6:coauthVersionMax="47" xr10:uidLastSave="{00000000-0000-0000-0000-000000000000}"/>
  <bookViews>
    <workbookView xWindow="-110" yWindow="-110" windowWidth="19420" windowHeight="10300" xr2:uid="{D855CF00-F869-48B3-9963-4AD001D31E8A}"/>
  </bookViews>
  <sheets>
    <sheet name="Summary" sheetId="6" r:id="rId1"/>
    <sheet name="Table 1" sheetId="7" r:id="rId2"/>
    <sheet name="Table 2" sheetId="8" r:id="rId3"/>
    <sheet name="Capital O&amp;M" sheetId="3" r:id="rId4"/>
    <sheet name="Responses" sheetId="5" r:id="rId5"/>
    <sheet name="Respondents" sheetId="4" r:id="rId6"/>
  </sheets>
  <definedNames>
    <definedName name="_Hlk65498076" localSheetId="3">'Capital O&amp;M'!$D$13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6" i="7" l="1"/>
  <c r="J17" i="7"/>
  <c r="D13" i="3"/>
  <c r="F50" i="7"/>
  <c r="E13" i="5"/>
  <c r="F49" i="7"/>
  <c r="I13" i="3" l="1"/>
  <c r="I51" i="7" s="1"/>
  <c r="B6" i="6" l="1"/>
  <c r="C12" i="5" l="1"/>
  <c r="C11" i="5"/>
  <c r="C10" i="5"/>
  <c r="C9" i="5"/>
  <c r="C8" i="5"/>
  <c r="C7" i="5"/>
  <c r="C5" i="5"/>
  <c r="C6" i="5"/>
  <c r="C4" i="5"/>
  <c r="G13" i="3" l="1"/>
  <c r="G12" i="3"/>
  <c r="G10" i="3"/>
  <c r="G11" i="3"/>
  <c r="G9" i="3"/>
  <c r="D12" i="3"/>
  <c r="D10" i="3"/>
  <c r="D11" i="3"/>
  <c r="D9" i="3"/>
  <c r="E18" i="7"/>
  <c r="I4" i="8" l="1"/>
  <c r="I3" i="8"/>
  <c r="I45" i="7"/>
  <c r="D42" i="7"/>
  <c r="B11" i="5" l="1"/>
  <c r="B10" i="5"/>
  <c r="B9" i="5"/>
  <c r="B8" i="5"/>
  <c r="B7" i="5"/>
  <c r="B12" i="5"/>
  <c r="B6" i="5" l="1"/>
  <c r="E6" i="5" s="1"/>
  <c r="E17" i="7"/>
  <c r="E16" i="7"/>
  <c r="E6" i="7"/>
  <c r="E14" i="8"/>
  <c r="F14" i="8" s="1"/>
  <c r="D14" i="8"/>
  <c r="E13" i="8"/>
  <c r="D13" i="8"/>
  <c r="D11" i="8"/>
  <c r="E10" i="8"/>
  <c r="F10" i="8" s="1"/>
  <c r="D10" i="8"/>
  <c r="E9" i="8"/>
  <c r="F9" i="8" s="1"/>
  <c r="D9" i="8"/>
  <c r="D8" i="8"/>
  <c r="D7" i="8"/>
  <c r="D6" i="8"/>
  <c r="D4" i="8"/>
  <c r="F4" i="8" s="1"/>
  <c r="D3" i="8"/>
  <c r="F3" i="8" s="1"/>
  <c r="D47" i="7"/>
  <c r="D46" i="7"/>
  <c r="F46" i="7" s="1"/>
  <c r="D44" i="7"/>
  <c r="F44" i="7" s="1"/>
  <c r="D43" i="7"/>
  <c r="F43" i="7" s="1"/>
  <c r="F42" i="7"/>
  <c r="D40" i="7"/>
  <c r="D39" i="7"/>
  <c r="F39" i="7" s="1"/>
  <c r="D38" i="7"/>
  <c r="F38" i="7" s="1"/>
  <c r="D37" i="7"/>
  <c r="F37" i="7" s="1"/>
  <c r="D36" i="7"/>
  <c r="F36" i="7" s="1"/>
  <c r="D35" i="7"/>
  <c r="F35" i="7" s="1"/>
  <c r="D34" i="7"/>
  <c r="F34" i="7" s="1"/>
  <c r="D33" i="7"/>
  <c r="F33" i="7" s="1"/>
  <c r="D31" i="7"/>
  <c r="F31" i="7" s="1"/>
  <c r="D25" i="7"/>
  <c r="F25" i="7" s="1"/>
  <c r="D24" i="7"/>
  <c r="F24" i="7" s="1"/>
  <c r="D22" i="7"/>
  <c r="F22" i="7" s="1"/>
  <c r="D21" i="7"/>
  <c r="F21" i="7" s="1"/>
  <c r="D20" i="7"/>
  <c r="F20" i="7" s="1"/>
  <c r="E11" i="8"/>
  <c r="D19" i="7"/>
  <c r="F19" i="7" s="1"/>
  <c r="D18" i="7"/>
  <c r="D17" i="7"/>
  <c r="D16" i="7"/>
  <c r="D11" i="7"/>
  <c r="F11" i="7" s="1"/>
  <c r="D10" i="7"/>
  <c r="F10" i="7" s="1"/>
  <c r="D9" i="7"/>
  <c r="F9" i="7" s="1"/>
  <c r="D8" i="7"/>
  <c r="F8" i="7" s="1"/>
  <c r="D6" i="7"/>
  <c r="E12" i="5"/>
  <c r="E11" i="5"/>
  <c r="E10" i="5"/>
  <c r="E9" i="5"/>
  <c r="E8" i="5"/>
  <c r="E7" i="5"/>
  <c r="H42" i="7" l="1"/>
  <c r="I42" i="7" s="1"/>
  <c r="F17" i="7"/>
  <c r="G17" i="7" s="1"/>
  <c r="H8" i="7"/>
  <c r="F16" i="7"/>
  <c r="H16" i="7" s="1"/>
  <c r="B4" i="5"/>
  <c r="E4" i="5" s="1"/>
  <c r="E7" i="8"/>
  <c r="F7" i="8" s="1"/>
  <c r="B5" i="5"/>
  <c r="E5" i="5" s="1"/>
  <c r="E8" i="8"/>
  <c r="F8" i="8" s="1"/>
  <c r="F6" i="7"/>
  <c r="H6" i="7" s="1"/>
  <c r="F13" i="8"/>
  <c r="G22" i="7"/>
  <c r="H22" i="7"/>
  <c r="G8" i="7"/>
  <c r="I8" i="7" s="1"/>
  <c r="F47" i="7"/>
  <c r="F40" i="7"/>
  <c r="F18" i="7"/>
  <c r="E6" i="8"/>
  <c r="F6" i="8" s="1"/>
  <c r="H21" i="7"/>
  <c r="G21" i="7"/>
  <c r="H25" i="7"/>
  <c r="G25" i="7"/>
  <c r="H39" i="7"/>
  <c r="I39" i="7" s="1"/>
  <c r="H3" i="8"/>
  <c r="G3" i="8"/>
  <c r="H33" i="7"/>
  <c r="I33" i="7" s="1"/>
  <c r="H4" i="8"/>
  <c r="G4" i="8"/>
  <c r="F11" i="8"/>
  <c r="H20" i="7"/>
  <c r="G20" i="7"/>
  <c r="H17" i="7"/>
  <c r="H11" i="7"/>
  <c r="G11" i="7"/>
  <c r="H38" i="7"/>
  <c r="I38" i="7" s="1"/>
  <c r="G9" i="7"/>
  <c r="H9" i="7"/>
  <c r="H36" i="7"/>
  <c r="I36" i="7" s="1"/>
  <c r="H46" i="7"/>
  <c r="I46" i="7" s="1"/>
  <c r="H9" i="8"/>
  <c r="G9" i="8"/>
  <c r="H31" i="7"/>
  <c r="I31" i="7" s="1"/>
  <c r="G10" i="8"/>
  <c r="H10" i="8"/>
  <c r="H34" i="7"/>
  <c r="I34" i="7" s="1"/>
  <c r="H35" i="7"/>
  <c r="I35" i="7" s="1"/>
  <c r="H37" i="7"/>
  <c r="I37" i="7" s="1"/>
  <c r="H14" i="8"/>
  <c r="G14" i="8"/>
  <c r="H44" i="7"/>
  <c r="I44" i="7" s="1"/>
  <c r="G19" i="7"/>
  <c r="H10" i="7"/>
  <c r="H19" i="7"/>
  <c r="G10" i="7"/>
  <c r="G24" i="7"/>
  <c r="H43" i="7"/>
  <c r="I43" i="7" s="1"/>
  <c r="H24" i="7"/>
  <c r="I9" i="8" l="1"/>
  <c r="G16" i="7"/>
  <c r="I25" i="7"/>
  <c r="I19" i="7"/>
  <c r="I24" i="7"/>
  <c r="I10" i="8"/>
  <c r="I22" i="7"/>
  <c r="G6" i="7"/>
  <c r="F26" i="7" s="1"/>
  <c r="I20" i="7"/>
  <c r="I14" i="8"/>
  <c r="I21" i="7"/>
  <c r="H13" i="8"/>
  <c r="G6" i="8"/>
  <c r="I6" i="8" s="1"/>
  <c r="I17" i="7"/>
  <c r="I9" i="7"/>
  <c r="H40" i="7"/>
  <c r="I40" i="7" s="1"/>
  <c r="I49" i="7" s="1"/>
  <c r="H47" i="7"/>
  <c r="I47" i="7"/>
  <c r="I11" i="7"/>
  <c r="I10" i="7"/>
  <c r="I16" i="7"/>
  <c r="G18" i="7"/>
  <c r="G13" i="8"/>
  <c r="H18" i="7"/>
  <c r="H6" i="8"/>
  <c r="H7" i="8"/>
  <c r="G7" i="8"/>
  <c r="H8" i="8"/>
  <c r="G8" i="8"/>
  <c r="H11" i="8"/>
  <c r="G11" i="8"/>
  <c r="I11" i="8" l="1"/>
  <c r="I7" i="8"/>
  <c r="I13" i="8"/>
  <c r="I8" i="8"/>
  <c r="I18" i="7"/>
  <c r="I26" i="7" s="1"/>
  <c r="I50" i="7" s="1"/>
  <c r="I52" i="7" s="1"/>
  <c r="B5" i="6" s="1"/>
  <c r="J16" i="7"/>
  <c r="B7" i="6"/>
  <c r="F15" i="8"/>
  <c r="J15" i="7" l="1"/>
  <c r="B2" i="6" s="1"/>
  <c r="B4" i="6"/>
  <c r="I15" i="8"/>
  <c r="I17" i="8" s="1"/>
  <c r="C8" i="4"/>
  <c r="B8" i="4"/>
  <c r="F7" i="4"/>
  <c r="F6" i="4"/>
  <c r="F5" i="4"/>
  <c r="F8" i="4" s="1"/>
  <c r="B3" i="6" s="1"/>
</calcChain>
</file>

<file path=xl/sharedStrings.xml><?xml version="1.0" encoding="utf-8"?>
<sst xmlns="http://schemas.openxmlformats.org/spreadsheetml/2006/main" count="213" uniqueCount="186">
  <si>
    <t>ICR Summary Information</t>
  </si>
  <si>
    <t>Hours per Response</t>
  </si>
  <si>
    <t>Number of Respondents</t>
  </si>
  <si>
    <t>Total Estimated Burden Hours</t>
  </si>
  <si>
    <t>Total Estimated Costs</t>
  </si>
  <si>
    <t>Annualized Capital O&amp;M</t>
  </si>
  <si>
    <t>Total Annual Responses</t>
  </si>
  <si>
    <t>Form Number</t>
  </si>
  <si>
    <t>Labor Rates</t>
  </si>
  <si>
    <t>Management</t>
  </si>
  <si>
    <t>Technical</t>
  </si>
  <si>
    <t>Clerical</t>
  </si>
  <si>
    <t>Subtotal for Reporting Requirements</t>
  </si>
  <si>
    <t>Assumptions:</t>
  </si>
  <si>
    <t>Burden item</t>
  </si>
  <si>
    <t>(B) 
No. of occurrences per respondent per year</t>
  </si>
  <si>
    <t>(C) 
Person hours per respondent per year (C=AxB)</t>
  </si>
  <si>
    <t xml:space="preserve">Technical </t>
  </si>
  <si>
    <r>
      <t>Capital/Startup vs. Operation and Maintenance (O&amp;M) Costs</t>
    </r>
    <r>
      <rPr>
        <sz val="10"/>
        <color theme="1"/>
        <rFont val="Times New Roman"/>
        <family val="1"/>
      </rPr>
      <t> </t>
    </r>
  </si>
  <si>
    <t>(A)</t>
  </si>
  <si>
    <t>(B)</t>
  </si>
  <si>
    <t>(C)</t>
  </si>
  <si>
    <t>(D)</t>
  </si>
  <si>
    <t>(E)</t>
  </si>
  <si>
    <t>(F)</t>
  </si>
  <si>
    <t>(G)</t>
  </si>
  <si>
    <t>Continuous Monitoring Device</t>
  </si>
  <si>
    <t>Capital/Startup Cost for One Respondent</t>
  </si>
  <si>
    <r>
      <t xml:space="preserve">Number of New  Respondents </t>
    </r>
    <r>
      <rPr>
        <b/>
        <vertAlign val="superscript"/>
        <sz val="10"/>
        <color theme="1"/>
        <rFont val="Times New Roman"/>
        <family val="1"/>
      </rPr>
      <t>a</t>
    </r>
  </si>
  <si>
    <t>Total Capital/Startup Cost,  (B X C)</t>
  </si>
  <si>
    <t>Annual O&amp;M Costs for One Respondent</t>
  </si>
  <si>
    <r>
      <t>Number of Respondents with O&amp;M</t>
    </r>
    <r>
      <rPr>
        <b/>
        <vertAlign val="superscript"/>
        <sz val="10"/>
        <color theme="1"/>
        <rFont val="Times New Roman"/>
        <family val="1"/>
      </rPr>
      <t xml:space="preserve"> b</t>
    </r>
  </si>
  <si>
    <t>Total O&amp;M, 
(E X F)</t>
  </si>
  <si>
    <t>Information Collection Activity</t>
  </si>
  <si>
    <r>
      <t xml:space="preserve">Number of Respondents </t>
    </r>
    <r>
      <rPr>
        <vertAlign val="superscript"/>
        <sz val="10"/>
        <color rgb="FF000000"/>
        <rFont val="Times New Roman"/>
        <family val="1"/>
      </rPr>
      <t>a</t>
    </r>
  </si>
  <si>
    <t>Number of Responses</t>
  </si>
  <si>
    <t>Number of Existing Respondents That Keep Records But Do Not Submit Reports</t>
  </si>
  <si>
    <t>Total Annual Responses E=(BxC)+D</t>
  </si>
  <si>
    <t>Notification of compliance status</t>
  </si>
  <si>
    <t>Total</t>
  </si>
  <si>
    <t>Respondents That Submit Reports</t>
  </si>
  <si>
    <t>Respondents That Do Not Submit Any Reports</t>
  </si>
  <si>
    <t>Year</t>
  </si>
  <si>
    <r>
      <t xml:space="preserve">Number of New Respondents </t>
    </r>
    <r>
      <rPr>
        <b/>
        <vertAlign val="superscript"/>
        <sz val="10"/>
        <color rgb="FF000000"/>
        <rFont val="Times New Roman"/>
        <family val="1"/>
      </rPr>
      <t>a</t>
    </r>
  </si>
  <si>
    <t>Number of Existing Respondents</t>
  </si>
  <si>
    <t>Number of Existing Respondents that keep records but do not submit reports</t>
  </si>
  <si>
    <t>Number of Existing Respondents That Are Also New Respondents</t>
  </si>
  <si>
    <t>Number of Respondents (E=A+B+C-D)</t>
  </si>
  <si>
    <t>Average</t>
  </si>
  <si>
    <t>Notification of construction/ reconstruction</t>
  </si>
  <si>
    <t>Notification of actual startup</t>
  </si>
  <si>
    <t>Notification of applicability of standard</t>
  </si>
  <si>
    <t>Notification of performance test/ retest</t>
  </si>
  <si>
    <t>Notification of performance evaluation</t>
  </si>
  <si>
    <t>Report of performance test/retest</t>
  </si>
  <si>
    <t>Semiannual report of monitoring exceedances and periods of noncompliance</t>
  </si>
  <si>
    <t>Semiannual report of no exceedances</t>
  </si>
  <si>
    <t>Table 1: Annual Respondent Burden and Cost – NESHAP for Chemical Recovery Combustion Sources at Kraft, Soda, Sulfite, and Stand-Alone Semichemical Pulp Mills (40 CFR Part 63, Subpart MM) (Renewal)</t>
  </si>
  <si>
    <t>(A) 
Person hours per occurrence</t>
  </si>
  <si>
    <r>
      <t xml:space="preserve">(D) 
Respondents per year </t>
    </r>
    <r>
      <rPr>
        <b/>
        <vertAlign val="superscript"/>
        <sz val="10"/>
        <rFont val="Times New Roman"/>
        <family val="1"/>
      </rPr>
      <t>a</t>
    </r>
  </si>
  <si>
    <t>(E) 
Technical person hr/yr (E=CxD)</t>
  </si>
  <si>
    <t>(F)
Management person hr/yr (Ex0.05)</t>
  </si>
  <si>
    <t>(G) 
Clerical person hr/yr 
(Ex0.1)</t>
  </si>
  <si>
    <r>
      <t>(H) 
Total Cost Per year</t>
    </r>
    <r>
      <rPr>
        <b/>
        <vertAlign val="superscript"/>
        <sz val="10"/>
        <rFont val="Times New Roman"/>
        <family val="1"/>
      </rPr>
      <t xml:space="preserve"> b</t>
    </r>
  </si>
  <si>
    <t>1.  Applications</t>
  </si>
  <si>
    <t>N/A</t>
  </si>
  <si>
    <t>2.  Surveys and studies</t>
  </si>
  <si>
    <t>3.  Reporting requirements</t>
  </si>
  <si>
    <r>
      <t xml:space="preserve">A. Familiarization with the regulatory requirements </t>
    </r>
    <r>
      <rPr>
        <vertAlign val="superscript"/>
        <sz val="10"/>
        <color rgb="FF000000"/>
        <rFont val="Times New Roman"/>
        <family val="1"/>
      </rPr>
      <t>c</t>
    </r>
  </si>
  <si>
    <r>
      <t xml:space="preserve">B. Required activities </t>
    </r>
    <r>
      <rPr>
        <vertAlign val="superscript"/>
        <sz val="10"/>
        <color rgb="FF000000"/>
        <rFont val="Times New Roman"/>
        <family val="1"/>
      </rPr>
      <t>d</t>
    </r>
  </si>
  <si>
    <t>Prepare for initial/periodic performance test</t>
  </si>
  <si>
    <t>Attend initial/periodic performance test</t>
  </si>
  <si>
    <t>Prepare for retest</t>
  </si>
  <si>
    <t>Attend retest</t>
  </si>
  <si>
    <t>C. Create information</t>
  </si>
  <si>
    <t>See 3B</t>
  </si>
  <si>
    <t>D. Gather existing information</t>
  </si>
  <si>
    <t>E. Write reports</t>
  </si>
  <si>
    <t># hours</t>
  </si>
  <si>
    <t>Notification of construction/reconstruction</t>
  </si>
  <si>
    <t># responses</t>
  </si>
  <si>
    <t>hr/resp</t>
  </si>
  <si>
    <t xml:space="preserve">   Semiannual reports of monitoring exceedances and periods of noncompliance</t>
  </si>
  <si>
    <t xml:space="preserve">   Semiannual reports of no exceedances</t>
  </si>
  <si>
    <t>4.  Recordkeeping requirements</t>
  </si>
  <si>
    <t xml:space="preserve">A. Read instructions </t>
  </si>
  <si>
    <t>See 3A</t>
  </si>
  <si>
    <t>B. Plan activities</t>
  </si>
  <si>
    <t>C. Implement activities</t>
  </si>
  <si>
    <t>E. Time to enter information</t>
  </si>
  <si>
    <t>Record of compliant monitoring parameter ranges</t>
  </si>
  <si>
    <t>F. Time to train personnel</t>
  </si>
  <si>
    <t>H. Time to transmit or disclose information</t>
  </si>
  <si>
    <t>I. Time for audits</t>
  </si>
  <si>
    <t>Subtotal for Recordkeeping Requirements</t>
  </si>
  <si>
    <r>
      <t>c</t>
    </r>
    <r>
      <rPr>
        <sz val="10"/>
        <rFont val="Times New Roman"/>
        <family val="1"/>
      </rPr>
      <t xml:space="preserve"> We have assumed that it will take 1 hour each year for existing respondents to refamiliarize themselves with rule requirements.</t>
    </r>
  </si>
  <si>
    <r>
      <t>e</t>
    </r>
    <r>
      <rPr>
        <sz val="10"/>
        <rFont val="Times New Roman"/>
        <family val="1"/>
      </rPr>
      <t xml:space="preserve">  With the exception of the notification of compliance status, we estimate that it will take the respondent 2 hours once per year to complete the notifications and submit selected ones through the EPA's CEDRI.</t>
    </r>
  </si>
  <si>
    <r>
      <t>f</t>
    </r>
    <r>
      <rPr>
        <sz val="10"/>
        <rFont val="Times New Roman"/>
        <family val="1"/>
      </rPr>
      <t xml:space="preserve">  We estimate that it will take the respondent 80 hours once in the initial year to prepare the notification of compliance status and submit it through the EPA's CEDRI.</t>
    </r>
  </si>
  <si>
    <r>
      <t>i</t>
    </r>
    <r>
      <rPr>
        <sz val="10"/>
        <rFont val="Times New Roman"/>
        <family val="1"/>
      </rPr>
      <t xml:space="preserve">  We estimate that it will take one respondent 40 hours to develop a record system to comply with monitoring requirements. </t>
    </r>
  </si>
  <si>
    <r>
      <t>k</t>
    </r>
    <r>
      <rPr>
        <sz val="10"/>
        <rFont val="Times New Roman"/>
        <family val="1"/>
      </rPr>
      <t xml:space="preserve">  We estimate that 2 existing mills will install new recovery furnaces over 3 years, for an average of 1 mill with new recovery furnaces per year over the ICR period (2 mills/3 years= 0.67, or 1, rounded).  Based on current industry trends, the new furnaces are expected to be a non-direct contact evaporator (NDCE) recovery furnace equipped with a dry ESP system. We estimate that it will take the respondent 2 hours to record this information.</t>
    </r>
  </si>
  <si>
    <r>
      <t>m</t>
    </r>
    <r>
      <rPr>
        <sz val="10"/>
        <rFont val="Times New Roman"/>
        <family val="1"/>
      </rPr>
      <t xml:space="preserve">  We estimate that 5% of respondents (5% x 104 respondents = 5) will fail to meet standards each year. We estimate that each respondent will take 2 hours 12 times per year to keep records of failures to meet the standards.</t>
    </r>
  </si>
  <si>
    <r>
      <t>q</t>
    </r>
    <r>
      <rPr>
        <sz val="10"/>
        <rFont val="Times New Roman"/>
        <family val="1"/>
      </rPr>
      <t xml:space="preserve">  We estimate that it will take the respondent 40 hours (1 week) once per year for initial training of personnel with new sources (</t>
    </r>
    <r>
      <rPr>
        <sz val="10"/>
        <color rgb="FF7030A0"/>
        <rFont val="Times New Roman"/>
        <family val="1"/>
      </rPr>
      <t>3</t>
    </r>
    <r>
      <rPr>
        <sz val="10"/>
        <rFont val="Times New Roman"/>
        <family val="1"/>
      </rPr>
      <t xml:space="preserve"> new respondents/3 years) = </t>
    </r>
    <r>
      <rPr>
        <sz val="10"/>
        <color rgb="FF7030A0"/>
        <rFont val="Times New Roman"/>
        <family val="1"/>
      </rPr>
      <t>1</t>
    </r>
    <r>
      <rPr>
        <sz val="10"/>
        <rFont val="Times New Roman"/>
        <family val="1"/>
      </rPr>
      <t xml:space="preserve">). </t>
    </r>
  </si>
  <si>
    <t>Table 2: Average Annual EPA Burden and Cost – NESHAP for Chemical Recovery Combustion Sources at Kraft, Soda, Sulfite, and Stand-Alone Semichemical Pulp Mills (40 CFR Part 63, Subpart MM) (Renewal)</t>
  </si>
  <si>
    <t>Activity</t>
  </si>
  <si>
    <t>(A) 
EPA person- hours per occurrence</t>
  </si>
  <si>
    <t>(B) 
No. of occurrences per plant per year</t>
  </si>
  <si>
    <t>(C) 
EPA person- hours per plant per year (C=AxB)</t>
  </si>
  <si>
    <r>
      <t xml:space="preserve">(D) 
Plants per year </t>
    </r>
    <r>
      <rPr>
        <b/>
        <vertAlign val="superscript"/>
        <sz val="12"/>
        <rFont val="Times New Roman"/>
        <family val="1"/>
      </rPr>
      <t>a</t>
    </r>
  </si>
  <si>
    <t>(F) 
Management person hr/yr (Ex0.05)</t>
  </si>
  <si>
    <t>(G) 
Clerical person hr/yr (Ex0.1)</t>
  </si>
  <si>
    <r>
      <t xml:space="preserve">(H) 
Cost, $ </t>
    </r>
    <r>
      <rPr>
        <b/>
        <vertAlign val="superscript"/>
        <sz val="12"/>
        <rFont val="Times New Roman"/>
        <family val="1"/>
      </rPr>
      <t>b</t>
    </r>
  </si>
  <si>
    <r>
      <t xml:space="preserve">1. Attend initial/periodic performance test </t>
    </r>
    <r>
      <rPr>
        <vertAlign val="superscript"/>
        <sz val="10"/>
        <rFont val="Times New Roman"/>
        <family val="1"/>
      </rPr>
      <t>c</t>
    </r>
  </si>
  <si>
    <r>
      <t xml:space="preserve">2. Attend retest </t>
    </r>
    <r>
      <rPr>
        <vertAlign val="superscript"/>
        <sz val="10"/>
        <rFont val="Times New Roman"/>
        <family val="1"/>
      </rPr>
      <t>c,d</t>
    </r>
  </si>
  <si>
    <t>3. Report review</t>
  </si>
  <si>
    <r>
      <t xml:space="preserve">Notification of construction/reconstruction </t>
    </r>
    <r>
      <rPr>
        <vertAlign val="superscript"/>
        <sz val="10"/>
        <rFont val="Times New Roman"/>
        <family val="1"/>
      </rPr>
      <t>e</t>
    </r>
  </si>
  <si>
    <r>
      <t xml:space="preserve">Notification of actual startup </t>
    </r>
    <r>
      <rPr>
        <vertAlign val="superscript"/>
        <sz val="10"/>
        <rFont val="Times New Roman"/>
        <family val="1"/>
      </rPr>
      <t>e</t>
    </r>
  </si>
  <si>
    <r>
      <t xml:space="preserve">Notification of applicability of standard </t>
    </r>
    <r>
      <rPr>
        <vertAlign val="superscript"/>
        <sz val="10"/>
        <rFont val="Times New Roman"/>
        <family val="1"/>
      </rPr>
      <t>e</t>
    </r>
  </si>
  <si>
    <r>
      <t xml:space="preserve">Notification of initial/periodic performance test </t>
    </r>
    <r>
      <rPr>
        <vertAlign val="superscript"/>
        <sz val="10"/>
        <rFont val="Times New Roman"/>
        <family val="1"/>
      </rPr>
      <t>f</t>
    </r>
  </si>
  <si>
    <r>
      <t xml:space="preserve">Notification of performance evaluation </t>
    </r>
    <r>
      <rPr>
        <vertAlign val="superscript"/>
        <sz val="10"/>
        <rFont val="Times New Roman"/>
        <family val="1"/>
      </rPr>
      <t>f</t>
    </r>
  </si>
  <si>
    <r>
      <t xml:space="preserve">Review of notification of compliance status </t>
    </r>
    <r>
      <rPr>
        <vertAlign val="superscript"/>
        <sz val="10"/>
        <rFont val="Times New Roman"/>
        <family val="1"/>
      </rPr>
      <t>e</t>
    </r>
  </si>
  <si>
    <t xml:space="preserve">Review of excess emissions report </t>
  </si>
  <si>
    <r>
      <t>Semiannual reports of monitoring exceedances and periods of noncompliance</t>
    </r>
    <r>
      <rPr>
        <vertAlign val="superscript"/>
        <sz val="10"/>
        <rFont val="Times New Roman"/>
        <family val="1"/>
      </rPr>
      <t xml:space="preserve"> g</t>
    </r>
  </si>
  <si>
    <r>
      <t xml:space="preserve">Semiannual reports of no exceedances </t>
    </r>
    <r>
      <rPr>
        <vertAlign val="superscript"/>
        <sz val="10"/>
        <rFont val="Times New Roman"/>
        <family val="1"/>
      </rPr>
      <t>h</t>
    </r>
  </si>
  <si>
    <t>Subtotal for Burden and Cost - Salary</t>
  </si>
  <si>
    <r>
      <t xml:space="preserve">   Travel Expenses for Tests Attended </t>
    </r>
    <r>
      <rPr>
        <vertAlign val="superscript"/>
        <sz val="10"/>
        <rFont val="Times New Roman"/>
        <family val="1"/>
      </rPr>
      <t>i</t>
    </r>
  </si>
  <si>
    <r>
      <t xml:space="preserve">TOTAL ANNUAL BURDEN AND COST </t>
    </r>
    <r>
      <rPr>
        <b/>
        <vertAlign val="superscript"/>
        <sz val="10"/>
        <rFont val="Times New Roman"/>
        <family val="1"/>
      </rPr>
      <t>j</t>
    </r>
  </si>
  <si>
    <r>
      <t>e</t>
    </r>
    <r>
      <rPr>
        <sz val="10"/>
        <rFont val="Times New Roman"/>
        <family val="1"/>
      </rPr>
      <t xml:space="preserve">  We estimate that it will take EPA personnel 2 hours once per year to complete review of the initial notifications (construction/reconstruction, actual startup, applicability of standard) and 4 hours once per year to review the notification of compliance status for new process units (</t>
    </r>
    <r>
      <rPr>
        <sz val="10"/>
        <color rgb="FF7030A0"/>
        <rFont val="Times New Roman"/>
        <family val="1"/>
      </rPr>
      <t>3</t>
    </r>
    <r>
      <rPr>
        <sz val="10"/>
        <rFont val="Times New Roman"/>
        <family val="1"/>
      </rPr>
      <t xml:space="preserve"> mills with new process units/3 years = 1).</t>
    </r>
  </si>
  <si>
    <t>Continuous opacity monitoring system (COMS)</t>
  </si>
  <si>
    <t>Continuous parameter monitoring system (CPMS)</t>
  </si>
  <si>
    <t>Method 5 for PM</t>
  </si>
  <si>
    <t>Method 25A for THC</t>
  </si>
  <si>
    <t>Method 308 for methanol</t>
  </si>
  <si>
    <t>--</t>
  </si>
  <si>
    <t xml:space="preserve">Total </t>
  </si>
  <si>
    <r>
      <t>b</t>
    </r>
    <r>
      <rPr>
        <sz val="10"/>
        <color theme="1"/>
        <rFont val="Times New Roman"/>
        <family val="1"/>
      </rPr>
      <t xml:space="preserve"> Annualized capital costs were estimated assuming a 5-year payment period at 7% interest for initial performance tests (with a capital recovery factor of 0.244).</t>
    </r>
  </si>
  <si>
    <r>
      <t xml:space="preserve">Performance tests: </t>
    </r>
    <r>
      <rPr>
        <vertAlign val="superscript"/>
        <sz val="10"/>
        <color theme="1"/>
        <rFont val="Times New Roman"/>
        <family val="1"/>
      </rPr>
      <t>a,b</t>
    </r>
  </si>
  <si>
    <t>Continuous Monitoring Device:</t>
  </si>
  <si>
    <r>
      <t>a</t>
    </r>
    <r>
      <rPr>
        <sz val="10"/>
        <rFont val="Times New Roman"/>
        <family val="1"/>
      </rPr>
      <t xml:space="preserve">  We estimate that the number of existing sources subject to the rule is 96 pulp mills. We also estimate that new equipment will be installed at three existing pulp mills and become subject to the rule over the 3 years of this ICR (two new recovery furnaces, two new SDTs, and one new lime kiln). Based on these estimates, over the 3 years of this ICR, there will be an average of 96 pulp mills per year and new source requirements for an average of 1 pulp mills per year.</t>
    </r>
  </si>
  <si>
    <r>
      <t>l</t>
    </r>
    <r>
      <rPr>
        <sz val="10"/>
        <color rgb="FF7030A0"/>
        <rFont val="Times New Roman"/>
        <family val="1"/>
      </rPr>
      <t xml:space="preserve">  </t>
    </r>
    <r>
      <rPr>
        <sz val="10"/>
        <rFont val="Times New Roman"/>
        <family val="1"/>
      </rPr>
      <t>We estimate that it will take 8 hours per semiannual period each year to keep records demonstrating compliance with the requirement to maintain proper operation of the ESP AVC for 164 recovery furnace and lime kiln ESPs</t>
    </r>
    <r>
      <rPr>
        <sz val="10"/>
        <color rgb="FF7030A0"/>
        <rFont val="Times New Roman"/>
        <family val="1"/>
      </rPr>
      <t>.</t>
    </r>
  </si>
  <si>
    <r>
      <t>o</t>
    </r>
    <r>
      <rPr>
        <sz val="10"/>
        <rFont val="Times New Roman"/>
        <family val="1"/>
      </rPr>
      <t xml:space="preserve">  We estimate 87 existing kraft and soda pulp mills have lime kilns that will need to keep records of lime production rate. We estimate that each respondent will take 1.5 hours 52 times per year to keep these records.</t>
    </r>
  </si>
  <si>
    <r>
      <t>p</t>
    </r>
    <r>
      <rPr>
        <sz val="10"/>
        <rFont val="Times New Roman"/>
        <family val="1"/>
      </rPr>
      <t xml:space="preserve">   We estimate that each respondent will take 0.5 hours 1,050 times per year to record wet scrubber and regenerative thermal oxidizer (RTO) parameters at all existing 96 mills.</t>
    </r>
  </si>
  <si>
    <r>
      <t>r</t>
    </r>
    <r>
      <rPr>
        <sz val="10"/>
        <rFont val="Times New Roman"/>
        <family val="1"/>
      </rPr>
      <t xml:space="preserve">  We estimate that it will take each respondent 16 hours to provide refresher training each year for personnel at all 96 existing mills.</t>
    </r>
  </si>
  <si>
    <r>
      <t xml:space="preserve">Notification of compliance status </t>
    </r>
    <r>
      <rPr>
        <vertAlign val="superscript"/>
        <sz val="10"/>
        <color rgb="FF000000"/>
        <rFont val="Times New Roman"/>
        <family val="1"/>
      </rPr>
      <t>e,f</t>
    </r>
  </si>
  <si>
    <r>
      <t xml:space="preserve">Notification of performance test/retest </t>
    </r>
    <r>
      <rPr>
        <vertAlign val="superscript"/>
        <sz val="10"/>
        <color rgb="FF000000"/>
        <rFont val="Times New Roman"/>
        <family val="1"/>
      </rPr>
      <t>g</t>
    </r>
  </si>
  <si>
    <r>
      <t xml:space="preserve">Notification of performance evaluation </t>
    </r>
    <r>
      <rPr>
        <vertAlign val="superscript"/>
        <sz val="10"/>
        <color rgb="FF000000"/>
        <rFont val="Times New Roman"/>
        <family val="1"/>
      </rPr>
      <t>g</t>
    </r>
  </si>
  <si>
    <r>
      <t xml:space="preserve">   Report of performance test/retest (through CEDRI using ERT) </t>
    </r>
    <r>
      <rPr>
        <vertAlign val="superscript"/>
        <sz val="10"/>
        <color rgb="FF000000"/>
        <rFont val="Times New Roman"/>
        <family val="1"/>
      </rPr>
      <t>g</t>
    </r>
  </si>
  <si>
    <r>
      <t xml:space="preserve">   Excess emissions report (through CEDRI)</t>
    </r>
    <r>
      <rPr>
        <vertAlign val="superscript"/>
        <sz val="10"/>
        <color rgb="FF000000"/>
        <rFont val="Times New Roman"/>
        <family val="1"/>
      </rPr>
      <t xml:space="preserve"> h</t>
    </r>
  </si>
  <si>
    <r>
      <t xml:space="preserve">D. Develop record system </t>
    </r>
    <r>
      <rPr>
        <vertAlign val="superscript"/>
        <sz val="10"/>
        <color rgb="FF000000"/>
        <rFont val="Times New Roman"/>
        <family val="1"/>
      </rPr>
      <t>i</t>
    </r>
  </si>
  <si>
    <r>
      <t xml:space="preserve">Records and documentation of supporting calculations for compliance determinations </t>
    </r>
    <r>
      <rPr>
        <vertAlign val="superscript"/>
        <sz val="10"/>
        <color rgb="FF000000"/>
        <rFont val="Times New Roman"/>
        <family val="1"/>
      </rPr>
      <t>j</t>
    </r>
  </si>
  <si>
    <r>
      <t xml:space="preserve">Records certifying that an NDCE recovery furnace equipped with a dry ESP system is used to comply with the gaseous organic HAP standard for kraft and soda recovery furnaces </t>
    </r>
    <r>
      <rPr>
        <vertAlign val="superscript"/>
        <sz val="10"/>
        <color rgb="FF000000"/>
        <rFont val="Times New Roman"/>
        <family val="1"/>
      </rPr>
      <t>k</t>
    </r>
  </si>
  <si>
    <r>
      <t xml:space="preserve">Records demonstrating compliance with requirement to maintain proper operation of ESP’s AVC </t>
    </r>
    <r>
      <rPr>
        <vertAlign val="superscript"/>
        <sz val="10"/>
        <color rgb="FF000000"/>
        <rFont val="Times New Roman"/>
        <family val="1"/>
      </rPr>
      <t>l</t>
    </r>
  </si>
  <si>
    <r>
      <t xml:space="preserve">Records of failures to meet standards </t>
    </r>
    <r>
      <rPr>
        <vertAlign val="superscript"/>
        <sz val="10"/>
        <color rgb="FF000000"/>
        <rFont val="Times New Roman"/>
        <family val="1"/>
      </rPr>
      <t>m</t>
    </r>
  </si>
  <si>
    <r>
      <t xml:space="preserve">Records of black liquor solids firing rates for recovery furnaces and semichemical combustion units </t>
    </r>
    <r>
      <rPr>
        <vertAlign val="superscript"/>
        <sz val="10"/>
        <color rgb="FF000000"/>
        <rFont val="Times New Roman"/>
        <family val="1"/>
      </rPr>
      <t>n</t>
    </r>
  </si>
  <si>
    <r>
      <t xml:space="preserve">Records of lime production for lime kilns </t>
    </r>
    <r>
      <rPr>
        <vertAlign val="superscript"/>
        <sz val="10"/>
        <color rgb="FF000000"/>
        <rFont val="Times New Roman"/>
        <family val="1"/>
      </rPr>
      <t>o</t>
    </r>
  </si>
  <si>
    <r>
      <t xml:space="preserve">Records of CMS data </t>
    </r>
    <r>
      <rPr>
        <vertAlign val="superscript"/>
        <sz val="10"/>
        <color rgb="FF000000"/>
        <rFont val="Times New Roman"/>
        <family val="1"/>
      </rPr>
      <t>p</t>
    </r>
  </si>
  <si>
    <r>
      <t xml:space="preserve">Initial training </t>
    </r>
    <r>
      <rPr>
        <vertAlign val="superscript"/>
        <sz val="10"/>
        <color rgb="FF000000"/>
        <rFont val="Times New Roman"/>
        <family val="1"/>
      </rPr>
      <t>q</t>
    </r>
  </si>
  <si>
    <r>
      <t xml:space="preserve">Refresher training </t>
    </r>
    <r>
      <rPr>
        <vertAlign val="superscript"/>
        <sz val="10"/>
        <color rgb="FF000000"/>
        <rFont val="Times New Roman"/>
        <family val="1"/>
      </rPr>
      <t>r</t>
    </r>
  </si>
  <si>
    <r>
      <rPr>
        <vertAlign val="superscript"/>
        <sz val="10"/>
        <color theme="1"/>
        <rFont val="Times New Roman"/>
        <family val="1"/>
      </rPr>
      <t>b</t>
    </r>
    <r>
      <rPr>
        <sz val="10"/>
        <color theme="1"/>
        <rFont val="Times New Roman"/>
        <family val="1"/>
      </rPr>
      <t xml:space="preserve"> This ICR uses the following labor rates: $163.17 ($77.70 + 110%) per hour for Executive, Administrative, and Managerial labor; $130.28 ($62.04 + 110%) per hour for Technical labor, and $65.71 ($31.29 + 110%) per hour for Clerical labor.  These rates are from the United States Department of Labor, Bureau of Labor Statistics, September 2022, “Table 2. Civilian workers by occupational and industry group.” The rates are from column 1, “Total compensation.” The rates have been increased by 110 percent to account for varying industry wage rates and the additional overhead business costs of employing workers beyond their wages and benefits, including business expenses associated with hiring, training, and equipping their employees.</t>
    </r>
  </si>
  <si>
    <r>
      <t xml:space="preserve">c </t>
    </r>
    <r>
      <rPr>
        <sz val="10"/>
        <rFont val="Times New Roman"/>
        <family val="1"/>
      </rPr>
      <t xml:space="preserve"> Assume EPA will attend tests at 3.2 plants per year. We estimate that it will take EPA personnel 24 hours once per year to attend initial and periodic performance tests at 10% of plants (0.10 x 96/3 years = 3.2), assuming 96 existing plants will test.</t>
    </r>
  </si>
  <si>
    <r>
      <t>g</t>
    </r>
    <r>
      <rPr>
        <sz val="10"/>
        <rFont val="Times New Roman"/>
        <family val="1"/>
      </rPr>
      <t xml:space="preserve">  We estimate that it will take EPA personnel 8 hours two times per year to review the monitoring exceedances and periods of noncompliance in the excess emissions report for 5% of respondents (5% x 96</t>
    </r>
    <r>
      <rPr>
        <strike/>
        <sz val="10"/>
        <color rgb="FF7030A0"/>
        <rFont val="Times New Roman"/>
        <family val="1"/>
      </rPr>
      <t xml:space="preserve"> </t>
    </r>
    <r>
      <rPr>
        <sz val="10"/>
        <rFont val="Times New Roman"/>
        <family val="1"/>
      </rPr>
      <t>= ~5).</t>
    </r>
  </si>
  <si>
    <r>
      <t>h</t>
    </r>
    <r>
      <rPr>
        <sz val="10"/>
        <rFont val="Times New Roman"/>
        <family val="1"/>
      </rPr>
      <t xml:space="preserve">  We estimate that it will take EPA personnel 2 hours two times per year to review the no exceedances report for 95% of respondents (95% x 96 = 91.2).</t>
    </r>
  </si>
  <si>
    <t xml:space="preserve">Retests </t>
  </si>
  <si>
    <r>
      <t>a</t>
    </r>
    <r>
      <rPr>
        <sz val="10"/>
        <color theme="1"/>
        <rFont val="Times New Roman"/>
        <family val="1"/>
      </rPr>
      <t xml:space="preserve"> We estimate that 20% of respondents will repeat the performance test due to failure. Estimate assumes 96 existing facilities with 234 sources, and 6 new sources at 3 existing facilities, 5 of which require THC testing.</t>
    </r>
  </si>
  <si>
    <r>
      <t xml:space="preserve">a </t>
    </r>
    <r>
      <rPr>
        <sz val="10"/>
        <color rgb="FF000000"/>
        <rFont val="Times New Roman"/>
        <family val="1"/>
      </rPr>
      <t xml:space="preserve">  New respondents include sources with constructed, reconstructed, and modified affected facilities.</t>
    </r>
  </si>
  <si>
    <r>
      <t>f</t>
    </r>
    <r>
      <rPr>
        <sz val="10"/>
        <rFont val="Times New Roman"/>
        <family val="1"/>
      </rPr>
      <t xml:space="preserve">  We estimate that it will take EPA personnel 2 hours once per year to complete review of the initial and periodic notifications of performance test/retest and performance evaluation. We estimate that 38 mills will submit notifications of initial/periodic performance test/retest and performance evaluation over the 3-year ICR period (test: 96 existing respondents/3 years = 32; retest: 20% x 35 = 6; total: 32 + 6 = 38).</t>
    </r>
  </si>
  <si>
    <t xml:space="preserve">Notifications </t>
  </si>
  <si>
    <r>
      <t>d</t>
    </r>
    <r>
      <rPr>
        <sz val="10"/>
        <rFont val="Times New Roman"/>
        <family val="1"/>
      </rPr>
      <t xml:space="preserve">  We estimate that it will take the respondent 24 hours to prepare for initial/periodic performance test (e.g., prepare test plan) and 24 hours to attend the test. We also estimate 2 plant personnel will attend the test. We estimate that 68 mills will need to conduct a test (the rest of the 96 existing mills are already required under existing state rules to conduct tests); this will occur once during the 3-year ICR period (68 respondents/3 years = 23). In addition, we estimate that 20% of respondents (20% x 23 respondents = ~5) will repeat performance test due to failure.</t>
    </r>
  </si>
  <si>
    <r>
      <t>j</t>
    </r>
    <r>
      <rPr>
        <sz val="10"/>
        <rFont val="Times New Roman"/>
        <family val="1"/>
      </rPr>
      <t xml:space="preserve">  We estimate that it will take the respondent 8 hours (1 day) each year to enter records and documentation of supporting calculation for compliance determinations and 2 hours to enter a record of compliant monitoring parameter ranges. We estimate that 38 mills (see footnote g) will enter this information (includes initial test and retest, for mills required to retest).</t>
    </r>
  </si>
  <si>
    <r>
      <t>n</t>
    </r>
    <r>
      <rPr>
        <sz val="10"/>
        <rFont val="Times New Roman"/>
        <family val="1"/>
      </rPr>
      <t xml:space="preserve">  We estimate 96 existing kraft, soda, and stand-alone semichemical pulp mills have recovery furnaces or other chemical recovery combustion units that will need to keep records of black liquor solids firing rate. We estimate that each respondent will take 1.5 hours 52 times per year to keep these records.</t>
    </r>
  </si>
  <si>
    <t xml:space="preserve">G. Time to adjust existing ways to comply with previously applicable requirements </t>
  </si>
  <si>
    <r>
      <t>s</t>
    </r>
    <r>
      <rPr>
        <sz val="10"/>
        <rFont val="Times New Roman"/>
        <family val="1"/>
      </rPr>
      <t xml:space="preserve">  We estimate that each respondent will take 96 hours per semiannual period to compile data for all 96 mills.</t>
    </r>
  </si>
  <si>
    <r>
      <t>t</t>
    </r>
    <r>
      <rPr>
        <sz val="10"/>
        <rFont val="Times New Roman"/>
        <family val="1"/>
      </rPr>
      <t xml:space="preserve">  We estimate that each respondent will take 8 hours two times per year to verify information for reports for all 96 mills.</t>
    </r>
  </si>
  <si>
    <r>
      <t>u</t>
    </r>
    <r>
      <rPr>
        <sz val="10"/>
        <rFont val="Times New Roman"/>
        <family val="1"/>
      </rPr>
      <t xml:space="preserve">  Totals have been rounded to 3 significant figures. Figures may not add exactly due to rounding.</t>
    </r>
  </si>
  <si>
    <r>
      <t xml:space="preserve">Compile data for semiannual periods </t>
    </r>
    <r>
      <rPr>
        <vertAlign val="superscript"/>
        <sz val="10"/>
        <color rgb="FF000000"/>
        <rFont val="Times New Roman"/>
        <family val="1"/>
      </rPr>
      <t>s</t>
    </r>
  </si>
  <si>
    <r>
      <t xml:space="preserve">Enter/verify information for semiannual reports </t>
    </r>
    <r>
      <rPr>
        <vertAlign val="superscript"/>
        <sz val="10"/>
        <color rgb="FF000000"/>
        <rFont val="Times New Roman"/>
        <family val="1"/>
      </rPr>
      <t>t</t>
    </r>
  </si>
  <si>
    <r>
      <t xml:space="preserve">TOTAL LABOR BURDEN AND COSTS (rounded) </t>
    </r>
    <r>
      <rPr>
        <b/>
        <vertAlign val="superscript"/>
        <sz val="10"/>
        <rFont val="Times New Roman"/>
        <family val="1"/>
      </rPr>
      <t>u</t>
    </r>
  </si>
  <si>
    <r>
      <t xml:space="preserve">TOTAL CAPITAL AND O&amp;M COST (rounded) </t>
    </r>
    <r>
      <rPr>
        <b/>
        <vertAlign val="superscript"/>
        <sz val="10"/>
        <rFont val="Times New Roman"/>
        <family val="1"/>
      </rPr>
      <t>u</t>
    </r>
  </si>
  <si>
    <r>
      <t xml:space="preserve">GRAND TOTAL (rounded) </t>
    </r>
    <r>
      <rPr>
        <b/>
        <vertAlign val="superscript"/>
        <sz val="10"/>
        <rFont val="Times New Roman"/>
        <family val="1"/>
      </rPr>
      <t>u</t>
    </r>
  </si>
  <si>
    <r>
      <rPr>
        <vertAlign val="superscript"/>
        <sz val="10"/>
        <rFont val="Times New Roman"/>
        <family val="1"/>
      </rPr>
      <t xml:space="preserve">b </t>
    </r>
    <r>
      <rPr>
        <sz val="10"/>
        <rFont val="Times New Roman"/>
        <family val="1"/>
      </rPr>
      <t xml:space="preserve">The cost is based on the following labor rate which incorporates a 1.6 benefits multiplication factor to account for government overhead expenses.  Managerial rates of $73.46 (GS-13, Step 5, $45.91 + 60%), Technical rate of $54.51 (GS-12, Step 1, $34.07 + 60%), and Clerical rate of $29.50 (GS-6, Step 3, $18.44 + 60%).  These rates are from the Office of Personnel Management (OPM), 2023 General Schedule, which excludes locality, rates of pay. The rates have been increased by 60 percent to account for the benefit packages available to government employees. </t>
    </r>
  </si>
  <si>
    <r>
      <t>d</t>
    </r>
    <r>
      <rPr>
        <sz val="10"/>
        <rFont val="Times New Roman"/>
        <family val="1"/>
      </rPr>
      <t xml:space="preserve">  Assume EPA will attend retests at 0.6 plants per year. We estimate that 20% of respondents will repeat performance test due to failure and that EPA personnel will attend 10% of retests (0.20 x 0.10 x 96/3 years = 0.6</t>
    </r>
    <r>
      <rPr>
        <strike/>
        <sz val="10"/>
        <rFont val="Times New Roman"/>
        <family val="1"/>
      </rPr>
      <t>4</t>
    </r>
    <r>
      <rPr>
        <sz val="10"/>
        <rFont val="Times New Roman"/>
        <family val="1"/>
      </rPr>
      <t xml:space="preserve">), assuming 96 existing plants and 1 new plant will test. </t>
    </r>
  </si>
  <si>
    <r>
      <t>j</t>
    </r>
    <r>
      <rPr>
        <sz val="10"/>
        <rFont val="Times New Roman"/>
        <family val="1"/>
      </rPr>
      <t xml:space="preserve">  Sum of labor and expenses. Total has been rounded to 3 significant figures. Figure may not add exactly due to rounding.</t>
    </r>
  </si>
  <si>
    <r>
      <t>i</t>
    </r>
    <r>
      <rPr>
        <sz val="10"/>
        <rFont val="Times New Roman"/>
        <family val="1"/>
      </rPr>
      <t xml:space="preserve">  We estimate that it will take EPA personnel 1 day per plant plus time for travel, at $50 per diem per day, and $400 transportation expense per round trip. Assuming an average of 4.3 tests/retests each year (3.2 tests + 0.6 retests = 3.8)(see footnotes c and d), the annual cost for travel expenses is $1,890 (3.8 tests/retests*($400+$50) = $1,710).</t>
    </r>
  </si>
  <si>
    <r>
      <t>h</t>
    </r>
    <r>
      <rPr>
        <sz val="10"/>
        <rFont val="Times New Roman"/>
        <family val="1"/>
      </rPr>
      <t xml:space="preserve">  We estimate that 5% of respondents (5% x 96 respondents = 5) will each take 16 hours two times per year to complete reports of monitoring exceedances and periods of noncompliance and submit them through the EPA's CEDRI. We estimate that 95% of respondents (95% x 96 respondents = 91) will each take 8 hours two times per year to write reports of no exceedances and submit them through the EPA's CEDRI.</t>
    </r>
  </si>
  <si>
    <r>
      <t>g</t>
    </r>
    <r>
      <rPr>
        <sz val="10"/>
        <rFont val="Times New Roman"/>
        <family val="1"/>
      </rPr>
      <t xml:space="preserve">  Hard copy report of performance test/retest is included in capital/startup costs. Submittal of performance test/retest data through the EPA's CEDRI in ERT format is estimated to require 8 hours for 38 mills (see respondent calculation in footnote f of Table 2). </t>
    </r>
  </si>
  <si>
    <r>
      <t>a</t>
    </r>
    <r>
      <rPr>
        <sz val="10"/>
        <rFont val="Times New Roman"/>
        <family val="1"/>
      </rPr>
      <t xml:space="preserve">  We estimate that the number of existing sources subject to the rule is 96 pulp mills. We also estimate that new equipment will be installed at three existing pulp mills and become subject to the rule over the 3 years of this ICR (two new recovery furnaces, two new SDTs, and one new lime kiln). Based on these estimates, over the 3 years of this ICR, there will be an average of 96 pulp mills per year </t>
    </r>
    <r>
      <rPr>
        <strike/>
        <sz val="10"/>
        <color rgb="FF7030A0"/>
        <rFont val="Times New Roman"/>
        <family val="1"/>
      </rPr>
      <t xml:space="preserve"> </t>
    </r>
    <r>
      <rPr>
        <sz val="10"/>
        <rFont val="Times New Roman"/>
        <family val="1"/>
      </rPr>
      <t>and new source requirements for an average of 1 pulp mills per year.</t>
    </r>
  </si>
  <si>
    <t>5900-520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</si>
</sst>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1" formatCode="_(* #,##0_);_(* \(#,##0\);_(* &quot;-&quot;_);_(@_)"/>
    <numFmt numFmtId="164" formatCode="General_)"/>
    <numFmt numFmtId="165" formatCode="&quot;$&quot;#,##0.00"/>
    <numFmt numFmtId="166" formatCode="#,##0.0"/>
  </numFmts>
  <fonts count="43" x14ac:knownFonts="1">
    <font>
      <sz val="11"/>
      <color theme="1"/>
      <name val="Calibri"/>
      <family val="2"/>
      <scheme val="minor"/>
    </font>
    <font>
      <sz val="10"/>
      <color theme="1"/>
      <name val="Times New Roman"/>
      <family val="1"/>
    </font>
    <font>
      <b/>
      <sz val="10"/>
      <color theme="1"/>
      <name val="Times New Roman"/>
      <family val="1"/>
    </font>
    <font>
      <b/>
      <vertAlign val="superscript"/>
      <sz val="10"/>
      <color theme="1"/>
      <name val="Times New Roman"/>
      <family val="1"/>
    </font>
    <font>
      <vertAlign val="superscript"/>
      <sz val="10"/>
      <color theme="1"/>
      <name val="Times New Roman"/>
      <family val="1"/>
    </font>
    <font>
      <sz val="10"/>
      <color rgb="FFFF0000"/>
      <name val="Times New Roman"/>
      <family val="1"/>
    </font>
    <font>
      <sz val="10"/>
      <name val="Times New Roman"/>
      <family val="1"/>
    </font>
    <font>
      <sz val="8"/>
      <name val="Helv"/>
    </font>
    <font>
      <b/>
      <sz val="10"/>
      <name val="Times New Roman"/>
      <family val="1"/>
    </font>
    <font>
      <b/>
      <sz val="12"/>
      <color rgb="FF000000"/>
      <name val="Times New Roman"/>
      <family val="1"/>
    </font>
    <font>
      <sz val="10"/>
      <color rgb="FF000000"/>
      <name val="Times New Roman"/>
      <family val="1"/>
    </font>
    <font>
      <b/>
      <sz val="10"/>
      <color rgb="FF000000"/>
      <name val="Times New Roman"/>
      <family val="1"/>
    </font>
    <font>
      <b/>
      <vertAlign val="superscript"/>
      <sz val="10"/>
      <color rgb="FF000000"/>
      <name val="Times New Roman"/>
      <family val="1"/>
    </font>
    <font>
      <vertAlign val="superscript"/>
      <sz val="10"/>
      <name val="Times New Roman"/>
      <family val="1"/>
    </font>
    <font>
      <b/>
      <vertAlign val="superscript"/>
      <sz val="10"/>
      <name val="Times New Roman"/>
      <family val="1"/>
    </font>
    <font>
      <b/>
      <i/>
      <sz val="10"/>
      <name val="Times New Roman"/>
      <family val="1"/>
    </font>
    <font>
      <vertAlign val="superscript"/>
      <sz val="10"/>
      <color rgb="FF000000"/>
      <name val="Times New Roman"/>
      <family val="1"/>
    </font>
    <font>
      <sz val="10"/>
      <color theme="1"/>
      <name val="Calibri"/>
      <family val="2"/>
      <scheme val="minor"/>
    </font>
    <font>
      <sz val="10"/>
      <color rgb="FFFF0000"/>
      <name val="Calibri"/>
      <family val="2"/>
      <scheme val="minor"/>
    </font>
    <font>
      <sz val="10"/>
      <name val="Calibri"/>
      <family val="2"/>
      <scheme val="minor"/>
    </font>
    <font>
      <sz val="11"/>
      <color rgb="FFFF0000"/>
      <name val="Calibri"/>
      <family val="2"/>
      <scheme val="minor"/>
    </font>
    <font>
      <sz val="11"/>
      <color theme="1"/>
      <name val="Times New Roman"/>
      <family val="1"/>
    </font>
    <font>
      <sz val="11"/>
      <color rgb="FF7030A0"/>
      <name val="Times New Roman"/>
      <family val="1"/>
    </font>
    <font>
      <b/>
      <sz val="11"/>
      <color rgb="FF000000"/>
      <name val="Times New Roman"/>
      <family val="1"/>
    </font>
    <font>
      <b/>
      <sz val="11"/>
      <color theme="1"/>
      <name val="Times New Roman"/>
      <family val="1"/>
    </font>
    <font>
      <sz val="11"/>
      <name val="Calibri"/>
      <family val="2"/>
      <scheme val="minor"/>
    </font>
    <font>
      <sz val="11"/>
      <name val="Calibri"/>
      <family val="2"/>
    </font>
    <font>
      <sz val="10"/>
      <name val="Calibri"/>
      <family val="2"/>
    </font>
    <font>
      <i/>
      <sz val="10"/>
      <color rgb="FF000000"/>
      <name val="Times New Roman"/>
      <family val="1"/>
    </font>
    <font>
      <sz val="8"/>
      <name val="Times New Roman"/>
      <family val="1"/>
    </font>
    <font>
      <b/>
      <sz val="8"/>
      <color rgb="FF000000"/>
      <name val="Times New Roman"/>
      <family val="1"/>
    </font>
    <font>
      <sz val="8"/>
      <color rgb="FF000000"/>
      <name val="Times New Roman"/>
      <family val="1"/>
    </font>
    <font>
      <sz val="11"/>
      <color rgb="FF7030A0"/>
      <name val="Calibri"/>
      <family val="2"/>
      <scheme val="minor"/>
    </font>
    <font>
      <sz val="10"/>
      <color rgb="FF7030A0"/>
      <name val="Times New Roman"/>
      <family val="1"/>
    </font>
    <font>
      <sz val="10"/>
      <color rgb="FF7030A0"/>
      <name val="Calibri"/>
      <family val="2"/>
      <scheme val="minor"/>
    </font>
    <font>
      <vertAlign val="superscript"/>
      <sz val="10"/>
      <color rgb="FF7030A0"/>
      <name val="Times New Roman"/>
      <family val="1"/>
    </font>
    <font>
      <b/>
      <vertAlign val="superscript"/>
      <sz val="12"/>
      <name val="Times New Roman"/>
      <family val="1"/>
    </font>
    <font>
      <b/>
      <sz val="11"/>
      <color rgb="FFFF0000"/>
      <name val="Times New Roman"/>
      <family val="1"/>
    </font>
    <font>
      <sz val="8"/>
      <name val="Courier"/>
      <family val="3"/>
    </font>
    <font>
      <strike/>
      <sz val="10"/>
      <color rgb="FF7030A0"/>
      <name val="Times New Roman"/>
      <family val="1"/>
    </font>
    <font>
      <vertAlign val="superscript"/>
      <sz val="11"/>
      <color theme="1"/>
      <name val="Times New Roman"/>
      <family val="1"/>
    </font>
    <font>
      <strike/>
      <sz val="10"/>
      <name val="Times New Roman"/>
      <family val="1"/>
    </font>
    <font>
      <sz val="11"/>
      <name val="Times New Roman"/>
      <family val="1"/>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s>
  <cellStyleXfs count="3">
    <xf numFmtId="0" fontId="0" fillId="0" borderId="0"/>
    <xf numFmtId="164" fontId="7" fillId="0" borderId="0"/>
    <xf numFmtId="0" fontId="38" fillId="0" borderId="0"/>
  </cellStyleXfs>
  <cellXfs count="127">
    <xf numFmtId="0" fontId="0" fillId="0" borderId="0" xfId="0"/>
    <xf numFmtId="0" fontId="5" fillId="0" borderId="0" xfId="0" applyFont="1"/>
    <xf numFmtId="164" fontId="6" fillId="0" borderId="0" xfId="1" applyFont="1" applyAlignment="1">
      <alignment horizontal="center" vertical="center" wrapText="1"/>
    </xf>
    <xf numFmtId="165" fontId="6" fillId="0" borderId="0" xfId="1" applyNumberFormat="1" applyFont="1" applyAlignment="1">
      <alignment horizontal="right" wrapText="1"/>
    </xf>
    <xf numFmtId="0" fontId="6" fillId="0" borderId="0" xfId="0" applyFont="1"/>
    <xf numFmtId="0" fontId="10" fillId="0" borderId="1" xfId="0" applyFont="1" applyBorder="1"/>
    <xf numFmtId="0" fontId="17" fillId="0" borderId="0" xfId="0" applyFont="1"/>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6" fillId="0" borderId="0" xfId="0" applyFont="1" applyAlignment="1">
      <alignment vertical="center"/>
    </xf>
    <xf numFmtId="0" fontId="1"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0" xfId="0" applyFont="1" applyAlignment="1">
      <alignment horizontal="center" vertical="center" wrapText="1"/>
    </xf>
    <xf numFmtId="6" fontId="1" fillId="0" borderId="0" xfId="0" applyNumberFormat="1" applyFont="1" applyAlignment="1">
      <alignment horizontal="center" vertical="center" wrapText="1"/>
    </xf>
    <xf numFmtId="6" fontId="2" fillId="0" borderId="0" xfId="0" applyNumberFormat="1" applyFont="1" applyAlignment="1">
      <alignment horizontal="center" vertical="center" wrapText="1"/>
    </xf>
    <xf numFmtId="0" fontId="17" fillId="0" borderId="0" xfId="0" applyFont="1" applyAlignment="1">
      <alignment wrapText="1"/>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165" fontId="6" fillId="0" borderId="1" xfId="0" applyNumberFormat="1" applyFont="1" applyBorder="1"/>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1" fillId="0" borderId="1" xfId="0" applyFont="1" applyBorder="1" applyAlignment="1">
      <alignment horizontal="left" vertical="center" wrapText="1" indent="1"/>
    </xf>
    <xf numFmtId="0" fontId="18" fillId="0" borderId="0" xfId="0" applyFont="1" applyAlignment="1">
      <alignment vertical="top" wrapText="1"/>
    </xf>
    <xf numFmtId="1" fontId="6" fillId="0" borderId="1" xfId="0" applyNumberFormat="1" applyFont="1" applyBorder="1" applyAlignment="1">
      <alignment horizontal="center" vertical="center" wrapText="1"/>
    </xf>
    <xf numFmtId="3" fontId="0" fillId="0" borderId="0" xfId="0" applyNumberFormat="1"/>
    <xf numFmtId="6" fontId="0" fillId="0" borderId="0" xfId="0" applyNumberFormat="1"/>
    <xf numFmtId="1" fontId="0" fillId="0" borderId="0" xfId="0" applyNumberFormat="1"/>
    <xf numFmtId="0" fontId="21" fillId="0" borderId="5" xfId="0" applyFont="1" applyBorder="1" applyAlignment="1">
      <alignment vertical="center" wrapText="1"/>
    </xf>
    <xf numFmtId="1" fontId="22" fillId="0" borderId="5" xfId="0" applyNumberFormat="1" applyFont="1" applyBorder="1" applyAlignment="1">
      <alignment horizontal="center" vertical="center" wrapText="1"/>
    </xf>
    <xf numFmtId="0" fontId="21" fillId="0" borderId="5" xfId="0" applyFont="1" applyBorder="1" applyAlignment="1">
      <alignment horizontal="center" vertical="center" wrapText="1"/>
    </xf>
    <xf numFmtId="0" fontId="23" fillId="0" borderId="5" xfId="0" applyFont="1" applyBorder="1" applyAlignment="1">
      <alignment vertical="center" wrapText="1"/>
    </xf>
    <xf numFmtId="0" fontId="23" fillId="0" borderId="5" xfId="0" applyFont="1" applyBorder="1" applyAlignment="1">
      <alignment horizontal="center" vertical="center" wrapText="1"/>
    </xf>
    <xf numFmtId="1" fontId="24" fillId="0" borderId="5" xfId="0" applyNumberFormat="1" applyFont="1" applyBorder="1" applyAlignment="1">
      <alignment horizontal="center" vertical="center" wrapText="1"/>
    </xf>
    <xf numFmtId="0" fontId="9" fillId="0" borderId="0" xfId="0" applyFont="1" applyAlignment="1">
      <alignment horizontal="left" vertical="center"/>
    </xf>
    <xf numFmtId="0" fontId="25" fillId="0" borderId="0" xfId="0" applyFont="1"/>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26" fillId="0" borderId="0" xfId="0" applyFont="1"/>
    <xf numFmtId="0" fontId="10" fillId="0" borderId="1" xfId="0" applyFont="1" applyBorder="1" applyAlignment="1">
      <alignment vertical="center"/>
    </xf>
    <xf numFmtId="0" fontId="10" fillId="0" borderId="1" xfId="0" applyFont="1" applyBorder="1" applyAlignment="1">
      <alignment horizontal="right" vertical="center" wrapText="1"/>
    </xf>
    <xf numFmtId="165" fontId="6" fillId="0" borderId="0" xfId="0" applyNumberFormat="1" applyFont="1"/>
    <xf numFmtId="0" fontId="10" fillId="0" borderId="1" xfId="0" applyFont="1" applyBorder="1" applyAlignment="1">
      <alignment horizontal="left" vertical="center" indent="1"/>
    </xf>
    <xf numFmtId="3" fontId="6" fillId="0" borderId="1" xfId="0" applyNumberFormat="1" applyFont="1" applyBorder="1" applyAlignment="1">
      <alignment horizontal="center" vertical="center" wrapText="1"/>
    </xf>
    <xf numFmtId="8" fontId="6" fillId="0" borderId="1" xfId="0" applyNumberFormat="1" applyFont="1" applyBorder="1" applyAlignment="1">
      <alignment horizontal="right" vertical="center" wrapText="1"/>
    </xf>
    <xf numFmtId="0" fontId="6" fillId="0" borderId="1" xfId="0" applyFont="1" applyBorder="1" applyAlignment="1">
      <alignment horizontal="right" vertical="center" wrapText="1"/>
    </xf>
    <xf numFmtId="0" fontId="10" fillId="0" borderId="1" xfId="0" applyFont="1" applyBorder="1" applyAlignment="1">
      <alignment horizontal="left" vertical="center" indent="2"/>
    </xf>
    <xf numFmtId="0" fontId="10" fillId="0" borderId="1" xfId="0" applyFont="1" applyBorder="1" applyAlignment="1">
      <alignment horizontal="left" vertical="center" wrapText="1" indent="2"/>
    </xf>
    <xf numFmtId="0" fontId="10" fillId="0" borderId="1" xfId="0" applyFont="1" applyBorder="1" applyAlignment="1">
      <alignment horizontal="left" vertical="center" wrapText="1" indent="3"/>
    </xf>
    <xf numFmtId="2" fontId="6" fillId="0" borderId="1" xfId="0" applyNumberFormat="1" applyFont="1" applyBorder="1" applyAlignment="1">
      <alignment horizontal="center" vertical="center" wrapText="1"/>
    </xf>
    <xf numFmtId="0" fontId="27" fillId="0" borderId="0" xfId="0" applyFont="1"/>
    <xf numFmtId="0" fontId="10" fillId="0" borderId="1" xfId="0" applyFont="1" applyBorder="1" applyAlignment="1">
      <alignment horizontal="left" vertical="center" indent="3"/>
    </xf>
    <xf numFmtId="0" fontId="28" fillId="0" borderId="1" xfId="0" applyFont="1" applyBorder="1" applyAlignment="1">
      <alignment vertical="center"/>
    </xf>
    <xf numFmtId="6" fontId="8" fillId="0" borderId="1" xfId="0" applyNumberFormat="1" applyFont="1" applyBorder="1" applyAlignment="1">
      <alignment horizontal="right" vertical="center" wrapText="1"/>
    </xf>
    <xf numFmtId="166" fontId="6" fillId="0" borderId="1" xfId="0" applyNumberFormat="1" applyFont="1" applyBorder="1" applyAlignment="1">
      <alignment horizontal="center" vertical="center" wrapText="1"/>
    </xf>
    <xf numFmtId="0" fontId="29" fillId="0" borderId="0" xfId="0" applyFont="1" applyAlignment="1">
      <alignment horizontal="center" vertical="center" wrapText="1"/>
    </xf>
    <xf numFmtId="3" fontId="10" fillId="0" borderId="1" xfId="0" applyNumberFormat="1" applyFont="1" applyBorder="1" applyAlignment="1">
      <alignment horizontal="center" vertical="center" wrapText="1"/>
    </xf>
    <xf numFmtId="3" fontId="29" fillId="0" borderId="0" xfId="0" applyNumberFormat="1" applyFont="1" applyAlignment="1">
      <alignment horizontal="center" vertical="center" wrapText="1"/>
    </xf>
    <xf numFmtId="0" fontId="10" fillId="0" borderId="1" xfId="0" applyFont="1" applyBorder="1" applyAlignment="1">
      <alignment horizontal="left" vertical="center" wrapText="1" indent="1"/>
    </xf>
    <xf numFmtId="3" fontId="25" fillId="0" borderId="0" xfId="0" applyNumberFormat="1" applyFont="1"/>
    <xf numFmtId="6" fontId="25" fillId="0" borderId="0" xfId="0" applyNumberFormat="1" applyFont="1"/>
    <xf numFmtId="0" fontId="8" fillId="0" borderId="1" xfId="0" applyFont="1" applyBorder="1" applyAlignment="1">
      <alignment horizontal="left" vertical="center" wrapText="1"/>
    </xf>
    <xf numFmtId="3" fontId="17" fillId="0" borderId="0" xfId="0" applyNumberFormat="1" applyFont="1"/>
    <xf numFmtId="0" fontId="19" fillId="0" borderId="0" xfId="0" applyFont="1"/>
    <xf numFmtId="3" fontId="6" fillId="0" borderId="0" xfId="0" applyNumberFormat="1" applyFont="1" applyAlignment="1">
      <alignment horizontal="center" vertical="center" wrapText="1"/>
    </xf>
    <xf numFmtId="0" fontId="6" fillId="0" borderId="1" xfId="0" applyFont="1" applyBorder="1"/>
    <xf numFmtId="0" fontId="8" fillId="0" borderId="1" xfId="0" applyFont="1" applyBorder="1" applyAlignment="1">
      <alignment horizontal="left" vertical="center"/>
    </xf>
    <xf numFmtId="6" fontId="8" fillId="0" borderId="1" xfId="0" applyNumberFormat="1" applyFont="1" applyBorder="1" applyAlignment="1">
      <alignment horizontal="right"/>
    </xf>
    <xf numFmtId="3" fontId="19" fillId="0" borderId="0" xfId="0" applyNumberFormat="1" applyFont="1"/>
    <xf numFmtId="0" fontId="6" fillId="0" borderId="0" xfId="0" applyFont="1" applyAlignment="1">
      <alignment horizontal="center" vertical="center" wrapText="1"/>
    </xf>
    <xf numFmtId="0" fontId="30" fillId="0" borderId="0" xfId="0" applyFont="1" applyAlignment="1">
      <alignment vertical="center"/>
    </xf>
    <xf numFmtId="0" fontId="31" fillId="0" borderId="0" xfId="0" applyFont="1" applyAlignment="1">
      <alignment horizontal="center" vertical="center" wrapText="1"/>
    </xf>
    <xf numFmtId="3" fontId="30" fillId="0" borderId="0" xfId="0" applyNumberFormat="1" applyFont="1" applyAlignment="1">
      <alignment horizontal="center" vertical="center" wrapText="1"/>
    </xf>
    <xf numFmtId="6" fontId="30" fillId="0" borderId="0" xfId="0" applyNumberFormat="1" applyFont="1" applyAlignment="1">
      <alignment horizontal="right" vertical="center" wrapText="1"/>
    </xf>
    <xf numFmtId="6" fontId="19" fillId="0" borderId="0" xfId="0" applyNumberFormat="1" applyFont="1"/>
    <xf numFmtId="0" fontId="32" fillId="0" borderId="0" xfId="0" applyFont="1"/>
    <xf numFmtId="0" fontId="13" fillId="0" borderId="0" xfId="0" applyFont="1" applyAlignment="1">
      <alignment vertical="center"/>
    </xf>
    <xf numFmtId="0" fontId="33" fillId="0" borderId="0" xfId="0" applyFont="1" applyAlignment="1">
      <alignment vertical="center" wrapText="1"/>
    </xf>
    <xf numFmtId="0" fontId="34" fillId="0" borderId="0" xfId="0" applyFont="1" applyAlignment="1">
      <alignment wrapText="1"/>
    </xf>
    <xf numFmtId="0" fontId="37" fillId="0" borderId="6" xfId="0" applyFont="1" applyBorder="1" applyAlignment="1">
      <alignment horizontal="center" vertical="center" wrapText="1"/>
    </xf>
    <xf numFmtId="8" fontId="6" fillId="0" borderId="1" xfId="0" applyNumberFormat="1" applyFont="1" applyBorder="1" applyAlignment="1">
      <alignment horizontal="right" vertical="center" wrapText="1" indent="1"/>
    </xf>
    <xf numFmtId="0" fontId="6" fillId="0" borderId="1" xfId="0" applyFont="1" applyBorder="1" applyAlignment="1">
      <alignment vertical="center"/>
    </xf>
    <xf numFmtId="0" fontId="6" fillId="0" borderId="1" xfId="0" applyFont="1" applyBorder="1" applyAlignment="1">
      <alignment horizontal="right" vertical="center" wrapText="1" indent="1"/>
    </xf>
    <xf numFmtId="0" fontId="6" fillId="0" borderId="1" xfId="0" applyFont="1" applyBorder="1" applyAlignment="1">
      <alignment horizontal="left" vertical="center" indent="1"/>
    </xf>
    <xf numFmtId="0" fontId="20" fillId="0" borderId="0" xfId="0" applyFont="1"/>
    <xf numFmtId="165" fontId="6" fillId="0" borderId="0" xfId="2" applyNumberFormat="1" applyFont="1"/>
    <xf numFmtId="0" fontId="6" fillId="0" borderId="1" xfId="0" applyFont="1" applyBorder="1" applyAlignment="1">
      <alignment horizontal="left" vertical="center" wrapText="1" indent="2"/>
    </xf>
    <xf numFmtId="0" fontId="6" fillId="0" borderId="1" xfId="0" applyFont="1" applyBorder="1" applyAlignment="1">
      <alignment horizontal="left" vertical="center" indent="2"/>
    </xf>
    <xf numFmtId="0" fontId="15" fillId="0" borderId="1" xfId="0" applyFont="1" applyBorder="1" applyAlignment="1">
      <alignment vertical="center"/>
    </xf>
    <xf numFmtId="0" fontId="8" fillId="0" borderId="1" xfId="0" applyFont="1" applyBorder="1" applyAlignment="1">
      <alignment vertical="center"/>
    </xf>
    <xf numFmtId="0" fontId="18" fillId="0" borderId="0" xfId="0" applyFont="1"/>
    <xf numFmtId="0" fontId="30" fillId="0" borderId="0" xfId="0" applyFont="1" applyAlignment="1">
      <alignment horizontal="center" vertical="center" wrapText="1"/>
    </xf>
    <xf numFmtId="1" fontId="21" fillId="0" borderId="5" xfId="0" applyNumberFormat="1" applyFont="1" applyBorder="1" applyAlignment="1">
      <alignment horizontal="center" vertical="center" wrapText="1"/>
    </xf>
    <xf numFmtId="6" fontId="10" fillId="0" borderId="1" xfId="0" applyNumberFormat="1" applyFont="1" applyBorder="1" applyAlignment="1">
      <alignment horizontal="center" vertical="center" wrapText="1"/>
    </xf>
    <xf numFmtId="0" fontId="4" fillId="0" borderId="0" xfId="0" applyFont="1"/>
    <xf numFmtId="0" fontId="8" fillId="0" borderId="0" xfId="0" applyFont="1" applyAlignment="1">
      <alignment vertical="top" wrapText="1"/>
    </xf>
    <xf numFmtId="0" fontId="34" fillId="0" borderId="0" xfId="0" applyFont="1" applyAlignment="1">
      <alignment vertical="center" wrapText="1"/>
    </xf>
    <xf numFmtId="0" fontId="34" fillId="0" borderId="0" xfId="0" applyFont="1"/>
    <xf numFmtId="6" fontId="1" fillId="0" borderId="1" xfId="0" applyNumberFormat="1" applyFont="1" applyBorder="1" applyAlignment="1">
      <alignment horizontal="center" vertical="center" wrapText="1"/>
    </xf>
    <xf numFmtId="6" fontId="2" fillId="0" borderId="1" xfId="0" applyNumberFormat="1" applyFont="1" applyBorder="1" applyAlignment="1">
      <alignment horizontal="center" vertical="center" wrapText="1"/>
    </xf>
    <xf numFmtId="0" fontId="33" fillId="0" borderId="0" xfId="0" applyFont="1"/>
    <xf numFmtId="1" fontId="6" fillId="0" borderId="1" xfId="0" applyNumberFormat="1" applyFont="1" applyBorder="1"/>
    <xf numFmtId="41" fontId="0" fillId="0" borderId="0" xfId="0" applyNumberFormat="1"/>
    <xf numFmtId="1" fontId="42" fillId="0" borderId="5" xfId="0" applyNumberFormat="1" applyFont="1" applyBorder="1" applyAlignment="1">
      <alignment horizontal="center" vertical="center" wrapText="1"/>
    </xf>
    <xf numFmtId="0" fontId="0" fillId="0" borderId="0" xfId="0" quotePrefix="1" applyAlignment="1">
      <alignment horizontal="right"/>
    </xf>
    <xf numFmtId="0" fontId="0" fillId="0" borderId="0" xfId="0" applyAlignment="1">
      <alignment horizontal="center"/>
    </xf>
    <xf numFmtId="3" fontId="8" fillId="0" borderId="1" xfId="0" applyNumberFormat="1" applyFont="1" applyBorder="1" applyAlignment="1">
      <alignment horizontal="center" vertical="center" wrapText="1"/>
    </xf>
    <xf numFmtId="0" fontId="13" fillId="0" borderId="0" xfId="0" applyFont="1" applyAlignment="1">
      <alignment vertical="center" wrapText="1"/>
    </xf>
    <xf numFmtId="0" fontId="19" fillId="0" borderId="0" xfId="0" applyFont="1" applyAlignment="1">
      <alignment wrapText="1"/>
    </xf>
    <xf numFmtId="0" fontId="1" fillId="0" borderId="0" xfId="0" applyFont="1" applyAlignment="1">
      <alignment vertical="center" wrapText="1"/>
    </xf>
    <xf numFmtId="0" fontId="13" fillId="0" borderId="0" xfId="0" applyFont="1" applyAlignment="1">
      <alignment horizontal="left" vertical="center" wrapText="1"/>
    </xf>
    <xf numFmtId="0" fontId="10" fillId="0" borderId="1" xfId="0" applyFont="1" applyBorder="1" applyAlignment="1">
      <alignment horizontal="center"/>
    </xf>
    <xf numFmtId="0" fontId="35" fillId="0" borderId="0" xfId="0" applyFont="1" applyAlignment="1">
      <alignment vertical="center" wrapText="1"/>
    </xf>
    <xf numFmtId="0" fontId="34" fillId="0" borderId="0" xfId="0" applyFont="1" applyAlignment="1">
      <alignment wrapText="1"/>
    </xf>
    <xf numFmtId="0" fontId="6" fillId="0" borderId="1" xfId="0" applyFont="1" applyBorder="1"/>
    <xf numFmtId="0" fontId="8" fillId="0" borderId="1" xfId="0" applyFont="1" applyBorder="1" applyAlignment="1">
      <alignment horizontal="center" vertical="center" wrapText="1"/>
    </xf>
    <xf numFmtId="0" fontId="6" fillId="0" borderId="0" xfId="0" applyFont="1" applyAlignment="1">
      <alignment wrapText="1"/>
    </xf>
    <xf numFmtId="0" fontId="25" fillId="0" borderId="0" xfId="0" applyFont="1" applyAlignment="1">
      <alignment wrapText="1"/>
    </xf>
    <xf numFmtId="0" fontId="40" fillId="0" borderId="0" xfId="0" applyFont="1" applyAlignment="1">
      <alignmen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2" xfId="0" applyFont="1" applyBorder="1" applyAlignment="1">
      <alignment vertical="center" wrapText="1"/>
    </xf>
    <xf numFmtId="0" fontId="10" fillId="0" borderId="3" xfId="0" applyFont="1" applyBorder="1" applyAlignment="1">
      <alignment vertical="center" wrapText="1"/>
    </xf>
    <xf numFmtId="0" fontId="10" fillId="0" borderId="4" xfId="0" applyFont="1" applyBorder="1" applyAlignment="1">
      <alignment vertical="center" wrapText="1"/>
    </xf>
    <xf numFmtId="0" fontId="1" fillId="0" borderId="1" xfId="0" applyFont="1" applyBorder="1" applyAlignment="1">
      <alignment vertical="center" wrapText="1"/>
    </xf>
    <xf numFmtId="0" fontId="9" fillId="0" borderId="1" xfId="0" applyFont="1" applyBorder="1" applyAlignment="1">
      <alignment horizontal="center" vertical="center" wrapText="1"/>
    </xf>
    <xf numFmtId="0" fontId="11" fillId="0" borderId="1" xfId="0" applyFont="1" applyBorder="1" applyAlignment="1">
      <alignment vertical="center" wrapText="1"/>
    </xf>
  </cellXfs>
  <cellStyles count="3">
    <cellStyle name="Normal" xfId="0" builtinId="0"/>
    <cellStyle name="Normal_HMIWI EG SS" xfId="2" xr:uid="{480CC39A-E5FA-430E-81A5-D427585E65F8}"/>
    <cellStyle name="Normal_SSI Burden Estimate BML 060710" xfId="1" xr:uid="{A07D4530-980E-478C-AD05-99F0F1CD2970}"/>
  </cellStyles>
  <dxfs count="0"/>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1E90-6FAB-477D-9C4D-FB71EFB87D93}">
  <dimension ref="A1:B8"/>
  <sheetViews>
    <sheetView tabSelected="1" workbookViewId="0">
      <selection activeCell="B11" sqref="B11"/>
    </sheetView>
  </sheetViews>
  <sheetFormatPr defaultRowHeight="14.5" x14ac:dyDescent="0.35"/>
  <cols>
    <col min="1" max="1" width="27.81640625" bestFit="1" customWidth="1"/>
    <col min="2" max="2" width="14.453125" customWidth="1"/>
  </cols>
  <sheetData>
    <row r="1" spans="1:2" x14ac:dyDescent="0.35">
      <c r="A1" s="105" t="s">
        <v>0</v>
      </c>
      <c r="B1" s="105"/>
    </row>
    <row r="2" spans="1:2" x14ac:dyDescent="0.35">
      <c r="A2" t="s">
        <v>1</v>
      </c>
      <c r="B2" s="102">
        <f>'Table 1'!J17</f>
        <v>348.38709677419354</v>
      </c>
    </row>
    <row r="3" spans="1:2" x14ac:dyDescent="0.35">
      <c r="A3" t="s">
        <v>2</v>
      </c>
      <c r="B3">
        <f>Respondents!F8</f>
        <v>96</v>
      </c>
    </row>
    <row r="4" spans="1:2" x14ac:dyDescent="0.35">
      <c r="A4" t="s">
        <v>3</v>
      </c>
      <c r="B4" s="25">
        <f>'Table 1'!F50</f>
        <v>108000</v>
      </c>
    </row>
    <row r="5" spans="1:2" x14ac:dyDescent="0.35">
      <c r="A5" t="s">
        <v>4</v>
      </c>
      <c r="B5" s="26">
        <f>'Table 1'!I52</f>
        <v>14300000</v>
      </c>
    </row>
    <row r="6" spans="1:2" x14ac:dyDescent="0.35">
      <c r="A6" t="s">
        <v>5</v>
      </c>
      <c r="B6" s="26">
        <f>'Capital O&amp;M'!I13</f>
        <v>608000</v>
      </c>
    </row>
    <row r="7" spans="1:2" x14ac:dyDescent="0.35">
      <c r="A7" t="s">
        <v>6</v>
      </c>
      <c r="B7" s="27">
        <f>Responses!E13</f>
        <v>310</v>
      </c>
    </row>
    <row r="8" spans="1:2" x14ac:dyDescent="0.35">
      <c r="A8" t="s">
        <v>7</v>
      </c>
      <c r="B8" s="104" t="s">
        <v>185</v>
      </c>
    </row>
  </sheetData>
  <mergeCells count="1">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A7B4-BE15-48F2-8647-C1E1793CB17B}">
  <dimension ref="A1:U74"/>
  <sheetViews>
    <sheetView zoomScaleNormal="100" workbookViewId="0"/>
  </sheetViews>
  <sheetFormatPr defaultRowHeight="14.5" x14ac:dyDescent="0.35"/>
  <cols>
    <col min="1" max="1" width="47.7265625" customWidth="1"/>
    <col min="2" max="2" width="9.26953125" customWidth="1"/>
    <col min="3" max="4" width="10.26953125" customWidth="1"/>
    <col min="5" max="5" width="11" customWidth="1"/>
    <col min="6" max="6" width="10.54296875" customWidth="1"/>
    <col min="7" max="7" width="11.54296875" customWidth="1"/>
    <col min="8" max="8" width="11" customWidth="1"/>
    <col min="9" max="9" width="13.26953125" customWidth="1"/>
    <col min="10" max="10" width="10.7265625" customWidth="1"/>
    <col min="11" max="11" width="12" customWidth="1"/>
    <col min="12" max="12" width="12.7265625" style="35" customWidth="1"/>
    <col min="13" max="13" width="12.453125" style="35" customWidth="1"/>
    <col min="14" max="14" width="10" style="35" bestFit="1" customWidth="1"/>
    <col min="15" max="15" width="5.26953125" style="35" customWidth="1"/>
    <col min="16" max="16" width="7.26953125" customWidth="1"/>
    <col min="18" max="18" width="4.453125" customWidth="1"/>
    <col min="19" max="19" width="8.81640625" style="75"/>
  </cols>
  <sheetData>
    <row r="1" spans="1:15" ht="15" x14ac:dyDescent="0.35">
      <c r="A1" s="34" t="s">
        <v>57</v>
      </c>
      <c r="B1" s="6"/>
      <c r="C1" s="6"/>
      <c r="D1" s="6"/>
      <c r="E1" s="6"/>
      <c r="F1" s="6"/>
      <c r="G1" s="6"/>
      <c r="H1" s="6"/>
      <c r="I1" s="6"/>
    </row>
    <row r="2" spans="1:15" ht="78" x14ac:dyDescent="0.35">
      <c r="A2" s="36" t="s">
        <v>14</v>
      </c>
      <c r="B2" s="37" t="s">
        <v>58</v>
      </c>
      <c r="C2" s="37" t="s">
        <v>15</v>
      </c>
      <c r="D2" s="37" t="s">
        <v>16</v>
      </c>
      <c r="E2" s="37" t="s">
        <v>59</v>
      </c>
      <c r="F2" s="37" t="s">
        <v>60</v>
      </c>
      <c r="G2" s="37" t="s">
        <v>61</v>
      </c>
      <c r="H2" s="37" t="s">
        <v>62</v>
      </c>
      <c r="I2" s="37" t="s">
        <v>63</v>
      </c>
      <c r="J2" s="100"/>
      <c r="K2" s="4"/>
      <c r="L2" s="4"/>
      <c r="M2" s="38"/>
      <c r="N2" s="38"/>
      <c r="O2" s="38"/>
    </row>
    <row r="3" spans="1:15" x14ac:dyDescent="0.35">
      <c r="A3" s="39" t="s">
        <v>64</v>
      </c>
      <c r="B3" s="7" t="s">
        <v>65</v>
      </c>
      <c r="C3" s="7"/>
      <c r="D3" s="7"/>
      <c r="E3" s="7"/>
      <c r="F3" s="7"/>
      <c r="G3" s="7"/>
      <c r="H3" s="7"/>
      <c r="I3" s="40"/>
      <c r="K3" s="111" t="s">
        <v>8</v>
      </c>
      <c r="L3" s="111"/>
      <c r="O3" s="41"/>
    </row>
    <row r="4" spans="1:15" x14ac:dyDescent="0.35">
      <c r="A4" s="39" t="s">
        <v>66</v>
      </c>
      <c r="B4" s="7" t="s">
        <v>65</v>
      </c>
      <c r="C4" s="7"/>
      <c r="D4" s="7"/>
      <c r="E4" s="7"/>
      <c r="F4" s="7"/>
      <c r="G4" s="7"/>
      <c r="H4" s="7"/>
      <c r="I4" s="40"/>
      <c r="K4" s="5" t="s">
        <v>9</v>
      </c>
      <c r="L4" s="19">
        <v>163.16999999999999</v>
      </c>
      <c r="M4" s="75"/>
      <c r="O4" s="41"/>
    </row>
    <row r="5" spans="1:15" x14ac:dyDescent="0.35">
      <c r="A5" s="39" t="s">
        <v>67</v>
      </c>
      <c r="B5" s="7"/>
      <c r="C5" s="7"/>
      <c r="D5" s="7"/>
      <c r="E5" s="7"/>
      <c r="F5" s="7"/>
      <c r="G5" s="7"/>
      <c r="H5" s="7"/>
      <c r="I5" s="40"/>
      <c r="K5" s="5" t="s">
        <v>10</v>
      </c>
      <c r="L5" s="19">
        <v>130.28</v>
      </c>
      <c r="O5" s="41"/>
    </row>
    <row r="6" spans="1:15" ht="18" customHeight="1" x14ac:dyDescent="0.35">
      <c r="A6" s="42" t="s">
        <v>68</v>
      </c>
      <c r="B6" s="7">
        <v>1</v>
      </c>
      <c r="C6" s="7">
        <v>1</v>
      </c>
      <c r="D6" s="20">
        <f>B6*C6</f>
        <v>1</v>
      </c>
      <c r="E6" s="20">
        <f>Respondents!F8</f>
        <v>96</v>
      </c>
      <c r="F6" s="43">
        <f>D6*E6</f>
        <v>96</v>
      </c>
      <c r="G6" s="20">
        <f>F6*0.05</f>
        <v>4.8000000000000007</v>
      </c>
      <c r="H6" s="20">
        <f>F6*0.1</f>
        <v>9.6000000000000014</v>
      </c>
      <c r="I6" s="44">
        <f>F6*$L$5+G6*$L$4+H6*$L$6</f>
        <v>13920.912000000002</v>
      </c>
      <c r="K6" s="5" t="s">
        <v>11</v>
      </c>
      <c r="L6" s="19">
        <v>65.709999999999994</v>
      </c>
    </row>
    <row r="7" spans="1:15" ht="15.5" x14ac:dyDescent="0.35">
      <c r="A7" s="42" t="s">
        <v>69</v>
      </c>
      <c r="B7" s="7"/>
      <c r="C7" s="7"/>
      <c r="D7" s="20"/>
      <c r="E7" s="20"/>
      <c r="F7" s="20"/>
      <c r="G7" s="20"/>
      <c r="H7" s="20"/>
      <c r="I7" s="45"/>
      <c r="J7" s="35"/>
      <c r="K7" s="35"/>
      <c r="L7"/>
      <c r="M7"/>
      <c r="N7"/>
      <c r="O7"/>
    </row>
    <row r="8" spans="1:15" x14ac:dyDescent="0.35">
      <c r="A8" s="46" t="s">
        <v>70</v>
      </c>
      <c r="B8" s="7">
        <v>24</v>
      </c>
      <c r="C8" s="7">
        <v>1</v>
      </c>
      <c r="D8" s="20">
        <f t="shared" ref="D8:D11" si="0">B8*C8</f>
        <v>24</v>
      </c>
      <c r="E8" s="20">
        <v>23</v>
      </c>
      <c r="F8" s="43">
        <f>D8*E8</f>
        <v>552</v>
      </c>
      <c r="G8" s="20">
        <f>F8*0.05</f>
        <v>27.6</v>
      </c>
      <c r="H8" s="20">
        <f>F8*0.1</f>
        <v>55.2</v>
      </c>
      <c r="I8" s="44">
        <f>F8*$L$5+G8*$L$4+H8*$L$6</f>
        <v>80045.243999999992</v>
      </c>
      <c r="J8" s="35"/>
      <c r="K8" s="35"/>
      <c r="M8"/>
      <c r="N8"/>
      <c r="O8"/>
    </row>
    <row r="9" spans="1:15" x14ac:dyDescent="0.35">
      <c r="A9" s="46" t="s">
        <v>71</v>
      </c>
      <c r="B9" s="7">
        <v>24</v>
      </c>
      <c r="C9" s="7">
        <v>2</v>
      </c>
      <c r="D9" s="20">
        <f t="shared" si="0"/>
        <v>48</v>
      </c>
      <c r="E9" s="20">
        <v>23</v>
      </c>
      <c r="F9" s="43">
        <f>D9*E9</f>
        <v>1104</v>
      </c>
      <c r="G9" s="20">
        <f>F9*0.05</f>
        <v>55.2</v>
      </c>
      <c r="H9" s="20">
        <f>F9*0.1</f>
        <v>110.4</v>
      </c>
      <c r="I9" s="44">
        <f t="shared" ref="I9:I11" si="1">F9*$L$5+G9*$L$4+H9*$L$6</f>
        <v>160090.48799999998</v>
      </c>
      <c r="J9" s="35"/>
      <c r="K9" s="35"/>
      <c r="M9"/>
      <c r="N9"/>
      <c r="O9"/>
    </row>
    <row r="10" spans="1:15" x14ac:dyDescent="0.35">
      <c r="A10" s="46" t="s">
        <v>72</v>
      </c>
      <c r="B10" s="7">
        <v>24</v>
      </c>
      <c r="C10" s="7">
        <v>1</v>
      </c>
      <c r="D10" s="20">
        <f t="shared" si="0"/>
        <v>24</v>
      </c>
      <c r="E10" s="20">
        <v>5</v>
      </c>
      <c r="F10" s="43">
        <f>D10*E10</f>
        <v>120</v>
      </c>
      <c r="G10" s="20">
        <f>F10*0.05</f>
        <v>6</v>
      </c>
      <c r="H10" s="20">
        <f>F10*0.1</f>
        <v>12</v>
      </c>
      <c r="I10" s="44">
        <f t="shared" si="1"/>
        <v>17401.14</v>
      </c>
      <c r="J10" s="35"/>
      <c r="K10" s="35"/>
      <c r="M10"/>
      <c r="N10"/>
      <c r="O10"/>
    </row>
    <row r="11" spans="1:15" x14ac:dyDescent="0.35">
      <c r="A11" s="46" t="s">
        <v>73</v>
      </c>
      <c r="B11" s="7">
        <v>24</v>
      </c>
      <c r="C11" s="7">
        <v>2</v>
      </c>
      <c r="D11" s="20">
        <f t="shared" si="0"/>
        <v>48</v>
      </c>
      <c r="E11" s="20">
        <v>5</v>
      </c>
      <c r="F11" s="43">
        <f>D11*E11</f>
        <v>240</v>
      </c>
      <c r="G11" s="20">
        <f>F11*0.05</f>
        <v>12</v>
      </c>
      <c r="H11" s="20">
        <f>F11*0.1</f>
        <v>24</v>
      </c>
      <c r="I11" s="44">
        <f t="shared" si="1"/>
        <v>34802.28</v>
      </c>
      <c r="J11" s="35"/>
      <c r="K11" s="35"/>
      <c r="M11"/>
      <c r="N11"/>
      <c r="O11"/>
    </row>
    <row r="12" spans="1:15" x14ac:dyDescent="0.35">
      <c r="A12" s="42" t="s">
        <v>74</v>
      </c>
      <c r="B12" s="7" t="s">
        <v>75</v>
      </c>
      <c r="C12" s="7"/>
      <c r="D12" s="20"/>
      <c r="E12" s="20"/>
      <c r="F12" s="20"/>
      <c r="G12" s="20"/>
      <c r="H12" s="20"/>
      <c r="I12" s="45"/>
    </row>
    <row r="13" spans="1:15" x14ac:dyDescent="0.35">
      <c r="A13" s="42" t="s">
        <v>76</v>
      </c>
      <c r="B13" s="7" t="s">
        <v>75</v>
      </c>
      <c r="C13" s="7"/>
      <c r="D13" s="20"/>
      <c r="E13" s="20"/>
      <c r="F13" s="20"/>
      <c r="G13" s="20"/>
      <c r="H13" s="20"/>
      <c r="I13" s="45"/>
    </row>
    <row r="14" spans="1:15" x14ac:dyDescent="0.35">
      <c r="A14" s="42" t="s">
        <v>77</v>
      </c>
      <c r="B14" s="7"/>
      <c r="C14" s="7"/>
      <c r="D14" s="20"/>
      <c r="E14" s="20"/>
      <c r="F14" s="20"/>
      <c r="G14" s="20"/>
      <c r="H14" s="20"/>
      <c r="I14" s="45"/>
      <c r="J14" s="114" t="s">
        <v>1</v>
      </c>
      <c r="K14" s="114"/>
    </row>
    <row r="15" spans="1:15" x14ac:dyDescent="0.35">
      <c r="A15" s="47" t="s">
        <v>165</v>
      </c>
      <c r="B15" s="7"/>
      <c r="C15" s="7"/>
      <c r="D15" s="20"/>
      <c r="E15" s="20"/>
      <c r="F15" s="20"/>
      <c r="G15" s="20"/>
      <c r="H15" s="20"/>
      <c r="I15" s="45"/>
      <c r="J15" s="101">
        <f>F50</f>
        <v>108000</v>
      </c>
      <c r="K15" s="65" t="s">
        <v>78</v>
      </c>
    </row>
    <row r="16" spans="1:15" x14ac:dyDescent="0.35">
      <c r="A16" s="48" t="s">
        <v>79</v>
      </c>
      <c r="B16" s="7">
        <v>2</v>
      </c>
      <c r="C16" s="7">
        <v>1</v>
      </c>
      <c r="D16" s="20">
        <f t="shared" ref="D16:D22" si="2">B16*C16</f>
        <v>2</v>
      </c>
      <c r="E16" s="24">
        <f>Respondents!E5</f>
        <v>1</v>
      </c>
      <c r="F16" s="43">
        <f t="shared" ref="F16:F22" si="3">D16*E16</f>
        <v>2</v>
      </c>
      <c r="G16" s="49">
        <f t="shared" ref="G16:G22" si="4">F16*0.05</f>
        <v>0.1</v>
      </c>
      <c r="H16" s="49">
        <f t="shared" ref="H16:H22" si="5">F16*0.1</f>
        <v>0.2</v>
      </c>
      <c r="I16" s="44">
        <f t="shared" ref="I16:I22" si="6">F16*$L$5+G16*$L$4+H16*$L$6</f>
        <v>290.01900000000001</v>
      </c>
      <c r="J16" s="101">
        <f>Responses!E13</f>
        <v>310</v>
      </c>
      <c r="K16" s="65" t="s">
        <v>80</v>
      </c>
    </row>
    <row r="17" spans="1:11" x14ac:dyDescent="0.35">
      <c r="A17" s="48" t="s">
        <v>50</v>
      </c>
      <c r="B17" s="7">
        <v>2</v>
      </c>
      <c r="C17" s="7">
        <v>1</v>
      </c>
      <c r="D17" s="20">
        <f t="shared" si="2"/>
        <v>2</v>
      </c>
      <c r="E17" s="24">
        <f>Respondents!E5</f>
        <v>1</v>
      </c>
      <c r="F17" s="43">
        <f t="shared" si="3"/>
        <v>2</v>
      </c>
      <c r="G17" s="49">
        <f t="shared" si="4"/>
        <v>0.1</v>
      </c>
      <c r="H17" s="49">
        <f t="shared" si="5"/>
        <v>0.2</v>
      </c>
      <c r="I17" s="44">
        <f t="shared" si="6"/>
        <v>290.01900000000001</v>
      </c>
      <c r="J17" s="101">
        <f>J15/J16</f>
        <v>348.38709677419354</v>
      </c>
      <c r="K17" s="65" t="s">
        <v>81</v>
      </c>
    </row>
    <row r="18" spans="1:11" x14ac:dyDescent="0.35">
      <c r="A18" s="48" t="s">
        <v>51</v>
      </c>
      <c r="B18" s="7">
        <v>2</v>
      </c>
      <c r="C18" s="7">
        <v>1</v>
      </c>
      <c r="D18" s="20">
        <f t="shared" si="2"/>
        <v>2</v>
      </c>
      <c r="E18" s="24">
        <f>Respondents!E5</f>
        <v>1</v>
      </c>
      <c r="F18" s="43">
        <f t="shared" si="3"/>
        <v>2</v>
      </c>
      <c r="G18" s="49">
        <f t="shared" si="4"/>
        <v>0.1</v>
      </c>
      <c r="H18" s="49">
        <f t="shared" si="5"/>
        <v>0.2</v>
      </c>
      <c r="I18" s="44">
        <f t="shared" si="6"/>
        <v>290.01900000000001</v>
      </c>
    </row>
    <row r="19" spans="1:11" ht="15.5" x14ac:dyDescent="0.35">
      <c r="A19" s="48" t="s">
        <v>142</v>
      </c>
      <c r="B19" s="7">
        <v>80</v>
      </c>
      <c r="C19" s="7">
        <v>1</v>
      </c>
      <c r="D19" s="20">
        <f t="shared" si="2"/>
        <v>80</v>
      </c>
      <c r="E19" s="24">
        <v>1</v>
      </c>
      <c r="F19" s="43">
        <f t="shared" si="3"/>
        <v>80</v>
      </c>
      <c r="G19" s="49">
        <f t="shared" si="4"/>
        <v>4</v>
      </c>
      <c r="H19" s="49">
        <f t="shared" si="5"/>
        <v>8</v>
      </c>
      <c r="I19" s="44">
        <f t="shared" si="6"/>
        <v>11600.76</v>
      </c>
    </row>
    <row r="20" spans="1:11" ht="15.5" x14ac:dyDescent="0.35">
      <c r="A20" s="48" t="s">
        <v>143</v>
      </c>
      <c r="B20" s="7">
        <v>2</v>
      </c>
      <c r="C20" s="7">
        <v>1</v>
      </c>
      <c r="D20" s="20">
        <f t="shared" si="2"/>
        <v>2</v>
      </c>
      <c r="E20" s="20">
        <v>38</v>
      </c>
      <c r="F20" s="43">
        <f t="shared" si="3"/>
        <v>76</v>
      </c>
      <c r="G20" s="20">
        <f t="shared" si="4"/>
        <v>3.8000000000000003</v>
      </c>
      <c r="H20" s="20">
        <f t="shared" si="5"/>
        <v>7.6000000000000005</v>
      </c>
      <c r="I20" s="44">
        <f t="shared" si="6"/>
        <v>11020.722000000002</v>
      </c>
      <c r="K20" s="50"/>
    </row>
    <row r="21" spans="1:11" ht="15.5" x14ac:dyDescent="0.35">
      <c r="A21" s="48" t="s">
        <v>144</v>
      </c>
      <c r="B21" s="7">
        <v>2</v>
      </c>
      <c r="C21" s="7">
        <v>1</v>
      </c>
      <c r="D21" s="20">
        <f t="shared" si="2"/>
        <v>2</v>
      </c>
      <c r="E21" s="20">
        <v>38</v>
      </c>
      <c r="F21" s="43">
        <f t="shared" si="3"/>
        <v>76</v>
      </c>
      <c r="G21" s="20">
        <f t="shared" si="4"/>
        <v>3.8000000000000003</v>
      </c>
      <c r="H21" s="20">
        <f t="shared" si="5"/>
        <v>7.6000000000000005</v>
      </c>
      <c r="I21" s="44">
        <f t="shared" si="6"/>
        <v>11020.722000000002</v>
      </c>
    </row>
    <row r="22" spans="1:11" ht="28.5" x14ac:dyDescent="0.35">
      <c r="A22" s="47" t="s">
        <v>145</v>
      </c>
      <c r="B22" s="7">
        <v>8</v>
      </c>
      <c r="C22" s="7">
        <v>1</v>
      </c>
      <c r="D22" s="20">
        <f t="shared" si="2"/>
        <v>8</v>
      </c>
      <c r="E22" s="20">
        <v>38</v>
      </c>
      <c r="F22" s="43">
        <f t="shared" si="3"/>
        <v>304</v>
      </c>
      <c r="G22" s="20">
        <f t="shared" si="4"/>
        <v>15.200000000000001</v>
      </c>
      <c r="H22" s="20">
        <f t="shared" si="5"/>
        <v>30.400000000000002</v>
      </c>
      <c r="I22" s="44">
        <f t="shared" si="6"/>
        <v>44082.888000000006</v>
      </c>
    </row>
    <row r="23" spans="1:11" ht="15.5" x14ac:dyDescent="0.35">
      <c r="A23" s="46" t="s">
        <v>146</v>
      </c>
      <c r="B23" s="7"/>
      <c r="C23" s="7"/>
      <c r="D23" s="20"/>
      <c r="E23" s="20"/>
      <c r="F23" s="20"/>
      <c r="G23" s="20"/>
      <c r="H23" s="20"/>
      <c r="I23" s="45"/>
    </row>
    <row r="24" spans="1:11" ht="26" x14ac:dyDescent="0.35">
      <c r="A24" s="48" t="s">
        <v>82</v>
      </c>
      <c r="B24" s="7">
        <v>16</v>
      </c>
      <c r="C24" s="7">
        <v>2</v>
      </c>
      <c r="D24" s="20">
        <f t="shared" ref="D24:D25" si="7">B24*C24</f>
        <v>32</v>
      </c>
      <c r="E24" s="20">
        <v>5</v>
      </c>
      <c r="F24" s="43">
        <f>D24*E24</f>
        <v>160</v>
      </c>
      <c r="G24" s="20">
        <f>F24*0.05</f>
        <v>8</v>
      </c>
      <c r="H24" s="20">
        <f>F24*0.1</f>
        <v>16</v>
      </c>
      <c r="I24" s="44">
        <f>F24*$L$5+G24*$L$4+H24*$L$6</f>
        <v>23201.52</v>
      </c>
    </row>
    <row r="25" spans="1:11" x14ac:dyDescent="0.35">
      <c r="A25" s="51" t="s">
        <v>83</v>
      </c>
      <c r="B25" s="7">
        <v>8</v>
      </c>
      <c r="C25" s="7">
        <v>2</v>
      </c>
      <c r="D25" s="20">
        <f t="shared" si="7"/>
        <v>16</v>
      </c>
      <c r="E25" s="20">
        <v>91</v>
      </c>
      <c r="F25" s="43">
        <f>D25*E25</f>
        <v>1456</v>
      </c>
      <c r="G25" s="20">
        <f>F25*0.05</f>
        <v>72.8</v>
      </c>
      <c r="H25" s="20">
        <f>F25*0.1</f>
        <v>145.6</v>
      </c>
      <c r="I25" s="44">
        <f>F25*$L$5+G25*$L$4+H25*$L$6</f>
        <v>211133.83199999999</v>
      </c>
      <c r="J25" s="35"/>
      <c r="K25" s="35"/>
    </row>
    <row r="26" spans="1:11" x14ac:dyDescent="0.35">
      <c r="A26" s="52" t="s">
        <v>12</v>
      </c>
      <c r="B26" s="7"/>
      <c r="C26" s="7"/>
      <c r="D26" s="20"/>
      <c r="E26" s="37"/>
      <c r="F26" s="106">
        <f>SUM(F6:H25)</f>
        <v>4910.5</v>
      </c>
      <c r="G26" s="106"/>
      <c r="H26" s="106"/>
      <c r="I26" s="53">
        <f>SUM(I6:I25)</f>
        <v>619190.56499999994</v>
      </c>
      <c r="J26" s="25"/>
      <c r="K26" s="26"/>
    </row>
    <row r="27" spans="1:11" x14ac:dyDescent="0.35">
      <c r="A27" s="39" t="s">
        <v>84</v>
      </c>
      <c r="B27" s="7"/>
      <c r="C27" s="7"/>
      <c r="D27" s="20"/>
      <c r="E27" s="20"/>
      <c r="F27" s="20"/>
      <c r="G27" s="20"/>
      <c r="H27" s="20"/>
      <c r="I27" s="45"/>
    </row>
    <row r="28" spans="1:11" x14ac:dyDescent="0.35">
      <c r="A28" s="42" t="s">
        <v>85</v>
      </c>
      <c r="B28" s="7" t="s">
        <v>86</v>
      </c>
      <c r="C28" s="7"/>
      <c r="D28" s="20"/>
      <c r="E28" s="20"/>
      <c r="F28" s="20"/>
      <c r="G28" s="20"/>
      <c r="H28" s="20"/>
      <c r="I28" s="45"/>
    </row>
    <row r="29" spans="1:11" x14ac:dyDescent="0.35">
      <c r="A29" s="42" t="s">
        <v>87</v>
      </c>
      <c r="B29" s="7" t="s">
        <v>75</v>
      </c>
      <c r="C29" s="7"/>
      <c r="D29" s="20"/>
      <c r="E29" s="20"/>
      <c r="F29" s="20"/>
      <c r="G29" s="20"/>
      <c r="H29" s="20"/>
      <c r="I29" s="45"/>
    </row>
    <row r="30" spans="1:11" x14ac:dyDescent="0.35">
      <c r="A30" s="42" t="s">
        <v>88</v>
      </c>
      <c r="B30" s="7" t="s">
        <v>75</v>
      </c>
      <c r="C30" s="7"/>
      <c r="D30" s="20"/>
      <c r="E30" s="20"/>
      <c r="F30" s="20"/>
      <c r="G30" s="20"/>
      <c r="H30" s="20"/>
      <c r="I30" s="45"/>
    </row>
    <row r="31" spans="1:11" ht="15.5" x14ac:dyDescent="0.35">
      <c r="A31" s="42" t="s">
        <v>147</v>
      </c>
      <c r="B31" s="7">
        <v>40</v>
      </c>
      <c r="C31" s="7">
        <v>1</v>
      </c>
      <c r="D31" s="20">
        <f>B31*C31</f>
        <v>40</v>
      </c>
      <c r="E31" s="24">
        <v>1</v>
      </c>
      <c r="F31" s="43">
        <f>D31*E31</f>
        <v>40</v>
      </c>
      <c r="G31" s="20">
        <v>2</v>
      </c>
      <c r="H31" s="49">
        <f>F31*0.1</f>
        <v>4</v>
      </c>
      <c r="I31" s="44">
        <f>F31*$L$5+G31*$L$4+H31*$L$6</f>
        <v>5800.38</v>
      </c>
    </row>
    <row r="32" spans="1:11" x14ac:dyDescent="0.35">
      <c r="A32" s="42" t="s">
        <v>89</v>
      </c>
      <c r="B32" s="7"/>
      <c r="C32" s="7"/>
      <c r="D32" s="20"/>
      <c r="E32" s="20"/>
      <c r="F32" s="20"/>
      <c r="G32" s="20"/>
      <c r="H32" s="20"/>
      <c r="I32" s="45"/>
    </row>
    <row r="33" spans="1:15" ht="28.5" x14ac:dyDescent="0.35">
      <c r="A33" s="47" t="s">
        <v>148</v>
      </c>
      <c r="B33" s="7">
        <v>8</v>
      </c>
      <c r="C33" s="7">
        <v>1</v>
      </c>
      <c r="D33" s="20">
        <f t="shared" ref="D33:D47" si="8">B33*C33</f>
        <v>8</v>
      </c>
      <c r="E33" s="20">
        <v>38</v>
      </c>
      <c r="F33" s="43">
        <f t="shared" ref="F33:F40" si="9">D33*E33</f>
        <v>304</v>
      </c>
      <c r="G33" s="20">
        <v>17</v>
      </c>
      <c r="H33" s="20">
        <f t="shared" ref="H33:H40" si="10">F33*0.1</f>
        <v>30.400000000000002</v>
      </c>
      <c r="I33" s="44">
        <f>F33*$L$5+G33*$L$4+H33*$L$6</f>
        <v>44376.594000000005</v>
      </c>
    </row>
    <row r="34" spans="1:15" x14ac:dyDescent="0.35">
      <c r="A34" s="47" t="s">
        <v>90</v>
      </c>
      <c r="B34" s="7">
        <v>2</v>
      </c>
      <c r="C34" s="7">
        <v>1</v>
      </c>
      <c r="D34" s="20">
        <f t="shared" si="8"/>
        <v>2</v>
      </c>
      <c r="E34" s="20">
        <v>38</v>
      </c>
      <c r="F34" s="43">
        <f t="shared" si="9"/>
        <v>76</v>
      </c>
      <c r="G34" s="20">
        <v>4.3</v>
      </c>
      <c r="H34" s="20">
        <f t="shared" si="10"/>
        <v>7.6000000000000005</v>
      </c>
      <c r="I34" s="44">
        <f t="shared" ref="I34:I39" si="11">F34*$L$5+G34*$L$4+H34*$L$6</f>
        <v>11102.307000000001</v>
      </c>
    </row>
    <row r="35" spans="1:15" ht="62.25" customHeight="1" x14ac:dyDescent="0.35">
      <c r="A35" s="47" t="s">
        <v>149</v>
      </c>
      <c r="B35" s="7">
        <v>2</v>
      </c>
      <c r="C35" s="7">
        <v>1</v>
      </c>
      <c r="D35" s="20">
        <f t="shared" si="8"/>
        <v>2</v>
      </c>
      <c r="E35" s="20">
        <v>1</v>
      </c>
      <c r="F35" s="54">
        <f t="shared" si="9"/>
        <v>2</v>
      </c>
      <c r="G35" s="20">
        <v>7.0000000000000007E-2</v>
      </c>
      <c r="H35" s="20">
        <f t="shared" si="10"/>
        <v>0.2</v>
      </c>
      <c r="I35" s="44">
        <f t="shared" si="11"/>
        <v>285.12389999999999</v>
      </c>
      <c r="N35" s="55"/>
      <c r="O35" s="55"/>
    </row>
    <row r="36" spans="1:15" ht="39.75" customHeight="1" x14ac:dyDescent="0.35">
      <c r="A36" s="47" t="s">
        <v>150</v>
      </c>
      <c r="B36" s="7">
        <v>8</v>
      </c>
      <c r="C36" s="7">
        <v>2</v>
      </c>
      <c r="D36" s="20">
        <f t="shared" si="8"/>
        <v>16</v>
      </c>
      <c r="E36" s="20">
        <v>164</v>
      </c>
      <c r="F36" s="43">
        <f t="shared" si="9"/>
        <v>2624</v>
      </c>
      <c r="G36" s="20">
        <v>146</v>
      </c>
      <c r="H36" s="20">
        <f t="shared" si="10"/>
        <v>262.40000000000003</v>
      </c>
      <c r="I36" s="44">
        <f t="shared" si="11"/>
        <v>382919.84400000004</v>
      </c>
      <c r="N36" s="55"/>
      <c r="O36" s="55"/>
    </row>
    <row r="37" spans="1:15" ht="15.5" x14ac:dyDescent="0.35">
      <c r="A37" s="46" t="s">
        <v>151</v>
      </c>
      <c r="B37" s="7">
        <v>2</v>
      </c>
      <c r="C37" s="7">
        <v>12</v>
      </c>
      <c r="D37" s="20">
        <f t="shared" si="8"/>
        <v>24</v>
      </c>
      <c r="E37" s="20">
        <v>5</v>
      </c>
      <c r="F37" s="43">
        <f t="shared" si="9"/>
        <v>120</v>
      </c>
      <c r="G37" s="20">
        <v>6</v>
      </c>
      <c r="H37" s="20">
        <f t="shared" si="10"/>
        <v>12</v>
      </c>
      <c r="I37" s="44">
        <f t="shared" si="11"/>
        <v>17401.14</v>
      </c>
      <c r="N37" s="55"/>
      <c r="O37" s="55"/>
    </row>
    <row r="38" spans="1:15" ht="28.5" x14ac:dyDescent="0.35">
      <c r="A38" s="47" t="s">
        <v>152</v>
      </c>
      <c r="B38" s="7">
        <v>1.5</v>
      </c>
      <c r="C38" s="7">
        <v>52</v>
      </c>
      <c r="D38" s="20">
        <f t="shared" si="8"/>
        <v>78</v>
      </c>
      <c r="E38" s="20">
        <v>96</v>
      </c>
      <c r="F38" s="43">
        <f t="shared" si="9"/>
        <v>7488</v>
      </c>
      <c r="G38" s="20">
        <v>406</v>
      </c>
      <c r="H38" s="20">
        <f t="shared" si="10"/>
        <v>748.80000000000007</v>
      </c>
      <c r="I38" s="44">
        <f t="shared" si="11"/>
        <v>1090987.308</v>
      </c>
      <c r="N38" s="55"/>
      <c r="O38" s="55"/>
    </row>
    <row r="39" spans="1:15" ht="15.5" x14ac:dyDescent="0.35">
      <c r="A39" s="46" t="s">
        <v>153</v>
      </c>
      <c r="B39" s="7">
        <v>1.5</v>
      </c>
      <c r="C39" s="7">
        <v>52</v>
      </c>
      <c r="D39" s="20">
        <f t="shared" si="8"/>
        <v>78</v>
      </c>
      <c r="E39" s="20">
        <v>87</v>
      </c>
      <c r="F39" s="43">
        <f t="shared" si="9"/>
        <v>6786</v>
      </c>
      <c r="G39" s="20">
        <v>382</v>
      </c>
      <c r="H39" s="20">
        <f t="shared" si="10"/>
        <v>678.6</v>
      </c>
      <c r="I39" s="44">
        <f t="shared" si="11"/>
        <v>991001.82599999988</v>
      </c>
      <c r="N39" s="55"/>
      <c r="O39" s="55"/>
    </row>
    <row r="40" spans="1:15" ht="15.5" x14ac:dyDescent="0.35">
      <c r="A40" s="46" t="s">
        <v>154</v>
      </c>
      <c r="B40" s="7">
        <v>0.5</v>
      </c>
      <c r="C40" s="56">
        <v>1050</v>
      </c>
      <c r="D40" s="20">
        <f t="shared" si="8"/>
        <v>525</v>
      </c>
      <c r="E40" s="24">
        <v>96</v>
      </c>
      <c r="F40" s="43">
        <f t="shared" si="9"/>
        <v>50400</v>
      </c>
      <c r="G40" s="43">
        <v>2809</v>
      </c>
      <c r="H40" s="20">
        <f t="shared" si="10"/>
        <v>5040</v>
      </c>
      <c r="I40" s="44">
        <f>F40*$L$5+G40*$L$4+H40*$L$6</f>
        <v>7355634.9300000006</v>
      </c>
      <c r="N40" s="57"/>
      <c r="O40" s="55"/>
    </row>
    <row r="41" spans="1:15" x14ac:dyDescent="0.35">
      <c r="A41" s="58" t="s">
        <v>91</v>
      </c>
      <c r="B41" s="7"/>
      <c r="C41" s="7"/>
      <c r="D41" s="20"/>
      <c r="E41" s="20"/>
      <c r="F41" s="20"/>
      <c r="G41" s="20"/>
      <c r="H41" s="20"/>
      <c r="I41" s="45"/>
      <c r="N41" s="55"/>
      <c r="O41" s="55"/>
    </row>
    <row r="42" spans="1:15" ht="15.5" x14ac:dyDescent="0.35">
      <c r="A42" s="47" t="s">
        <v>155</v>
      </c>
      <c r="B42" s="7">
        <v>40</v>
      </c>
      <c r="C42" s="7">
        <v>1</v>
      </c>
      <c r="D42" s="20">
        <f t="shared" si="8"/>
        <v>40</v>
      </c>
      <c r="E42" s="24">
        <v>1</v>
      </c>
      <c r="F42" s="43">
        <f>D42*E42</f>
        <v>40</v>
      </c>
      <c r="G42" s="20">
        <v>2</v>
      </c>
      <c r="H42" s="49">
        <f>F42*0.1</f>
        <v>4</v>
      </c>
      <c r="I42" s="44">
        <f>F42*$L$5+G42*$L$4+H42*$L$6</f>
        <v>5800.38</v>
      </c>
      <c r="L42" s="59"/>
      <c r="M42" s="60"/>
      <c r="N42" s="57"/>
      <c r="O42" s="55"/>
    </row>
    <row r="43" spans="1:15" ht="15.5" x14ac:dyDescent="0.35">
      <c r="A43" s="46" t="s">
        <v>156</v>
      </c>
      <c r="B43" s="7">
        <v>16</v>
      </c>
      <c r="C43" s="7">
        <v>1</v>
      </c>
      <c r="D43" s="20">
        <f t="shared" si="8"/>
        <v>16</v>
      </c>
      <c r="E43" s="20">
        <v>96</v>
      </c>
      <c r="F43" s="43">
        <f>D43*E43</f>
        <v>1536</v>
      </c>
      <c r="G43" s="20">
        <v>86</v>
      </c>
      <c r="H43" s="20">
        <f>F43*0.1</f>
        <v>153.60000000000002</v>
      </c>
      <c r="I43" s="44">
        <f t="shared" ref="I43:I47" si="12">F43*$L$5+G43*$L$4+H43*$L$6</f>
        <v>224235.75600000002</v>
      </c>
      <c r="M43" s="60"/>
      <c r="N43" s="57"/>
      <c r="O43" s="55"/>
    </row>
    <row r="44" spans="1:15" ht="33" customHeight="1" x14ac:dyDescent="0.35">
      <c r="A44" s="58" t="s">
        <v>169</v>
      </c>
      <c r="B44" s="7">
        <v>17.8</v>
      </c>
      <c r="C44" s="7">
        <v>1</v>
      </c>
      <c r="D44" s="20">
        <f t="shared" si="8"/>
        <v>17.8</v>
      </c>
      <c r="E44" s="20">
        <v>0</v>
      </c>
      <c r="F44" s="43">
        <f>D44*E44</f>
        <v>0</v>
      </c>
      <c r="G44" s="20">
        <v>144</v>
      </c>
      <c r="H44" s="20">
        <f>F44*0.1</f>
        <v>0</v>
      </c>
      <c r="I44" s="44">
        <f t="shared" si="12"/>
        <v>23496.48</v>
      </c>
    </row>
    <row r="45" spans="1:15" x14ac:dyDescent="0.35">
      <c r="A45" s="42" t="s">
        <v>92</v>
      </c>
      <c r="B45" s="7"/>
      <c r="C45" s="7"/>
      <c r="D45" s="20"/>
      <c r="E45" s="20"/>
      <c r="F45" s="20"/>
      <c r="G45" s="20"/>
      <c r="H45" s="20"/>
      <c r="I45" s="44">
        <f t="shared" si="12"/>
        <v>0</v>
      </c>
    </row>
    <row r="46" spans="1:15" ht="15.5" x14ac:dyDescent="0.35">
      <c r="A46" s="46" t="s">
        <v>173</v>
      </c>
      <c r="B46" s="7">
        <v>96</v>
      </c>
      <c r="C46" s="7">
        <v>2</v>
      </c>
      <c r="D46" s="20">
        <f t="shared" si="8"/>
        <v>192</v>
      </c>
      <c r="E46" s="24">
        <v>96</v>
      </c>
      <c r="F46" s="43">
        <f>D46*E46</f>
        <v>18432</v>
      </c>
      <c r="G46" s="43">
        <v>1027</v>
      </c>
      <c r="H46" s="20">
        <f>F46*0.1</f>
        <v>1843.2</v>
      </c>
      <c r="I46" s="44">
        <f t="shared" si="12"/>
        <v>2690013.2219999996</v>
      </c>
    </row>
    <row r="47" spans="1:15" ht="15.5" x14ac:dyDescent="0.35">
      <c r="A47" s="46" t="s">
        <v>174</v>
      </c>
      <c r="B47" s="7">
        <v>8</v>
      </c>
      <c r="C47" s="7">
        <v>2</v>
      </c>
      <c r="D47" s="20">
        <f t="shared" si="8"/>
        <v>16</v>
      </c>
      <c r="E47" s="24">
        <v>96</v>
      </c>
      <c r="F47" s="43">
        <f>D47*E47</f>
        <v>1536</v>
      </c>
      <c r="G47" s="20">
        <v>86</v>
      </c>
      <c r="H47" s="49">
        <f>F47*0.1</f>
        <v>153.60000000000002</v>
      </c>
      <c r="I47" s="44">
        <f t="shared" si="12"/>
        <v>224235.75600000002</v>
      </c>
    </row>
    <row r="48" spans="1:15" x14ac:dyDescent="0.35">
      <c r="A48" s="42" t="s">
        <v>93</v>
      </c>
      <c r="B48" s="7" t="s">
        <v>65</v>
      </c>
      <c r="C48" s="7"/>
      <c r="D48" s="20"/>
      <c r="E48" s="20"/>
      <c r="F48" s="20"/>
      <c r="G48" s="20"/>
      <c r="H48" s="20"/>
      <c r="I48" s="45"/>
      <c r="N48" s="57"/>
      <c r="O48" s="55"/>
    </row>
    <row r="49" spans="1:21" x14ac:dyDescent="0.35">
      <c r="A49" s="52" t="s">
        <v>94</v>
      </c>
      <c r="B49" s="7"/>
      <c r="C49" s="7"/>
      <c r="D49" s="20"/>
      <c r="E49" s="20"/>
      <c r="F49" s="106">
        <f>SUM(F31:H48)</f>
        <v>103439.77</v>
      </c>
      <c r="G49" s="106"/>
      <c r="H49" s="106"/>
      <c r="I49" s="53">
        <f>SUM(I31:I47)</f>
        <v>13067291.046899999</v>
      </c>
      <c r="N49" s="55"/>
      <c r="O49" s="55"/>
    </row>
    <row r="50" spans="1:21" ht="14.5" customHeight="1" x14ac:dyDescent="0.35">
      <c r="A50" s="61" t="s">
        <v>175</v>
      </c>
      <c r="B50" s="7"/>
      <c r="C50" s="7"/>
      <c r="D50" s="20"/>
      <c r="E50" s="20"/>
      <c r="F50" s="106">
        <f>ROUND(SUM(F49,F26), -3)</f>
        <v>108000</v>
      </c>
      <c r="G50" s="106"/>
      <c r="H50" s="106"/>
      <c r="I50" s="53">
        <f>ROUND(SUM(I49,I26), -5)</f>
        <v>13700000</v>
      </c>
      <c r="J50" s="62"/>
      <c r="K50" s="6"/>
      <c r="L50" s="63"/>
      <c r="M50" s="63"/>
      <c r="N50" s="64"/>
      <c r="O50" s="64"/>
      <c r="P50" s="6"/>
      <c r="Q50" s="6"/>
      <c r="R50" s="6"/>
      <c r="S50" s="97"/>
      <c r="T50" s="6"/>
      <c r="U50" s="6"/>
    </row>
    <row r="51" spans="1:21" ht="15" x14ac:dyDescent="0.35">
      <c r="A51" s="61" t="s">
        <v>176</v>
      </c>
      <c r="B51" s="65"/>
      <c r="C51" s="65"/>
      <c r="D51" s="65"/>
      <c r="E51" s="65"/>
      <c r="F51" s="65"/>
      <c r="G51" s="65"/>
      <c r="H51" s="65"/>
      <c r="I51" s="53">
        <f>ROUND('Capital O&amp;M'!I13, -2)</f>
        <v>608000</v>
      </c>
      <c r="J51" s="25"/>
      <c r="K51" s="27"/>
      <c r="N51" s="55"/>
      <c r="O51" s="55"/>
    </row>
    <row r="52" spans="1:21" ht="15" x14ac:dyDescent="0.35">
      <c r="A52" s="66" t="s">
        <v>177</v>
      </c>
      <c r="B52" s="65"/>
      <c r="C52" s="65"/>
      <c r="D52" s="65"/>
      <c r="E52" s="65"/>
      <c r="F52" s="65"/>
      <c r="G52" s="65"/>
      <c r="H52" s="65"/>
      <c r="I52" s="67">
        <f>ROUND(I50+I51, -5)</f>
        <v>14300000</v>
      </c>
      <c r="J52" s="25"/>
      <c r="K52" s="6"/>
      <c r="L52" s="68"/>
      <c r="M52" s="63"/>
      <c r="N52" s="69"/>
      <c r="O52" s="55"/>
    </row>
    <row r="53" spans="1:21" x14ac:dyDescent="0.35">
      <c r="A53" s="70"/>
      <c r="B53" s="71"/>
      <c r="C53" s="71"/>
      <c r="D53" s="71"/>
      <c r="E53" s="71"/>
      <c r="F53" s="72"/>
      <c r="G53" s="72"/>
      <c r="H53" s="72"/>
      <c r="I53" s="73"/>
      <c r="J53" s="25"/>
      <c r="K53" s="6"/>
      <c r="L53" s="63"/>
      <c r="M53" s="63"/>
      <c r="N53" s="64"/>
      <c r="O53" s="55"/>
    </row>
    <row r="54" spans="1:21" ht="47.5" customHeight="1" x14ac:dyDescent="0.35">
      <c r="A54" s="107" t="s">
        <v>137</v>
      </c>
      <c r="B54" s="108"/>
      <c r="C54" s="108"/>
      <c r="D54" s="108"/>
      <c r="E54" s="108"/>
      <c r="F54" s="108"/>
      <c r="G54" s="108"/>
      <c r="H54" s="108"/>
      <c r="I54" s="108"/>
      <c r="J54" s="25"/>
      <c r="K54" s="6"/>
      <c r="L54" s="63"/>
      <c r="M54" s="74"/>
      <c r="N54" s="63"/>
    </row>
    <row r="55" spans="1:21" ht="73.900000000000006" customHeight="1" x14ac:dyDescent="0.35">
      <c r="A55" s="109" t="s">
        <v>157</v>
      </c>
      <c r="B55" s="109"/>
      <c r="C55" s="109"/>
      <c r="D55" s="109"/>
      <c r="E55" s="109"/>
      <c r="F55" s="109"/>
      <c r="G55" s="109"/>
      <c r="H55" s="109"/>
      <c r="I55" s="109"/>
      <c r="K55" s="6"/>
      <c r="L55" s="63"/>
      <c r="M55" s="63"/>
      <c r="N55" s="63"/>
      <c r="R55" s="75"/>
    </row>
    <row r="56" spans="1:21" ht="15.5" x14ac:dyDescent="0.35">
      <c r="A56" s="76" t="s">
        <v>95</v>
      </c>
      <c r="B56" s="63"/>
      <c r="C56" s="63"/>
      <c r="D56" s="63"/>
      <c r="E56" s="63"/>
      <c r="F56" s="63"/>
      <c r="G56" s="63"/>
      <c r="H56" s="63"/>
      <c r="I56" s="63"/>
    </row>
    <row r="57" spans="1:21" ht="65.25" customHeight="1" x14ac:dyDescent="0.35">
      <c r="A57" s="107" t="s">
        <v>166</v>
      </c>
      <c r="B57" s="108"/>
      <c r="C57" s="108"/>
      <c r="D57" s="108"/>
      <c r="E57" s="108"/>
      <c r="F57" s="108"/>
      <c r="G57" s="108"/>
      <c r="H57" s="108"/>
      <c r="I57" s="108"/>
      <c r="J57" s="77"/>
      <c r="K57" s="96"/>
      <c r="L57" s="96"/>
      <c r="M57" s="96"/>
      <c r="N57" s="78"/>
      <c r="O57" s="78"/>
      <c r="P57" s="78"/>
      <c r="Q57" s="78"/>
      <c r="R57" s="78"/>
    </row>
    <row r="58" spans="1:21" ht="55.15" customHeight="1" x14ac:dyDescent="0.35">
      <c r="A58" s="110" t="s">
        <v>96</v>
      </c>
      <c r="B58" s="110"/>
      <c r="C58" s="110"/>
      <c r="D58" s="110"/>
      <c r="E58" s="110"/>
      <c r="F58" s="110"/>
      <c r="G58" s="110"/>
      <c r="H58" s="110"/>
      <c r="I58" s="110"/>
    </row>
    <row r="59" spans="1:21" ht="15.5" x14ac:dyDescent="0.35">
      <c r="A59" s="76" t="s">
        <v>97</v>
      </c>
      <c r="B59" s="63"/>
      <c r="C59" s="63"/>
      <c r="D59" s="63"/>
      <c r="E59" s="63"/>
      <c r="F59" s="63"/>
      <c r="G59" s="63"/>
      <c r="H59" s="63"/>
      <c r="I59" s="63"/>
    </row>
    <row r="60" spans="1:21" ht="37.15" customHeight="1" x14ac:dyDescent="0.35">
      <c r="A60" s="107" t="s">
        <v>183</v>
      </c>
      <c r="B60" s="108"/>
      <c r="C60" s="108"/>
      <c r="D60" s="108"/>
      <c r="E60" s="108"/>
      <c r="F60" s="108"/>
      <c r="G60" s="108"/>
      <c r="H60" s="108"/>
      <c r="I60" s="108"/>
      <c r="J60" s="75"/>
      <c r="K60" s="75"/>
      <c r="L60" s="75"/>
    </row>
    <row r="61" spans="1:21" ht="45" customHeight="1" x14ac:dyDescent="0.35">
      <c r="A61" s="107" t="s">
        <v>182</v>
      </c>
      <c r="B61" s="108"/>
      <c r="C61" s="108"/>
      <c r="D61" s="108"/>
      <c r="E61" s="108"/>
      <c r="F61" s="108"/>
      <c r="G61" s="108"/>
      <c r="H61" s="108"/>
      <c r="I61" s="108"/>
      <c r="J61" s="84"/>
      <c r="K61" s="84"/>
      <c r="L61" s="75"/>
    </row>
    <row r="62" spans="1:21" ht="15.5" x14ac:dyDescent="0.35">
      <c r="A62" s="76" t="s">
        <v>98</v>
      </c>
      <c r="B62" s="63"/>
      <c r="C62" s="63"/>
      <c r="D62" s="63"/>
      <c r="E62" s="63"/>
      <c r="F62" s="63"/>
      <c r="G62" s="63"/>
      <c r="H62" s="63"/>
      <c r="I62" s="63"/>
      <c r="J62" s="75"/>
      <c r="K62" s="75"/>
      <c r="L62" s="75"/>
    </row>
    <row r="63" spans="1:21" ht="41.25" customHeight="1" x14ac:dyDescent="0.35">
      <c r="A63" s="107" t="s">
        <v>167</v>
      </c>
      <c r="B63" s="108"/>
      <c r="C63" s="108"/>
      <c r="D63" s="108"/>
      <c r="E63" s="108"/>
      <c r="F63" s="108"/>
      <c r="G63" s="108"/>
      <c r="H63" s="108"/>
      <c r="I63" s="108"/>
      <c r="J63" s="75"/>
      <c r="K63" s="75"/>
      <c r="L63" s="75"/>
    </row>
    <row r="64" spans="1:21" ht="41.65" customHeight="1" x14ac:dyDescent="0.35">
      <c r="A64" s="107" t="s">
        <v>99</v>
      </c>
      <c r="B64" s="108"/>
      <c r="C64" s="108"/>
      <c r="D64" s="108"/>
      <c r="E64" s="108"/>
      <c r="F64" s="108"/>
      <c r="G64" s="108"/>
      <c r="H64" s="108"/>
      <c r="I64" s="108"/>
      <c r="J64" s="75"/>
      <c r="K64" s="75"/>
      <c r="L64" s="75"/>
    </row>
    <row r="65" spans="1:18" ht="42.65" customHeight="1" x14ac:dyDescent="0.35">
      <c r="A65" s="112" t="s">
        <v>138</v>
      </c>
      <c r="B65" s="113"/>
      <c r="C65" s="113"/>
      <c r="D65" s="113"/>
      <c r="E65" s="113"/>
      <c r="F65" s="113"/>
      <c r="G65" s="113"/>
      <c r="H65" s="113"/>
      <c r="I65" s="113"/>
      <c r="J65" s="75"/>
      <c r="K65" s="78"/>
      <c r="L65" s="78"/>
      <c r="M65" s="78"/>
      <c r="N65" s="78"/>
      <c r="O65" s="78"/>
      <c r="P65" s="78"/>
      <c r="Q65" s="78"/>
      <c r="R65" s="78"/>
    </row>
    <row r="66" spans="1:18" ht="35.15" customHeight="1" x14ac:dyDescent="0.35">
      <c r="A66" s="107" t="s">
        <v>100</v>
      </c>
      <c r="B66" s="108"/>
      <c r="C66" s="108"/>
      <c r="D66" s="108"/>
      <c r="E66" s="108"/>
      <c r="F66" s="108"/>
      <c r="G66" s="108"/>
      <c r="H66" s="108"/>
      <c r="I66" s="108"/>
      <c r="J66" s="75"/>
      <c r="K66" s="75"/>
    </row>
    <row r="67" spans="1:18" ht="40.5" customHeight="1" x14ac:dyDescent="0.35">
      <c r="A67" s="107" t="s">
        <v>168</v>
      </c>
      <c r="B67" s="108"/>
      <c r="C67" s="108"/>
      <c r="D67" s="108"/>
      <c r="E67" s="108"/>
      <c r="F67" s="108"/>
      <c r="G67" s="108"/>
      <c r="H67" s="108"/>
      <c r="I67" s="108"/>
    </row>
    <row r="68" spans="1:18" ht="33.75" customHeight="1" x14ac:dyDescent="0.35">
      <c r="A68" s="110" t="s">
        <v>139</v>
      </c>
      <c r="B68" s="110"/>
      <c r="C68" s="110"/>
      <c r="D68" s="110"/>
      <c r="E68" s="110"/>
      <c r="F68" s="110"/>
      <c r="G68" s="110"/>
      <c r="H68" s="110"/>
      <c r="I68" s="110"/>
      <c r="J68" s="75"/>
      <c r="K68" s="75"/>
      <c r="L68" s="78"/>
      <c r="M68" s="78"/>
      <c r="N68" s="78"/>
      <c r="O68" s="78"/>
      <c r="P68" s="78"/>
      <c r="Q68" s="78"/>
      <c r="R68" s="78"/>
    </row>
    <row r="69" spans="1:18" ht="43.9" customHeight="1" x14ac:dyDescent="0.35">
      <c r="A69" s="107" t="s">
        <v>140</v>
      </c>
      <c r="B69" s="108"/>
      <c r="C69" s="108"/>
      <c r="D69" s="108"/>
      <c r="E69" s="108"/>
      <c r="F69" s="108"/>
      <c r="G69" s="108"/>
      <c r="H69" s="108"/>
      <c r="I69" s="108"/>
    </row>
    <row r="70" spans="1:18" ht="16.149999999999999" customHeight="1" x14ac:dyDescent="0.35">
      <c r="A70" s="76" t="s">
        <v>101</v>
      </c>
      <c r="B70" s="63"/>
      <c r="C70" s="63"/>
      <c r="D70" s="63"/>
      <c r="E70" s="63"/>
      <c r="F70" s="63"/>
      <c r="G70" s="63"/>
      <c r="H70" s="63"/>
      <c r="I70" s="63"/>
    </row>
    <row r="71" spans="1:18" ht="20.65" customHeight="1" x14ac:dyDescent="0.35">
      <c r="A71" s="76" t="s">
        <v>141</v>
      </c>
      <c r="B71" s="63"/>
      <c r="C71" s="63"/>
      <c r="D71" s="63"/>
      <c r="E71" s="63"/>
      <c r="F71" s="63"/>
      <c r="G71" s="63"/>
      <c r="H71" s="63"/>
      <c r="I71" s="63"/>
    </row>
    <row r="72" spans="1:18" ht="15.5" x14ac:dyDescent="0.35">
      <c r="A72" s="76" t="s">
        <v>170</v>
      </c>
      <c r="B72" s="63"/>
      <c r="C72" s="63"/>
      <c r="D72" s="63"/>
      <c r="E72" s="63"/>
      <c r="F72" s="63"/>
      <c r="G72" s="63"/>
      <c r="H72" s="63"/>
      <c r="I72" s="63"/>
    </row>
    <row r="73" spans="1:18" ht="15.5" x14ac:dyDescent="0.35">
      <c r="A73" s="76" t="s">
        <v>171</v>
      </c>
      <c r="B73" s="63"/>
      <c r="C73" s="63"/>
      <c r="D73" s="63"/>
      <c r="E73" s="63"/>
      <c r="F73" s="63"/>
      <c r="G73" s="63"/>
      <c r="H73" s="63"/>
      <c r="I73" s="63"/>
    </row>
    <row r="74" spans="1:18" ht="15.5" x14ac:dyDescent="0.35">
      <c r="A74" s="76" t="s">
        <v>172</v>
      </c>
      <c r="B74" s="63"/>
      <c r="C74" s="63"/>
      <c r="D74" s="63"/>
      <c r="E74" s="63"/>
      <c r="F74" s="63"/>
      <c r="G74" s="63"/>
      <c r="H74" s="63"/>
      <c r="I74" s="63"/>
    </row>
  </sheetData>
  <mergeCells count="18">
    <mergeCell ref="K3:L3"/>
    <mergeCell ref="A64:I64"/>
    <mergeCell ref="A65:I65"/>
    <mergeCell ref="A66:I66"/>
    <mergeCell ref="A67:I67"/>
    <mergeCell ref="A57:I57"/>
    <mergeCell ref="A58:I58"/>
    <mergeCell ref="A60:I60"/>
    <mergeCell ref="A61:I61"/>
    <mergeCell ref="A63:I63"/>
    <mergeCell ref="J14:K14"/>
    <mergeCell ref="F26:H26"/>
    <mergeCell ref="F49:H49"/>
    <mergeCell ref="F50:H50"/>
    <mergeCell ref="A54:I54"/>
    <mergeCell ref="A55:I55"/>
    <mergeCell ref="A69:I69"/>
    <mergeCell ref="A68:I68"/>
  </mergeCells>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C8E3D-06B8-440C-8D5A-D9A07BC442FC}">
  <dimension ref="A1:N29"/>
  <sheetViews>
    <sheetView zoomScaleNormal="100" workbookViewId="0"/>
  </sheetViews>
  <sheetFormatPr defaultRowHeight="14.5" x14ac:dyDescent="0.35"/>
  <cols>
    <col min="1" max="1" width="41.81640625" customWidth="1"/>
    <col min="2" max="2" width="10.26953125" customWidth="1"/>
    <col min="9" max="9" width="12.26953125" customWidth="1"/>
    <col min="11" max="11" width="10.81640625" customWidth="1"/>
  </cols>
  <sheetData>
    <row r="1" spans="1:13" ht="15" x14ac:dyDescent="0.35">
      <c r="A1" s="34" t="s">
        <v>102</v>
      </c>
    </row>
    <row r="2" spans="1:13" ht="91" x14ac:dyDescent="0.35">
      <c r="A2" s="36" t="s">
        <v>103</v>
      </c>
      <c r="B2" s="37" t="s">
        <v>104</v>
      </c>
      <c r="C2" s="37" t="s">
        <v>105</v>
      </c>
      <c r="D2" s="37" t="s">
        <v>106</v>
      </c>
      <c r="E2" s="37" t="s">
        <v>107</v>
      </c>
      <c r="F2" s="37" t="s">
        <v>60</v>
      </c>
      <c r="G2" s="37" t="s">
        <v>108</v>
      </c>
      <c r="H2" s="37" t="s">
        <v>109</v>
      </c>
      <c r="I2" s="37" t="s">
        <v>110</v>
      </c>
      <c r="J2" s="79"/>
    </row>
    <row r="3" spans="1:13" ht="15.5" x14ac:dyDescent="0.35">
      <c r="A3" s="21" t="s">
        <v>111</v>
      </c>
      <c r="B3" s="20">
        <v>24</v>
      </c>
      <c r="C3" s="20">
        <v>1</v>
      </c>
      <c r="D3" s="20">
        <f>B3*C3</f>
        <v>24</v>
      </c>
      <c r="E3" s="20">
        <v>3.2</v>
      </c>
      <c r="F3" s="20">
        <f>D3*E3</f>
        <v>76.800000000000011</v>
      </c>
      <c r="G3" s="20">
        <f>F3*0.05</f>
        <v>3.8400000000000007</v>
      </c>
      <c r="H3" s="20">
        <f>F3*0.1</f>
        <v>7.6800000000000015</v>
      </c>
      <c r="I3" s="80">
        <f>F3*$L$5+G3*$L$4+H3*$L$6</f>
        <v>4695.1833600000009</v>
      </c>
      <c r="K3" s="111" t="s">
        <v>8</v>
      </c>
      <c r="L3" s="111"/>
      <c r="M3" s="75"/>
    </row>
    <row r="4" spans="1:13" ht="15.5" x14ac:dyDescent="0.35">
      <c r="A4" s="21" t="s">
        <v>112</v>
      </c>
      <c r="B4" s="20">
        <v>24</v>
      </c>
      <c r="C4" s="20">
        <v>1</v>
      </c>
      <c r="D4" s="20">
        <f>B4*C4</f>
        <v>24</v>
      </c>
      <c r="E4" s="20">
        <v>0.6</v>
      </c>
      <c r="F4" s="20">
        <f>D4*E4</f>
        <v>14.399999999999999</v>
      </c>
      <c r="G4" s="20">
        <f>F4*0.05</f>
        <v>0.72</v>
      </c>
      <c r="H4" s="20">
        <f>F4*0.1</f>
        <v>1.44</v>
      </c>
      <c r="I4" s="80">
        <f>F4*$L$5+G4*$L$4+H4*$L$6</f>
        <v>880.34687999999994</v>
      </c>
      <c r="K4" s="5" t="s">
        <v>9</v>
      </c>
      <c r="L4" s="19">
        <v>73.456000000000003</v>
      </c>
      <c r="M4" s="38"/>
    </row>
    <row r="5" spans="1:13" x14ac:dyDescent="0.35">
      <c r="A5" s="81" t="s">
        <v>113</v>
      </c>
      <c r="B5" s="21"/>
      <c r="C5" s="21"/>
      <c r="D5" s="21"/>
      <c r="E5" s="21"/>
      <c r="F5" s="21"/>
      <c r="G5" s="21"/>
      <c r="H5" s="21"/>
      <c r="I5" s="82"/>
      <c r="K5" s="5" t="s">
        <v>17</v>
      </c>
      <c r="L5" s="19">
        <v>54.512</v>
      </c>
      <c r="M5" s="38"/>
    </row>
    <row r="6" spans="1:13" ht="15.5" x14ac:dyDescent="0.35">
      <c r="A6" s="83" t="s">
        <v>114</v>
      </c>
      <c r="B6" s="20">
        <v>2</v>
      </c>
      <c r="C6" s="20">
        <v>1</v>
      </c>
      <c r="D6" s="20">
        <f t="shared" ref="D6:D11" si="0">B6*C6</f>
        <v>2</v>
      </c>
      <c r="E6" s="24">
        <f>'Table 1'!E16</f>
        <v>1</v>
      </c>
      <c r="F6" s="49">
        <f t="shared" ref="F6:F11" si="1">D6*E6</f>
        <v>2</v>
      </c>
      <c r="G6" s="49">
        <f t="shared" ref="G6:G11" si="2">F6*0.05</f>
        <v>0.1</v>
      </c>
      <c r="H6" s="49">
        <f t="shared" ref="H6:H11" si="3">F6*0.1</f>
        <v>0.2</v>
      </c>
      <c r="I6" s="80">
        <f>F6*$L$5+G6*$L$4+H6*$L$6</f>
        <v>122.27040000000001</v>
      </c>
      <c r="J6" s="84"/>
      <c r="K6" s="5" t="s">
        <v>11</v>
      </c>
      <c r="L6" s="19">
        <v>29.504000000000001</v>
      </c>
      <c r="M6" s="38"/>
    </row>
    <row r="7" spans="1:13" ht="15" customHeight="1" x14ac:dyDescent="0.35">
      <c r="A7" s="83" t="s">
        <v>115</v>
      </c>
      <c r="B7" s="20">
        <v>2</v>
      </c>
      <c r="C7" s="20">
        <v>1</v>
      </c>
      <c r="D7" s="20">
        <f t="shared" si="0"/>
        <v>2</v>
      </c>
      <c r="E7" s="24">
        <f>'Table 1'!E17</f>
        <v>1</v>
      </c>
      <c r="F7" s="49">
        <f t="shared" si="1"/>
        <v>2</v>
      </c>
      <c r="G7" s="49">
        <f t="shared" si="2"/>
        <v>0.1</v>
      </c>
      <c r="H7" s="49">
        <f t="shared" si="3"/>
        <v>0.2</v>
      </c>
      <c r="I7" s="80">
        <f t="shared" ref="I7:I14" si="4">F7*$L$5+G7*$L$4+H7*$L$6</f>
        <v>122.27040000000001</v>
      </c>
      <c r="J7" s="84"/>
    </row>
    <row r="8" spans="1:13" ht="15.5" x14ac:dyDescent="0.35">
      <c r="A8" s="83" t="s">
        <v>116</v>
      </c>
      <c r="B8" s="20">
        <v>2</v>
      </c>
      <c r="C8" s="20">
        <v>1</v>
      </c>
      <c r="D8" s="20">
        <f t="shared" si="0"/>
        <v>2</v>
      </c>
      <c r="E8" s="24">
        <f>'Table 1'!E18</f>
        <v>1</v>
      </c>
      <c r="F8" s="49">
        <f t="shared" si="1"/>
        <v>2</v>
      </c>
      <c r="G8" s="49">
        <f t="shared" si="2"/>
        <v>0.1</v>
      </c>
      <c r="H8" s="49">
        <f t="shared" si="3"/>
        <v>0.2</v>
      </c>
      <c r="I8" s="80">
        <f t="shared" si="4"/>
        <v>122.27040000000001</v>
      </c>
      <c r="J8" s="84"/>
    </row>
    <row r="9" spans="1:13" ht="15.5" x14ac:dyDescent="0.35">
      <c r="A9" s="83" t="s">
        <v>117</v>
      </c>
      <c r="B9" s="20">
        <v>2</v>
      </c>
      <c r="C9" s="20">
        <v>1</v>
      </c>
      <c r="D9" s="20">
        <f t="shared" si="0"/>
        <v>2</v>
      </c>
      <c r="E9" s="20">
        <f>'Table 1'!E20</f>
        <v>38</v>
      </c>
      <c r="F9" s="20">
        <f t="shared" si="1"/>
        <v>76</v>
      </c>
      <c r="G9" s="20">
        <f t="shared" si="2"/>
        <v>3.8000000000000003</v>
      </c>
      <c r="H9" s="20">
        <f t="shared" si="3"/>
        <v>7.6000000000000005</v>
      </c>
      <c r="I9" s="80">
        <f t="shared" si="4"/>
        <v>4646.275200000001</v>
      </c>
      <c r="M9" s="85"/>
    </row>
    <row r="10" spans="1:13" ht="15.5" x14ac:dyDescent="0.35">
      <c r="A10" s="83" t="s">
        <v>118</v>
      </c>
      <c r="B10" s="20">
        <v>2</v>
      </c>
      <c r="C10" s="20">
        <v>1</v>
      </c>
      <c r="D10" s="20">
        <f t="shared" si="0"/>
        <v>2</v>
      </c>
      <c r="E10" s="20">
        <f>'Table 1'!E21</f>
        <v>38</v>
      </c>
      <c r="F10" s="20">
        <f t="shared" si="1"/>
        <v>76</v>
      </c>
      <c r="G10" s="20">
        <f t="shared" si="2"/>
        <v>3.8000000000000003</v>
      </c>
      <c r="H10" s="20">
        <f t="shared" si="3"/>
        <v>7.6000000000000005</v>
      </c>
      <c r="I10" s="80">
        <f t="shared" si="4"/>
        <v>4646.275200000001</v>
      </c>
      <c r="M10" s="85"/>
    </row>
    <row r="11" spans="1:13" ht="15.5" x14ac:dyDescent="0.35">
      <c r="A11" s="83" t="s">
        <v>119</v>
      </c>
      <c r="B11" s="20">
        <v>4</v>
      </c>
      <c r="C11" s="20">
        <v>1</v>
      </c>
      <c r="D11" s="20">
        <f t="shared" si="0"/>
        <v>4</v>
      </c>
      <c r="E11" s="24">
        <f>'Table 1'!E19</f>
        <v>1</v>
      </c>
      <c r="F11" s="49">
        <f t="shared" si="1"/>
        <v>4</v>
      </c>
      <c r="G11" s="49">
        <f t="shared" si="2"/>
        <v>0.2</v>
      </c>
      <c r="H11" s="49">
        <f t="shared" si="3"/>
        <v>0.4</v>
      </c>
      <c r="I11" s="80">
        <f t="shared" si="4"/>
        <v>244.54080000000002</v>
      </c>
      <c r="J11" s="84"/>
      <c r="M11" s="85"/>
    </row>
    <row r="12" spans="1:13" x14ac:dyDescent="0.35">
      <c r="A12" s="83" t="s">
        <v>120</v>
      </c>
      <c r="B12" s="21"/>
      <c r="C12" s="21"/>
      <c r="D12" s="20"/>
      <c r="E12" s="21"/>
      <c r="F12" s="20"/>
      <c r="G12" s="20"/>
      <c r="H12" s="20"/>
      <c r="I12" s="45"/>
    </row>
    <row r="13" spans="1:13" ht="28.5" x14ac:dyDescent="0.35">
      <c r="A13" s="86" t="s">
        <v>121</v>
      </c>
      <c r="B13" s="20">
        <v>8</v>
      </c>
      <c r="C13" s="20">
        <v>2</v>
      </c>
      <c r="D13" s="20">
        <f t="shared" ref="D13:D14" si="5">B13*C13</f>
        <v>16</v>
      </c>
      <c r="E13" s="20">
        <f>'Table 1'!E24</f>
        <v>5</v>
      </c>
      <c r="F13" s="20">
        <f>D13*E13</f>
        <v>80</v>
      </c>
      <c r="G13" s="20">
        <f>F13*0.05</f>
        <v>4</v>
      </c>
      <c r="H13" s="20">
        <f>F13*0.1</f>
        <v>8</v>
      </c>
      <c r="I13" s="80">
        <f t="shared" si="4"/>
        <v>4890.8159999999998</v>
      </c>
    </row>
    <row r="14" spans="1:13" ht="15.5" x14ac:dyDescent="0.35">
      <c r="A14" s="87" t="s">
        <v>122</v>
      </c>
      <c r="B14" s="20">
        <v>2</v>
      </c>
      <c r="C14" s="20">
        <v>2</v>
      </c>
      <c r="D14" s="20">
        <f t="shared" si="5"/>
        <v>4</v>
      </c>
      <c r="E14" s="20">
        <f>'Table 1'!E25</f>
        <v>91</v>
      </c>
      <c r="F14" s="20">
        <f>D14*E14</f>
        <v>364</v>
      </c>
      <c r="G14" s="20">
        <f>F14*0.05</f>
        <v>18.2</v>
      </c>
      <c r="H14" s="20">
        <f>F14*0.1</f>
        <v>36.4</v>
      </c>
      <c r="I14" s="80">
        <f t="shared" si="4"/>
        <v>22253.212799999998</v>
      </c>
    </row>
    <row r="15" spans="1:13" x14ac:dyDescent="0.35">
      <c r="A15" s="88" t="s">
        <v>123</v>
      </c>
      <c r="B15" s="89"/>
      <c r="C15" s="89"/>
      <c r="D15" s="89"/>
      <c r="E15" s="89"/>
      <c r="F15" s="115">
        <f>ROUND(SUM(F3:H14),0)</f>
        <v>802</v>
      </c>
      <c r="G15" s="115"/>
      <c r="H15" s="115"/>
      <c r="I15" s="53">
        <f>SUM(I3:I14)</f>
        <v>42623.461439999999</v>
      </c>
    </row>
    <row r="16" spans="1:13" ht="15.5" x14ac:dyDescent="0.35">
      <c r="A16" s="81" t="s">
        <v>124</v>
      </c>
      <c r="B16" s="89"/>
      <c r="C16" s="89"/>
      <c r="D16" s="89"/>
      <c r="E16" s="89"/>
      <c r="F16" s="37"/>
      <c r="G16" s="37"/>
      <c r="H16" s="37"/>
      <c r="I16" s="53">
        <v>1710</v>
      </c>
      <c r="J16" s="63"/>
    </row>
    <row r="17" spans="1:14" ht="15" x14ac:dyDescent="0.35">
      <c r="A17" s="36" t="s">
        <v>125</v>
      </c>
      <c r="B17" s="89"/>
      <c r="C17" s="89"/>
      <c r="D17" s="89"/>
      <c r="E17" s="89"/>
      <c r="F17" s="37"/>
      <c r="G17" s="37"/>
      <c r="H17" s="37"/>
      <c r="I17" s="53">
        <f>ROUND(SUM(I15:I16), -2)</f>
        <v>44300</v>
      </c>
      <c r="J17" s="90"/>
      <c r="N17" s="25"/>
    </row>
    <row r="18" spans="1:14" x14ac:dyDescent="0.35">
      <c r="A18" s="70"/>
      <c r="B18" s="70"/>
      <c r="C18" s="70"/>
      <c r="D18" s="70"/>
      <c r="E18" s="70"/>
      <c r="F18" s="91"/>
      <c r="G18" s="91"/>
      <c r="H18" s="91"/>
      <c r="I18" s="73"/>
    </row>
    <row r="19" spans="1:14" ht="69" customHeight="1" x14ac:dyDescent="0.35">
      <c r="A19" s="107" t="s">
        <v>184</v>
      </c>
      <c r="B19" s="108"/>
      <c r="C19" s="108"/>
      <c r="D19" s="108"/>
      <c r="E19" s="108"/>
      <c r="F19" s="108"/>
      <c r="G19" s="108"/>
      <c r="H19" s="108"/>
      <c r="I19" s="108"/>
    </row>
    <row r="20" spans="1:14" ht="60.65" customHeight="1" x14ac:dyDescent="0.35">
      <c r="A20" s="116" t="s">
        <v>178</v>
      </c>
      <c r="B20" s="116"/>
      <c r="C20" s="116"/>
      <c r="D20" s="116"/>
      <c r="E20" s="116"/>
      <c r="F20" s="116"/>
      <c r="G20" s="116"/>
      <c r="H20" s="116"/>
      <c r="I20" s="116"/>
      <c r="J20" s="84"/>
    </row>
    <row r="21" spans="1:14" ht="32.25" customHeight="1" x14ac:dyDescent="0.35">
      <c r="A21" s="107" t="s">
        <v>158</v>
      </c>
      <c r="B21" s="108"/>
      <c r="C21" s="108"/>
      <c r="D21" s="108"/>
      <c r="E21" s="108"/>
      <c r="F21" s="108"/>
      <c r="G21" s="108"/>
      <c r="H21" s="108"/>
      <c r="I21" s="108"/>
      <c r="J21" s="75"/>
      <c r="K21" s="75"/>
      <c r="L21" s="75"/>
      <c r="M21" s="75"/>
    </row>
    <row r="22" spans="1:14" ht="33.75" customHeight="1" x14ac:dyDescent="0.35">
      <c r="A22" s="107" t="s">
        <v>179</v>
      </c>
      <c r="B22" s="108"/>
      <c r="C22" s="108"/>
      <c r="D22" s="108"/>
      <c r="E22" s="108"/>
      <c r="F22" s="108"/>
      <c r="G22" s="108"/>
      <c r="H22" s="108"/>
      <c r="I22" s="108"/>
      <c r="J22" s="75"/>
      <c r="K22" s="75"/>
      <c r="L22" s="75"/>
      <c r="M22" s="75"/>
    </row>
    <row r="23" spans="1:14" ht="44.25" customHeight="1" x14ac:dyDescent="0.35">
      <c r="A23" s="107" t="s">
        <v>126</v>
      </c>
      <c r="B23" s="108"/>
      <c r="C23" s="108"/>
      <c r="D23" s="108"/>
      <c r="E23" s="108"/>
      <c r="F23" s="108"/>
      <c r="G23" s="108"/>
      <c r="H23" s="108"/>
      <c r="I23" s="108"/>
      <c r="J23" s="75"/>
      <c r="K23" s="75"/>
      <c r="L23" s="75"/>
      <c r="M23" s="75"/>
    </row>
    <row r="24" spans="1:14" ht="46.5" customHeight="1" x14ac:dyDescent="0.35">
      <c r="A24" s="107" t="s">
        <v>164</v>
      </c>
      <c r="B24" s="117"/>
      <c r="C24" s="117"/>
      <c r="D24" s="117"/>
      <c r="E24" s="117"/>
      <c r="F24" s="117"/>
      <c r="G24" s="117"/>
      <c r="H24" s="117"/>
      <c r="I24" s="117"/>
      <c r="J24" s="75"/>
      <c r="K24" s="75"/>
      <c r="L24" s="75"/>
      <c r="M24" s="75"/>
    </row>
    <row r="25" spans="1:14" ht="33" customHeight="1" x14ac:dyDescent="0.35">
      <c r="A25" s="107" t="s">
        <v>159</v>
      </c>
      <c r="B25" s="117"/>
      <c r="C25" s="117"/>
      <c r="D25" s="117"/>
      <c r="E25" s="117"/>
      <c r="F25" s="117"/>
      <c r="G25" s="117"/>
      <c r="H25" s="117"/>
      <c r="I25" s="117"/>
      <c r="J25" s="75"/>
      <c r="K25" s="75"/>
      <c r="L25" s="75"/>
      <c r="M25" s="75"/>
    </row>
    <row r="26" spans="1:14" ht="30.75" customHeight="1" x14ac:dyDescent="0.35">
      <c r="A26" s="107" t="s">
        <v>160</v>
      </c>
      <c r="B26" s="117"/>
      <c r="C26" s="117"/>
      <c r="D26" s="117"/>
      <c r="E26" s="117"/>
      <c r="F26" s="117"/>
      <c r="G26" s="117"/>
      <c r="H26" s="117"/>
      <c r="I26" s="117"/>
      <c r="J26" s="75"/>
      <c r="K26" s="75"/>
      <c r="L26" s="75"/>
      <c r="M26" s="75"/>
    </row>
    <row r="27" spans="1:14" ht="42.75" customHeight="1" x14ac:dyDescent="0.35">
      <c r="A27" s="107" t="s">
        <v>181</v>
      </c>
      <c r="B27" s="117"/>
      <c r="C27" s="117"/>
      <c r="D27" s="117"/>
      <c r="E27" s="117"/>
      <c r="F27" s="117"/>
      <c r="G27" s="117"/>
      <c r="H27" s="117"/>
      <c r="I27" s="117"/>
      <c r="J27" s="84"/>
    </row>
    <row r="28" spans="1:14" x14ac:dyDescent="0.35">
      <c r="A28" s="107" t="s">
        <v>180</v>
      </c>
      <c r="B28" s="117"/>
      <c r="C28" s="117"/>
      <c r="D28" s="117"/>
      <c r="E28" s="117"/>
      <c r="F28" s="117"/>
      <c r="G28" s="117"/>
      <c r="H28" s="117"/>
      <c r="I28" s="117"/>
    </row>
    <row r="29" spans="1:14" x14ac:dyDescent="0.35">
      <c r="A29" s="6"/>
      <c r="B29" s="6"/>
      <c r="C29" s="6"/>
      <c r="D29" s="6"/>
      <c r="E29" s="6"/>
      <c r="F29" s="6"/>
      <c r="G29" s="6"/>
      <c r="H29" s="6"/>
      <c r="I29" s="6"/>
    </row>
  </sheetData>
  <mergeCells count="12">
    <mergeCell ref="A24:I24"/>
    <mergeCell ref="A25:I25"/>
    <mergeCell ref="A26:I26"/>
    <mergeCell ref="A27:I27"/>
    <mergeCell ref="A28:I28"/>
    <mergeCell ref="A22:I22"/>
    <mergeCell ref="A23:I23"/>
    <mergeCell ref="K3:L3"/>
    <mergeCell ref="F15:H15"/>
    <mergeCell ref="A19:I19"/>
    <mergeCell ref="A20:I20"/>
    <mergeCell ref="A21:I21"/>
  </mergeCells>
  <pageMargins left="0.7" right="0.7" top="0.75" bottom="0.75" header="0.3" footer="0.3"/>
  <pageSetup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3E3CA-182B-4F98-B2D0-1BA8517B03CE}">
  <dimension ref="A1:J17"/>
  <sheetViews>
    <sheetView zoomScale="90" zoomScaleNormal="90" workbookViewId="0"/>
  </sheetViews>
  <sheetFormatPr defaultColWidth="22" defaultRowHeight="13" x14ac:dyDescent="0.3"/>
  <cols>
    <col min="1" max="1" width="27.81640625" style="6" customWidth="1"/>
    <col min="2" max="2" width="17.54296875" style="6" customWidth="1"/>
    <col min="3" max="3" width="17.26953125" style="6" customWidth="1"/>
    <col min="4" max="4" width="22" style="6"/>
    <col min="5" max="5" width="19.81640625" style="6" customWidth="1"/>
    <col min="6" max="7" width="16.81640625" style="6" customWidth="1"/>
    <col min="8" max="8" width="6" style="6" customWidth="1"/>
    <col min="9" max="16384" width="22" style="6"/>
  </cols>
  <sheetData>
    <row r="1" spans="1:10" x14ac:dyDescent="0.3">
      <c r="A1" s="2"/>
      <c r="B1" s="3"/>
      <c r="C1" s="3"/>
    </row>
    <row r="2" spans="1:10" x14ac:dyDescent="0.3">
      <c r="A2" s="119" t="s">
        <v>18</v>
      </c>
      <c r="B2" s="119"/>
      <c r="C2" s="119"/>
      <c r="D2" s="119"/>
      <c r="E2" s="119"/>
      <c r="F2" s="119"/>
      <c r="G2" s="120"/>
      <c r="H2" s="13"/>
    </row>
    <row r="3" spans="1:10" x14ac:dyDescent="0.3">
      <c r="A3" s="11" t="s">
        <v>19</v>
      </c>
      <c r="B3" s="11" t="s">
        <v>20</v>
      </c>
      <c r="C3" s="11" t="s">
        <v>21</v>
      </c>
      <c r="D3" s="11" t="s">
        <v>22</v>
      </c>
      <c r="E3" s="11" t="s">
        <v>23</v>
      </c>
      <c r="F3" s="11" t="s">
        <v>24</v>
      </c>
      <c r="G3" s="11" t="s">
        <v>25</v>
      </c>
      <c r="H3" s="13"/>
    </row>
    <row r="4" spans="1:10" ht="46.5" customHeight="1" x14ac:dyDescent="0.3">
      <c r="A4" s="11" t="s">
        <v>26</v>
      </c>
      <c r="B4" s="11" t="s">
        <v>27</v>
      </c>
      <c r="C4" s="11" t="s">
        <v>28</v>
      </c>
      <c r="D4" s="11" t="s">
        <v>29</v>
      </c>
      <c r="E4" s="11" t="s">
        <v>30</v>
      </c>
      <c r="F4" s="11" t="s">
        <v>31</v>
      </c>
      <c r="G4" s="11" t="s">
        <v>32</v>
      </c>
      <c r="H4" s="13"/>
    </row>
    <row r="5" spans="1:10" x14ac:dyDescent="0.3">
      <c r="A5" s="121" t="s">
        <v>136</v>
      </c>
      <c r="B5" s="122"/>
      <c r="C5" s="122"/>
      <c r="D5" s="122"/>
      <c r="E5" s="122"/>
      <c r="F5" s="122"/>
      <c r="G5" s="123"/>
      <c r="H5" s="14"/>
    </row>
    <row r="6" spans="1:10" ht="36.75" customHeight="1" x14ac:dyDescent="0.3">
      <c r="A6" s="10" t="s">
        <v>127</v>
      </c>
      <c r="B6" s="93">
        <v>41000</v>
      </c>
      <c r="C6" s="7">
        <v>0</v>
      </c>
      <c r="D6" s="7">
        <v>0</v>
      </c>
      <c r="E6" s="93">
        <v>8000</v>
      </c>
      <c r="F6" s="7">
        <v>0</v>
      </c>
      <c r="G6" s="93">
        <v>0</v>
      </c>
      <c r="H6" s="15"/>
    </row>
    <row r="7" spans="1:10" ht="36.75" customHeight="1" x14ac:dyDescent="0.3">
      <c r="A7" s="10" t="s">
        <v>128</v>
      </c>
      <c r="B7" s="93">
        <v>0</v>
      </c>
      <c r="C7" s="7">
        <v>0</v>
      </c>
      <c r="D7" s="7">
        <v>0</v>
      </c>
      <c r="E7" s="93">
        <v>0</v>
      </c>
      <c r="F7" s="7">
        <v>0</v>
      </c>
      <c r="G7" s="93">
        <v>0</v>
      </c>
      <c r="H7" s="16"/>
      <c r="I7" s="97"/>
      <c r="J7" s="97"/>
    </row>
    <row r="8" spans="1:10" x14ac:dyDescent="0.3">
      <c r="A8" s="124" t="s">
        <v>135</v>
      </c>
      <c r="B8" s="124"/>
      <c r="C8" s="124"/>
      <c r="D8" s="124"/>
      <c r="E8" s="124"/>
      <c r="F8" s="124"/>
      <c r="G8" s="124"/>
      <c r="I8" s="97"/>
      <c r="J8" s="97"/>
    </row>
    <row r="9" spans="1:10" ht="23.5" customHeight="1" x14ac:dyDescent="0.3">
      <c r="A9" s="22" t="s">
        <v>129</v>
      </c>
      <c r="B9" s="93">
        <v>2439</v>
      </c>
      <c r="C9" s="7">
        <v>234</v>
      </c>
      <c r="D9" s="98">
        <f>B9*C9</f>
        <v>570726</v>
      </c>
      <c r="E9" s="93">
        <v>0</v>
      </c>
      <c r="F9" s="7">
        <v>0</v>
      </c>
      <c r="G9" s="93">
        <f>E9*F9</f>
        <v>0</v>
      </c>
      <c r="I9" s="97"/>
      <c r="J9" s="97"/>
    </row>
    <row r="10" spans="1:10" ht="18.649999999999999" customHeight="1" x14ac:dyDescent="0.3">
      <c r="A10" s="22" t="s">
        <v>130</v>
      </c>
      <c r="B10" s="93">
        <v>3414</v>
      </c>
      <c r="C10" s="7">
        <v>5</v>
      </c>
      <c r="D10" s="98">
        <f t="shared" ref="D10:D11" si="0">B10*C10</f>
        <v>17070</v>
      </c>
      <c r="E10" s="93">
        <v>0</v>
      </c>
      <c r="F10" s="7">
        <v>0</v>
      </c>
      <c r="G10" s="93">
        <f t="shared" ref="G10:G11" si="1">E10*F10</f>
        <v>0</v>
      </c>
      <c r="I10" s="97"/>
      <c r="J10" s="97"/>
    </row>
    <row r="11" spans="1:10" ht="18" customHeight="1" x14ac:dyDescent="0.3">
      <c r="A11" s="22" t="s">
        <v>131</v>
      </c>
      <c r="B11" s="93">
        <v>3414</v>
      </c>
      <c r="C11" s="7">
        <v>6</v>
      </c>
      <c r="D11" s="98">
        <f t="shared" si="0"/>
        <v>20484</v>
      </c>
      <c r="E11" s="93">
        <v>0</v>
      </c>
      <c r="F11" s="7">
        <v>0</v>
      </c>
      <c r="G11" s="93">
        <f t="shared" si="1"/>
        <v>0</v>
      </c>
      <c r="I11" s="97"/>
      <c r="J11" s="97"/>
    </row>
    <row r="12" spans="1:10" ht="25.15" customHeight="1" x14ac:dyDescent="0.3">
      <c r="A12" s="22" t="s">
        <v>161</v>
      </c>
      <c r="B12" s="7" t="s">
        <v>132</v>
      </c>
      <c r="C12" s="7" t="s">
        <v>132</v>
      </c>
      <c r="D12" s="98">
        <f>IFERROR(B12*C12,0)</f>
        <v>0</v>
      </c>
      <c r="E12" s="8" t="s">
        <v>132</v>
      </c>
      <c r="F12" s="8" t="s">
        <v>132</v>
      </c>
      <c r="G12" s="98">
        <f>IFERROR(E12*F12,0)</f>
        <v>0</v>
      </c>
      <c r="I12" s="97"/>
      <c r="J12" s="97"/>
    </row>
    <row r="13" spans="1:10" ht="22.5" customHeight="1" x14ac:dyDescent="0.3">
      <c r="A13" s="12" t="s">
        <v>133</v>
      </c>
      <c r="B13" s="18"/>
      <c r="C13" s="18"/>
      <c r="D13" s="99">
        <f>ROUND(SUM(D6:D7,D9:D12),-3)</f>
        <v>608000</v>
      </c>
      <c r="E13" s="11"/>
      <c r="F13" s="11"/>
      <c r="G13" s="99">
        <f>SUM(G6:G7,G9:G12)</f>
        <v>0</v>
      </c>
      <c r="I13" s="74">
        <f>D13+G13</f>
        <v>608000</v>
      </c>
      <c r="J13" s="97"/>
    </row>
    <row r="14" spans="1:10" x14ac:dyDescent="0.3">
      <c r="A14" s="95" t="s">
        <v>13</v>
      </c>
      <c r="B14" s="23"/>
      <c r="C14" s="23"/>
      <c r="D14" s="23"/>
      <c r="E14" s="23"/>
      <c r="F14" s="23"/>
      <c r="G14" s="23"/>
      <c r="I14" s="97"/>
      <c r="J14" s="97"/>
    </row>
    <row r="15" spans="1:10" ht="37.15" customHeight="1" x14ac:dyDescent="0.3">
      <c r="A15" s="118" t="s">
        <v>162</v>
      </c>
      <c r="B15" s="118"/>
      <c r="C15" s="118"/>
      <c r="D15" s="118"/>
      <c r="E15" s="118"/>
      <c r="F15" s="118"/>
      <c r="G15" s="118"/>
      <c r="I15" s="97"/>
      <c r="J15" s="97"/>
    </row>
    <row r="16" spans="1:10" ht="15.5" x14ac:dyDescent="0.3">
      <c r="A16" s="94" t="s">
        <v>134</v>
      </c>
      <c r="I16" s="97"/>
      <c r="J16" s="97"/>
    </row>
    <row r="17" spans="9:10" x14ac:dyDescent="0.3">
      <c r="I17" s="97"/>
      <c r="J17" s="97"/>
    </row>
  </sheetData>
  <mergeCells count="4">
    <mergeCell ref="A15:G15"/>
    <mergeCell ref="A2:G2"/>
    <mergeCell ref="A5:G5"/>
    <mergeCell ref="A8:G8"/>
  </mergeCells>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A8CA8-D06D-48F9-AB41-065F033F135F}">
  <dimension ref="A1:F13"/>
  <sheetViews>
    <sheetView zoomScaleNormal="100" workbookViewId="0">
      <selection activeCell="C11" sqref="C11"/>
    </sheetView>
  </sheetViews>
  <sheetFormatPr defaultRowHeight="14.5" x14ac:dyDescent="0.35"/>
  <cols>
    <col min="1" max="1" width="22.26953125" bestFit="1" customWidth="1"/>
    <col min="2" max="2" width="11.81640625" customWidth="1"/>
    <col min="3" max="3" width="12.7265625" customWidth="1"/>
    <col min="4" max="4" width="11.453125" customWidth="1"/>
    <col min="5" max="5" width="14.7265625" customWidth="1"/>
  </cols>
  <sheetData>
    <row r="1" spans="1:6" s="6" customFormat="1" ht="15" x14ac:dyDescent="0.3">
      <c r="A1" s="125" t="s">
        <v>6</v>
      </c>
      <c r="B1" s="125"/>
      <c r="C1" s="125"/>
      <c r="D1" s="125"/>
      <c r="E1" s="125"/>
    </row>
    <row r="2" spans="1:6" s="6" customFormat="1" ht="13" x14ac:dyDescent="0.3">
      <c r="A2" s="7" t="s">
        <v>19</v>
      </c>
      <c r="B2" s="7" t="s">
        <v>20</v>
      </c>
      <c r="C2" s="7" t="s">
        <v>21</v>
      </c>
      <c r="D2" s="7" t="s">
        <v>22</v>
      </c>
      <c r="E2" s="7" t="s">
        <v>23</v>
      </c>
    </row>
    <row r="3" spans="1:6" s="6" customFormat="1" ht="104" x14ac:dyDescent="0.3">
      <c r="A3" s="7" t="s">
        <v>33</v>
      </c>
      <c r="B3" s="7" t="s">
        <v>34</v>
      </c>
      <c r="C3" s="7" t="s">
        <v>35</v>
      </c>
      <c r="D3" s="7" t="s">
        <v>36</v>
      </c>
      <c r="E3" s="7" t="s">
        <v>37</v>
      </c>
    </row>
    <row r="4" spans="1:6" s="6" customFormat="1" ht="42" x14ac:dyDescent="0.3">
      <c r="A4" s="28" t="s">
        <v>49</v>
      </c>
      <c r="B4" s="29">
        <f>'Table 1'!E16</f>
        <v>1</v>
      </c>
      <c r="C4" s="30">
        <f>'Table 1'!C16</f>
        <v>1</v>
      </c>
      <c r="D4" s="30">
        <v>0</v>
      </c>
      <c r="E4" s="29">
        <f>(B4*C4)+D4</f>
        <v>1</v>
      </c>
    </row>
    <row r="5" spans="1:6" s="6" customFormat="1" ht="28" x14ac:dyDescent="0.3">
      <c r="A5" s="28" t="s">
        <v>50</v>
      </c>
      <c r="B5" s="29">
        <f>'Table 1'!E17</f>
        <v>1</v>
      </c>
      <c r="C5" s="30">
        <f>'Table 1'!C17</f>
        <v>1</v>
      </c>
      <c r="D5" s="30">
        <v>0</v>
      </c>
      <c r="E5" s="29">
        <f t="shared" ref="E5:E12" si="0">(B5*C5)+D5</f>
        <v>1</v>
      </c>
    </row>
    <row r="6" spans="1:6" s="6" customFormat="1" ht="28" x14ac:dyDescent="0.3">
      <c r="A6" s="28" t="s">
        <v>51</v>
      </c>
      <c r="B6" s="29">
        <f>'Table 1'!E18</f>
        <v>1</v>
      </c>
      <c r="C6" s="30">
        <f>'Table 1'!C18</f>
        <v>1</v>
      </c>
      <c r="D6" s="30">
        <v>0</v>
      </c>
      <c r="E6" s="29">
        <f t="shared" si="0"/>
        <v>1</v>
      </c>
    </row>
    <row r="7" spans="1:6" s="6" customFormat="1" ht="28" x14ac:dyDescent="0.3">
      <c r="A7" s="28" t="s">
        <v>52</v>
      </c>
      <c r="B7" s="92">
        <f>'Table 1'!E20</f>
        <v>38</v>
      </c>
      <c r="C7" s="30">
        <f>'Table 1'!C20</f>
        <v>1</v>
      </c>
      <c r="D7" s="30">
        <v>0</v>
      </c>
      <c r="E7" s="30">
        <f t="shared" si="0"/>
        <v>38</v>
      </c>
    </row>
    <row r="8" spans="1:6" s="6" customFormat="1" ht="28" x14ac:dyDescent="0.3">
      <c r="A8" s="28" t="s">
        <v>53</v>
      </c>
      <c r="B8" s="92">
        <f>'Table 1'!E21</f>
        <v>38</v>
      </c>
      <c r="C8" s="30">
        <f>'Table 1'!C21</f>
        <v>1</v>
      </c>
      <c r="D8" s="30">
        <v>0</v>
      </c>
      <c r="E8" s="30">
        <f t="shared" si="0"/>
        <v>38</v>
      </c>
      <c r="F8" s="1"/>
    </row>
    <row r="9" spans="1:6" s="6" customFormat="1" ht="28.5" customHeight="1" x14ac:dyDescent="0.3">
      <c r="A9" s="28" t="s">
        <v>38</v>
      </c>
      <c r="B9" s="29">
        <f>'Table 1'!E19</f>
        <v>1</v>
      </c>
      <c r="C9" s="30">
        <f>'Table 1'!C19</f>
        <v>1</v>
      </c>
      <c r="D9" s="30">
        <v>0</v>
      </c>
      <c r="E9" s="103">
        <f t="shared" si="0"/>
        <v>1</v>
      </c>
    </row>
    <row r="10" spans="1:6" s="6" customFormat="1" ht="28.5" customHeight="1" x14ac:dyDescent="0.3">
      <c r="A10" s="28" t="s">
        <v>54</v>
      </c>
      <c r="B10" s="30">
        <f>'Table 1'!E22</f>
        <v>38</v>
      </c>
      <c r="C10" s="30">
        <f>'Table 1'!C22</f>
        <v>1</v>
      </c>
      <c r="D10" s="30">
        <v>0</v>
      </c>
      <c r="E10" s="30">
        <f t="shared" si="0"/>
        <v>38</v>
      </c>
    </row>
    <row r="11" spans="1:6" s="6" customFormat="1" ht="56" x14ac:dyDescent="0.3">
      <c r="A11" s="28" t="s">
        <v>55</v>
      </c>
      <c r="B11" s="30">
        <f>'Table 1'!E24</f>
        <v>5</v>
      </c>
      <c r="C11" s="30">
        <f>'Table 1'!C24</f>
        <v>2</v>
      </c>
      <c r="D11" s="30">
        <v>0</v>
      </c>
      <c r="E11" s="30">
        <f t="shared" si="0"/>
        <v>10</v>
      </c>
    </row>
    <row r="12" spans="1:6" s="6" customFormat="1" ht="29.25" customHeight="1" x14ac:dyDescent="0.3">
      <c r="A12" s="28" t="s">
        <v>56</v>
      </c>
      <c r="B12" s="30">
        <f>'Table 1'!E25</f>
        <v>91</v>
      </c>
      <c r="C12" s="30">
        <f>'Table 1'!C25</f>
        <v>2</v>
      </c>
      <c r="D12" s="30">
        <v>0</v>
      </c>
      <c r="E12" s="30">
        <f t="shared" si="0"/>
        <v>182</v>
      </c>
    </row>
    <row r="13" spans="1:6" s="6" customFormat="1" ht="14" x14ac:dyDescent="0.3">
      <c r="A13" s="31"/>
      <c r="B13" s="32"/>
      <c r="C13" s="32"/>
      <c r="D13" s="32" t="s">
        <v>39</v>
      </c>
      <c r="E13" s="33">
        <f>SUM(E4:E12)</f>
        <v>310</v>
      </c>
    </row>
  </sheetData>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E7754-04D5-4DBA-B79C-283E5E0BF946}">
  <dimension ref="A1:F9"/>
  <sheetViews>
    <sheetView zoomScale="90" zoomScaleNormal="90" workbookViewId="0">
      <selection activeCell="G7" sqref="G7"/>
    </sheetView>
  </sheetViews>
  <sheetFormatPr defaultColWidth="17.7265625" defaultRowHeight="31.9" customHeight="1" x14ac:dyDescent="0.35"/>
  <sheetData>
    <row r="1" spans="1:6" s="6" customFormat="1" ht="31.9" customHeight="1" x14ac:dyDescent="0.3">
      <c r="A1" s="125" t="s">
        <v>2</v>
      </c>
      <c r="B1" s="125"/>
      <c r="C1" s="125"/>
      <c r="D1" s="125"/>
      <c r="E1" s="125"/>
      <c r="F1" s="125"/>
    </row>
    <row r="2" spans="1:6" s="6" customFormat="1" ht="31.9" customHeight="1" x14ac:dyDescent="0.3">
      <c r="A2" s="17"/>
      <c r="B2" s="126" t="s">
        <v>40</v>
      </c>
      <c r="C2" s="126"/>
      <c r="D2" s="17" t="s">
        <v>41</v>
      </c>
      <c r="E2" s="126"/>
      <c r="F2" s="126"/>
    </row>
    <row r="3" spans="1:6" s="6" customFormat="1" ht="31.9" customHeight="1" x14ac:dyDescent="0.3">
      <c r="A3" s="17"/>
      <c r="B3" s="18" t="s">
        <v>19</v>
      </c>
      <c r="C3" s="18" t="s">
        <v>20</v>
      </c>
      <c r="D3" s="18" t="s">
        <v>21</v>
      </c>
      <c r="E3" s="18" t="s">
        <v>22</v>
      </c>
      <c r="F3" s="18" t="s">
        <v>23</v>
      </c>
    </row>
    <row r="4" spans="1:6" s="6" customFormat="1" ht="70.900000000000006" customHeight="1" x14ac:dyDescent="0.3">
      <c r="A4" s="18" t="s">
        <v>42</v>
      </c>
      <c r="B4" s="17" t="s">
        <v>43</v>
      </c>
      <c r="C4" s="17" t="s">
        <v>44</v>
      </c>
      <c r="D4" s="17" t="s">
        <v>45</v>
      </c>
      <c r="E4" s="17" t="s">
        <v>46</v>
      </c>
      <c r="F4" s="17" t="s">
        <v>47</v>
      </c>
    </row>
    <row r="5" spans="1:6" s="6" customFormat="1" ht="31.9" customHeight="1" x14ac:dyDescent="0.3">
      <c r="A5" s="7">
        <v>1</v>
      </c>
      <c r="B5" s="8">
        <v>1</v>
      </c>
      <c r="C5" s="8">
        <v>96</v>
      </c>
      <c r="D5" s="8">
        <v>0</v>
      </c>
      <c r="E5" s="8">
        <v>1</v>
      </c>
      <c r="F5" s="8">
        <f>B5+C5+D5-E5</f>
        <v>96</v>
      </c>
    </row>
    <row r="6" spans="1:6" s="6" customFormat="1" ht="31.9" customHeight="1" x14ac:dyDescent="0.3">
      <c r="A6" s="7">
        <v>2</v>
      </c>
      <c r="B6" s="8">
        <v>1</v>
      </c>
      <c r="C6" s="8">
        <v>96</v>
      </c>
      <c r="D6" s="8">
        <v>0</v>
      </c>
      <c r="E6" s="8">
        <v>1</v>
      </c>
      <c r="F6" s="8">
        <f>B6+C6+D6-E6</f>
        <v>96</v>
      </c>
    </row>
    <row r="7" spans="1:6" s="6" customFormat="1" ht="31.9" customHeight="1" x14ac:dyDescent="0.3">
      <c r="A7" s="7">
        <v>3</v>
      </c>
      <c r="B7" s="8">
        <v>1</v>
      </c>
      <c r="C7" s="8">
        <v>96</v>
      </c>
      <c r="D7" s="8">
        <v>0</v>
      </c>
      <c r="E7" s="8">
        <v>1</v>
      </c>
      <c r="F7" s="8">
        <f>B7+C7+D7-E7</f>
        <v>96</v>
      </c>
    </row>
    <row r="8" spans="1:6" s="6" customFormat="1" ht="31.9" customHeight="1" x14ac:dyDescent="0.3">
      <c r="A8" s="7" t="s">
        <v>48</v>
      </c>
      <c r="B8" s="8">
        <f>AVERAGE(B5:B7)</f>
        <v>1</v>
      </c>
      <c r="C8" s="8">
        <f>AVERAGE(C5:C7)</f>
        <v>96</v>
      </c>
      <c r="D8" s="8">
        <v>0</v>
      </c>
      <c r="E8" s="8">
        <v>0</v>
      </c>
      <c r="F8" s="11">
        <f>AVERAGE(F5:F7)</f>
        <v>96</v>
      </c>
    </row>
    <row r="9" spans="1:6" s="6" customFormat="1" ht="20.5" customHeight="1" x14ac:dyDescent="0.3">
      <c r="A9" s="9" t="s">
        <v>163</v>
      </c>
    </row>
  </sheetData>
  <mergeCells count="3">
    <mergeCell ref="A1:F1"/>
    <mergeCell ref="B2:C2"/>
    <mergeCell ref="E2:F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2024-10-24T21:13:06+00:00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Props1.xml><?xml version="1.0" encoding="utf-8"?>
<ds:datastoreItem xmlns:ds="http://schemas.openxmlformats.org/officeDocument/2006/customXml" ds:itemID="{E850D622-4090-4377-BE5C-FFA39189737D}">
  <ds:schemaRefs>
    <ds:schemaRef ds:uri="Microsoft.SharePoint.Taxonomy.ContentTypeSync"/>
  </ds:schemaRefs>
</ds:datastoreItem>
</file>

<file path=customXml/itemProps2.xml><?xml version="1.0" encoding="utf-8"?>
<ds:datastoreItem xmlns:ds="http://schemas.openxmlformats.org/officeDocument/2006/customXml" ds:itemID="{8DCED415-8393-4634-9968-A495AFA0611E}">
  <ds:schemaRefs>
    <ds:schemaRef ds:uri="http://schemas.microsoft.com/sharepoint/v3/contenttype/forms"/>
  </ds:schemaRefs>
</ds:datastoreItem>
</file>

<file path=customXml/itemProps3.xml><?xml version="1.0" encoding="utf-8"?>
<ds:datastoreItem xmlns:ds="http://schemas.openxmlformats.org/officeDocument/2006/customXml" ds:itemID="{4D62B49F-D5ED-4512-BA88-D053AA51AB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2fe02c4-dc41-46ff-9d52-90c0a1b1f611"/>
    <ds:schemaRef ds:uri="96fc5250-dc30-4f01-945b-7e46a880ee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788708A-52BB-4D0F-B232-80F9E123F193}">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Summary</vt:lpstr>
      <vt:lpstr>Table 1</vt:lpstr>
      <vt:lpstr>Table 2</vt:lpstr>
      <vt:lpstr>Capital O&amp;M</vt:lpstr>
      <vt:lpstr>Responses</vt:lpstr>
      <vt:lpstr>Respondents</vt:lpstr>
      <vt:lpstr>'Capital O&amp;M'!_Hlk65498076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Denise Bevington</dc:creator>
  <cp:keywords/>
  <dc:description/>
  <cp:lastModifiedBy>Salahuddin, Diane</cp:lastModifiedBy>
  <cp:revision/>
  <dcterms:created xsi:type="dcterms:W3CDTF">2018-07-19T14:57:42Z</dcterms:created>
  <dcterms:modified xsi:type="dcterms:W3CDTF">2025-02-06T01:54:07Z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ies>
</file>