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Tracy\ICRs - SPPD\FY2024\2510.03 Clay Ceramics Manufacturing NESHAP\Send to EPA\"/>
    </mc:Choice>
  </mc:AlternateContent>
  <xr:revisionPtr revIDLastSave="0" documentId="13_ncr:1_{1813DDBE-9FEA-4555-8B9A-CA01B418F436}" xr6:coauthVersionLast="47" xr6:coauthVersionMax="47" xr10:uidLastSave="{00000000-0000-0000-0000-000000000000}"/>
  <bookViews>
    <workbookView xWindow="-120" yWindow="-120" windowWidth="20730" windowHeight="1116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6" l="1"/>
  <c r="B17" i="5"/>
  <c r="B13" i="5"/>
  <c r="B12" i="5"/>
  <c r="B11" i="5"/>
  <c r="B10" i="5"/>
  <c r="B9" i="5"/>
  <c r="F8" i="3"/>
  <c r="G8" i="3" s="1"/>
  <c r="D9" i="3"/>
  <c r="D7" i="3"/>
  <c r="D6" i="3"/>
  <c r="D10" i="3" s="1"/>
  <c r="F7" i="3"/>
  <c r="G7" i="3" s="1"/>
  <c r="G10" i="3" s="1"/>
  <c r="I52" i="1" s="1"/>
  <c r="F6" i="3"/>
  <c r="G6" i="3" s="1"/>
  <c r="G9" i="3"/>
  <c r="E24" i="2"/>
  <c r="E23" i="2"/>
  <c r="E22" i="2"/>
  <c r="E20" i="2"/>
  <c r="E19" i="2"/>
  <c r="E18" i="2"/>
  <c r="E17" i="2"/>
  <c r="E16" i="2"/>
  <c r="E7" i="2"/>
  <c r="E6" i="2"/>
  <c r="E4" i="2"/>
  <c r="I26" i="2" s="1"/>
  <c r="E21" i="1"/>
  <c r="E37" i="1" s="1"/>
  <c r="E29" i="1"/>
  <c r="E49" i="1"/>
  <c r="E48" i="1"/>
  <c r="E45" i="1"/>
  <c r="E41" i="1"/>
  <c r="E12" i="1"/>
  <c r="E11" i="1"/>
  <c r="E10" i="1"/>
  <c r="E24" i="1"/>
  <c r="E42" i="1" s="1"/>
  <c r="E9" i="2"/>
  <c r="E8" i="2"/>
  <c r="E22" i="1" l="1"/>
  <c r="E23" i="1"/>
  <c r="E34" i="1"/>
  <c r="E35" i="1" s="1"/>
  <c r="E38" i="1" s="1"/>
  <c r="D24" i="2"/>
  <c r="F24" i="2" s="1"/>
  <c r="D23" i="2"/>
  <c r="D22" i="2"/>
  <c r="D20" i="2"/>
  <c r="F20" i="2" s="1"/>
  <c r="G20" i="2" s="1"/>
  <c r="D19" i="2"/>
  <c r="F19" i="2" s="1"/>
  <c r="H19" i="2" s="1"/>
  <c r="D18" i="2"/>
  <c r="F18" i="2" s="1"/>
  <c r="D17" i="2"/>
  <c r="F17" i="2" s="1"/>
  <c r="D16" i="2"/>
  <c r="F16" i="2" s="1"/>
  <c r="G16" i="2" s="1"/>
  <c r="D15" i="2"/>
  <c r="F15" i="2" s="1"/>
  <c r="D14" i="2"/>
  <c r="F14" i="2" s="1"/>
  <c r="G14" i="2" s="1"/>
  <c r="D13" i="2"/>
  <c r="F13" i="2" s="1"/>
  <c r="H13" i="2" s="1"/>
  <c r="D12" i="2"/>
  <c r="F12" i="2" s="1"/>
  <c r="G12" i="2" s="1"/>
  <c r="D11" i="2"/>
  <c r="F11" i="2" s="1"/>
  <c r="D9" i="2"/>
  <c r="F9" i="2" s="1"/>
  <c r="D8" i="2"/>
  <c r="F8" i="2" s="1"/>
  <c r="G8" i="2" s="1"/>
  <c r="D7" i="2"/>
  <c r="F7" i="2" s="1"/>
  <c r="D6" i="2"/>
  <c r="F6" i="2" s="1"/>
  <c r="D4" i="2"/>
  <c r="F4" i="2" s="1"/>
  <c r="H4" i="2" s="1"/>
  <c r="G18" i="2" l="1"/>
  <c r="F22" i="2"/>
  <c r="G22" i="2" s="1"/>
  <c r="H15" i="2"/>
  <c r="G15" i="2"/>
  <c r="H17" i="2"/>
  <c r="G17" i="2"/>
  <c r="H9" i="2"/>
  <c r="G9" i="2"/>
  <c r="H11" i="2"/>
  <c r="G11" i="2"/>
  <c r="G13" i="2"/>
  <c r="I13" i="2" s="1"/>
  <c r="G19" i="2"/>
  <c r="I19" i="2" s="1"/>
  <c r="H20" i="2"/>
  <c r="I20" i="2" s="1"/>
  <c r="H18" i="2"/>
  <c r="H16" i="2"/>
  <c r="I16" i="2" s="1"/>
  <c r="H14" i="2"/>
  <c r="I14" i="2" s="1"/>
  <c r="H12" i="2"/>
  <c r="I12" i="2" s="1"/>
  <c r="H8" i="2"/>
  <c r="I8" i="2" s="1"/>
  <c r="F23" i="2"/>
  <c r="H23" i="2" s="1"/>
  <c r="H24" i="2"/>
  <c r="G24" i="2"/>
  <c r="G4" i="2"/>
  <c r="I4" i="2" s="1"/>
  <c r="G7" i="2"/>
  <c r="H7" i="2"/>
  <c r="G6" i="2"/>
  <c r="H6" i="2"/>
  <c r="E28" i="1"/>
  <c r="E27" i="1"/>
  <c r="I18" i="2" l="1"/>
  <c r="I17" i="2"/>
  <c r="H22" i="2"/>
  <c r="I22" i="2" s="1"/>
  <c r="I15" i="2"/>
  <c r="I9" i="2"/>
  <c r="I11" i="2"/>
  <c r="G23" i="2"/>
  <c r="I6" i="2"/>
  <c r="F25" i="2" l="1"/>
  <c r="E15" i="5"/>
  <c r="E16" i="5"/>
  <c r="B4" i="5"/>
  <c r="E17" i="5"/>
  <c r="C5" i="5"/>
  <c r="E5" i="5" s="1"/>
  <c r="C6" i="5"/>
  <c r="E6" i="5" s="1"/>
  <c r="C7" i="5"/>
  <c r="E7" i="5" s="1"/>
  <c r="C8" i="5"/>
  <c r="E8" i="5" s="1"/>
  <c r="C9" i="5"/>
  <c r="E9" i="5" s="1"/>
  <c r="C10" i="5"/>
  <c r="E10" i="5" s="1"/>
  <c r="C11" i="5"/>
  <c r="E11" i="5" s="1"/>
  <c r="C12" i="5"/>
  <c r="E12" i="5" s="1"/>
  <c r="E18" i="5" s="1"/>
  <c r="C13" i="5"/>
  <c r="E13" i="5" s="1"/>
  <c r="D19" i="1"/>
  <c r="F19" i="1" s="1"/>
  <c r="C4" i="5"/>
  <c r="D49" i="1"/>
  <c r="F49" i="1" s="1"/>
  <c r="D48" i="1"/>
  <c r="F48" i="1" s="1"/>
  <c r="D47" i="1"/>
  <c r="F47" i="1" s="1"/>
  <c r="H47" i="1" s="1"/>
  <c r="D45" i="1"/>
  <c r="F45" i="1" s="1"/>
  <c r="D42" i="1"/>
  <c r="F42" i="1" s="1"/>
  <c r="D41" i="1"/>
  <c r="F41" i="1" s="1"/>
  <c r="D39" i="1"/>
  <c r="F39" i="1" s="1"/>
  <c r="D38" i="1"/>
  <c r="F38" i="1" s="1"/>
  <c r="D37" i="1"/>
  <c r="F37" i="1" s="1"/>
  <c r="D35" i="1"/>
  <c r="F35" i="1" s="1"/>
  <c r="D34" i="1"/>
  <c r="F34" i="1" s="1"/>
  <c r="D29" i="1"/>
  <c r="F29" i="1" s="1"/>
  <c r="D28" i="1"/>
  <c r="D27" i="1"/>
  <c r="D24" i="1"/>
  <c r="F24" i="1" s="1"/>
  <c r="D12" i="1"/>
  <c r="F12" i="1" s="1"/>
  <c r="D11" i="1"/>
  <c r="F11" i="1" s="1"/>
  <c r="D10" i="1"/>
  <c r="F10" i="1" s="1"/>
  <c r="D9" i="1"/>
  <c r="F9" i="1" s="1"/>
  <c r="E7" i="1"/>
  <c r="C8" i="4"/>
  <c r="B8" i="4"/>
  <c r="F7" i="4"/>
  <c r="F6" i="4"/>
  <c r="F5" i="4"/>
  <c r="D18" i="1"/>
  <c r="D22" i="1"/>
  <c r="F27" i="1" l="1"/>
  <c r="G27" i="1" s="1"/>
  <c r="F28" i="1"/>
  <c r="H28" i="1" s="1"/>
  <c r="E4" i="5"/>
  <c r="G19" i="1"/>
  <c r="H19" i="1"/>
  <c r="I19" i="1" s="1"/>
  <c r="H49" i="1"/>
  <c r="G49" i="1"/>
  <c r="G48" i="1"/>
  <c r="H48" i="1"/>
  <c r="G47" i="1"/>
  <c r="I47" i="1" s="1"/>
  <c r="H45" i="1"/>
  <c r="G45" i="1"/>
  <c r="H42" i="1"/>
  <c r="G42" i="1"/>
  <c r="I42" i="1" s="1"/>
  <c r="I50" i="1" s="1"/>
  <c r="H41" i="1"/>
  <c r="G41" i="1"/>
  <c r="I41" i="1" s="1"/>
  <c r="H39" i="1"/>
  <c r="G39" i="1"/>
  <c r="H38" i="1"/>
  <c r="G38" i="1"/>
  <c r="G37" i="1"/>
  <c r="H37" i="1"/>
  <c r="H35" i="1"/>
  <c r="G35" i="1"/>
  <c r="H34" i="1"/>
  <c r="G34" i="1"/>
  <c r="H29" i="1"/>
  <c r="G29" i="1"/>
  <c r="G24" i="1"/>
  <c r="H24" i="1"/>
  <c r="H9" i="1"/>
  <c r="G12" i="1"/>
  <c r="H12" i="1"/>
  <c r="G11" i="1"/>
  <c r="H11" i="1"/>
  <c r="G10" i="1"/>
  <c r="H10" i="1"/>
  <c r="G9" i="1"/>
  <c r="F8" i="4"/>
  <c r="B3" i="6" s="1"/>
  <c r="F22" i="1"/>
  <c r="H22" i="1" s="1"/>
  <c r="I51" i="1" l="1"/>
  <c r="I53" i="1" s="1"/>
  <c r="F50" i="1"/>
  <c r="I24" i="1"/>
  <c r="I30" i="1" s="1"/>
  <c r="I39" i="1"/>
  <c r="I45" i="1"/>
  <c r="I35" i="1"/>
  <c r="H27" i="1"/>
  <c r="I27" i="1" s="1"/>
  <c r="I48" i="1"/>
  <c r="I34" i="1"/>
  <c r="G28" i="1"/>
  <c r="I28" i="1" s="1"/>
  <c r="I49" i="1"/>
  <c r="I37" i="1"/>
  <c r="I38" i="1"/>
  <c r="I29" i="1"/>
  <c r="I9" i="1"/>
  <c r="I10" i="1"/>
  <c r="I12" i="1"/>
  <c r="I11" i="1"/>
  <c r="G22" i="1"/>
  <c r="I22" i="1" s="1"/>
  <c r="D23" i="1" l="1"/>
  <c r="F23" i="1" s="1"/>
  <c r="D21" i="1"/>
  <c r="F21" i="1" s="1"/>
  <c r="D20" i="1"/>
  <c r="F20" i="1" s="1"/>
  <c r="H21" i="1" l="1"/>
  <c r="G21" i="1"/>
  <c r="H20" i="1"/>
  <c r="G20" i="1"/>
  <c r="H23" i="1"/>
  <c r="G23" i="1"/>
  <c r="I23" i="1" l="1"/>
  <c r="I23" i="2"/>
  <c r="I24" i="2"/>
  <c r="I21" i="1"/>
  <c r="I20" i="1"/>
  <c r="F18" i="1" l="1"/>
  <c r="G18" i="1" s="1"/>
  <c r="H18" i="1" l="1"/>
  <c r="I18" i="1" s="1"/>
  <c r="D25" i="1"/>
  <c r="D17" i="1"/>
  <c r="F17" i="1" s="1"/>
  <c r="D16" i="1"/>
  <c r="F16" i="1" s="1"/>
  <c r="H16" i="1" s="1"/>
  <c r="D7" i="1"/>
  <c r="F25" i="1" l="1"/>
  <c r="G25" i="1" s="1"/>
  <c r="H17" i="1"/>
  <c r="G17" i="1"/>
  <c r="G16" i="1"/>
  <c r="I16" i="1" s="1"/>
  <c r="F7" i="1"/>
  <c r="I7" i="1" l="1"/>
  <c r="H25" i="1"/>
  <c r="I25" i="1" s="1"/>
  <c r="I7" i="2"/>
  <c r="I25" i="2" s="1"/>
  <c r="I27" i="2" s="1"/>
  <c r="H7" i="1"/>
  <c r="I17" i="1"/>
  <c r="G7" i="1"/>
  <c r="F30" i="1" s="1"/>
  <c r="F51" i="1" s="1"/>
  <c r="K50" i="1" s="1"/>
  <c r="B2" i="6" s="1"/>
  <c r="B4" i="6" l="1"/>
  <c r="B5" i="6" l="1"/>
</calcChain>
</file>

<file path=xl/sharedStrings.xml><?xml version="1.0" encoding="utf-8"?>
<sst xmlns="http://schemas.openxmlformats.org/spreadsheetml/2006/main" count="209" uniqueCount="181">
  <si>
    <t>ICR Summary Information</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</si>
  <si>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</si>
  <si>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</si>
  <si>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</si>
  <si>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</si>
  <si>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</si>
  <si>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</si>
  <si>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</si>
  <si>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</si>
  <si>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</si>
  <si>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</si>
  <si>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</si>
  <si>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</si>
  <si>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r>
      <t xml:space="preserve">(H)
Cost, $ </t>
    </r>
    <r>
      <rPr>
        <vertAlign val="superscript"/>
        <sz val="10"/>
        <color theme="1"/>
        <rFont val="Times New Roman"/>
        <family val="1"/>
      </rPr>
      <t>b</t>
    </r>
  </si>
  <si>
    <t>Labor Rates</t>
  </si>
  <si>
    <t>Management</t>
  </si>
  <si>
    <t>Technical</t>
  </si>
  <si>
    <t>Clerical</t>
  </si>
  <si>
    <t>Subtotal for Reporting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</si>
  <si>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</si>
  <si>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</si>
  <si>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</si>
  <si>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</si>
  <si>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</si>
  <si>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</si>
  <si>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</si>
  <si>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</si>
  <si>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</si>
  <si>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</si>
  <si>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</si>
  <si>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</si>
  <si>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</si>
  <si>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</si>
  <si>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</si>
  <si>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</si>
  <si>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</si>
  <si>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</si>
  <si>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</si>
  <si>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</si>
  <si>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</si>
  <si>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</si>
  <si>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</si>
  <si>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Annual O&amp;M Costs for One Respondent</t>
  </si>
  <si>
    <t>Total O&amp;M, 
(E X F)</t>
  </si>
  <si>
    <t>Information Collection Activity</t>
  </si>
  <si>
    <t>Number of Responses</t>
  </si>
  <si>
    <t>Number of Existing Respondents That Keep Records But Do Not Submit Reports</t>
  </si>
  <si>
    <t>Total Annual Responses E=(BxC)+D</t>
  </si>
  <si>
    <t>Notification of performance test</t>
  </si>
  <si>
    <t>Notification of compliance status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</si>
  <si>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</si>
  <si>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</si>
  <si>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</si>
  <si>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</si>
  <si>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</si>
  <si>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</si>
  <si>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</si>
  <si>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</si>
  <si>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</si>
  <si>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</si>
  <si>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Not Applicable</t>
  </si>
  <si>
    <t>(E) 
Technical person-hours per year (E=CxD)</t>
  </si>
  <si>
    <t>(F)
Management person-hours per year (Ex0.05)</t>
  </si>
  <si>
    <t>(G)
Clerical person-hours per year (Ex0.1)</t>
  </si>
  <si>
    <t>B.  Required Activities</t>
  </si>
  <si>
    <t>C.  Create Information</t>
  </si>
  <si>
    <t>See 3B</t>
  </si>
  <si>
    <t>D. Gather existing information</t>
  </si>
  <si>
    <t>E. Write Report</t>
  </si>
  <si>
    <t>ii. Update OM&amp;M plan</t>
  </si>
  <si>
    <t>iv. Conduct shuttle kiln maintenance/ inspections</t>
  </si>
  <si>
    <t>Report of performance test (through ERT)</t>
  </si>
  <si>
    <t>First compliance report</t>
  </si>
  <si>
    <t>viii. Report of performance test (through ERT)</t>
  </si>
  <si>
    <t>x. First compliance report</t>
  </si>
  <si>
    <t>B. Plan activities</t>
  </si>
  <si>
    <t>C. Implement activities</t>
  </si>
  <si>
    <t>D. Develop record system</t>
  </si>
  <si>
    <t>E. Time to enter information</t>
  </si>
  <si>
    <t>See 3A</t>
  </si>
  <si>
    <t>1. Applications</t>
  </si>
  <si>
    <t>2. Survey and Studies</t>
  </si>
  <si>
    <t>3.  Reporting requirements</t>
  </si>
  <si>
    <t>4.  Recordkeeping requirements</t>
  </si>
  <si>
    <t>A. Read instructions</t>
  </si>
  <si>
    <t>i. Prepare for initial performance test</t>
  </si>
  <si>
    <t>i. Records of compliance data</t>
  </si>
  <si>
    <t>ii. Records of alternative fuel use</t>
  </si>
  <si>
    <t>iii. Records of APCD maintenance/ inspections</t>
  </si>
  <si>
    <t>iv. Records of compliance with work practices</t>
  </si>
  <si>
    <t>v. Records of deviations</t>
  </si>
  <si>
    <t>i. Initial training</t>
  </si>
  <si>
    <t>ii. Annual training</t>
  </si>
  <si>
    <t xml:space="preserve">i. Attend initial performance test </t>
  </si>
  <si>
    <t>Initial notification of applicability</t>
  </si>
  <si>
    <t>Notification of construction/ reconstruction</t>
  </si>
  <si>
    <t>Notification of anticipated startup</t>
  </si>
  <si>
    <t>Notification of actual startup</t>
  </si>
  <si>
    <t>Request to use APCD maintenance alternative standard</t>
  </si>
  <si>
    <t>Notification of alternative fuel use</t>
  </si>
  <si>
    <t>Report of alternative fuel use</t>
  </si>
  <si>
    <t>Semi-annual compliance reports:</t>
  </si>
  <si>
    <t>Deviation</t>
  </si>
  <si>
    <t>No deviation</t>
  </si>
  <si>
    <t>iii. Conduct control device maintenance / inspections</t>
  </si>
  <si>
    <t>CAPITAL COSTS:</t>
  </si>
  <si>
    <t>Number of Respondents with O&amp;M</t>
  </si>
  <si>
    <r>
      <t>b</t>
    </r>
    <r>
      <rPr>
        <sz val="10"/>
        <rFont val="Times New Roman"/>
        <family val="1"/>
      </rPr>
      <t xml:space="preserve">  This ICR uses the following labor rates: Managerial $163.17 ($77.70+ 110%);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</si>
  <si>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rFont val="Times New Roman"/>
        <family val="1"/>
      </rPr>
      <t xml:space="preserve">  This cost is based on the average hourly labor rate as follows: Managerial $73.46 (GS-13, Step 5, $45.91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</si>
  <si>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r>
      <t>a</t>
    </r>
    <r>
      <rPr>
        <sz val="10"/>
        <rFont val="Times New Roman"/>
        <family val="1"/>
      </rPr>
      <t xml:space="preserve">  We  assume that an average of 3 respondents will be subject to this rule, and that no new sources will become subject to the rule over the three-year period of the ICR.</t>
    </r>
  </si>
  <si>
    <r>
      <t xml:space="preserve">A.  Familiarize with regulatory requirements </t>
    </r>
    <r>
      <rPr>
        <vertAlign val="superscript"/>
        <sz val="10"/>
        <color theme="1"/>
        <rFont val="Times New Roman"/>
        <family val="1"/>
      </rPr>
      <t>c</t>
    </r>
  </si>
  <si>
    <r>
      <t>c</t>
    </r>
    <r>
      <rPr>
        <sz val="10"/>
        <color theme="1"/>
        <rFont val="Times New Roman"/>
        <family val="1"/>
      </rPr>
      <t xml:space="preserve">  We have assumed that existing respondents will have to familiarize with the regulatory requirements each year.</t>
    </r>
  </si>
  <si>
    <r>
      <t>d</t>
    </r>
    <r>
      <rPr>
        <sz val="10"/>
        <rFont val="Times New Roman"/>
        <family val="1"/>
      </rPr>
      <t xml:space="preserve">  One-time only activities.</t>
    </r>
  </si>
  <si>
    <r>
      <t xml:space="preserve">i. Develop OM&amp;M plan </t>
    </r>
    <r>
      <rPr>
        <vertAlign val="superscript"/>
        <sz val="10"/>
        <color theme="1"/>
        <rFont val="Times New Roman"/>
        <family val="1"/>
      </rPr>
      <t>d</t>
    </r>
  </si>
  <si>
    <r>
      <t xml:space="preserve">i. Initial notification of applicability </t>
    </r>
    <r>
      <rPr>
        <vertAlign val="superscript"/>
        <sz val="10"/>
        <color theme="1"/>
        <rFont val="Times New Roman"/>
        <family val="1"/>
      </rPr>
      <t>d</t>
    </r>
  </si>
  <si>
    <r>
      <t xml:space="preserve">ii. Notification of construction/reconstruction </t>
    </r>
    <r>
      <rPr>
        <vertAlign val="superscript"/>
        <sz val="10"/>
        <color theme="1"/>
        <rFont val="Times New Roman"/>
        <family val="1"/>
      </rPr>
      <t>d</t>
    </r>
  </si>
  <si>
    <r>
      <t xml:space="preserve">iii. Notification of anticipated startup </t>
    </r>
    <r>
      <rPr>
        <vertAlign val="superscript"/>
        <sz val="10"/>
        <color theme="1"/>
        <rFont val="Times New Roman"/>
        <family val="1"/>
      </rPr>
      <t>d</t>
    </r>
  </si>
  <si>
    <r>
      <t xml:space="preserve">iv. Notification of actual startup </t>
    </r>
    <r>
      <rPr>
        <vertAlign val="superscript"/>
        <sz val="10"/>
        <color theme="1"/>
        <rFont val="Times New Roman"/>
        <family val="1"/>
      </rPr>
      <t>d</t>
    </r>
  </si>
  <si>
    <r>
      <t xml:space="preserve">v. Request to use control device maintenance alternative standard </t>
    </r>
    <r>
      <rPr>
        <vertAlign val="superscript"/>
        <sz val="10"/>
        <color theme="1"/>
        <rFont val="Times New Roman"/>
        <family val="1"/>
      </rPr>
      <t>d</t>
    </r>
  </si>
  <si>
    <r>
      <t xml:space="preserve">vii. Notification of compliance status </t>
    </r>
    <r>
      <rPr>
        <vertAlign val="superscript"/>
        <sz val="10"/>
        <color theme="1"/>
        <rFont val="Times New Roman"/>
        <family val="1"/>
      </rPr>
      <t>d,e</t>
    </r>
  </si>
  <si>
    <r>
      <t xml:space="preserve">ix. Notification of alternative fuel use </t>
    </r>
    <r>
      <rPr>
        <vertAlign val="superscript"/>
        <sz val="10"/>
        <color theme="1"/>
        <rFont val="Times New Roman"/>
        <family val="1"/>
      </rPr>
      <t>f</t>
    </r>
  </si>
  <si>
    <r>
      <t xml:space="preserve">Deviations </t>
    </r>
    <r>
      <rPr>
        <vertAlign val="superscript"/>
        <sz val="10"/>
        <color theme="1"/>
        <rFont val="Times New Roman"/>
        <family val="1"/>
      </rPr>
      <t>g</t>
    </r>
  </si>
  <si>
    <t xml:space="preserve">xi. Semi-annual compliance reports </t>
  </si>
  <si>
    <r>
      <t xml:space="preserve">No deviations </t>
    </r>
    <r>
      <rPr>
        <vertAlign val="superscript"/>
        <sz val="10"/>
        <color theme="1"/>
        <rFont val="Times New Roman"/>
        <family val="1"/>
      </rPr>
      <t>g</t>
    </r>
  </si>
  <si>
    <r>
      <t>f</t>
    </r>
    <r>
      <rPr>
        <sz val="10"/>
        <rFont val="Times New Roman"/>
        <family val="1"/>
      </rPr>
      <t xml:space="preserve">  Assumes 10% of facilities will use an alternative fuel once per year.</t>
    </r>
  </si>
  <si>
    <r>
      <t>g</t>
    </r>
    <r>
      <rPr>
        <sz val="10"/>
        <rFont val="Times New Roman"/>
        <family val="1"/>
      </rPr>
      <t xml:space="preserve"> Assumes 15% of respondents have deviations to report in semiannual compliance reports, and 85% report no deviations.</t>
    </r>
  </si>
  <si>
    <r>
      <t xml:space="preserve">m </t>
    </r>
    <r>
      <rPr>
        <sz val="10"/>
        <rFont val="Times New Roman"/>
        <family val="1"/>
      </rPr>
      <t xml:space="preserve"> Totals have been rounded to 3 significant figures. Figures may not add exactly due to rounding.</t>
    </r>
  </si>
  <si>
    <r>
      <t xml:space="preserve">ii. Attend repeat performance test </t>
    </r>
    <r>
      <rPr>
        <vertAlign val="superscript"/>
        <sz val="10"/>
        <color theme="1"/>
        <rFont val="Times New Roman"/>
        <family val="1"/>
      </rPr>
      <t>h</t>
    </r>
  </si>
  <si>
    <r>
      <t xml:space="preserve">F. Time to train personnel </t>
    </r>
    <r>
      <rPr>
        <vertAlign val="superscript"/>
        <sz val="10"/>
        <color theme="1"/>
        <rFont val="Times New Roman"/>
        <family val="1"/>
      </rPr>
      <t>i</t>
    </r>
  </si>
  <si>
    <r>
      <t xml:space="preserve">G. Time to transmit/disclose information </t>
    </r>
    <r>
      <rPr>
        <vertAlign val="superscript"/>
        <sz val="10"/>
        <color theme="1"/>
        <rFont val="Times New Roman"/>
        <family val="1"/>
      </rPr>
      <t>j</t>
    </r>
  </si>
  <si>
    <r>
      <t xml:space="preserve">Total Labor Burden and Costs (rounded) </t>
    </r>
    <r>
      <rPr>
        <b/>
        <vertAlign val="superscript"/>
        <sz val="10"/>
        <rFont val="Times New Roman"/>
        <family val="1"/>
      </rPr>
      <t>k</t>
    </r>
  </si>
  <si>
    <r>
      <t>Total Capital and O&amp;M Cost (rounded)</t>
    </r>
    <r>
      <rPr>
        <b/>
        <vertAlign val="superscript"/>
        <sz val="10"/>
        <rFont val="Times New Roman"/>
        <family val="1"/>
      </rPr>
      <t xml:space="preserve"> k</t>
    </r>
  </si>
  <si>
    <r>
      <t xml:space="preserve">GRAND TOTAL (rounded) </t>
    </r>
    <r>
      <rPr>
        <b/>
        <vertAlign val="superscript"/>
        <sz val="10"/>
        <rFont val="Times New Roman"/>
        <family val="1"/>
      </rPr>
      <t>m</t>
    </r>
  </si>
  <si>
    <r>
      <t xml:space="preserve">xii. Report of alternative fuel use </t>
    </r>
    <r>
      <rPr>
        <vertAlign val="superscript"/>
        <sz val="10"/>
        <color theme="1"/>
        <rFont val="Times New Roman"/>
        <family val="1"/>
      </rPr>
      <t>f</t>
    </r>
  </si>
  <si>
    <t>Retesting preparation</t>
  </si>
  <si>
    <t>Retesting</t>
  </si>
  <si>
    <t>5. Report review</t>
  </si>
  <si>
    <t>Notification of constr./reconstr.</t>
  </si>
  <si>
    <r>
      <t xml:space="preserve">Notification of compliance status </t>
    </r>
    <r>
      <rPr>
        <vertAlign val="superscript"/>
        <sz val="10"/>
        <color theme="1"/>
        <rFont val="Times New Roman"/>
        <family val="1"/>
      </rPr>
      <t>g</t>
    </r>
  </si>
  <si>
    <r>
      <t xml:space="preserve">Repeat performance test report </t>
    </r>
    <r>
      <rPr>
        <vertAlign val="superscript"/>
        <sz val="10"/>
        <color theme="1"/>
        <rFont val="Times New Roman"/>
        <family val="1"/>
      </rPr>
      <t>d</t>
    </r>
  </si>
  <si>
    <r>
      <t xml:space="preserve">1. Attend initial performance test </t>
    </r>
    <r>
      <rPr>
        <vertAlign val="superscript"/>
        <sz val="10"/>
        <color theme="1"/>
        <rFont val="Times New Roman"/>
        <family val="1"/>
      </rPr>
      <t>c</t>
    </r>
  </si>
  <si>
    <r>
      <t xml:space="preserve">2. Attend repeat performance test </t>
    </r>
    <r>
      <rPr>
        <vertAlign val="superscript"/>
        <sz val="10"/>
        <color theme="1"/>
        <rFont val="Times New Roman"/>
        <family val="1"/>
      </rPr>
      <t>c,d</t>
    </r>
  </si>
  <si>
    <r>
      <t xml:space="preserve">3. Litigation </t>
    </r>
    <r>
      <rPr>
        <vertAlign val="superscript"/>
        <sz val="10"/>
        <color theme="1"/>
        <rFont val="Times New Roman"/>
        <family val="1"/>
      </rPr>
      <t>e</t>
    </r>
  </si>
  <si>
    <r>
      <t xml:space="preserve">4. Excess emissions enforcement activities </t>
    </r>
    <r>
      <rPr>
        <vertAlign val="superscript"/>
        <sz val="10"/>
        <color theme="1"/>
        <rFont val="Times New Roman"/>
        <family val="1"/>
      </rPr>
      <t>f</t>
    </r>
  </si>
  <si>
    <r>
      <t>d</t>
    </r>
    <r>
      <rPr>
        <sz val="10"/>
        <color theme="1"/>
        <rFont val="Times New Roman"/>
        <family val="1"/>
      </rPr>
      <t xml:space="preserve"> Assumes 10% of plants will fail an initial performance test and must repeat it and assumes Agency personnel attend 10% of the repeat tests.</t>
    </r>
  </si>
  <si>
    <r>
      <t>e</t>
    </r>
    <r>
      <rPr>
        <sz val="10"/>
        <color theme="1"/>
        <rFont val="Times New Roman"/>
        <family val="1"/>
      </rPr>
      <t xml:space="preserve"> Assumes 1% of plants will be involved in litigation.</t>
    </r>
  </si>
  <si>
    <r>
      <t>f</t>
    </r>
    <r>
      <rPr>
        <sz val="10"/>
        <color theme="1"/>
        <rFont val="Times New Roman"/>
        <family val="1"/>
      </rPr>
      <t xml:space="preserve"> Assumes 5% of the plants are required to retest as a result of excess emissions and assumes Agency personnel attend all of the retests.</t>
    </r>
  </si>
  <si>
    <r>
      <t>g</t>
    </r>
    <r>
      <rPr>
        <sz val="10"/>
        <color theme="1"/>
        <rFont val="Times New Roman"/>
        <family val="1"/>
      </rPr>
      <t xml:space="preserve"> Notification of compliance status includes the performance test report.</t>
    </r>
  </si>
  <si>
    <r>
      <t xml:space="preserve">ii. Prepare for repeat performance test </t>
    </r>
    <r>
      <rPr>
        <vertAlign val="superscript"/>
        <sz val="10"/>
        <color theme="1"/>
        <rFont val="Times New Roman"/>
        <family val="1"/>
      </rPr>
      <t>h</t>
    </r>
  </si>
  <si>
    <t>Table 2: Average Annual EPA Burden and Cost – NESHAP for Clay Ceramics (40 CFR Part 63, Subpart KKKKK) (Renewal)</t>
  </si>
  <si>
    <r>
      <t>Notification of alternative fuel use</t>
    </r>
    <r>
      <rPr>
        <vertAlign val="superscript"/>
        <sz val="10"/>
        <color theme="1"/>
        <rFont val="Times New Roman"/>
        <family val="1"/>
      </rPr>
      <t>h</t>
    </r>
  </si>
  <si>
    <r>
      <t xml:space="preserve">Report of alternative fuel use </t>
    </r>
    <r>
      <rPr>
        <vertAlign val="superscript"/>
        <sz val="10"/>
        <color theme="1"/>
        <rFont val="Times New Roman"/>
        <family val="1"/>
      </rPr>
      <t>h</t>
    </r>
  </si>
  <si>
    <r>
      <t>h</t>
    </r>
    <r>
      <rPr>
        <sz val="10"/>
        <color theme="1"/>
        <rFont val="Times New Roman"/>
        <family val="1"/>
      </rPr>
      <t xml:space="preserve"> Assumes 10% of facilities will use an alternative fuel once per year.</t>
    </r>
  </si>
  <si>
    <r>
      <t>i</t>
    </r>
    <r>
      <rPr>
        <sz val="10"/>
        <color theme="1"/>
        <rFont val="Times New Roman"/>
        <family val="1"/>
      </rPr>
      <t xml:space="preserve"> Assumes 15% of the plants report deviations semiannually and 85% report no deviations.</t>
    </r>
  </si>
  <si>
    <r>
      <t xml:space="preserve">No deviations </t>
    </r>
    <r>
      <rPr>
        <vertAlign val="superscript"/>
        <sz val="10"/>
        <color theme="1"/>
        <rFont val="Times New Roman"/>
        <family val="1"/>
      </rPr>
      <t>i</t>
    </r>
  </si>
  <si>
    <r>
      <t xml:space="preserve">Deviations </t>
    </r>
    <r>
      <rPr>
        <vertAlign val="superscript"/>
        <sz val="10"/>
        <color theme="1"/>
        <rFont val="Times New Roman"/>
        <family val="1"/>
      </rPr>
      <t>i</t>
    </r>
  </si>
  <si>
    <r>
      <t xml:space="preserve">TOTAL  BURDEN AND COST (SALARY)(rounded) </t>
    </r>
    <r>
      <rPr>
        <b/>
        <vertAlign val="superscript"/>
        <sz val="10"/>
        <rFont val="Times New Roman"/>
        <family val="1"/>
      </rPr>
      <t>j</t>
    </r>
  </si>
  <si>
    <r>
      <t xml:space="preserve">Travel Expenses for Tests Attended </t>
    </r>
    <r>
      <rPr>
        <b/>
        <vertAlign val="superscript"/>
        <sz val="10"/>
        <color theme="1"/>
        <rFont val="Times New Roman"/>
        <family val="1"/>
      </rPr>
      <t>k</t>
    </r>
  </si>
  <si>
    <r>
      <t>j</t>
    </r>
    <r>
      <rPr>
        <sz val="10"/>
        <rFont val="Times New Roman"/>
        <family val="1"/>
      </rPr>
      <t xml:space="preserve">  Totals have been rounded to 3 significant figures. Figures may not add exactly due to rounding.</t>
    </r>
  </si>
  <si>
    <t xml:space="preserve">Table 1: Annual Respondent Burden and Cost – NESHAP for Clay Ceramics (40 CFR Part 63, Subpart KKKKK) (Renewal) </t>
  </si>
  <si>
    <r>
      <t>vi. Notification of performance test</t>
    </r>
    <r>
      <rPr>
        <vertAlign val="superscript"/>
        <sz val="10"/>
        <color theme="1"/>
        <rFont val="Times New Roman"/>
        <family val="1"/>
      </rPr>
      <t xml:space="preserve"> l</t>
    </r>
  </si>
  <si>
    <t>Hours per Response</t>
  </si>
  <si>
    <r>
      <t xml:space="preserve">TOTAL ANNUAL COST (SALARY + EXPENSES)(rounded) </t>
    </r>
    <r>
      <rPr>
        <b/>
        <vertAlign val="superscript"/>
        <sz val="10"/>
        <rFont val="Times New Roman"/>
        <family val="1"/>
      </rPr>
      <t>k</t>
    </r>
  </si>
  <si>
    <r>
      <rPr>
        <vertAlign val="superscript"/>
        <sz val="10"/>
        <color theme="1"/>
        <rFont val="Times New Roman"/>
        <family val="1"/>
      </rPr>
      <t>a</t>
    </r>
    <r>
      <rPr>
        <sz val="10"/>
        <color theme="1"/>
        <rFont val="Times New Roman"/>
        <family val="1"/>
      </rPr>
      <t xml:space="preserve"> Based on estimates in Clay Ceramics Monitoring and Testing Requirements and Costs Memo. Stack testing costs assume EPA Method 5 or 29 for PM, EPA Method 29 for metals, EPA Method 26A for HF and HCl, and EPA Method 23 for dioxins/furans. VE testing costs assume EPA Method 22. Annualized costs are calculated by multiplying the capital recovery factor (CRF) by the capital cost. CRF=(i)*(1+i)t/((1+i)t-1) where i = interest rate (%) and t = equipment life (years).</t>
    </r>
  </si>
  <si>
    <r>
      <t xml:space="preserve">Initial performance tests </t>
    </r>
    <r>
      <rPr>
        <vertAlign val="superscript"/>
        <sz val="10"/>
        <color theme="1"/>
        <rFont val="Times New Roman"/>
        <family val="1"/>
      </rPr>
      <t>a, b</t>
    </r>
  </si>
  <si>
    <r>
      <t xml:space="preserve">Repeat performance tests </t>
    </r>
    <r>
      <rPr>
        <vertAlign val="superscript"/>
        <sz val="10"/>
        <color theme="1"/>
        <rFont val="Times New Roman"/>
        <family val="1"/>
      </rPr>
      <t>a, b</t>
    </r>
  </si>
  <si>
    <r>
      <rPr>
        <vertAlign val="superscript"/>
        <sz val="10"/>
        <color theme="1"/>
        <rFont val="Times New Roman"/>
        <family val="1"/>
      </rPr>
      <t>b</t>
    </r>
    <r>
      <rPr>
        <sz val="10"/>
        <color theme="1"/>
        <rFont val="Times New Roman"/>
        <family val="1"/>
      </rPr>
      <t xml:space="preserve"> We have assumed that an average of 3 repsondents will conduct performance tests once every five years, for an average of 0.6 sources per year (3 sources/5 years = 0.6 sources per year). Assumes 10% of plants will fail an initial performance test and must repeat it.</t>
    </r>
  </si>
  <si>
    <r>
      <t xml:space="preserve">Photocopy/postage </t>
    </r>
    <r>
      <rPr>
        <vertAlign val="superscript"/>
        <sz val="10"/>
        <color theme="1"/>
        <rFont val="Times New Roman"/>
        <family val="1"/>
      </rPr>
      <t>c</t>
    </r>
  </si>
  <si>
    <r>
      <t xml:space="preserve">Visible emissions tests </t>
    </r>
    <r>
      <rPr>
        <vertAlign val="superscript"/>
        <sz val="10"/>
        <color theme="1"/>
        <rFont val="Times New Roman"/>
        <family val="1"/>
      </rPr>
      <t>a,c</t>
    </r>
  </si>
  <si>
    <r>
      <rPr>
        <vertAlign val="superscript"/>
        <sz val="10"/>
        <color theme="1"/>
        <rFont val="Times New Roman"/>
        <family val="1"/>
      </rPr>
      <t>c</t>
    </r>
    <r>
      <rPr>
        <sz val="10"/>
        <color theme="1"/>
        <rFont val="Times New Roman"/>
        <family val="1"/>
      </rPr>
      <t xml:space="preserve"> O&amp;M costs for photocopying and postage are estimated as $145 per year per respondent. The monitoring equipment needed to monitor parameters other than visible emissions (e.g., lime feed rate) is included as part of the control system and therefore adds no additional capital or O&amp;M cost. The O&amp;M cost associated with VE monitoring includes VE training for two people every 5 years, conducting the 15-minute VE test, and preparing for/documenting the VE test (occurs after 3-year ICR clearance period). </t>
    </r>
  </si>
  <si>
    <r>
      <t xml:space="preserve">Totals (rounded) </t>
    </r>
    <r>
      <rPr>
        <b/>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</si>
  <si>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digits. Figures may not add exactly due to rounding. </t>
    </r>
  </si>
  <si>
    <t>Total (rounded)</t>
  </si>
  <si>
    <r>
      <t xml:space="preserve">e </t>
    </r>
    <r>
      <rPr>
        <sz val="10"/>
        <rFont val="Times New Roman"/>
        <family val="1"/>
      </rPr>
      <t xml:space="preserve"> The notification of compliance status includes the performance test report and documentation of any other initial compliance demonstration.</t>
    </r>
  </si>
  <si>
    <r>
      <t>h</t>
    </r>
    <r>
      <rPr>
        <sz val="10"/>
        <rFont val="Times New Roman"/>
        <family val="1"/>
      </rPr>
      <t xml:space="preserve">  We have assumed that an average of 3 respondents will conduct performance tests once every five years, for an average of 0.6 sources per year (3 sources/5 years = 0.6 sources per year). Assumes 10% of plants fail initial performance test and must repeat it. Based on comments from industry, an average of 2.5 plant personnel attend performance tests. Assume no travel for plant personnel. Repeat testing is also required 5 years following initial testing.</t>
    </r>
  </si>
  <si>
    <r>
      <rPr>
        <vertAlign val="superscript"/>
        <sz val="10"/>
        <rFont val="Times New Roman"/>
        <family val="1"/>
      </rPr>
      <t xml:space="preserve">i </t>
    </r>
    <r>
      <rPr>
        <sz val="10"/>
        <rFont val="Times New Roman"/>
        <family val="1"/>
      </rPr>
      <t xml:space="preserve"> Based on comments from industry, assumes 48 hours of initial training and 10 hours of annual training for 6 plant personnel.</t>
    </r>
  </si>
  <si>
    <r>
      <t>j</t>
    </r>
    <r>
      <rPr>
        <sz val="10"/>
        <rFont val="Times New Roman"/>
        <family val="1"/>
      </rPr>
      <t xml:space="preserve"> Time associated with transmitting reports. Equal to the number of respondents submitting reports.</t>
    </r>
  </si>
  <si>
    <r>
      <t>k</t>
    </r>
    <r>
      <rPr>
        <sz val="10"/>
        <rFont val="Times New Roman"/>
        <family val="1"/>
      </rPr>
      <t xml:space="preserve"> Based on estimates in Clay Ceramics Monitoring and Testing Requirements and Costs Memo. Stack testing costs assume EPA Method 5 or 29 for PM, EPA Method 29 for metals, EPA Method 26A for HF and HCl, and EPA Method 23 for dioxins/furans. VE testing costs assume EPA Method 22.</t>
    </r>
  </si>
  <si>
    <r>
      <t>k</t>
    </r>
    <r>
      <rPr>
        <sz val="10"/>
        <rFont val="Times New Roman"/>
        <family val="1"/>
      </rPr>
      <t xml:space="preserve"> Assumes Agency personnel (1 person) will spend 2 days per plant plus time for travel, at $166 per diem per day, and $400 transportation expense per round trip to attend performance tests.</t>
    </r>
  </si>
  <si>
    <r>
      <t>l</t>
    </r>
    <r>
      <rPr>
        <sz val="10"/>
        <rFont val="Times New Roman"/>
        <family val="1"/>
      </rPr>
      <t xml:space="preserve"> We have assumed that an average of 3 respondents will conduct performance tests once every five years, for an average of 0.6 sources per year (3 sources/5 years = 0.6 sources per year). We have also assumed 10% of plants will fail an initial performance test and must repeat it.</t>
    </r>
  </si>
  <si>
    <r>
      <t>c</t>
    </r>
    <r>
      <rPr>
        <sz val="10"/>
        <rFont val="Times New Roman"/>
        <family val="1"/>
      </rPr>
      <t xml:space="preserve"> We have assumed that an average of 3 respondents will conduct performance tests once every five years, for an average of 0.6 sources per year (3 sources/5 years = 0.6 sources per year). We have also assumed Agency personnel will attend performance tests at 10% of plants (0.6 sources per year * 10% = 0.06).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</si>
</sst>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 numFmtId="168" formatCode="#,##0.0"/>
  </numFmts>
  <fonts count="34"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i/>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8"/>
      <name val="Calibri"/>
      <family val="2"/>
      <scheme val="minor"/>
    </font>
    <font>
      <sz val="12"/>
      <color theme="1"/>
      <name val="Times New Roman"/>
      <family val="1"/>
    </font>
    <font>
      <sz val="12"/>
      <color rgb="FF000000"/>
      <name val="Times New Roman"/>
      <family val="1"/>
    </font>
    <font>
      <sz val="10"/>
      <color rgb="FFFFC000"/>
      <name val="Times New Roman"/>
      <family val="1"/>
    </font>
    <font>
      <b/>
      <sz val="12"/>
      <color rgb="FFFF0000"/>
      <name val="Times New Roman"/>
      <family val="1"/>
    </font>
    <font>
      <sz val="10"/>
      <color rgb="FF7030A0"/>
      <name val="Times New Roman"/>
      <family val="1"/>
    </font>
    <font>
      <sz val="11"/>
      <color rgb="FF7030A0"/>
      <name val="Calibri"/>
      <family val="2"/>
      <scheme val="minor"/>
    </font>
    <font>
      <sz val="10"/>
      <color rgb="FF7030A0"/>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164" fontId="11" fillId="0" borderId="0"/>
  </cellStyleXfs>
  <cellXfs count="158">
    <xf numFmtId="0" fontId="0" fillId="0" borderId="0" xfId="0"/>
    <xf numFmtId="0" fontId="2" fillId="0" borderId="0" xfId="0" applyFont="1"/>
    <xf numFmtId="0" fontId="2" fillId="0" borderId="1" xfId="0" applyFont="1" applyBorder="1" applyAlignment="1">
      <alignment horizontal="center" wrapText="1"/>
    </xf>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6" fontId="21" fillId="0" borderId="2"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41" fontId="18" fillId="0" borderId="5" xfId="0" applyNumberFormat="1" applyFont="1" applyBorder="1"/>
    <xf numFmtId="0" fontId="2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Alignment="1">
      <alignment vertical="center"/>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 fontId="2" fillId="0" borderId="1" xfId="0" applyNumberFormat="1" applyFont="1" applyBorder="1" applyAlignment="1">
      <alignment horizontal="center"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3" fontId="2" fillId="0" borderId="0" xfId="0" applyNumberFormat="1" applyFont="1"/>
    <xf numFmtId="0" fontId="3" fillId="0" borderId="0" xfId="0" applyFont="1"/>
    <xf numFmtId="41" fontId="10" fillId="0" borderId="0" xfId="0" applyNumberFormat="1" applyFont="1"/>
    <xf numFmtId="0" fontId="12" fillId="0" borderId="1" xfId="0" applyFont="1" applyBorder="1" applyAlignment="1">
      <alignment wrapText="1"/>
    </xf>
    <xf numFmtId="3" fontId="9" fillId="0" borderId="0" xfId="0" applyNumberFormat="1" applyFont="1"/>
    <xf numFmtId="0" fontId="22"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0" fontId="15" fillId="0" borderId="0" xfId="0" applyFont="1" applyAlignment="1">
      <alignment vertical="top"/>
    </xf>
    <xf numFmtId="0" fontId="21" fillId="0" borderId="1" xfId="0" applyFont="1" applyBorder="1" applyAlignment="1">
      <alignment vertical="top" wrapText="1"/>
    </xf>
    <xf numFmtId="167" fontId="10"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1"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6" fillId="0" borderId="0" xfId="0" applyFont="1" applyAlignment="1">
      <alignment vertical="center" wrapText="1"/>
    </xf>
    <xf numFmtId="0" fontId="27"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 fontId="10" fillId="0" borderId="1" xfId="0" applyNumberFormat="1" applyFont="1" applyBorder="1" applyAlignment="1">
      <alignment horizontal="center" vertical="center" wrapText="1"/>
    </xf>
    <xf numFmtId="164" fontId="9" fillId="0" borderId="0" xfId="1" applyFont="1" applyAlignment="1">
      <alignment horizontal="left" vertical="center"/>
    </xf>
    <xf numFmtId="6" fontId="21" fillId="0" borderId="1" xfId="0" applyNumberFormat="1" applyFont="1" applyBorder="1" applyAlignment="1">
      <alignment horizontal="right" wrapText="1"/>
    </xf>
    <xf numFmtId="6" fontId="12" fillId="0" borderId="1" xfId="0" applyNumberFormat="1" applyFont="1" applyBorder="1" applyAlignment="1">
      <alignment horizontal="right" wrapText="1"/>
    </xf>
    <xf numFmtId="41" fontId="0" fillId="0" borderId="0" xfId="0" applyNumberFormat="1"/>
    <xf numFmtId="6" fontId="0" fillId="0" borderId="0" xfId="0" applyNumberFormat="1"/>
    <xf numFmtId="8" fontId="2" fillId="0" borderId="0" xfId="0" applyNumberFormat="1" applyFont="1"/>
    <xf numFmtId="0" fontId="15" fillId="0" borderId="1" xfId="0" applyFont="1" applyBorder="1" applyAlignment="1">
      <alignment horizontal="center"/>
    </xf>
    <xf numFmtId="0" fontId="19" fillId="0" borderId="0" xfId="0" applyFont="1" applyAlignment="1">
      <alignment horizontal="left" vertical="top" wrapText="1"/>
    </xf>
    <xf numFmtId="0" fontId="28" fillId="0" borderId="0" xfId="0" applyFont="1"/>
    <xf numFmtId="0" fontId="2" fillId="0" borderId="1" xfId="0" applyFont="1" applyBorder="1" applyAlignment="1">
      <alignment horizontal="left" vertical="center" wrapText="1" indent="3"/>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5" fillId="0" borderId="0" xfId="0" applyFont="1" applyAlignment="1">
      <alignment vertical="center"/>
    </xf>
    <xf numFmtId="0" fontId="15" fillId="0" borderId="0" xfId="0" applyFont="1" applyAlignment="1">
      <alignment vertical="center" wrapText="1"/>
    </xf>
    <xf numFmtId="2" fontId="2" fillId="0" borderId="1" xfId="0" applyNumberFormat="1" applyFont="1" applyBorder="1" applyAlignment="1">
      <alignment horizontal="center" vertical="center" wrapText="1"/>
    </xf>
    <xf numFmtId="0" fontId="2" fillId="0" borderId="6" xfId="0" applyFont="1" applyBorder="1" applyAlignment="1">
      <alignment horizontal="left" vertical="center" wrapText="1" indent="2"/>
    </xf>
    <xf numFmtId="0" fontId="2" fillId="0" borderId="1" xfId="0" applyFont="1" applyBorder="1" applyAlignment="1">
      <alignment horizontal="left" indent="1"/>
    </xf>
    <xf numFmtId="168" fontId="2" fillId="0" borderId="1" xfId="0" applyNumberFormat="1" applyFont="1" applyBorder="1" applyAlignment="1">
      <alignment horizontal="center" vertical="center" wrapText="1"/>
    </xf>
    <xf numFmtId="0" fontId="15" fillId="0" borderId="0" xfId="0" applyFont="1"/>
    <xf numFmtId="165" fontId="10" fillId="0" borderId="0" xfId="0" applyNumberFormat="1" applyFont="1"/>
    <xf numFmtId="0" fontId="10" fillId="0" borderId="8" xfId="0" applyFont="1" applyBorder="1" applyAlignment="1">
      <alignment horizontal="center" vertical="center" wrapText="1"/>
    </xf>
    <xf numFmtId="0" fontId="2" fillId="0" borderId="1" xfId="0" applyFont="1" applyBorder="1" applyAlignment="1">
      <alignment horizontal="left" vertical="center" wrapText="1" indent="4"/>
    </xf>
    <xf numFmtId="0" fontId="9" fillId="0" borderId="5" xfId="0" applyFont="1" applyBorder="1"/>
    <xf numFmtId="0" fontId="29" fillId="0" borderId="0" xfId="0" applyFont="1"/>
    <xf numFmtId="0" fontId="30" fillId="0" borderId="0" xfId="0" applyFont="1" applyAlignment="1">
      <alignment horizontal="left"/>
    </xf>
    <xf numFmtId="0" fontId="30" fillId="0" borderId="0" xfId="0" applyFont="1"/>
    <xf numFmtId="0" fontId="10" fillId="0" borderId="1" xfId="0" applyFont="1" applyBorder="1" applyAlignment="1">
      <alignment horizontal="center" vertical="center" wrapText="1"/>
    </xf>
    <xf numFmtId="0" fontId="30" fillId="0" borderId="0" xfId="0" applyFont="1" applyAlignment="1">
      <alignment vertical="top"/>
    </xf>
    <xf numFmtId="6" fontId="2" fillId="0" borderId="1" xfId="0" applyNumberFormat="1" applyFont="1" applyBorder="1" applyAlignment="1">
      <alignment horizontal="right" vertical="center" wrapText="1"/>
    </xf>
    <xf numFmtId="0" fontId="31" fillId="0" borderId="0" xfId="0" applyFont="1"/>
    <xf numFmtId="164" fontId="30" fillId="0" borderId="0" xfId="1" applyFont="1" applyAlignment="1">
      <alignment horizontal="left" vertical="center"/>
    </xf>
    <xf numFmtId="2" fontId="2" fillId="0" borderId="6" xfId="0" applyNumberFormat="1" applyFont="1" applyBorder="1" applyAlignment="1">
      <alignment horizontal="center" vertical="center" wrapText="1"/>
    </xf>
    <xf numFmtId="0" fontId="32" fillId="0" borderId="0" xfId="0" applyFont="1"/>
    <xf numFmtId="1"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alignment vertical="center"/>
    </xf>
    <xf numFmtId="0" fontId="33" fillId="0" borderId="0" xfId="0" applyFont="1"/>
    <xf numFmtId="0" fontId="19" fillId="0" borderId="0" xfId="0" applyFont="1" applyAlignment="1">
      <alignment vertical="center"/>
    </xf>
    <xf numFmtId="0" fontId="9" fillId="0" borderId="0" xfId="0" applyFont="1" applyAlignment="1">
      <alignment vertical="top" wrapText="1"/>
    </xf>
    <xf numFmtId="0" fontId="9" fillId="0" borderId="5" xfId="0" applyFont="1" applyBorder="1" applyAlignment="1">
      <alignment horizontal="left"/>
    </xf>
    <xf numFmtId="0" fontId="9" fillId="0" borderId="0" xfId="0" applyFont="1" applyAlignment="1">
      <alignment horizontal="left"/>
    </xf>
    <xf numFmtId="0" fontId="0" fillId="0" borderId="0" xfId="0" applyAlignment="1">
      <alignment horizontal="center"/>
    </xf>
    <xf numFmtId="0" fontId="19" fillId="0" borderId="0" xfId="0" applyFont="1" applyAlignment="1">
      <alignment vertical="center" wrapText="1"/>
    </xf>
    <xf numFmtId="0" fontId="10" fillId="0" borderId="0" xfId="0" applyFont="1" applyAlignment="1">
      <alignment wrapText="1"/>
    </xf>
    <xf numFmtId="0" fontId="19"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horizontal="left" wrapText="1"/>
    </xf>
    <xf numFmtId="0" fontId="19" fillId="0" borderId="0" xfId="0" applyFont="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3" fontId="6" fillId="0" borderId="2" xfId="0" applyNumberFormat="1" applyFont="1" applyBorder="1" applyAlignment="1">
      <alignment horizontal="center" wrapText="1"/>
    </xf>
    <xf numFmtId="3" fontId="6" fillId="0" borderId="3" xfId="0" applyNumberFormat="1" applyFont="1" applyBorder="1" applyAlignment="1">
      <alignment horizontal="center" wrapText="1"/>
    </xf>
    <xf numFmtId="3" fontId="6" fillId="0" borderId="4" xfId="0" applyNumberFormat="1" applyFont="1" applyBorder="1" applyAlignment="1">
      <alignment horizontal="center"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top"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3" fontId="21" fillId="0" borderId="2" xfId="0" applyNumberFormat="1" applyFont="1" applyBorder="1" applyAlignment="1">
      <alignment horizontal="center" wrapText="1"/>
    </xf>
    <xf numFmtId="3" fontId="21" fillId="0" borderId="3" xfId="0" applyNumberFormat="1" applyFont="1" applyBorder="1" applyAlignment="1">
      <alignment horizontal="center" wrapText="1"/>
    </xf>
    <xf numFmtId="3" fontId="21" fillId="0" borderId="4" xfId="0" applyNumberFormat="1" applyFont="1" applyBorder="1" applyAlignment="1">
      <alignment horizontal="center" wrapText="1"/>
    </xf>
    <xf numFmtId="0" fontId="12" fillId="0" borderId="9" xfId="0" applyFont="1" applyBorder="1" applyAlignment="1">
      <alignment horizontal="left"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5" fillId="0" borderId="1" xfId="0" applyFont="1" applyBorder="1" applyAlignment="1">
      <alignment horizontal="center"/>
    </xf>
    <xf numFmtId="3" fontId="12" fillId="0" borderId="1" xfId="0" applyNumberFormat="1" applyFont="1" applyBorder="1" applyAlignment="1">
      <alignment horizontal="center" wrapText="1"/>
    </xf>
    <xf numFmtId="0" fontId="12" fillId="0" borderId="0" xfId="0" applyFont="1" applyAlignment="1">
      <alignment horizontal="left"/>
    </xf>
    <xf numFmtId="0" fontId="2" fillId="0" borderId="0" xfId="0" applyFont="1" applyAlignment="1">
      <alignment vertical="center" wrapText="1"/>
    </xf>
    <xf numFmtId="0" fontId="24" fillId="0" borderId="0" xfId="0" applyFont="1" applyAlignment="1">
      <alignment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xf>
    <xf numFmtId="0" fontId="14" fillId="0" borderId="1" xfId="0" applyFont="1" applyBorder="1" applyAlignment="1">
      <alignment horizontal="center" vertical="center" wrapText="1"/>
    </xf>
    <xf numFmtId="0" fontId="16"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C8"/>
  <sheetViews>
    <sheetView tabSelected="1" workbookViewId="0">
      <selection activeCell="C1" sqref="C1"/>
    </sheetView>
  </sheetViews>
  <sheetFormatPr defaultRowHeight="15" x14ac:dyDescent="0.25"/>
  <cols>
    <col min="1" max="1" width="27.85546875" bestFit="1" customWidth="1"/>
    <col min="2" max="2" width="14.28515625" bestFit="1" customWidth="1"/>
    <col min="4" max="4" width="10.140625" customWidth="1"/>
    <col min="11" max="11" width="12.28515625" customWidth="1"/>
  </cols>
  <sheetData>
    <row r="1" spans="1:3" x14ac:dyDescent="0.25">
      <c r="A1" s="118" t="s">
        <v>0</v>
      </c>
      <c r="B1" s="118"/>
    </row>
    <row r="2" spans="1:3" x14ac:dyDescent="0.25">
      <c r="A2" t="s">
        <v>161</v>
      </c>
      <c r="B2" s="79">
        <f>'Table 1'!K50</f>
        <v>331.25</v>
      </c>
      <c r="C2" s="106"/>
    </row>
    <row r="3" spans="1:3" x14ac:dyDescent="0.25">
      <c r="A3" t="s">
        <v>1</v>
      </c>
      <c r="B3" s="79">
        <f>Respondents!F8</f>
        <v>3</v>
      </c>
    </row>
    <row r="4" spans="1:3" x14ac:dyDescent="0.25">
      <c r="A4" t="s">
        <v>2</v>
      </c>
      <c r="B4" s="79">
        <f>'Table 1'!F51</f>
        <v>2650</v>
      </c>
    </row>
    <row r="5" spans="1:3" x14ac:dyDescent="0.25">
      <c r="A5" t="s">
        <v>3</v>
      </c>
      <c r="B5" s="80">
        <f>'Table 1'!I53</f>
        <v>458000</v>
      </c>
    </row>
    <row r="6" spans="1:3" x14ac:dyDescent="0.25">
      <c r="A6" t="s">
        <v>4</v>
      </c>
      <c r="B6" s="80">
        <f>'Capital O&amp;M'!G10</f>
        <v>124000</v>
      </c>
      <c r="C6" s="106"/>
    </row>
    <row r="7" spans="1:3" x14ac:dyDescent="0.25">
      <c r="A7" t="s">
        <v>6</v>
      </c>
      <c r="B7" t="s">
        <v>60</v>
      </c>
    </row>
    <row r="8" spans="1:3" x14ac:dyDescent="0.25">
      <c r="C8" s="106"/>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9"/>
  <sheetViews>
    <sheetView zoomScale="90" zoomScaleNormal="90" workbookViewId="0"/>
  </sheetViews>
  <sheetFormatPr defaultRowHeight="15" x14ac:dyDescent="0.25"/>
  <cols>
    <col min="1" max="1" width="44.140625" customWidth="1"/>
    <col min="2" max="8" width="11" customWidth="1"/>
    <col min="9" max="9" width="12.7109375" customWidth="1"/>
    <col min="10" max="10" width="7.28515625" customWidth="1"/>
    <col min="11" max="11" width="11.42578125" customWidth="1"/>
    <col min="12" max="12" width="12.85546875" customWidth="1"/>
    <col min="13" max="13" width="7.42578125" bestFit="1" customWidth="1"/>
    <col min="14" max="14" width="4.140625" customWidth="1"/>
    <col min="21" max="21" width="11.7109375" customWidth="1"/>
  </cols>
  <sheetData>
    <row r="1" spans="1:21" ht="20.25" x14ac:dyDescent="0.3">
      <c r="A1" s="32" t="s">
        <v>159</v>
      </c>
      <c r="B1" s="1"/>
      <c r="C1" s="1"/>
      <c r="D1" s="1"/>
      <c r="E1" s="1"/>
      <c r="F1" s="1"/>
      <c r="G1" s="1"/>
      <c r="H1" s="1"/>
      <c r="I1" s="8"/>
      <c r="J1" s="100"/>
      <c r="K1" s="1"/>
      <c r="L1" s="1"/>
      <c r="M1" s="45"/>
      <c r="N1" s="13"/>
    </row>
    <row r="2" spans="1:21" s="1" customFormat="1" ht="1.1499999999999999" customHeight="1" x14ac:dyDescent="0.2">
      <c r="F2" s="7"/>
      <c r="G2" s="7"/>
      <c r="H2" s="7"/>
      <c r="I2" s="8"/>
      <c r="J2" s="3"/>
    </row>
    <row r="3" spans="1:21" s="1" customFormat="1" ht="78" customHeight="1" x14ac:dyDescent="0.2">
      <c r="A3" s="19" t="s">
        <v>7</v>
      </c>
      <c r="B3" s="73" t="s">
        <v>8</v>
      </c>
      <c r="C3" s="73" t="s">
        <v>9</v>
      </c>
      <c r="D3" s="73" t="s">
        <v>10</v>
      </c>
      <c r="E3" s="73" t="s">
        <v>11</v>
      </c>
      <c r="F3" s="73" t="s">
        <v>61</v>
      </c>
      <c r="G3" s="73" t="s">
        <v>62</v>
      </c>
      <c r="H3" s="73" t="s">
        <v>63</v>
      </c>
      <c r="I3" s="73" t="s">
        <v>13</v>
      </c>
      <c r="J3" s="3"/>
      <c r="M3" s="46"/>
      <c r="N3" s="46"/>
      <c r="O3" s="46"/>
      <c r="P3" s="46"/>
      <c r="Q3" s="46"/>
      <c r="R3" s="46"/>
      <c r="S3" s="46"/>
      <c r="T3" s="46"/>
      <c r="U3" s="46"/>
    </row>
    <row r="4" spans="1:21" s="1" customFormat="1" ht="12.75" x14ac:dyDescent="0.2">
      <c r="A4" s="30" t="s">
        <v>80</v>
      </c>
      <c r="B4" s="73"/>
      <c r="C4" s="73"/>
      <c r="D4" s="73"/>
      <c r="E4" s="73"/>
      <c r="F4" s="73"/>
      <c r="G4" s="73"/>
      <c r="H4" s="73"/>
      <c r="I4" s="73"/>
      <c r="J4" s="3"/>
      <c r="M4" s="46"/>
      <c r="N4" s="46"/>
      <c r="O4" s="46"/>
      <c r="P4" s="46"/>
      <c r="Q4" s="46"/>
      <c r="R4" s="46"/>
      <c r="S4" s="46"/>
      <c r="T4" s="46"/>
      <c r="U4" s="46"/>
    </row>
    <row r="5" spans="1:21" s="1" customFormat="1" ht="12.75" x14ac:dyDescent="0.2">
      <c r="A5" s="30" t="s">
        <v>81</v>
      </c>
      <c r="B5" s="73"/>
      <c r="C5" s="73"/>
      <c r="D5" s="73"/>
      <c r="E5" s="73"/>
      <c r="F5" s="73"/>
      <c r="G5" s="73"/>
      <c r="H5" s="73"/>
      <c r="I5" s="73"/>
      <c r="J5" s="3"/>
      <c r="M5" s="46"/>
      <c r="N5" s="46"/>
      <c r="O5" s="46"/>
      <c r="P5" s="46"/>
      <c r="Q5" s="46"/>
      <c r="R5" s="46"/>
      <c r="S5" s="46"/>
      <c r="T5" s="46"/>
      <c r="U5" s="46"/>
    </row>
    <row r="6" spans="1:21" s="1" customFormat="1" ht="13.9" customHeight="1" x14ac:dyDescent="0.2">
      <c r="A6" s="30" t="s">
        <v>82</v>
      </c>
      <c r="B6" s="2"/>
      <c r="C6" s="2"/>
      <c r="D6" s="2"/>
      <c r="E6" s="2"/>
      <c r="F6" s="2"/>
      <c r="G6" s="2"/>
      <c r="H6" s="2"/>
      <c r="I6" s="33"/>
      <c r="J6" s="3"/>
      <c r="O6" s="48"/>
      <c r="P6" s="48"/>
      <c r="Q6" s="48"/>
      <c r="R6" s="48"/>
      <c r="S6" s="48"/>
      <c r="T6" s="48"/>
      <c r="U6" s="49"/>
    </row>
    <row r="7" spans="1:21" s="1" customFormat="1" ht="15.75" x14ac:dyDescent="0.2">
      <c r="A7" s="34" t="s">
        <v>110</v>
      </c>
      <c r="B7" s="19">
        <v>1</v>
      </c>
      <c r="C7" s="19">
        <v>1</v>
      </c>
      <c r="D7" s="19">
        <f>B7*C7</f>
        <v>1</v>
      </c>
      <c r="E7" s="111">
        <f>Respondents!$F$8</f>
        <v>3</v>
      </c>
      <c r="F7" s="61">
        <f>D7*E7</f>
        <v>3</v>
      </c>
      <c r="G7" s="37">
        <f>F7*0.05</f>
        <v>0.15000000000000002</v>
      </c>
      <c r="H7" s="37">
        <f>F7*0.1</f>
        <v>0.30000000000000004</v>
      </c>
      <c r="I7" s="35">
        <f>F7*$M$10+G7*$M$9+H7*$M$11</f>
        <v>435.02850000000007</v>
      </c>
      <c r="J7" s="3"/>
      <c r="O7" s="101"/>
      <c r="P7" s="48"/>
      <c r="Q7" s="48"/>
      <c r="R7" s="50"/>
      <c r="S7" s="48"/>
      <c r="T7" s="48"/>
      <c r="U7" s="51"/>
    </row>
    <row r="8" spans="1:21" s="1" customFormat="1" ht="12.75" x14ac:dyDescent="0.2">
      <c r="A8" s="34" t="s">
        <v>64</v>
      </c>
      <c r="B8" s="19"/>
      <c r="C8" s="19"/>
      <c r="D8" s="19"/>
      <c r="E8" s="19"/>
      <c r="F8" s="19"/>
      <c r="G8" s="19"/>
      <c r="H8" s="19"/>
      <c r="I8" s="35"/>
      <c r="J8" s="3"/>
      <c r="L8" s="82" t="s">
        <v>14</v>
      </c>
      <c r="M8" s="82"/>
      <c r="N8" s="48"/>
      <c r="O8" s="48"/>
      <c r="P8" s="48"/>
      <c r="Q8" s="48"/>
      <c r="R8" s="48"/>
      <c r="S8" s="48"/>
      <c r="T8" s="48"/>
      <c r="U8" s="51"/>
    </row>
    <row r="9" spans="1:21" s="1" customFormat="1" ht="15.75" x14ac:dyDescent="0.2">
      <c r="A9" s="85" t="s">
        <v>113</v>
      </c>
      <c r="B9" s="19">
        <v>200</v>
      </c>
      <c r="C9" s="19">
        <v>1</v>
      </c>
      <c r="D9" s="19">
        <f>B9*C9</f>
        <v>200</v>
      </c>
      <c r="E9" s="19">
        <v>0</v>
      </c>
      <c r="F9" s="61">
        <f>D9*E9</f>
        <v>0</v>
      </c>
      <c r="G9" s="37">
        <f>F9*0.05</f>
        <v>0</v>
      </c>
      <c r="H9" s="37">
        <f>F9*0.1</f>
        <v>0</v>
      </c>
      <c r="I9" s="105">
        <f>F9*$M$10+G9*$M$9+H9*$M$11</f>
        <v>0</v>
      </c>
      <c r="J9" s="3"/>
      <c r="L9" s="14" t="s">
        <v>15</v>
      </c>
      <c r="M9" s="29">
        <v>163.16999999999999</v>
      </c>
      <c r="N9" s="48"/>
      <c r="O9" s="48"/>
      <c r="P9" s="48"/>
      <c r="Q9" s="48"/>
      <c r="R9" s="48"/>
      <c r="S9" s="48"/>
      <c r="T9" s="48"/>
      <c r="U9" s="51"/>
    </row>
    <row r="10" spans="1:21" s="1" customFormat="1" ht="15.6" customHeight="1" x14ac:dyDescent="0.2">
      <c r="A10" s="85" t="s">
        <v>69</v>
      </c>
      <c r="B10" s="19">
        <v>10</v>
      </c>
      <c r="C10" s="19">
        <v>1</v>
      </c>
      <c r="D10" s="19">
        <f>B10*C10</f>
        <v>10</v>
      </c>
      <c r="E10" s="19">
        <f>Respondents!$F$8</f>
        <v>3</v>
      </c>
      <c r="F10" s="61">
        <f>D10*E10</f>
        <v>30</v>
      </c>
      <c r="G10" s="37">
        <f>F10*0.05</f>
        <v>1.5</v>
      </c>
      <c r="H10" s="37">
        <f>F10*0.1</f>
        <v>3</v>
      </c>
      <c r="I10" s="35">
        <f>F10*$M$10+G10*$M$9+H10*$M$11</f>
        <v>4350.2849999999999</v>
      </c>
      <c r="J10" s="3"/>
      <c r="L10" s="14" t="s">
        <v>16</v>
      </c>
      <c r="M10" s="29">
        <v>130.28</v>
      </c>
      <c r="O10" s="48"/>
      <c r="P10" s="48"/>
      <c r="Q10" s="48"/>
      <c r="R10" s="48"/>
      <c r="S10" s="48"/>
      <c r="T10" s="48"/>
      <c r="U10" s="51"/>
    </row>
    <row r="11" spans="1:21" s="1" customFormat="1" ht="22.9" customHeight="1" x14ac:dyDescent="0.2">
      <c r="A11" s="85" t="s">
        <v>104</v>
      </c>
      <c r="B11" s="19">
        <v>30</v>
      </c>
      <c r="C11" s="19">
        <v>1</v>
      </c>
      <c r="D11" s="19">
        <f>B11*C11</f>
        <v>30</v>
      </c>
      <c r="E11" s="19">
        <f>Respondents!$F$8</f>
        <v>3</v>
      </c>
      <c r="F11" s="61">
        <f>D11*E11</f>
        <v>90</v>
      </c>
      <c r="G11" s="37">
        <f>F11*0.05</f>
        <v>4.5</v>
      </c>
      <c r="H11" s="37">
        <f>F11*0.1</f>
        <v>9</v>
      </c>
      <c r="I11" s="35">
        <f>F11*$M$10+G11*$M$9+H11*$M$11</f>
        <v>13050.855</v>
      </c>
      <c r="J11" s="84"/>
      <c r="L11" s="14" t="s">
        <v>17</v>
      </c>
      <c r="M11" s="29">
        <v>65.709999999999994</v>
      </c>
      <c r="N11" s="48"/>
      <c r="O11" s="48"/>
      <c r="P11" s="48"/>
      <c r="Q11" s="48"/>
      <c r="R11" s="48"/>
      <c r="S11" s="48"/>
      <c r="T11" s="48"/>
      <c r="U11" s="51"/>
    </row>
    <row r="12" spans="1:21" s="1" customFormat="1" ht="12.75" x14ac:dyDescent="0.2">
      <c r="A12" s="85" t="s">
        <v>70</v>
      </c>
      <c r="B12" s="19">
        <v>160</v>
      </c>
      <c r="C12" s="19">
        <v>1</v>
      </c>
      <c r="D12" s="19">
        <f>B12*C12</f>
        <v>160</v>
      </c>
      <c r="E12" s="19">
        <f>Respondents!$F$8</f>
        <v>3</v>
      </c>
      <c r="F12" s="61">
        <f>D12*E12</f>
        <v>480</v>
      </c>
      <c r="G12" s="37">
        <f>F12*0.05</f>
        <v>24</v>
      </c>
      <c r="H12" s="37">
        <f>F12*0.1</f>
        <v>48</v>
      </c>
      <c r="I12" s="35">
        <f>F12*$M$10+G12*$M$9+H12*$M$11</f>
        <v>69604.56</v>
      </c>
      <c r="J12" s="3"/>
      <c r="O12" s="48"/>
      <c r="P12" s="48"/>
      <c r="Q12" s="48"/>
      <c r="R12" s="48"/>
      <c r="S12" s="48"/>
      <c r="T12" s="48"/>
      <c r="U12" s="51"/>
    </row>
    <row r="13" spans="1:21" s="1" customFormat="1" ht="12.75" x14ac:dyDescent="0.2">
      <c r="A13" s="34" t="s">
        <v>65</v>
      </c>
      <c r="B13" s="19" t="s">
        <v>66</v>
      </c>
      <c r="C13" s="19"/>
      <c r="D13" s="19"/>
      <c r="E13" s="19"/>
      <c r="F13" s="19"/>
      <c r="G13" s="19"/>
      <c r="H13" s="19"/>
      <c r="I13" s="36"/>
      <c r="J13" s="3"/>
      <c r="O13" s="48"/>
      <c r="P13" s="48"/>
      <c r="Q13" s="48"/>
      <c r="R13" s="48"/>
      <c r="S13" s="48"/>
      <c r="T13" s="48"/>
      <c r="U13" s="51"/>
    </row>
    <row r="14" spans="1:21" s="1" customFormat="1" ht="12.75" x14ac:dyDescent="0.2">
      <c r="A14" s="34" t="s">
        <v>67</v>
      </c>
      <c r="B14" s="19" t="s">
        <v>66</v>
      </c>
      <c r="C14" s="19"/>
      <c r="D14" s="19"/>
      <c r="E14" s="19"/>
      <c r="F14" s="19"/>
      <c r="G14" s="19"/>
      <c r="H14" s="19"/>
      <c r="I14" s="36"/>
      <c r="J14" s="3"/>
      <c r="K14" s="64"/>
      <c r="O14" s="48"/>
      <c r="P14" s="48"/>
      <c r="Q14" s="52"/>
      <c r="R14" s="52"/>
      <c r="S14" s="52"/>
      <c r="T14" s="52"/>
      <c r="U14" s="51"/>
    </row>
    <row r="15" spans="1:21" s="1" customFormat="1" ht="12.75" x14ac:dyDescent="0.2">
      <c r="A15" s="34" t="s">
        <v>68</v>
      </c>
      <c r="B15" s="19"/>
      <c r="C15" s="19"/>
      <c r="D15" s="19"/>
      <c r="E15" s="19"/>
      <c r="F15" s="19"/>
      <c r="G15" s="19"/>
      <c r="H15" s="19"/>
      <c r="I15" s="35"/>
      <c r="J15" s="3"/>
      <c r="K15" s="76"/>
      <c r="O15" s="48"/>
      <c r="P15" s="48"/>
      <c r="Q15" s="52"/>
      <c r="R15" s="52"/>
      <c r="S15" s="52"/>
      <c r="T15" s="52"/>
      <c r="U15" s="51"/>
    </row>
    <row r="16" spans="1:21" s="1" customFormat="1" ht="15.75" x14ac:dyDescent="0.2">
      <c r="A16" s="31" t="s">
        <v>114</v>
      </c>
      <c r="B16" s="19">
        <v>6</v>
      </c>
      <c r="C16" s="19">
        <v>1</v>
      </c>
      <c r="D16" s="19">
        <f>B16*C16</f>
        <v>6</v>
      </c>
      <c r="E16" s="19">
        <v>0</v>
      </c>
      <c r="F16" s="19">
        <f>D16*E16</f>
        <v>0</v>
      </c>
      <c r="G16" s="19">
        <f>F16*0.05</f>
        <v>0</v>
      </c>
      <c r="H16" s="19">
        <f>F16*0.1</f>
        <v>0</v>
      </c>
      <c r="I16" s="105">
        <f t="shared" ref="I16:I25" si="0">F16*$M$10+G16*$M$9+H16*$M$11</f>
        <v>0</v>
      </c>
      <c r="J16" s="3"/>
      <c r="K16" s="4"/>
      <c r="O16" s="48"/>
      <c r="P16" s="48"/>
      <c r="Q16" s="52"/>
      <c r="R16" s="52"/>
      <c r="S16" s="52"/>
      <c r="T16" s="52"/>
      <c r="U16" s="51"/>
    </row>
    <row r="17" spans="1:21" s="1" customFormat="1" ht="15.75" x14ac:dyDescent="0.2">
      <c r="A17" s="31" t="s">
        <v>115</v>
      </c>
      <c r="B17" s="19">
        <v>28</v>
      </c>
      <c r="C17" s="19">
        <v>1</v>
      </c>
      <c r="D17" s="19">
        <f>B17*C17</f>
        <v>28</v>
      </c>
      <c r="E17" s="19">
        <v>0</v>
      </c>
      <c r="F17" s="19">
        <f>D17*E17</f>
        <v>0</v>
      </c>
      <c r="G17" s="19">
        <f>F17*0.05</f>
        <v>0</v>
      </c>
      <c r="H17" s="19">
        <f>F17*0.1</f>
        <v>0</v>
      </c>
      <c r="I17" s="105">
        <f t="shared" si="0"/>
        <v>0</v>
      </c>
      <c r="J17" s="3"/>
      <c r="K17" s="5"/>
      <c r="L17" s="6"/>
      <c r="M17" s="47"/>
      <c r="N17" s="48"/>
      <c r="O17" s="48"/>
      <c r="P17" s="48"/>
      <c r="Q17" s="52"/>
      <c r="R17" s="52"/>
      <c r="S17" s="53"/>
      <c r="T17" s="53"/>
      <c r="U17" s="51"/>
    </row>
    <row r="18" spans="1:21" s="1" customFormat="1" ht="15.75" x14ac:dyDescent="0.2">
      <c r="A18" s="31" t="s">
        <v>116</v>
      </c>
      <c r="B18" s="19">
        <v>3</v>
      </c>
      <c r="C18" s="19">
        <v>1</v>
      </c>
      <c r="D18" s="19">
        <f>B18*C18</f>
        <v>3</v>
      </c>
      <c r="E18" s="19">
        <v>0</v>
      </c>
      <c r="F18" s="19">
        <f>D18*E18</f>
        <v>0</v>
      </c>
      <c r="G18" s="19">
        <f>F18*0.05</f>
        <v>0</v>
      </c>
      <c r="H18" s="19">
        <f>F18*0.1</f>
        <v>0</v>
      </c>
      <c r="I18" s="105">
        <f t="shared" si="0"/>
        <v>0</v>
      </c>
      <c r="J18" s="3"/>
      <c r="K18" s="5"/>
      <c r="L18" s="6"/>
      <c r="M18" s="47"/>
      <c r="N18" s="48"/>
      <c r="O18" s="48"/>
      <c r="P18" s="48"/>
      <c r="Q18" s="52"/>
      <c r="R18" s="52"/>
      <c r="S18" s="53"/>
      <c r="T18" s="53"/>
      <c r="U18" s="51"/>
    </row>
    <row r="19" spans="1:21" s="1" customFormat="1" ht="15.75" x14ac:dyDescent="0.2">
      <c r="A19" s="31" t="s">
        <v>117</v>
      </c>
      <c r="B19" s="19">
        <v>3</v>
      </c>
      <c r="C19" s="19">
        <v>1</v>
      </c>
      <c r="D19" s="19">
        <f>B19*C19</f>
        <v>3</v>
      </c>
      <c r="E19" s="19">
        <v>0</v>
      </c>
      <c r="F19" s="19">
        <f>D19*E19</f>
        <v>0</v>
      </c>
      <c r="G19" s="19">
        <f>F19*0.05</f>
        <v>0</v>
      </c>
      <c r="H19" s="19">
        <f>F19*0.1</f>
        <v>0</v>
      </c>
      <c r="I19" s="105">
        <f t="shared" si="0"/>
        <v>0</v>
      </c>
      <c r="J19" s="3"/>
      <c r="K19" s="5"/>
      <c r="L19" s="6"/>
      <c r="M19" s="47"/>
      <c r="N19" s="48"/>
      <c r="O19" s="48"/>
      <c r="P19" s="48"/>
      <c r="Q19" s="48"/>
      <c r="R19" s="48"/>
      <c r="S19" s="48"/>
      <c r="T19" s="48"/>
      <c r="U19" s="51"/>
    </row>
    <row r="20" spans="1:21" s="1" customFormat="1" ht="30" customHeight="1" x14ac:dyDescent="0.2">
      <c r="A20" s="31" t="s">
        <v>118</v>
      </c>
      <c r="B20" s="19">
        <v>4</v>
      </c>
      <c r="C20" s="19">
        <v>1</v>
      </c>
      <c r="D20" s="19">
        <f t="shared" ref="D20:D24" si="1">B20*C20</f>
        <v>4</v>
      </c>
      <c r="E20" s="19">
        <v>0</v>
      </c>
      <c r="F20" s="37">
        <f t="shared" ref="F20:F24" si="2">D20*E20</f>
        <v>0</v>
      </c>
      <c r="G20" s="37">
        <f t="shared" ref="G20:G24" si="3">F20*0.05</f>
        <v>0</v>
      </c>
      <c r="H20" s="37">
        <f t="shared" ref="H20:H24" si="4">F20*0.1</f>
        <v>0</v>
      </c>
      <c r="I20" s="105">
        <f t="shared" si="0"/>
        <v>0</v>
      </c>
      <c r="J20" s="9"/>
      <c r="K20" s="63"/>
      <c r="L20" s="6"/>
      <c r="M20" s="47"/>
      <c r="N20" s="48"/>
      <c r="O20" s="48"/>
      <c r="P20" s="48"/>
      <c r="Q20" s="48"/>
      <c r="R20" s="48"/>
      <c r="S20" s="48"/>
      <c r="T20" s="48"/>
      <c r="U20" s="51"/>
    </row>
    <row r="21" spans="1:21" s="1" customFormat="1" ht="15.75" x14ac:dyDescent="0.2">
      <c r="A21" s="31" t="s">
        <v>160</v>
      </c>
      <c r="B21" s="19">
        <v>6</v>
      </c>
      <c r="C21" s="19">
        <v>1</v>
      </c>
      <c r="D21" s="19">
        <f t="shared" si="1"/>
        <v>6</v>
      </c>
      <c r="E21" s="103">
        <f>Respondents!F8/5</f>
        <v>0.6</v>
      </c>
      <c r="F21" s="19">
        <f t="shared" si="2"/>
        <v>3.5999999999999996</v>
      </c>
      <c r="G21" s="19">
        <f t="shared" si="3"/>
        <v>0.18</v>
      </c>
      <c r="H21" s="19">
        <f t="shared" si="4"/>
        <v>0.36</v>
      </c>
      <c r="I21" s="35">
        <f t="shared" si="0"/>
        <v>522.03420000000006</v>
      </c>
      <c r="J21" s="3"/>
      <c r="K21" s="63"/>
      <c r="M21" s="47"/>
      <c r="N21" s="48"/>
      <c r="O21" s="101"/>
      <c r="P21" s="48"/>
      <c r="Q21" s="48"/>
      <c r="R21" s="48"/>
      <c r="S21" s="48"/>
      <c r="T21" s="48"/>
      <c r="U21" s="51"/>
    </row>
    <row r="22" spans="1:21" s="1" customFormat="1" ht="27.75" customHeight="1" x14ac:dyDescent="0.2">
      <c r="A22" s="31" t="s">
        <v>119</v>
      </c>
      <c r="B22" s="19">
        <v>24</v>
      </c>
      <c r="C22" s="19">
        <v>1</v>
      </c>
      <c r="D22" s="19">
        <f t="shared" ref="D22" si="5">B22*C22</f>
        <v>24</v>
      </c>
      <c r="E22" s="103">
        <f>E21</f>
        <v>0.6</v>
      </c>
      <c r="F22" s="37">
        <f t="shared" si="2"/>
        <v>14.399999999999999</v>
      </c>
      <c r="G22" s="19">
        <f t="shared" si="3"/>
        <v>0.72</v>
      </c>
      <c r="H22" s="19">
        <f t="shared" si="4"/>
        <v>1.44</v>
      </c>
      <c r="I22" s="35">
        <f t="shared" si="0"/>
        <v>2088.1368000000002</v>
      </c>
      <c r="J22" s="3"/>
      <c r="K22" s="63"/>
      <c r="M22" s="47"/>
      <c r="N22" s="48"/>
      <c r="O22" s="101"/>
      <c r="P22" s="48"/>
      <c r="Q22" s="48"/>
      <c r="R22" s="48"/>
      <c r="S22" s="48"/>
      <c r="T22" s="48"/>
      <c r="U22" s="51"/>
    </row>
    <row r="23" spans="1:21" s="1" customFormat="1" ht="12.75" x14ac:dyDescent="0.2">
      <c r="A23" s="31" t="s">
        <v>73</v>
      </c>
      <c r="B23" s="19">
        <v>20</v>
      </c>
      <c r="C23" s="19">
        <v>1</v>
      </c>
      <c r="D23" s="19">
        <f t="shared" si="1"/>
        <v>20</v>
      </c>
      <c r="E23" s="103">
        <f>E21</f>
        <v>0.6</v>
      </c>
      <c r="F23" s="19">
        <f t="shared" si="2"/>
        <v>12</v>
      </c>
      <c r="G23" s="19">
        <f t="shared" si="3"/>
        <v>0.60000000000000009</v>
      </c>
      <c r="H23" s="19">
        <f t="shared" si="4"/>
        <v>1.2000000000000002</v>
      </c>
      <c r="I23" s="35">
        <f t="shared" si="0"/>
        <v>1740.1140000000003</v>
      </c>
      <c r="J23" s="3"/>
      <c r="K23" s="63"/>
      <c r="M23" s="47"/>
      <c r="N23" s="48"/>
      <c r="O23" s="101"/>
      <c r="P23" s="48"/>
      <c r="Q23" s="48"/>
      <c r="R23" s="48"/>
      <c r="S23" s="48"/>
      <c r="T23" s="48"/>
      <c r="U23" s="51"/>
    </row>
    <row r="24" spans="1:21" s="1" customFormat="1" ht="15.75" x14ac:dyDescent="0.2">
      <c r="A24" s="31" t="s">
        <v>120</v>
      </c>
      <c r="B24" s="19">
        <v>2</v>
      </c>
      <c r="C24" s="19">
        <v>1</v>
      </c>
      <c r="D24" s="19">
        <f t="shared" si="1"/>
        <v>2</v>
      </c>
      <c r="E24" s="103">
        <f>Respondents!$F$8*0.1</f>
        <v>0.30000000000000004</v>
      </c>
      <c r="F24" s="19">
        <f t="shared" si="2"/>
        <v>0.60000000000000009</v>
      </c>
      <c r="G24" s="19">
        <f t="shared" si="3"/>
        <v>3.0000000000000006E-2</v>
      </c>
      <c r="H24" s="19">
        <f t="shared" si="4"/>
        <v>6.0000000000000012E-2</v>
      </c>
      <c r="I24" s="35">
        <f t="shared" si="0"/>
        <v>87.005700000000004</v>
      </c>
      <c r="J24" s="3"/>
      <c r="K24" s="63"/>
      <c r="M24" s="47"/>
      <c r="N24" s="48"/>
      <c r="O24" s="102"/>
      <c r="P24" s="48"/>
      <c r="Q24" s="48"/>
      <c r="R24" s="48"/>
      <c r="S24" s="48"/>
      <c r="T24" s="48"/>
      <c r="U24" s="51"/>
    </row>
    <row r="25" spans="1:21" s="1" customFormat="1" ht="16.5" customHeight="1" x14ac:dyDescent="0.2">
      <c r="A25" s="31" t="s">
        <v>74</v>
      </c>
      <c r="B25" s="19">
        <v>30</v>
      </c>
      <c r="C25" s="19">
        <v>1</v>
      </c>
      <c r="D25" s="19">
        <f t="shared" ref="D25" si="6">B25*C25</f>
        <v>30</v>
      </c>
      <c r="E25" s="19">
        <v>0</v>
      </c>
      <c r="F25" s="61">
        <f t="shared" ref="F25" si="7">D25*E25</f>
        <v>0</v>
      </c>
      <c r="G25" s="19">
        <f t="shared" ref="G25" si="8">F25*0.05</f>
        <v>0</v>
      </c>
      <c r="H25" s="19">
        <f t="shared" ref="H25" si="9">F25*0.1</f>
        <v>0</v>
      </c>
      <c r="I25" s="105">
        <f t="shared" si="0"/>
        <v>0</v>
      </c>
      <c r="J25" s="3"/>
      <c r="K25" s="3"/>
      <c r="M25" s="47"/>
      <c r="N25" s="48"/>
      <c r="O25" s="48"/>
      <c r="P25" s="48"/>
      <c r="Q25" s="48"/>
      <c r="R25" s="48"/>
      <c r="S25" s="48"/>
      <c r="T25" s="48"/>
      <c r="U25" s="51"/>
    </row>
    <row r="26" spans="1:21" s="1" customFormat="1" ht="16.5" customHeight="1" x14ac:dyDescent="0.2">
      <c r="A26" s="31" t="s">
        <v>122</v>
      </c>
      <c r="B26" s="86"/>
      <c r="C26" s="86"/>
      <c r="D26" s="86"/>
      <c r="E26" s="87"/>
      <c r="F26" s="88"/>
      <c r="G26" s="86"/>
      <c r="H26" s="87"/>
      <c r="I26" s="35"/>
      <c r="J26" s="3"/>
      <c r="K26" s="3"/>
      <c r="M26" s="47"/>
      <c r="N26" s="48"/>
      <c r="O26" s="48"/>
      <c r="P26" s="48"/>
      <c r="Q26" s="48"/>
      <c r="R26" s="48"/>
      <c r="S26" s="48"/>
      <c r="T26" s="48"/>
      <c r="U26" s="51"/>
    </row>
    <row r="27" spans="1:21" s="1" customFormat="1" ht="16.5" customHeight="1" x14ac:dyDescent="0.2">
      <c r="A27" s="85" t="s">
        <v>121</v>
      </c>
      <c r="B27" s="19">
        <v>30</v>
      </c>
      <c r="C27" s="19">
        <v>2</v>
      </c>
      <c r="D27" s="19">
        <f t="shared" ref="D27:D29" si="10">B27*C27</f>
        <v>60</v>
      </c>
      <c r="E27" s="19">
        <f>Respondents!$F$8*0.15</f>
        <v>0.44999999999999996</v>
      </c>
      <c r="F27" s="61">
        <f t="shared" ref="F27:F29" si="11">D27*E27</f>
        <v>26.999999999999996</v>
      </c>
      <c r="G27" s="19">
        <f t="shared" ref="G27:G29" si="12">F27*0.05</f>
        <v>1.3499999999999999</v>
      </c>
      <c r="H27" s="91">
        <f t="shared" ref="H27:H29" si="13">F27*0.1</f>
        <v>2.6999999999999997</v>
      </c>
      <c r="I27" s="35">
        <f>F27*$M$10+G27*$M$9+H27*$M$11</f>
        <v>3915.2564999999995</v>
      </c>
      <c r="J27" s="3"/>
      <c r="K27" s="3"/>
      <c r="M27" s="47"/>
      <c r="N27" s="48"/>
      <c r="O27" s="48"/>
      <c r="P27" s="48"/>
      <c r="Q27" s="48"/>
      <c r="R27" s="48"/>
      <c r="S27" s="48"/>
      <c r="T27" s="48"/>
      <c r="U27" s="51"/>
    </row>
    <row r="28" spans="1:21" s="1" customFormat="1" ht="16.5" customHeight="1" x14ac:dyDescent="0.2">
      <c r="A28" s="85" t="s">
        <v>123</v>
      </c>
      <c r="B28" s="19">
        <v>12</v>
      </c>
      <c r="C28" s="19">
        <v>2</v>
      </c>
      <c r="D28" s="19">
        <f t="shared" si="10"/>
        <v>24</v>
      </c>
      <c r="E28" s="19">
        <f>Respondents!$F$8*0.85</f>
        <v>2.5499999999999998</v>
      </c>
      <c r="F28" s="61">
        <f t="shared" si="11"/>
        <v>61.199999999999996</v>
      </c>
      <c r="G28" s="19">
        <f t="shared" si="12"/>
        <v>3.06</v>
      </c>
      <c r="H28" s="19">
        <f t="shared" si="13"/>
        <v>6.12</v>
      </c>
      <c r="I28" s="35">
        <f>F28*$M$10+G28*$M$9+H28*$M$11</f>
        <v>8874.5814000000009</v>
      </c>
      <c r="J28" s="3"/>
      <c r="K28" s="3"/>
      <c r="M28" s="47"/>
      <c r="N28" s="48"/>
      <c r="O28" s="48"/>
      <c r="P28" s="48"/>
      <c r="Q28" s="48"/>
      <c r="R28" s="48"/>
      <c r="S28" s="48"/>
      <c r="T28" s="48"/>
      <c r="U28" s="51"/>
    </row>
    <row r="29" spans="1:21" s="1" customFormat="1" ht="16.5" customHeight="1" x14ac:dyDescent="0.2">
      <c r="A29" s="31" t="s">
        <v>133</v>
      </c>
      <c r="B29" s="19">
        <v>4</v>
      </c>
      <c r="C29" s="19">
        <v>2</v>
      </c>
      <c r="D29" s="19">
        <f t="shared" si="10"/>
        <v>8</v>
      </c>
      <c r="E29" s="19">
        <f>Respondents!$F$8*0.1</f>
        <v>0.30000000000000004</v>
      </c>
      <c r="F29" s="94">
        <f t="shared" si="11"/>
        <v>2.4000000000000004</v>
      </c>
      <c r="G29" s="19">
        <f t="shared" si="12"/>
        <v>0.12000000000000002</v>
      </c>
      <c r="H29" s="19">
        <f t="shared" si="13"/>
        <v>0.24000000000000005</v>
      </c>
      <c r="I29" s="35">
        <f>F29*$M$10+G29*$M$9+H29*$M$11</f>
        <v>348.02280000000002</v>
      </c>
      <c r="J29" s="3"/>
      <c r="K29" s="3"/>
      <c r="M29" s="47"/>
      <c r="N29" s="48"/>
      <c r="O29" s="48"/>
      <c r="P29" s="48"/>
      <c r="Q29" s="48"/>
      <c r="R29" s="48"/>
      <c r="S29" s="48"/>
      <c r="T29" s="48"/>
      <c r="U29" s="51"/>
    </row>
    <row r="30" spans="1:21" s="1" customFormat="1" ht="13.5" x14ac:dyDescent="0.25">
      <c r="A30" s="125" t="s">
        <v>18</v>
      </c>
      <c r="B30" s="126"/>
      <c r="C30" s="126"/>
      <c r="D30" s="126"/>
      <c r="E30" s="127"/>
      <c r="F30" s="128">
        <f>SUM(F7:H29)</f>
        <v>832.83000000000015</v>
      </c>
      <c r="G30" s="129"/>
      <c r="H30" s="130"/>
      <c r="I30" s="38">
        <f>SUM(I7:I29)</f>
        <v>105015.8799</v>
      </c>
      <c r="J30" s="3"/>
      <c r="M30" s="47"/>
      <c r="N30" s="48"/>
      <c r="O30" s="48"/>
      <c r="P30" s="48"/>
      <c r="Q30" s="48"/>
      <c r="R30" s="48"/>
      <c r="S30" s="48"/>
      <c r="T30" s="48"/>
      <c r="U30" s="51"/>
    </row>
    <row r="31" spans="1:21" s="1" customFormat="1" ht="12.75" x14ac:dyDescent="0.2">
      <c r="A31" s="30" t="s">
        <v>83</v>
      </c>
      <c r="B31" s="2"/>
      <c r="C31" s="2"/>
      <c r="D31" s="2"/>
      <c r="E31" s="2"/>
      <c r="F31" s="2"/>
      <c r="G31" s="2"/>
      <c r="H31" s="2"/>
      <c r="I31" s="33"/>
      <c r="J31" s="3"/>
      <c r="M31" s="47"/>
      <c r="N31" s="48"/>
      <c r="O31" s="48"/>
      <c r="P31" s="48"/>
      <c r="Q31" s="48"/>
      <c r="R31" s="50"/>
      <c r="S31" s="48"/>
      <c r="T31" s="48"/>
      <c r="U31" s="51"/>
    </row>
    <row r="32" spans="1:21" s="1" customFormat="1" ht="13.5" x14ac:dyDescent="0.25">
      <c r="A32" s="34" t="s">
        <v>84</v>
      </c>
      <c r="B32" s="2" t="s">
        <v>79</v>
      </c>
      <c r="C32" s="2"/>
      <c r="D32" s="2"/>
      <c r="E32" s="2"/>
      <c r="F32" s="2"/>
      <c r="G32" s="2"/>
      <c r="H32" s="2"/>
      <c r="I32" s="39"/>
      <c r="J32" s="3"/>
      <c r="K32" s="3"/>
      <c r="M32" s="54"/>
      <c r="N32" s="54"/>
      <c r="O32" s="54"/>
      <c r="P32" s="54"/>
      <c r="Q32" s="54"/>
      <c r="R32" s="55"/>
      <c r="S32" s="55"/>
      <c r="T32" s="55"/>
      <c r="U32" s="56"/>
    </row>
    <row r="33" spans="1:21" s="1" customFormat="1" ht="13.5" x14ac:dyDescent="0.25">
      <c r="A33" s="34" t="s">
        <v>75</v>
      </c>
      <c r="B33" s="2"/>
      <c r="C33" s="2"/>
      <c r="D33" s="2"/>
      <c r="E33" s="2"/>
      <c r="F33" s="2"/>
      <c r="G33" s="2"/>
      <c r="H33" s="2"/>
      <c r="I33" s="39"/>
      <c r="J33" s="3"/>
      <c r="K33" s="3"/>
      <c r="M33" s="54"/>
      <c r="N33" s="54"/>
      <c r="P33" s="54"/>
      <c r="Q33" s="54"/>
      <c r="R33" s="55"/>
      <c r="S33" s="55"/>
      <c r="T33" s="55"/>
      <c r="U33" s="56"/>
    </row>
    <row r="34" spans="1:21" s="1" customFormat="1" ht="13.5" x14ac:dyDescent="0.25">
      <c r="A34" s="85" t="s">
        <v>85</v>
      </c>
      <c r="B34" s="2">
        <v>24</v>
      </c>
      <c r="C34" s="2">
        <v>1</v>
      </c>
      <c r="D34" s="19">
        <f t="shared" ref="D34:D35" si="14">B34*C34</f>
        <v>24</v>
      </c>
      <c r="E34" s="19">
        <f>E21</f>
        <v>0.6</v>
      </c>
      <c r="F34" s="61">
        <f t="shared" ref="F34:F35" si="15">D34*E34</f>
        <v>14.399999999999999</v>
      </c>
      <c r="G34" s="19">
        <f t="shared" ref="G34:G35" si="16">F34*0.05</f>
        <v>0.72</v>
      </c>
      <c r="H34" s="19">
        <f t="shared" ref="H34:H35" si="17">F34*0.1</f>
        <v>1.44</v>
      </c>
      <c r="I34" s="35">
        <f>F34*$M$10+G34*$M$9+H34*$M$11</f>
        <v>2088.1368000000002</v>
      </c>
      <c r="J34" s="3"/>
      <c r="K34" s="3"/>
      <c r="M34" s="54"/>
      <c r="N34" s="54"/>
      <c r="O34" s="101"/>
      <c r="P34" s="54"/>
      <c r="Q34" s="54"/>
      <c r="R34" s="55"/>
      <c r="S34" s="55"/>
      <c r="T34" s="55"/>
      <c r="U34" s="56"/>
    </row>
    <row r="35" spans="1:21" s="1" customFormat="1" ht="15.75" x14ac:dyDescent="0.25">
      <c r="A35" s="85" t="s">
        <v>148</v>
      </c>
      <c r="B35" s="2">
        <v>24</v>
      </c>
      <c r="C35" s="2">
        <v>1</v>
      </c>
      <c r="D35" s="19">
        <f t="shared" si="14"/>
        <v>24</v>
      </c>
      <c r="E35" s="19">
        <f>0.1*E34</f>
        <v>0.06</v>
      </c>
      <c r="F35" s="94">
        <f t="shared" si="15"/>
        <v>1.44</v>
      </c>
      <c r="G35" s="19">
        <f t="shared" si="16"/>
        <v>7.1999999999999995E-2</v>
      </c>
      <c r="H35" s="19">
        <f t="shared" si="17"/>
        <v>0.14399999999999999</v>
      </c>
      <c r="I35" s="35">
        <f>F35*$M$10+G35*$M$9+H35*$M$11</f>
        <v>208.81368000000001</v>
      </c>
      <c r="J35" s="3"/>
      <c r="K35" s="3"/>
      <c r="M35" s="54"/>
      <c r="N35" s="54"/>
      <c r="O35" s="104"/>
      <c r="P35" s="54"/>
      <c r="Q35" s="54"/>
      <c r="R35" s="55"/>
      <c r="S35" s="55"/>
      <c r="T35" s="55"/>
      <c r="U35" s="56"/>
    </row>
    <row r="36" spans="1:21" s="1" customFormat="1" ht="13.5" x14ac:dyDescent="0.25">
      <c r="A36" s="34" t="s">
        <v>76</v>
      </c>
      <c r="B36" s="2"/>
      <c r="C36" s="2"/>
      <c r="D36" s="2"/>
      <c r="E36" s="2"/>
      <c r="F36" s="2"/>
      <c r="G36" s="2"/>
      <c r="H36" s="2"/>
      <c r="I36" s="39"/>
      <c r="J36" s="3"/>
      <c r="K36" s="3"/>
      <c r="M36" s="54"/>
      <c r="N36" s="54"/>
      <c r="O36" s="54"/>
      <c r="P36" s="54"/>
      <c r="Q36" s="54"/>
      <c r="R36" s="55"/>
      <c r="S36" s="55"/>
      <c r="T36" s="55"/>
      <c r="U36" s="56"/>
    </row>
    <row r="37" spans="1:21" s="1" customFormat="1" ht="13.5" x14ac:dyDescent="0.25">
      <c r="A37" s="31" t="s">
        <v>93</v>
      </c>
      <c r="B37" s="2">
        <v>34</v>
      </c>
      <c r="C37" s="2">
        <v>2.5</v>
      </c>
      <c r="D37" s="19">
        <f t="shared" ref="D37:D39" si="18">B37*C37</f>
        <v>85</v>
      </c>
      <c r="E37" s="19">
        <f>E21</f>
        <v>0.6</v>
      </c>
      <c r="F37" s="61">
        <f t="shared" ref="F37:F39" si="19">D37*E37</f>
        <v>51</v>
      </c>
      <c r="G37" s="19">
        <f t="shared" ref="G37:G39" si="20">F37*0.05</f>
        <v>2.5500000000000003</v>
      </c>
      <c r="H37" s="19">
        <f t="shared" ref="H37:H39" si="21">F37*0.1</f>
        <v>5.1000000000000005</v>
      </c>
      <c r="I37" s="35">
        <f>F37*$M$10+G37*$M$9+H37*$M$11</f>
        <v>7395.4844999999996</v>
      </c>
      <c r="J37" s="3"/>
      <c r="K37" s="3"/>
      <c r="M37" s="54"/>
      <c r="N37" s="54"/>
      <c r="O37" s="101"/>
      <c r="P37" s="54"/>
      <c r="Q37" s="54"/>
      <c r="R37" s="55"/>
      <c r="S37" s="55"/>
      <c r="T37" s="55"/>
      <c r="U37" s="56"/>
    </row>
    <row r="38" spans="1:21" s="1" customFormat="1" ht="15.75" x14ac:dyDescent="0.25">
      <c r="A38" s="31" t="s">
        <v>127</v>
      </c>
      <c r="B38" s="2">
        <v>34</v>
      </c>
      <c r="C38" s="2">
        <v>2.5</v>
      </c>
      <c r="D38" s="19">
        <f t="shared" si="18"/>
        <v>85</v>
      </c>
      <c r="E38" s="19">
        <f>E35</f>
        <v>0.06</v>
      </c>
      <c r="F38" s="61">
        <f t="shared" si="19"/>
        <v>5.0999999999999996</v>
      </c>
      <c r="G38" s="19">
        <f t="shared" si="20"/>
        <v>0.255</v>
      </c>
      <c r="H38" s="19">
        <f t="shared" si="21"/>
        <v>0.51</v>
      </c>
      <c r="I38" s="35">
        <f>F38*$M$10+G38*$M$9+H38*$M$11</f>
        <v>739.54845</v>
      </c>
      <c r="J38" s="3"/>
      <c r="K38" s="3"/>
      <c r="M38" s="54"/>
      <c r="N38" s="54"/>
      <c r="O38" s="104"/>
      <c r="P38" s="54"/>
      <c r="Q38" s="54"/>
      <c r="R38" s="55"/>
      <c r="S38" s="55"/>
      <c r="T38" s="55"/>
      <c r="U38" s="56"/>
    </row>
    <row r="39" spans="1:21" s="1" customFormat="1" ht="13.5" x14ac:dyDescent="0.25">
      <c r="A39" s="34" t="s">
        <v>77</v>
      </c>
      <c r="B39" s="2">
        <v>60</v>
      </c>
      <c r="C39" s="2">
        <v>6</v>
      </c>
      <c r="D39" s="19">
        <f t="shared" si="18"/>
        <v>360</v>
      </c>
      <c r="E39" s="19">
        <v>0</v>
      </c>
      <c r="F39" s="61">
        <f t="shared" si="19"/>
        <v>0</v>
      </c>
      <c r="G39" s="19">
        <f t="shared" si="20"/>
        <v>0</v>
      </c>
      <c r="H39" s="19">
        <f t="shared" si="21"/>
        <v>0</v>
      </c>
      <c r="I39" s="35">
        <f>F39*$M$10+G39*$M$9+H39*$M$11</f>
        <v>0</v>
      </c>
      <c r="J39" s="3"/>
      <c r="K39" s="3"/>
      <c r="M39" s="54"/>
      <c r="N39" s="54"/>
      <c r="O39" s="104"/>
      <c r="P39" s="54"/>
      <c r="Q39" s="54"/>
      <c r="R39" s="55"/>
      <c r="S39" s="55"/>
      <c r="T39" s="55"/>
      <c r="U39" s="56"/>
    </row>
    <row r="40" spans="1:21" s="1" customFormat="1" ht="13.5" x14ac:dyDescent="0.25">
      <c r="A40" s="34" t="s">
        <v>78</v>
      </c>
      <c r="B40" s="2"/>
      <c r="C40" s="2"/>
      <c r="D40" s="2"/>
      <c r="E40" s="2"/>
      <c r="F40" s="2"/>
      <c r="G40" s="2"/>
      <c r="H40" s="2"/>
      <c r="I40" s="39"/>
      <c r="J40" s="3"/>
      <c r="K40" s="3"/>
      <c r="M40" s="54"/>
      <c r="N40" s="54"/>
      <c r="O40" s="54"/>
      <c r="P40" s="54"/>
      <c r="Q40" s="54"/>
      <c r="R40" s="55"/>
      <c r="S40" s="55"/>
      <c r="T40" s="55"/>
      <c r="U40" s="56"/>
    </row>
    <row r="41" spans="1:21" s="1" customFormat="1" ht="13.5" x14ac:dyDescent="0.25">
      <c r="A41" s="85" t="s">
        <v>86</v>
      </c>
      <c r="B41" s="2">
        <v>8</v>
      </c>
      <c r="C41" s="2">
        <v>52</v>
      </c>
      <c r="D41" s="19">
        <f t="shared" ref="D41:D42" si="22">B41*C41</f>
        <v>416</v>
      </c>
      <c r="E41" s="19">
        <f>Respondents!$F$8</f>
        <v>3</v>
      </c>
      <c r="F41" s="61">
        <f t="shared" ref="F41:F42" si="23">D41*E41</f>
        <v>1248</v>
      </c>
      <c r="G41" s="19">
        <f t="shared" ref="G41:G42" si="24">F41*0.05</f>
        <v>62.400000000000006</v>
      </c>
      <c r="H41" s="19">
        <f t="shared" ref="H41:H42" si="25">F41*0.1</f>
        <v>124.80000000000001</v>
      </c>
      <c r="I41" s="35">
        <f>F41*$M$10+G41*$M$9+H41*$M$11</f>
        <v>180971.856</v>
      </c>
      <c r="J41" s="3"/>
      <c r="K41" s="3"/>
      <c r="M41" s="54"/>
      <c r="N41" s="54"/>
      <c r="O41" s="54"/>
      <c r="P41" s="54"/>
      <c r="Q41" s="54"/>
      <c r="R41" s="55"/>
      <c r="S41" s="55"/>
      <c r="T41" s="55"/>
      <c r="U41" s="56"/>
    </row>
    <row r="42" spans="1:21" s="1" customFormat="1" ht="13.5" x14ac:dyDescent="0.25">
      <c r="A42" s="85" t="s">
        <v>87</v>
      </c>
      <c r="B42" s="2">
        <v>1</v>
      </c>
      <c r="C42" s="2">
        <v>12</v>
      </c>
      <c r="D42" s="19">
        <f t="shared" si="22"/>
        <v>12</v>
      </c>
      <c r="E42" s="19">
        <f>E24</f>
        <v>0.30000000000000004</v>
      </c>
      <c r="F42" s="61">
        <f t="shared" si="23"/>
        <v>3.6000000000000005</v>
      </c>
      <c r="G42" s="19">
        <f t="shared" si="24"/>
        <v>0.18000000000000005</v>
      </c>
      <c r="H42" s="19">
        <f t="shared" si="25"/>
        <v>0.3600000000000001</v>
      </c>
      <c r="I42" s="35">
        <f>F42*$M$10+G42*$M$9+H42*$M$11</f>
        <v>522.03420000000017</v>
      </c>
      <c r="J42" s="3"/>
      <c r="K42" s="3"/>
      <c r="M42" s="54"/>
      <c r="N42" s="54"/>
      <c r="O42" s="104"/>
      <c r="P42" s="54"/>
      <c r="Q42" s="54"/>
      <c r="R42" s="55"/>
      <c r="S42" s="55"/>
      <c r="T42" s="55"/>
      <c r="U42" s="56"/>
    </row>
    <row r="43" spans="1:21" s="1" customFormat="1" ht="13.5" x14ac:dyDescent="0.25">
      <c r="A43" s="85" t="s">
        <v>88</v>
      </c>
      <c r="B43" s="2" t="s">
        <v>66</v>
      </c>
      <c r="C43" s="2"/>
      <c r="D43" s="2"/>
      <c r="E43" s="2"/>
      <c r="F43" s="2"/>
      <c r="G43" s="2"/>
      <c r="H43" s="2"/>
      <c r="I43" s="39"/>
      <c r="J43" s="3"/>
      <c r="K43" s="3"/>
      <c r="M43" s="54"/>
      <c r="N43" s="54"/>
      <c r="O43" s="54"/>
      <c r="P43" s="54"/>
      <c r="Q43" s="54"/>
      <c r="R43" s="55"/>
      <c r="S43" s="55"/>
      <c r="T43" s="55"/>
      <c r="U43" s="56"/>
    </row>
    <row r="44" spans="1:21" s="1" customFormat="1" ht="13.5" x14ac:dyDescent="0.25">
      <c r="A44" s="85" t="s">
        <v>89</v>
      </c>
      <c r="B44" s="2" t="s">
        <v>66</v>
      </c>
      <c r="C44" s="2"/>
      <c r="D44" s="2"/>
      <c r="E44" s="2"/>
      <c r="F44" s="2"/>
      <c r="G44" s="2"/>
      <c r="H44" s="2"/>
      <c r="I44" s="39"/>
      <c r="J44" s="3"/>
      <c r="K44" s="3"/>
      <c r="M44" s="54"/>
      <c r="N44" s="54"/>
      <c r="O44" s="54"/>
      <c r="P44" s="54"/>
      <c r="Q44" s="54"/>
      <c r="R44" s="55"/>
      <c r="S44" s="55"/>
      <c r="T44" s="55"/>
      <c r="U44" s="56"/>
    </row>
    <row r="45" spans="1:21" s="1" customFormat="1" ht="13.5" x14ac:dyDescent="0.25">
      <c r="A45" s="85" t="s">
        <v>90</v>
      </c>
      <c r="B45" s="2">
        <v>2</v>
      </c>
      <c r="C45" s="2">
        <v>12</v>
      </c>
      <c r="D45" s="19">
        <f t="shared" ref="D45" si="26">B45*C45</f>
        <v>24</v>
      </c>
      <c r="E45" s="19">
        <f>Respondents!$F$8</f>
        <v>3</v>
      </c>
      <c r="F45" s="61">
        <f t="shared" ref="F45" si="27">D45*E45</f>
        <v>72</v>
      </c>
      <c r="G45" s="19">
        <f t="shared" ref="G45" si="28">F45*0.05</f>
        <v>3.6</v>
      </c>
      <c r="H45" s="19">
        <f t="shared" ref="H45" si="29">F45*0.1</f>
        <v>7.2</v>
      </c>
      <c r="I45" s="35">
        <f>F45*$M$10+G45*$M$9+H45*$M$11</f>
        <v>10440.683999999999</v>
      </c>
      <c r="J45" s="3"/>
      <c r="K45" s="3"/>
      <c r="M45" s="54"/>
      <c r="N45" s="54"/>
      <c r="O45" s="54"/>
      <c r="P45" s="54"/>
      <c r="Q45" s="54"/>
      <c r="R45" s="55"/>
      <c r="S45" s="55"/>
      <c r="T45" s="55"/>
      <c r="U45" s="56"/>
    </row>
    <row r="46" spans="1:21" s="1" customFormat="1" ht="15.75" x14ac:dyDescent="0.25">
      <c r="A46" s="34" t="s">
        <v>128</v>
      </c>
      <c r="B46" s="2"/>
      <c r="C46" s="2"/>
      <c r="D46" s="2"/>
      <c r="E46" s="2"/>
      <c r="F46" s="2"/>
      <c r="G46" s="2"/>
      <c r="H46" s="2"/>
      <c r="I46" s="39"/>
      <c r="J46" s="3"/>
      <c r="K46" s="3"/>
      <c r="M46" s="54"/>
      <c r="N46" s="54"/>
      <c r="O46" s="54"/>
      <c r="P46" s="54"/>
      <c r="Q46" s="54"/>
      <c r="R46" s="55"/>
      <c r="S46" s="55"/>
      <c r="T46" s="55"/>
      <c r="U46" s="56"/>
    </row>
    <row r="47" spans="1:21" s="1" customFormat="1" ht="13.5" x14ac:dyDescent="0.25">
      <c r="A47" s="85" t="s">
        <v>91</v>
      </c>
      <c r="B47" s="2">
        <v>48</v>
      </c>
      <c r="C47" s="2">
        <v>6</v>
      </c>
      <c r="D47" s="19">
        <f t="shared" ref="D47:D49" si="30">B47*C47</f>
        <v>288</v>
      </c>
      <c r="E47" s="19">
        <v>0</v>
      </c>
      <c r="F47" s="61">
        <f t="shared" ref="F47:F49" si="31">D47*E47</f>
        <v>0</v>
      </c>
      <c r="G47" s="19">
        <f t="shared" ref="G47:G49" si="32">F47*0.05</f>
        <v>0</v>
      </c>
      <c r="H47" s="19">
        <f t="shared" ref="H47:H49" si="33">F47*0.1</f>
        <v>0</v>
      </c>
      <c r="I47" s="105">
        <f>F47*$M$10+G47*$M$9+H47*$M$11</f>
        <v>0</v>
      </c>
      <c r="J47" s="3"/>
      <c r="K47" s="3"/>
      <c r="M47" s="54"/>
      <c r="N47" s="54"/>
      <c r="O47" s="54"/>
      <c r="P47" s="54"/>
      <c r="Q47" s="54"/>
      <c r="R47" s="55"/>
      <c r="S47" s="55"/>
      <c r="T47" s="55"/>
      <c r="U47" s="56"/>
    </row>
    <row r="48" spans="1:21" s="1" customFormat="1" ht="13.5" x14ac:dyDescent="0.25">
      <c r="A48" s="85" t="s">
        <v>92</v>
      </c>
      <c r="B48" s="2">
        <v>10</v>
      </c>
      <c r="C48" s="2">
        <v>6</v>
      </c>
      <c r="D48" s="19">
        <f t="shared" si="30"/>
        <v>60</v>
      </c>
      <c r="E48" s="19">
        <f>Respondents!$F$8</f>
        <v>3</v>
      </c>
      <c r="F48" s="61">
        <f t="shared" si="31"/>
        <v>180</v>
      </c>
      <c r="G48" s="19">
        <f t="shared" si="32"/>
        <v>9</v>
      </c>
      <c r="H48" s="19">
        <f t="shared" si="33"/>
        <v>18</v>
      </c>
      <c r="I48" s="35">
        <f>F48*$M$10+G48*$M$9+H48*$M$11</f>
        <v>26101.71</v>
      </c>
      <c r="J48" s="3"/>
      <c r="K48" s="3"/>
      <c r="M48" s="54"/>
      <c r="N48" s="54"/>
      <c r="O48" s="54"/>
      <c r="P48" s="54"/>
      <c r="Q48" s="54"/>
      <c r="R48" s="55"/>
      <c r="S48" s="55"/>
      <c r="T48" s="55"/>
      <c r="U48" s="56"/>
    </row>
    <row r="49" spans="1:21" s="1" customFormat="1" ht="15.75" x14ac:dyDescent="0.25">
      <c r="A49" s="34" t="s">
        <v>129</v>
      </c>
      <c r="B49" s="2">
        <v>0.25</v>
      </c>
      <c r="C49" s="2">
        <v>1</v>
      </c>
      <c r="D49" s="19">
        <f t="shared" si="30"/>
        <v>0.25</v>
      </c>
      <c r="E49" s="19">
        <f>Respondents!$F$8</f>
        <v>3</v>
      </c>
      <c r="F49" s="94">
        <f t="shared" si="31"/>
        <v>0.75</v>
      </c>
      <c r="G49" s="91">
        <f t="shared" si="32"/>
        <v>3.7500000000000006E-2</v>
      </c>
      <c r="H49" s="91">
        <f t="shared" si="33"/>
        <v>7.5000000000000011E-2</v>
      </c>
      <c r="I49" s="35">
        <f>F49*$M$10+G49*$M$9+H49*$M$11</f>
        <v>108.75712500000002</v>
      </c>
      <c r="J49" s="3"/>
      <c r="K49" s="3"/>
      <c r="M49" s="54"/>
      <c r="N49" s="54"/>
      <c r="O49" s="54"/>
      <c r="P49" s="54"/>
      <c r="Q49" s="54"/>
      <c r="R49" s="55"/>
      <c r="S49" s="55"/>
      <c r="T49" s="55"/>
      <c r="U49" s="56"/>
    </row>
    <row r="50" spans="1:21" s="1" customFormat="1" ht="13.5" x14ac:dyDescent="0.25">
      <c r="A50" s="59" t="s">
        <v>19</v>
      </c>
      <c r="B50" s="131"/>
      <c r="C50" s="132"/>
      <c r="D50" s="132"/>
      <c r="E50" s="133"/>
      <c r="F50" s="137">
        <f>SUM(F32:H49)</f>
        <v>1812.7334999999998</v>
      </c>
      <c r="G50" s="138"/>
      <c r="H50" s="139"/>
      <c r="I50" s="12">
        <f>SUM(I32:I49)</f>
        <v>228577.02475499999</v>
      </c>
      <c r="J50" s="16"/>
      <c r="K50" s="42">
        <f>F51/Responses!E18</f>
        <v>331.25</v>
      </c>
      <c r="L50" s="42" t="s">
        <v>20</v>
      </c>
      <c r="M50" s="47"/>
      <c r="N50" s="48"/>
      <c r="O50" s="48"/>
      <c r="P50" s="48"/>
      <c r="Q50" s="48"/>
      <c r="R50" s="48"/>
      <c r="S50" s="48"/>
      <c r="T50" s="48"/>
      <c r="U50" s="51"/>
    </row>
    <row r="51" spans="1:21" s="1" customFormat="1" ht="13.5" customHeight="1" x14ac:dyDescent="0.25">
      <c r="A51" s="43" t="s">
        <v>130</v>
      </c>
      <c r="B51" s="134"/>
      <c r="C51" s="135"/>
      <c r="D51" s="135"/>
      <c r="E51" s="136"/>
      <c r="F51" s="137">
        <f>ROUND(SUM(F30,F50),-1)</f>
        <v>2650</v>
      </c>
      <c r="G51" s="138"/>
      <c r="H51" s="139"/>
      <c r="I51" s="12">
        <f>ROUND(SUM(I50,I30), -3)</f>
        <v>334000</v>
      </c>
      <c r="J51" s="16"/>
      <c r="K51" s="42"/>
      <c r="L51" s="42"/>
      <c r="M51" s="47"/>
      <c r="N51" s="48"/>
      <c r="O51" s="48"/>
      <c r="P51" s="48"/>
      <c r="Q51" s="48"/>
      <c r="R51" s="48"/>
      <c r="S51" s="48"/>
      <c r="T51" s="48"/>
      <c r="U51" s="51"/>
    </row>
    <row r="52" spans="1:21" s="1" customFormat="1" ht="13.5" customHeight="1" x14ac:dyDescent="0.25">
      <c r="A52" s="43" t="s">
        <v>131</v>
      </c>
      <c r="B52" s="134"/>
      <c r="C52" s="135"/>
      <c r="D52" s="135"/>
      <c r="E52" s="135"/>
      <c r="F52" s="135"/>
      <c r="G52" s="135"/>
      <c r="H52" s="136"/>
      <c r="I52" s="77">
        <f>'Capital O&amp;M'!G10</f>
        <v>124000</v>
      </c>
      <c r="J52" s="3"/>
      <c r="M52" s="54"/>
      <c r="N52" s="54"/>
      <c r="O52" s="54"/>
      <c r="P52" s="54"/>
      <c r="Q52" s="54"/>
      <c r="R52" s="55"/>
      <c r="S52" s="55"/>
      <c r="T52" s="55"/>
      <c r="U52" s="56"/>
    </row>
    <row r="53" spans="1:21" s="1" customFormat="1" ht="13.5" customHeight="1" x14ac:dyDescent="0.25">
      <c r="A53" s="43" t="s">
        <v>132</v>
      </c>
      <c r="B53" s="134"/>
      <c r="C53" s="135"/>
      <c r="D53" s="135"/>
      <c r="E53" s="135"/>
      <c r="F53" s="135"/>
      <c r="G53" s="135"/>
      <c r="H53" s="136"/>
      <c r="I53" s="77">
        <f>ROUND(SUM(I51:I52), -3)</f>
        <v>458000</v>
      </c>
      <c r="J53" s="3"/>
      <c r="M53" s="57"/>
      <c r="N53" s="57"/>
      <c r="O53" s="57"/>
      <c r="P53" s="57"/>
      <c r="Q53" s="57"/>
      <c r="R53" s="55"/>
      <c r="S53" s="55"/>
      <c r="T53" s="55"/>
      <c r="U53" s="56"/>
    </row>
    <row r="54" spans="1:21" s="1" customFormat="1" ht="13.5" x14ac:dyDescent="0.25">
      <c r="G54" s="40"/>
      <c r="I54" s="8"/>
      <c r="J54" s="3"/>
      <c r="M54" s="57"/>
      <c r="N54" s="57"/>
      <c r="O54" s="57"/>
      <c r="P54" s="57"/>
      <c r="Q54" s="57"/>
      <c r="R54" s="57"/>
      <c r="S54" s="57"/>
      <c r="T54" s="57"/>
      <c r="U54" s="56"/>
    </row>
    <row r="55" spans="1:21" s="1" customFormat="1" ht="13.5" x14ac:dyDescent="0.25">
      <c r="A55" s="41" t="s">
        <v>21</v>
      </c>
      <c r="I55" s="8"/>
      <c r="J55" s="3"/>
      <c r="M55" s="57"/>
      <c r="N55" s="57"/>
      <c r="O55" s="57"/>
      <c r="P55" s="57"/>
      <c r="Q55" s="57"/>
      <c r="R55" s="57"/>
      <c r="S55" s="57"/>
      <c r="T55" s="57"/>
      <c r="U55" s="56"/>
    </row>
    <row r="56" spans="1:21" s="1" customFormat="1" ht="16.899999999999999" customHeight="1" x14ac:dyDescent="0.2">
      <c r="A56" s="123" t="s">
        <v>109</v>
      </c>
      <c r="B56" s="123"/>
      <c r="C56" s="123"/>
      <c r="D56" s="123"/>
      <c r="E56" s="123"/>
      <c r="F56" s="123"/>
      <c r="G56" s="123"/>
      <c r="H56" s="123"/>
      <c r="I56" s="123"/>
      <c r="J56" s="3"/>
      <c r="M56" s="28"/>
      <c r="N56" s="28"/>
      <c r="O56" s="28"/>
      <c r="P56" s="28"/>
      <c r="Q56" s="28"/>
      <c r="R56" s="28"/>
      <c r="S56" s="28"/>
      <c r="T56" s="28"/>
      <c r="U56" s="28"/>
    </row>
    <row r="57" spans="1:21" s="1" customFormat="1" ht="59.45" customHeight="1" x14ac:dyDescent="0.2">
      <c r="A57" s="124" t="s">
        <v>107</v>
      </c>
      <c r="B57" s="124"/>
      <c r="C57" s="124"/>
      <c r="D57" s="124"/>
      <c r="E57" s="124"/>
      <c r="F57" s="124"/>
      <c r="G57" s="124"/>
      <c r="H57" s="124"/>
      <c r="I57" s="124"/>
      <c r="J57" s="3"/>
      <c r="M57" s="28"/>
      <c r="N57" s="28"/>
      <c r="O57" s="28"/>
      <c r="P57" s="28"/>
      <c r="Q57" s="28"/>
      <c r="R57" s="28"/>
      <c r="S57" s="28"/>
      <c r="T57" s="28"/>
      <c r="U57" s="28"/>
    </row>
    <row r="58" spans="1:21" s="1" customFormat="1" ht="18" customHeight="1" x14ac:dyDescent="0.2">
      <c r="A58" s="89" t="s">
        <v>111</v>
      </c>
      <c r="B58" s="83"/>
      <c r="C58" s="83"/>
      <c r="D58" s="83"/>
      <c r="E58" s="83"/>
      <c r="F58" s="83"/>
      <c r="G58" s="83"/>
      <c r="H58" s="83"/>
      <c r="I58" s="83"/>
      <c r="J58" s="3"/>
      <c r="M58" s="28"/>
      <c r="N58" s="28"/>
      <c r="O58" s="28"/>
      <c r="P58" s="28"/>
      <c r="Q58" s="28"/>
      <c r="R58" s="28"/>
      <c r="S58" s="28"/>
      <c r="T58" s="28"/>
      <c r="U58" s="28"/>
    </row>
    <row r="59" spans="1:21" s="1" customFormat="1" ht="12.75" x14ac:dyDescent="0.2">
      <c r="A59" s="121" t="s">
        <v>112</v>
      </c>
      <c r="B59" s="120"/>
      <c r="C59" s="120"/>
      <c r="D59" s="120"/>
      <c r="E59" s="120"/>
      <c r="F59" s="120"/>
      <c r="G59" s="120"/>
      <c r="H59" s="120"/>
      <c r="I59" s="120"/>
      <c r="J59" s="3"/>
      <c r="M59" s="28"/>
      <c r="N59" s="28"/>
      <c r="O59" s="28"/>
      <c r="P59" s="28"/>
      <c r="Q59" s="28"/>
      <c r="R59" s="28"/>
      <c r="S59" s="28"/>
      <c r="T59" s="28"/>
      <c r="U59" s="28"/>
    </row>
    <row r="60" spans="1:21" s="1" customFormat="1" ht="12.75" x14ac:dyDescent="0.2">
      <c r="A60" s="121" t="s">
        <v>173</v>
      </c>
      <c r="B60" s="120"/>
      <c r="C60" s="120"/>
      <c r="D60" s="120"/>
      <c r="E60" s="120"/>
      <c r="F60" s="120"/>
      <c r="G60" s="120"/>
      <c r="H60" s="120"/>
      <c r="I60" s="120"/>
      <c r="J60" s="3"/>
      <c r="M60" s="28"/>
      <c r="N60" s="28"/>
      <c r="O60" s="104"/>
      <c r="P60" s="28"/>
      <c r="Q60" s="28"/>
      <c r="R60" s="28"/>
      <c r="S60" s="28"/>
      <c r="T60" s="28"/>
      <c r="U60" s="28"/>
    </row>
    <row r="61" spans="1:21" s="1" customFormat="1" ht="12.75" x14ac:dyDescent="0.2">
      <c r="A61" s="121" t="s">
        <v>124</v>
      </c>
      <c r="B61" s="120"/>
      <c r="C61" s="120"/>
      <c r="D61" s="120"/>
      <c r="E61" s="120"/>
      <c r="F61" s="120"/>
      <c r="G61" s="120"/>
      <c r="H61" s="120"/>
      <c r="I61" s="120"/>
      <c r="J61" s="3"/>
      <c r="M61" s="28"/>
      <c r="N61" s="28"/>
      <c r="O61" s="104"/>
      <c r="P61" s="28"/>
      <c r="Q61" s="28"/>
      <c r="R61" s="28"/>
      <c r="S61" s="28"/>
      <c r="T61" s="28"/>
      <c r="U61" s="28"/>
    </row>
    <row r="62" spans="1:21" s="1" customFormat="1" ht="17.45" customHeight="1" x14ac:dyDescent="0.2">
      <c r="A62" s="121" t="s">
        <v>125</v>
      </c>
      <c r="B62" s="120"/>
      <c r="C62" s="120"/>
      <c r="D62" s="120"/>
      <c r="E62" s="120"/>
      <c r="F62" s="120"/>
      <c r="G62" s="120"/>
      <c r="H62" s="120"/>
      <c r="I62" s="120"/>
      <c r="M62" s="28"/>
      <c r="N62" s="28"/>
      <c r="O62" s="28"/>
      <c r="P62" s="28"/>
      <c r="Q62" s="28"/>
      <c r="R62" s="28"/>
      <c r="S62" s="28"/>
      <c r="T62" s="28"/>
      <c r="U62" s="28"/>
    </row>
    <row r="63" spans="1:21" s="1" customFormat="1" ht="48.75" customHeight="1" x14ac:dyDescent="0.2">
      <c r="A63" s="121" t="s">
        <v>174</v>
      </c>
      <c r="B63" s="120"/>
      <c r="C63" s="120"/>
      <c r="D63" s="120"/>
      <c r="E63" s="120"/>
      <c r="F63" s="120"/>
      <c r="G63" s="120"/>
      <c r="H63" s="120"/>
      <c r="I63" s="120"/>
      <c r="M63" s="58"/>
      <c r="N63" s="58"/>
      <c r="O63" s="102"/>
      <c r="P63" s="58"/>
      <c r="Q63" s="58"/>
      <c r="R63" s="58"/>
      <c r="S63" s="58"/>
      <c r="T63" s="58"/>
      <c r="U63" s="58"/>
    </row>
    <row r="64" spans="1:21" ht="15.75" x14ac:dyDescent="0.25">
      <c r="A64" s="112" t="s">
        <v>175</v>
      </c>
      <c r="B64" s="113"/>
      <c r="C64" s="113"/>
      <c r="D64" s="113"/>
      <c r="E64" s="113"/>
      <c r="F64" s="113"/>
      <c r="G64" s="113"/>
      <c r="H64" s="113"/>
      <c r="I64" s="113"/>
    </row>
    <row r="65" spans="1:9" ht="15.75" x14ac:dyDescent="0.25">
      <c r="A65" s="114" t="s">
        <v>176</v>
      </c>
      <c r="B65" s="113"/>
      <c r="C65" s="113"/>
      <c r="D65" s="113"/>
      <c r="E65" s="113"/>
      <c r="F65" s="113"/>
      <c r="G65" s="113"/>
      <c r="H65" s="113"/>
      <c r="I65" s="113"/>
    </row>
    <row r="66" spans="1:9" ht="34.9" customHeight="1" x14ac:dyDescent="0.25">
      <c r="A66" s="122" t="s">
        <v>177</v>
      </c>
      <c r="B66" s="122"/>
      <c r="C66" s="122"/>
      <c r="D66" s="122"/>
      <c r="E66" s="122"/>
      <c r="F66" s="122"/>
      <c r="G66" s="122"/>
      <c r="H66" s="122"/>
      <c r="I66" s="122"/>
    </row>
    <row r="67" spans="1:9" ht="33" customHeight="1" x14ac:dyDescent="0.25">
      <c r="A67" s="122" t="s">
        <v>179</v>
      </c>
      <c r="B67" s="122"/>
      <c r="C67" s="122"/>
      <c r="D67" s="122"/>
      <c r="E67" s="122"/>
      <c r="F67" s="122"/>
      <c r="G67" s="122"/>
      <c r="H67" s="122"/>
      <c r="I67" s="122"/>
    </row>
    <row r="68" spans="1:9" x14ac:dyDescent="0.25">
      <c r="A68" s="119" t="s">
        <v>126</v>
      </c>
      <c r="B68" s="120"/>
      <c r="C68" s="120"/>
      <c r="D68" s="120"/>
      <c r="E68" s="120"/>
      <c r="F68" s="120"/>
      <c r="G68" s="120"/>
      <c r="H68" s="120"/>
      <c r="I68" s="120"/>
    </row>
    <row r="69" spans="1:9" ht="15.75" x14ac:dyDescent="0.25">
      <c r="A69" s="65"/>
      <c r="B69" s="65"/>
      <c r="C69" s="65"/>
    </row>
    <row r="70" spans="1:9" ht="15.75" x14ac:dyDescent="0.25">
      <c r="A70" s="90"/>
      <c r="B70" s="65"/>
      <c r="C70" s="65"/>
    </row>
    <row r="71" spans="1:9" ht="15.75" x14ac:dyDescent="0.25">
      <c r="A71" s="66"/>
      <c r="B71" s="66"/>
      <c r="C71" s="66"/>
    </row>
    <row r="72" spans="1:9" ht="15.75" x14ac:dyDescent="0.25">
      <c r="A72" s="66"/>
      <c r="B72" s="66"/>
      <c r="C72" s="66"/>
    </row>
    <row r="73" spans="1:9" ht="15.75" customHeight="1" x14ac:dyDescent="0.25">
      <c r="A73" s="65"/>
      <c r="B73" s="65"/>
      <c r="C73" s="65"/>
    </row>
    <row r="74" spans="1:9" ht="15" customHeight="1" x14ac:dyDescent="0.25">
      <c r="A74" s="65"/>
      <c r="B74" s="65"/>
      <c r="C74" s="65"/>
    </row>
    <row r="75" spans="1:9" ht="15.75" x14ac:dyDescent="0.25">
      <c r="A75" s="65"/>
      <c r="B75" s="65"/>
      <c r="C75" s="65"/>
    </row>
    <row r="76" spans="1:9" ht="15.75" x14ac:dyDescent="0.25">
      <c r="A76" s="66"/>
      <c r="B76" s="66"/>
      <c r="C76" s="66"/>
    </row>
    <row r="77" spans="1:9" ht="15.75" x14ac:dyDescent="0.25">
      <c r="A77" s="66"/>
      <c r="B77" s="65"/>
      <c r="C77" s="65"/>
    </row>
    <row r="78" spans="1:9" ht="15.75" x14ac:dyDescent="0.25">
      <c r="A78" s="65"/>
      <c r="B78" s="65"/>
      <c r="C78" s="65"/>
    </row>
    <row r="79" spans="1:9" ht="15.75" x14ac:dyDescent="0.25">
      <c r="A79" s="66"/>
      <c r="B79" s="65"/>
      <c r="C79" s="65"/>
    </row>
  </sheetData>
  <sortState xmlns:xlrd2="http://schemas.microsoft.com/office/spreadsheetml/2017/richdata2" ref="A67:C79">
    <sortCondition ref="C67:C79"/>
  </sortState>
  <mergeCells count="18">
    <mergeCell ref="A56:I56"/>
    <mergeCell ref="A57:I57"/>
    <mergeCell ref="A30:E30"/>
    <mergeCell ref="F30:H30"/>
    <mergeCell ref="B50:E50"/>
    <mergeCell ref="B51:E51"/>
    <mergeCell ref="B52:H52"/>
    <mergeCell ref="B53:H53"/>
    <mergeCell ref="F50:H50"/>
    <mergeCell ref="F51:H51"/>
    <mergeCell ref="A68:I68"/>
    <mergeCell ref="A59:I59"/>
    <mergeCell ref="A60:I60"/>
    <mergeCell ref="A61:I61"/>
    <mergeCell ref="A62:I62"/>
    <mergeCell ref="A63:I63"/>
    <mergeCell ref="A66:I66"/>
    <mergeCell ref="A67:I67"/>
  </mergeCells>
  <phoneticPr fontId="25" type="noConversion"/>
  <pageMargins left="0.7" right="0.7" top="0.75" bottom="0.75" header="0.3" footer="0.3"/>
  <pageSetup orientation="portrait" horizontalDpi="4294967293" r:id="rId1"/>
  <ignoredErrors>
    <ignoredError sqref="E7 E12 E23:E29 E36 E41:E49 E10:E11 E21:E22 E34:E35 E37:E3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R40"/>
  <sheetViews>
    <sheetView zoomScaleNormal="100" workbookViewId="0">
      <selection activeCell="A2" sqref="A2"/>
    </sheetView>
  </sheetViews>
  <sheetFormatPr defaultRowHeight="15" x14ac:dyDescent="0.25"/>
  <cols>
    <col min="1" max="1" width="42.7109375" customWidth="1"/>
    <col min="2" max="2" width="9.5703125" customWidth="1"/>
    <col min="3" max="3" width="13.140625" customWidth="1"/>
    <col min="4" max="4" width="13.42578125" customWidth="1"/>
    <col min="5" max="9" width="11.7109375" customWidth="1"/>
    <col min="10" max="10" width="8.140625" customWidth="1"/>
    <col min="11" max="11" width="13.42578125" customWidth="1"/>
    <col min="12" max="12" width="22.7109375" customWidth="1"/>
    <col min="13" max="13" width="11.7109375" customWidth="1"/>
    <col min="14" max="14" width="7.85546875" customWidth="1"/>
  </cols>
  <sheetData>
    <row r="1" spans="1:15" ht="15.75" x14ac:dyDescent="0.25">
      <c r="A1" s="32" t="s">
        <v>149</v>
      </c>
      <c r="B1" s="1"/>
      <c r="C1" s="1"/>
      <c r="D1" s="1"/>
      <c r="E1" s="1"/>
      <c r="F1" s="1"/>
      <c r="G1" s="1"/>
      <c r="H1" s="1"/>
      <c r="I1" s="1"/>
    </row>
    <row r="2" spans="1:15" x14ac:dyDescent="0.25">
      <c r="A2" s="1"/>
      <c r="B2" s="1"/>
      <c r="C2" s="1"/>
      <c r="D2" s="1"/>
      <c r="E2" s="1"/>
      <c r="F2" s="7"/>
      <c r="G2" s="7"/>
      <c r="H2" s="7"/>
      <c r="I2" s="7"/>
    </row>
    <row r="3" spans="1:15" ht="74.45" customHeight="1" x14ac:dyDescent="0.25">
      <c r="A3" s="97" t="s">
        <v>22</v>
      </c>
      <c r="B3" s="74" t="s">
        <v>23</v>
      </c>
      <c r="C3" s="74" t="s">
        <v>24</v>
      </c>
      <c r="D3" s="74" t="s">
        <v>25</v>
      </c>
      <c r="E3" s="74" t="s">
        <v>26</v>
      </c>
      <c r="F3" s="74" t="s">
        <v>12</v>
      </c>
      <c r="G3" s="74" t="s">
        <v>27</v>
      </c>
      <c r="H3" s="74" t="s">
        <v>28</v>
      </c>
      <c r="I3" s="74" t="s">
        <v>29</v>
      </c>
      <c r="J3" s="1"/>
      <c r="K3" s="1"/>
      <c r="L3" s="1"/>
    </row>
    <row r="4" spans="1:15" ht="15.75" x14ac:dyDescent="0.25">
      <c r="A4" s="30" t="s">
        <v>140</v>
      </c>
      <c r="B4" s="10">
        <v>24</v>
      </c>
      <c r="C4" s="10">
        <v>1</v>
      </c>
      <c r="D4" s="10">
        <f>+C4*B4</f>
        <v>24</v>
      </c>
      <c r="E4" s="10">
        <f>'Table 1'!E34*0.1</f>
        <v>0.06</v>
      </c>
      <c r="F4" s="10">
        <f t="shared" ref="F4" si="0">D4*E4</f>
        <v>1.44</v>
      </c>
      <c r="G4" s="10">
        <f t="shared" ref="G4" si="1">F4*0.05</f>
        <v>7.1999999999999995E-2</v>
      </c>
      <c r="H4" s="10">
        <f t="shared" ref="H4" si="2">F4*0.1</f>
        <v>0.14399999999999999</v>
      </c>
      <c r="I4" s="11">
        <f>F4*$N$12+G4*$N$11+H4*$N$13</f>
        <v>88.03152</v>
      </c>
      <c r="J4" s="1"/>
      <c r="O4" s="106"/>
    </row>
    <row r="5" spans="1:15" ht="15.75" x14ac:dyDescent="0.25">
      <c r="A5" s="30" t="s">
        <v>141</v>
      </c>
      <c r="B5" s="10"/>
      <c r="C5" s="10"/>
      <c r="D5" s="10"/>
      <c r="E5" s="10"/>
      <c r="F5" s="10"/>
      <c r="G5" s="10"/>
      <c r="H5" s="10"/>
      <c r="I5" s="11"/>
      <c r="J5" s="1"/>
    </row>
    <row r="6" spans="1:15" x14ac:dyDescent="0.25">
      <c r="A6" s="31" t="s">
        <v>134</v>
      </c>
      <c r="B6" s="19">
        <v>8</v>
      </c>
      <c r="C6" s="19">
        <v>1</v>
      </c>
      <c r="D6" s="10">
        <f t="shared" ref="D6:D24" si="3">+C6*B6</f>
        <v>8</v>
      </c>
      <c r="E6" s="10">
        <f>'Table 1'!E35*0.1</f>
        <v>6.0000000000000001E-3</v>
      </c>
      <c r="F6" s="10">
        <f t="shared" ref="F6:F7" si="4">D6*E6</f>
        <v>4.8000000000000001E-2</v>
      </c>
      <c r="G6" s="10">
        <f t="shared" ref="G6:G7" si="5">F6*0.05</f>
        <v>2.4000000000000002E-3</v>
      </c>
      <c r="H6" s="10">
        <f t="shared" ref="H6:H7" si="6">F6*0.1</f>
        <v>4.8000000000000004E-3</v>
      </c>
      <c r="I6" s="11">
        <f>F6*$N$12+G6*$N$11+H6*$N$13</f>
        <v>2.9343840000000001</v>
      </c>
      <c r="J6" s="99"/>
      <c r="K6" s="3"/>
      <c r="L6" s="3"/>
      <c r="M6" s="3"/>
      <c r="N6" s="3"/>
      <c r="O6" s="106"/>
    </row>
    <row r="7" spans="1:15" x14ac:dyDescent="0.25">
      <c r="A7" s="31" t="s">
        <v>135</v>
      </c>
      <c r="B7" s="19">
        <v>24</v>
      </c>
      <c r="C7" s="19">
        <v>1</v>
      </c>
      <c r="D7" s="10">
        <f t="shared" si="3"/>
        <v>24</v>
      </c>
      <c r="E7" s="10">
        <f>E6</f>
        <v>6.0000000000000001E-3</v>
      </c>
      <c r="F7" s="10">
        <f t="shared" si="4"/>
        <v>0.14400000000000002</v>
      </c>
      <c r="G7" s="10">
        <f t="shared" si="5"/>
        <v>7.2000000000000015E-3</v>
      </c>
      <c r="H7" s="10">
        <f t="shared" si="6"/>
        <v>1.4400000000000003E-2</v>
      </c>
      <c r="I7" s="11">
        <f>F7*$N$12+G7*$N$11+H7*$N$13</f>
        <v>8.803151999999999</v>
      </c>
      <c r="J7" s="99"/>
      <c r="K7" s="3"/>
      <c r="L7" s="3"/>
      <c r="M7" s="3"/>
      <c r="N7" s="3"/>
    </row>
    <row r="8" spans="1:15" ht="15.75" x14ac:dyDescent="0.25">
      <c r="A8" s="30" t="s">
        <v>142</v>
      </c>
      <c r="B8" s="61">
        <v>2080</v>
      </c>
      <c r="C8" s="19">
        <v>1</v>
      </c>
      <c r="D8" s="10">
        <f t="shared" si="3"/>
        <v>2080</v>
      </c>
      <c r="E8" s="10">
        <f>Respondents!$F$8*0.01</f>
        <v>0.03</v>
      </c>
      <c r="F8" s="10">
        <f t="shared" ref="F8:F22" si="7">D8*E8</f>
        <v>62.4</v>
      </c>
      <c r="G8" s="10">
        <f t="shared" ref="G8:G22" si="8">F8*0.05</f>
        <v>3.12</v>
      </c>
      <c r="H8" s="10">
        <f t="shared" ref="H8:H22" si="9">F8*0.1</f>
        <v>6.24</v>
      </c>
      <c r="I8" s="11">
        <f>F8*$N$12+G8*$N$11+H8*$N$13</f>
        <v>3814.6992</v>
      </c>
      <c r="J8" s="99"/>
      <c r="K8" s="3"/>
      <c r="L8" s="3"/>
      <c r="M8" s="3"/>
      <c r="N8" s="3"/>
    </row>
    <row r="9" spans="1:15" ht="15.75" x14ac:dyDescent="0.25">
      <c r="A9" s="30" t="s">
        <v>143</v>
      </c>
      <c r="B9" s="19">
        <v>48</v>
      </c>
      <c r="C9" s="19">
        <v>1</v>
      </c>
      <c r="D9" s="10">
        <f t="shared" si="3"/>
        <v>48</v>
      </c>
      <c r="E9" s="10">
        <f>Respondents!$F$8*0.05</f>
        <v>0.15000000000000002</v>
      </c>
      <c r="F9" s="10">
        <f t="shared" si="7"/>
        <v>7.2000000000000011</v>
      </c>
      <c r="G9" s="10">
        <f t="shared" si="8"/>
        <v>0.3600000000000001</v>
      </c>
      <c r="H9" s="10">
        <f t="shared" si="9"/>
        <v>0.7200000000000002</v>
      </c>
      <c r="I9" s="11">
        <f>F9*$N$12+G9*$N$11+H9*$N$13</f>
        <v>440.15760000000006</v>
      </c>
      <c r="J9" s="3"/>
      <c r="K9" s="95"/>
      <c r="L9" s="96"/>
      <c r="O9" s="106"/>
    </row>
    <row r="10" spans="1:15" x14ac:dyDescent="0.25">
      <c r="A10" s="30" t="s">
        <v>136</v>
      </c>
      <c r="B10" s="10"/>
      <c r="C10" s="10"/>
      <c r="D10" s="10"/>
      <c r="E10" s="10"/>
      <c r="F10" s="10"/>
      <c r="G10" s="10"/>
      <c r="H10" s="10"/>
      <c r="I10" s="11"/>
      <c r="J10" s="1"/>
      <c r="K10" s="95"/>
      <c r="L10" s="96"/>
      <c r="M10" s="147" t="s">
        <v>14</v>
      </c>
      <c r="N10" s="147"/>
    </row>
    <row r="11" spans="1:15" x14ac:dyDescent="0.25">
      <c r="A11" s="31" t="s">
        <v>94</v>
      </c>
      <c r="B11" s="19">
        <v>2</v>
      </c>
      <c r="C11" s="19">
        <v>1</v>
      </c>
      <c r="D11" s="10">
        <f t="shared" si="3"/>
        <v>2</v>
      </c>
      <c r="E11" s="10">
        <v>0</v>
      </c>
      <c r="F11" s="10">
        <f t="shared" si="7"/>
        <v>0</v>
      </c>
      <c r="G11" s="10">
        <f t="shared" si="8"/>
        <v>0</v>
      </c>
      <c r="H11" s="10">
        <f t="shared" si="9"/>
        <v>0</v>
      </c>
      <c r="I11" s="11">
        <f t="shared" ref="I11:I20" si="10">F11*$N$12+G11*$N$11+H11*$N$13</f>
        <v>0</v>
      </c>
      <c r="J11" s="1"/>
      <c r="K11" s="95"/>
      <c r="L11" s="96"/>
      <c r="M11" s="14" t="s">
        <v>15</v>
      </c>
      <c r="N11" s="29">
        <v>73.459999999999994</v>
      </c>
    </row>
    <row r="12" spans="1:15" x14ac:dyDescent="0.25">
      <c r="A12" s="31" t="s">
        <v>137</v>
      </c>
      <c r="B12" s="19">
        <v>2</v>
      </c>
      <c r="C12" s="19">
        <v>1</v>
      </c>
      <c r="D12" s="10">
        <f t="shared" si="3"/>
        <v>2</v>
      </c>
      <c r="E12" s="10">
        <v>0</v>
      </c>
      <c r="F12" s="10">
        <f t="shared" si="7"/>
        <v>0</v>
      </c>
      <c r="G12" s="10">
        <f t="shared" si="8"/>
        <v>0</v>
      </c>
      <c r="H12" s="10">
        <f t="shared" si="9"/>
        <v>0</v>
      </c>
      <c r="I12" s="11">
        <f t="shared" si="10"/>
        <v>0</v>
      </c>
      <c r="J12" s="1"/>
      <c r="K12" s="95"/>
      <c r="L12" s="96"/>
      <c r="M12" s="14" t="s">
        <v>30</v>
      </c>
      <c r="N12" s="29">
        <v>54.51</v>
      </c>
    </row>
    <row r="13" spans="1:15" x14ac:dyDescent="0.25">
      <c r="A13" s="31" t="s">
        <v>96</v>
      </c>
      <c r="B13" s="19">
        <v>2</v>
      </c>
      <c r="C13" s="19">
        <v>1</v>
      </c>
      <c r="D13" s="10">
        <f t="shared" si="3"/>
        <v>2</v>
      </c>
      <c r="E13" s="10">
        <v>0</v>
      </c>
      <c r="F13" s="10">
        <f t="shared" si="7"/>
        <v>0</v>
      </c>
      <c r="G13" s="10">
        <f t="shared" si="8"/>
        <v>0</v>
      </c>
      <c r="H13" s="10">
        <f t="shared" si="9"/>
        <v>0</v>
      </c>
      <c r="I13" s="11">
        <f t="shared" si="10"/>
        <v>0</v>
      </c>
      <c r="J13" s="1"/>
      <c r="K13" s="95"/>
      <c r="L13" s="96"/>
      <c r="M13" s="14" t="s">
        <v>17</v>
      </c>
      <c r="N13" s="29">
        <v>29.5</v>
      </c>
    </row>
    <row r="14" spans="1:15" x14ac:dyDescent="0.25">
      <c r="A14" s="31" t="s">
        <v>97</v>
      </c>
      <c r="B14" s="19">
        <v>2</v>
      </c>
      <c r="C14" s="19">
        <v>1</v>
      </c>
      <c r="D14" s="10">
        <f t="shared" si="3"/>
        <v>2</v>
      </c>
      <c r="E14" s="10">
        <v>0</v>
      </c>
      <c r="F14" s="10">
        <f t="shared" si="7"/>
        <v>0</v>
      </c>
      <c r="G14" s="10">
        <f t="shared" si="8"/>
        <v>0</v>
      </c>
      <c r="H14" s="10">
        <f t="shared" si="9"/>
        <v>0</v>
      </c>
      <c r="I14" s="11">
        <f t="shared" si="10"/>
        <v>0</v>
      </c>
      <c r="J14" s="1"/>
      <c r="K14" s="95"/>
      <c r="L14" s="96"/>
      <c r="M14" s="95"/>
      <c r="N14" s="96"/>
    </row>
    <row r="15" spans="1:15" ht="25.5" x14ac:dyDescent="0.25">
      <c r="A15" s="31" t="s">
        <v>98</v>
      </c>
      <c r="B15" s="19">
        <v>2</v>
      </c>
      <c r="C15" s="19">
        <v>1</v>
      </c>
      <c r="D15" s="10">
        <f t="shared" si="3"/>
        <v>2</v>
      </c>
      <c r="E15" s="10">
        <v>0</v>
      </c>
      <c r="F15" s="10">
        <f t="shared" si="7"/>
        <v>0</v>
      </c>
      <c r="G15" s="10">
        <f t="shared" si="8"/>
        <v>0</v>
      </c>
      <c r="H15" s="10">
        <f t="shared" si="9"/>
        <v>0</v>
      </c>
      <c r="I15" s="11">
        <f t="shared" si="10"/>
        <v>0</v>
      </c>
      <c r="J15" s="1"/>
      <c r="K15" s="95"/>
      <c r="L15" s="96"/>
    </row>
    <row r="16" spans="1:15" x14ac:dyDescent="0.25">
      <c r="A16" s="31" t="s">
        <v>48</v>
      </c>
      <c r="B16" s="19">
        <v>2</v>
      </c>
      <c r="C16" s="19">
        <v>1</v>
      </c>
      <c r="D16" s="10">
        <f t="shared" si="3"/>
        <v>2</v>
      </c>
      <c r="E16" s="10">
        <f>'Table 1'!E21</f>
        <v>0.6</v>
      </c>
      <c r="F16" s="10">
        <f t="shared" si="7"/>
        <v>1.2</v>
      </c>
      <c r="G16" s="10">
        <f t="shared" si="8"/>
        <v>0.06</v>
      </c>
      <c r="H16" s="10">
        <f t="shared" si="9"/>
        <v>0.12</v>
      </c>
      <c r="I16" s="11">
        <f t="shared" si="10"/>
        <v>73.3596</v>
      </c>
      <c r="J16" s="1"/>
      <c r="O16" s="106"/>
    </row>
    <row r="17" spans="1:15" ht="15.75" x14ac:dyDescent="0.25">
      <c r="A17" s="31" t="s">
        <v>138</v>
      </c>
      <c r="B17" s="19">
        <v>60</v>
      </c>
      <c r="C17" s="19">
        <v>1</v>
      </c>
      <c r="D17" s="10">
        <f t="shared" si="3"/>
        <v>60</v>
      </c>
      <c r="E17" s="10">
        <f>'Table 1'!E22</f>
        <v>0.6</v>
      </c>
      <c r="F17" s="10">
        <f t="shared" si="7"/>
        <v>36</v>
      </c>
      <c r="G17" s="10">
        <f t="shared" si="8"/>
        <v>1.8</v>
      </c>
      <c r="H17" s="10">
        <f t="shared" si="9"/>
        <v>3.6</v>
      </c>
      <c r="I17" s="11">
        <f t="shared" si="10"/>
        <v>2200.7879999999996</v>
      </c>
      <c r="J17" s="1"/>
      <c r="O17" s="106"/>
    </row>
    <row r="18" spans="1:15" ht="30.6" customHeight="1" x14ac:dyDescent="0.25">
      <c r="A18" s="31" t="s">
        <v>150</v>
      </c>
      <c r="B18" s="19">
        <v>2</v>
      </c>
      <c r="C18" s="19">
        <v>1</v>
      </c>
      <c r="D18" s="10">
        <f t="shared" si="3"/>
        <v>2</v>
      </c>
      <c r="E18" s="10">
        <f>'Table 1'!E24</f>
        <v>0.30000000000000004</v>
      </c>
      <c r="F18" s="10">
        <f t="shared" si="7"/>
        <v>0.60000000000000009</v>
      </c>
      <c r="G18" s="10">
        <f t="shared" si="8"/>
        <v>3.0000000000000006E-2</v>
      </c>
      <c r="H18" s="10">
        <f t="shared" si="9"/>
        <v>6.0000000000000012E-2</v>
      </c>
      <c r="I18" s="11">
        <f t="shared" si="10"/>
        <v>36.679800000000007</v>
      </c>
      <c r="J18" s="116"/>
      <c r="K18" s="117"/>
      <c r="L18" s="117"/>
      <c r="M18" s="115"/>
      <c r="N18" s="115"/>
      <c r="O18" s="106"/>
    </row>
    <row r="19" spans="1:15" ht="15.75" x14ac:dyDescent="0.25">
      <c r="A19" s="31" t="s">
        <v>139</v>
      </c>
      <c r="B19" s="19">
        <v>40</v>
      </c>
      <c r="C19" s="19">
        <v>1</v>
      </c>
      <c r="D19" s="10">
        <f t="shared" si="3"/>
        <v>40</v>
      </c>
      <c r="E19" s="10">
        <f>'Table 1'!E35</f>
        <v>0.06</v>
      </c>
      <c r="F19" s="10">
        <f t="shared" si="7"/>
        <v>2.4</v>
      </c>
      <c r="G19" s="10">
        <f t="shared" si="8"/>
        <v>0.12</v>
      </c>
      <c r="H19" s="10">
        <f t="shared" si="9"/>
        <v>0.24</v>
      </c>
      <c r="I19" s="11">
        <f t="shared" si="10"/>
        <v>146.7192</v>
      </c>
      <c r="J19" s="3"/>
      <c r="O19" s="106"/>
    </row>
    <row r="20" spans="1:15" x14ac:dyDescent="0.25">
      <c r="A20" s="31" t="s">
        <v>72</v>
      </c>
      <c r="B20" s="19">
        <v>4</v>
      </c>
      <c r="C20" s="19">
        <v>1</v>
      </c>
      <c r="D20" s="10">
        <f t="shared" si="3"/>
        <v>4</v>
      </c>
      <c r="E20" s="10">
        <f>'Table 1'!E25</f>
        <v>0</v>
      </c>
      <c r="F20" s="10">
        <f t="shared" si="7"/>
        <v>0</v>
      </c>
      <c r="G20" s="10">
        <f t="shared" si="8"/>
        <v>0</v>
      </c>
      <c r="H20" s="10">
        <f t="shared" si="9"/>
        <v>0</v>
      </c>
      <c r="I20" s="11">
        <f t="shared" si="10"/>
        <v>0</v>
      </c>
      <c r="J20" s="1"/>
    </row>
    <row r="21" spans="1:15" x14ac:dyDescent="0.25">
      <c r="A21" s="31" t="s">
        <v>101</v>
      </c>
      <c r="B21" s="10"/>
      <c r="C21" s="10"/>
      <c r="D21" s="10"/>
      <c r="E21" s="10"/>
      <c r="F21" s="10"/>
      <c r="G21" s="10"/>
      <c r="H21" s="10"/>
      <c r="I21" s="11"/>
      <c r="J21" s="3"/>
      <c r="K21" s="13"/>
      <c r="L21" s="1"/>
    </row>
    <row r="22" spans="1:15" ht="19.5" customHeight="1" x14ac:dyDescent="0.25">
      <c r="A22" s="98" t="s">
        <v>155</v>
      </c>
      <c r="B22" s="19">
        <v>8</v>
      </c>
      <c r="C22" s="19">
        <v>2</v>
      </c>
      <c r="D22" s="10">
        <f t="shared" si="3"/>
        <v>16</v>
      </c>
      <c r="E22" s="103">
        <f>'Table 1'!E27</f>
        <v>0.44999999999999996</v>
      </c>
      <c r="F22" s="10">
        <f t="shared" si="7"/>
        <v>7.1999999999999993</v>
      </c>
      <c r="G22" s="10">
        <f t="shared" si="8"/>
        <v>0.36</v>
      </c>
      <c r="H22" s="10">
        <f t="shared" si="9"/>
        <v>0.72</v>
      </c>
      <c r="I22" s="11">
        <f>F22*$N$12+G22*$N$11+H22*$N$13</f>
        <v>440.15759999999995</v>
      </c>
      <c r="J22" s="3"/>
      <c r="K22" s="13"/>
      <c r="L22" s="3"/>
    </row>
    <row r="23" spans="1:15" ht="15.75" x14ac:dyDescent="0.25">
      <c r="A23" s="98" t="s">
        <v>154</v>
      </c>
      <c r="B23" s="19">
        <v>2</v>
      </c>
      <c r="C23" s="19">
        <v>2</v>
      </c>
      <c r="D23" s="10">
        <f t="shared" si="3"/>
        <v>4</v>
      </c>
      <c r="E23" s="103">
        <f>'Table 1'!E28</f>
        <v>2.5499999999999998</v>
      </c>
      <c r="F23" s="62">
        <f t="shared" ref="F23:F24" si="11">D23*E23</f>
        <v>10.199999999999999</v>
      </c>
      <c r="G23" s="60">
        <f t="shared" ref="G23:G24" si="12">F23*0.05</f>
        <v>0.51</v>
      </c>
      <c r="H23" s="62">
        <f t="shared" ref="H23:H24" si="13">F23*0.1</f>
        <v>1.02</v>
      </c>
      <c r="I23" s="11">
        <f>F23*$N$12+G23*$N$11+H23*$N$13</f>
        <v>623.5566</v>
      </c>
      <c r="J23" s="3"/>
      <c r="K23" s="15"/>
      <c r="L23" s="44"/>
    </row>
    <row r="24" spans="1:15" ht="15.75" x14ac:dyDescent="0.25">
      <c r="A24" s="98" t="s">
        <v>151</v>
      </c>
      <c r="B24" s="19">
        <v>1</v>
      </c>
      <c r="C24" s="19">
        <v>1</v>
      </c>
      <c r="D24" s="10">
        <f t="shared" si="3"/>
        <v>1</v>
      </c>
      <c r="E24" s="10">
        <f>'Table 1'!E29</f>
        <v>0.30000000000000004</v>
      </c>
      <c r="F24" s="10">
        <f t="shared" si="11"/>
        <v>0.30000000000000004</v>
      </c>
      <c r="G24" s="10">
        <f t="shared" si="12"/>
        <v>1.5000000000000003E-2</v>
      </c>
      <c r="H24" s="10">
        <f t="shared" si="13"/>
        <v>3.0000000000000006E-2</v>
      </c>
      <c r="I24" s="11">
        <f>F24*$N$12+G24*$N$11+H24*$N$13</f>
        <v>18.339900000000004</v>
      </c>
      <c r="J24" s="1"/>
      <c r="K24" s="1"/>
      <c r="L24" s="1"/>
    </row>
    <row r="25" spans="1:15" ht="29.45" customHeight="1" x14ac:dyDescent="0.25">
      <c r="A25" s="144" t="s">
        <v>156</v>
      </c>
      <c r="B25" s="145"/>
      <c r="C25" s="145"/>
      <c r="D25" s="145"/>
      <c r="E25" s="146"/>
      <c r="F25" s="148">
        <f>ROUND(SUM(F4:H24), 0)</f>
        <v>149</v>
      </c>
      <c r="G25" s="148"/>
      <c r="H25" s="148"/>
      <c r="I25" s="78">
        <f>ROUND(SUM(I4:I24), -1)</f>
        <v>7890</v>
      </c>
      <c r="J25" s="1"/>
      <c r="K25" s="1"/>
      <c r="L25" s="1"/>
      <c r="O25" s="106"/>
    </row>
    <row r="26" spans="1:15" ht="18" customHeight="1" x14ac:dyDescent="0.25">
      <c r="A26" s="140" t="s">
        <v>157</v>
      </c>
      <c r="B26" s="141"/>
      <c r="C26" s="141"/>
      <c r="D26" s="141"/>
      <c r="E26" s="141"/>
      <c r="F26" s="141"/>
      <c r="G26" s="141"/>
      <c r="H26" s="142"/>
      <c r="I26" s="78">
        <f>(2*SUM(E4,E6)*166)+(400*SUM(E4,E6))</f>
        <v>48.312000000000005</v>
      </c>
      <c r="J26" s="3"/>
      <c r="K26" s="1"/>
      <c r="L26" s="1"/>
      <c r="O26" s="106"/>
    </row>
    <row r="27" spans="1:15" ht="20.45" customHeight="1" x14ac:dyDescent="0.25">
      <c r="A27" s="143" t="s">
        <v>162</v>
      </c>
      <c r="B27" s="143"/>
      <c r="C27" s="143"/>
      <c r="D27" s="143"/>
      <c r="E27" s="143"/>
      <c r="F27" s="143"/>
      <c r="G27" s="143"/>
      <c r="H27" s="143"/>
      <c r="I27" s="78">
        <f>ROUND(I25+I26,-1)</f>
        <v>7940</v>
      </c>
      <c r="J27" s="3"/>
      <c r="K27" s="1"/>
      <c r="L27" s="1"/>
      <c r="O27" s="106"/>
    </row>
    <row r="28" spans="1:15" ht="18.75" customHeight="1" x14ac:dyDescent="0.25">
      <c r="A28" s="149" t="s">
        <v>21</v>
      </c>
      <c r="B28" s="149"/>
      <c r="C28" s="149"/>
      <c r="D28" s="149"/>
      <c r="E28" s="149"/>
      <c r="F28" s="149"/>
      <c r="G28" s="149"/>
      <c r="H28" s="149"/>
      <c r="I28" s="149"/>
      <c r="J28" s="1"/>
      <c r="K28" s="1"/>
      <c r="L28" s="1"/>
    </row>
    <row r="29" spans="1:15" ht="16.5" x14ac:dyDescent="0.25">
      <c r="A29" s="123" t="s">
        <v>109</v>
      </c>
      <c r="B29" s="123"/>
      <c r="C29" s="123"/>
      <c r="D29" s="123"/>
      <c r="E29" s="123"/>
      <c r="F29" s="123"/>
      <c r="G29" s="123"/>
      <c r="H29" s="123"/>
      <c r="I29" s="123"/>
      <c r="J29" s="1"/>
      <c r="K29" s="1"/>
      <c r="L29" s="1"/>
    </row>
    <row r="30" spans="1:15" ht="47.45" customHeight="1" x14ac:dyDescent="0.25">
      <c r="A30" s="123" t="s">
        <v>108</v>
      </c>
      <c r="B30" s="123"/>
      <c r="C30" s="123"/>
      <c r="D30" s="123"/>
      <c r="E30" s="123"/>
      <c r="F30" s="123"/>
      <c r="G30" s="123"/>
      <c r="H30" s="123"/>
      <c r="I30" s="123"/>
      <c r="J30" s="1"/>
      <c r="K30" s="1"/>
      <c r="L30" s="1"/>
    </row>
    <row r="31" spans="1:15" ht="36" customHeight="1" x14ac:dyDescent="0.25">
      <c r="A31" s="122" t="s">
        <v>180</v>
      </c>
      <c r="B31" s="122"/>
      <c r="C31" s="122"/>
      <c r="D31" s="122"/>
      <c r="E31" s="122"/>
      <c r="F31" s="122"/>
      <c r="G31" s="122"/>
      <c r="H31" s="122"/>
      <c r="I31" s="122"/>
      <c r="J31" s="1"/>
      <c r="K31" s="1"/>
      <c r="L31" s="1"/>
    </row>
    <row r="32" spans="1:15" ht="15.75" x14ac:dyDescent="0.25">
      <c r="A32" s="89" t="s">
        <v>144</v>
      </c>
      <c r="B32" s="1"/>
      <c r="C32" s="1"/>
      <c r="D32" s="1"/>
      <c r="E32" s="1"/>
      <c r="F32" s="1"/>
      <c r="G32" s="1"/>
      <c r="H32" s="1"/>
      <c r="I32" s="1"/>
      <c r="J32" s="1"/>
      <c r="K32" s="1"/>
      <c r="L32" s="1"/>
    </row>
    <row r="33" spans="1:18" ht="15.75" x14ac:dyDescent="0.25">
      <c r="A33" s="89" t="s">
        <v>145</v>
      </c>
      <c r="B33" s="1"/>
      <c r="C33" s="1"/>
      <c r="D33" s="1"/>
      <c r="E33" s="1"/>
      <c r="F33" s="1"/>
      <c r="G33" s="1"/>
      <c r="H33" s="1"/>
      <c r="I33" s="1"/>
      <c r="J33" s="1"/>
      <c r="K33" s="1"/>
      <c r="L33" s="1"/>
    </row>
    <row r="34" spans="1:18" ht="15.75" x14ac:dyDescent="0.25">
      <c r="A34" s="89" t="s">
        <v>146</v>
      </c>
      <c r="B34" s="81"/>
      <c r="C34" s="81"/>
      <c r="D34" s="1"/>
      <c r="E34" s="1"/>
      <c r="F34" s="1"/>
      <c r="G34" s="1"/>
      <c r="H34" s="1"/>
      <c r="I34" s="1"/>
      <c r="J34" s="1"/>
      <c r="K34" s="1"/>
      <c r="L34" s="1"/>
    </row>
    <row r="35" spans="1:18" ht="15.75" x14ac:dyDescent="0.25">
      <c r="A35" s="89" t="s">
        <v>147</v>
      </c>
      <c r="B35" s="81"/>
      <c r="C35" s="81"/>
      <c r="D35" s="1"/>
      <c r="E35" s="1"/>
      <c r="F35" s="1"/>
      <c r="G35" s="1"/>
      <c r="H35" s="1"/>
      <c r="I35" s="1"/>
      <c r="J35" s="1"/>
      <c r="K35" s="1"/>
      <c r="L35" s="1"/>
    </row>
    <row r="36" spans="1:18" ht="15.75" x14ac:dyDescent="0.25">
      <c r="A36" s="89" t="s">
        <v>152</v>
      </c>
      <c r="B36" s="81"/>
      <c r="C36" s="81"/>
      <c r="D36" s="1"/>
      <c r="E36" s="1"/>
      <c r="F36" s="1"/>
      <c r="G36" s="1"/>
      <c r="H36" s="1"/>
      <c r="I36" s="1"/>
      <c r="J36" s="1"/>
      <c r="K36" s="1"/>
      <c r="L36" s="1"/>
    </row>
    <row r="37" spans="1:18" ht="15.75" x14ac:dyDescent="0.25">
      <c r="A37" s="89" t="s">
        <v>153</v>
      </c>
      <c r="B37" s="81"/>
      <c r="C37" s="81"/>
      <c r="D37" s="1"/>
      <c r="E37" s="1"/>
      <c r="F37" s="1"/>
      <c r="G37" s="1"/>
      <c r="H37" s="1"/>
      <c r="I37" s="1"/>
      <c r="J37" s="1"/>
      <c r="K37" s="1"/>
      <c r="L37" s="1"/>
    </row>
    <row r="38" spans="1:18" x14ac:dyDescent="0.25">
      <c r="A38" s="119" t="s">
        <v>158</v>
      </c>
      <c r="B38" s="120"/>
      <c r="C38" s="120"/>
      <c r="D38" s="120"/>
      <c r="E38" s="120"/>
      <c r="F38" s="120"/>
      <c r="G38" s="120"/>
      <c r="H38" s="120"/>
      <c r="I38" s="120"/>
      <c r="J38" s="1"/>
      <c r="K38" s="1"/>
      <c r="L38" s="1"/>
    </row>
    <row r="39" spans="1:18" ht="39" customHeight="1" x14ac:dyDescent="0.25">
      <c r="A39" s="122" t="s">
        <v>178</v>
      </c>
      <c r="B39" s="122"/>
      <c r="C39" s="122"/>
      <c r="D39" s="122"/>
      <c r="E39" s="122"/>
      <c r="F39" s="122"/>
      <c r="G39" s="122"/>
      <c r="H39" s="122"/>
      <c r="I39" s="122"/>
      <c r="J39" s="9"/>
      <c r="K39" s="9"/>
      <c r="L39" s="9"/>
      <c r="M39" s="9"/>
      <c r="N39" s="9"/>
      <c r="O39" s="102"/>
      <c r="P39" s="9"/>
      <c r="Q39" s="9"/>
      <c r="R39" s="9"/>
    </row>
    <row r="40" spans="1:18" ht="18" customHeight="1" x14ac:dyDescent="0.25">
      <c r="J40" s="3"/>
    </row>
  </sheetData>
  <mergeCells count="11">
    <mergeCell ref="M10:N10"/>
    <mergeCell ref="A38:I38"/>
    <mergeCell ref="F25:H25"/>
    <mergeCell ref="A29:I29"/>
    <mergeCell ref="A30:I30"/>
    <mergeCell ref="A28:I28"/>
    <mergeCell ref="A39:I39"/>
    <mergeCell ref="A26:H26"/>
    <mergeCell ref="A27:H27"/>
    <mergeCell ref="A31:I31"/>
    <mergeCell ref="A25:E25"/>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G21"/>
  <sheetViews>
    <sheetView zoomScaleNormal="100" workbookViewId="0"/>
  </sheetViews>
  <sheetFormatPr defaultColWidth="22" defaultRowHeight="12.75" x14ac:dyDescent="0.2"/>
  <cols>
    <col min="1" max="1" width="26.140625" style="17" customWidth="1"/>
    <col min="2" max="16384" width="22" style="17"/>
  </cols>
  <sheetData>
    <row r="1" spans="1:7" x14ac:dyDescent="0.2">
      <c r="A1" s="107"/>
      <c r="B1" s="6"/>
      <c r="C1" s="6"/>
    </row>
    <row r="2" spans="1:7" x14ac:dyDescent="0.2">
      <c r="A2" s="153" t="s">
        <v>31</v>
      </c>
      <c r="B2" s="153"/>
      <c r="C2" s="153"/>
      <c r="D2" s="153"/>
      <c r="E2" s="153"/>
      <c r="F2" s="153"/>
      <c r="G2" s="154"/>
    </row>
    <row r="3" spans="1:7" x14ac:dyDescent="0.2">
      <c r="A3" s="21" t="s">
        <v>32</v>
      </c>
      <c r="B3" s="21" t="s">
        <v>33</v>
      </c>
      <c r="C3" s="21" t="s">
        <v>34</v>
      </c>
      <c r="D3" s="21" t="s">
        <v>35</v>
      </c>
      <c r="E3" s="21" t="s">
        <v>36</v>
      </c>
      <c r="F3" s="21" t="s">
        <v>37</v>
      </c>
      <c r="G3" s="21" t="s">
        <v>38</v>
      </c>
    </row>
    <row r="4" spans="1:7" ht="46.5" customHeight="1" x14ac:dyDescent="0.2">
      <c r="A4" s="21" t="s">
        <v>39</v>
      </c>
      <c r="B4" s="21" t="s">
        <v>40</v>
      </c>
      <c r="C4" s="21" t="s">
        <v>1</v>
      </c>
      <c r="D4" s="21" t="s">
        <v>41</v>
      </c>
      <c r="E4" s="21" t="s">
        <v>42</v>
      </c>
      <c r="F4" s="21" t="s">
        <v>106</v>
      </c>
      <c r="G4" s="21" t="s">
        <v>43</v>
      </c>
    </row>
    <row r="5" spans="1:7" x14ac:dyDescent="0.2">
      <c r="A5" s="155" t="s">
        <v>105</v>
      </c>
      <c r="B5" s="155"/>
      <c r="C5" s="155"/>
      <c r="D5" s="155"/>
      <c r="E5" s="155"/>
      <c r="F5" s="155"/>
      <c r="G5" s="155"/>
    </row>
    <row r="6" spans="1:7" ht="15.75" x14ac:dyDescent="0.2">
      <c r="A6" s="93" t="s">
        <v>164</v>
      </c>
      <c r="B6" s="22">
        <v>65500</v>
      </c>
      <c r="C6" s="75">
        <v>0</v>
      </c>
      <c r="D6" s="22">
        <f>B6*C6</f>
        <v>0</v>
      </c>
      <c r="E6" s="22">
        <v>65500</v>
      </c>
      <c r="F6" s="19">
        <f>'Table 1'!E34</f>
        <v>0.6</v>
      </c>
      <c r="G6" s="22">
        <f>E6*F6</f>
        <v>39300</v>
      </c>
    </row>
    <row r="7" spans="1:7" ht="16.5" customHeight="1" x14ac:dyDescent="0.2">
      <c r="A7" s="34" t="s">
        <v>165</v>
      </c>
      <c r="B7" s="22">
        <v>65500</v>
      </c>
      <c r="C7" s="75">
        <v>0</v>
      </c>
      <c r="D7" s="22">
        <f>B7*C7</f>
        <v>0</v>
      </c>
      <c r="E7" s="22">
        <v>65500</v>
      </c>
      <c r="F7" s="19">
        <f>'Table 1'!E35</f>
        <v>0.06</v>
      </c>
      <c r="G7" s="22">
        <f>E7*F7</f>
        <v>3930</v>
      </c>
    </row>
    <row r="8" spans="1:7" ht="15.75" x14ac:dyDescent="0.2">
      <c r="A8" s="34" t="s">
        <v>167</v>
      </c>
      <c r="B8" s="22"/>
      <c r="C8" s="75"/>
      <c r="D8" s="22"/>
      <c r="E8" s="22">
        <v>145</v>
      </c>
      <c r="F8" s="19">
        <f>Respondents!F8</f>
        <v>3</v>
      </c>
      <c r="G8" s="22">
        <f t="shared" ref="G8:G9" si="0">F8*E8</f>
        <v>435</v>
      </c>
    </row>
    <row r="9" spans="1:7" ht="15.75" x14ac:dyDescent="0.2">
      <c r="A9" s="34" t="s">
        <v>168</v>
      </c>
      <c r="B9" s="22">
        <v>26858</v>
      </c>
      <c r="C9" s="75">
        <v>0</v>
      </c>
      <c r="D9" s="22">
        <f>B9*C9</f>
        <v>0</v>
      </c>
      <c r="E9" s="22">
        <v>26858</v>
      </c>
      <c r="F9" s="19">
        <v>3</v>
      </c>
      <c r="G9" s="22">
        <f t="shared" si="0"/>
        <v>80574</v>
      </c>
    </row>
    <row r="10" spans="1:7" ht="15.75" x14ac:dyDescent="0.2">
      <c r="A10" s="23" t="s">
        <v>170</v>
      </c>
      <c r="B10" s="19"/>
      <c r="C10" s="19"/>
      <c r="D10" s="24">
        <f>ROUND(SUM(D5:D9), -3)</f>
        <v>0</v>
      </c>
      <c r="E10" s="22"/>
      <c r="F10" s="19"/>
      <c r="G10" s="24">
        <f>ROUND(SUM(G6:G9), -3)</f>
        <v>124000</v>
      </c>
    </row>
    <row r="11" spans="1:7" x14ac:dyDescent="0.2">
      <c r="A11" s="67"/>
      <c r="B11" s="68"/>
      <c r="C11" s="68"/>
      <c r="D11" s="25"/>
      <c r="E11" s="68"/>
      <c r="F11" s="68"/>
      <c r="G11" s="25"/>
    </row>
    <row r="12" spans="1:7" ht="47.25" customHeight="1" x14ac:dyDescent="0.2">
      <c r="A12" s="150" t="s">
        <v>163</v>
      </c>
      <c r="B12" s="151"/>
      <c r="C12" s="151"/>
      <c r="D12" s="151"/>
      <c r="E12" s="151"/>
      <c r="F12" s="151"/>
      <c r="G12" s="151"/>
    </row>
    <row r="13" spans="1:7" ht="33" customHeight="1" x14ac:dyDescent="0.2">
      <c r="A13" s="150" t="s">
        <v>166</v>
      </c>
      <c r="B13" s="151"/>
      <c r="C13" s="151"/>
      <c r="D13" s="151"/>
      <c r="E13" s="151"/>
      <c r="F13" s="151"/>
      <c r="G13" s="151"/>
    </row>
    <row r="14" spans="1:7" ht="47.25" customHeight="1" x14ac:dyDescent="0.2">
      <c r="A14" s="150" t="s">
        <v>169</v>
      </c>
      <c r="B14" s="151"/>
      <c r="C14" s="151"/>
      <c r="D14" s="151"/>
      <c r="E14" s="151"/>
      <c r="F14" s="151"/>
      <c r="G14" s="151"/>
    </row>
    <row r="15" spans="1:7" ht="22.5" customHeight="1" x14ac:dyDescent="0.2">
      <c r="A15" s="152" t="s">
        <v>171</v>
      </c>
      <c r="B15" s="152"/>
      <c r="C15" s="152"/>
      <c r="D15" s="152"/>
      <c r="E15" s="152"/>
      <c r="F15" s="152"/>
      <c r="G15" s="152"/>
    </row>
    <row r="16" spans="1:7" ht="21" customHeight="1" x14ac:dyDescent="0.2"/>
    <row r="17" ht="31.9" customHeight="1" x14ac:dyDescent="0.2"/>
    <row r="18" ht="15.6" customHeight="1" x14ac:dyDescent="0.2"/>
    <row r="19" ht="31.15" customHeight="1" x14ac:dyDescent="0.2"/>
    <row r="20" ht="59.25" customHeight="1" x14ac:dyDescent="0.2"/>
    <row r="21" ht="17.45" customHeight="1" x14ac:dyDescent="0.2"/>
  </sheetData>
  <mergeCells count="6">
    <mergeCell ref="A12:G12"/>
    <mergeCell ref="A13:G13"/>
    <mergeCell ref="A14:G14"/>
    <mergeCell ref="A15:G15"/>
    <mergeCell ref="A2:G2"/>
    <mergeCell ref="A5:G5"/>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9"/>
  <sheetViews>
    <sheetView zoomScaleNormal="100" workbookViewId="0">
      <selection sqref="A1:E1"/>
    </sheetView>
  </sheetViews>
  <sheetFormatPr defaultRowHeight="15" x14ac:dyDescent="0.25"/>
  <cols>
    <col min="1" max="1" width="46.42578125" customWidth="1"/>
    <col min="2" max="2" width="11.85546875" customWidth="1"/>
    <col min="3" max="3" width="12.7109375" customWidth="1"/>
    <col min="4" max="4" width="13.5703125" customWidth="1"/>
    <col min="5" max="5" width="14.7109375" customWidth="1"/>
  </cols>
  <sheetData>
    <row r="1" spans="1:6" s="17" customFormat="1" ht="15.75" x14ac:dyDescent="0.2">
      <c r="A1" s="156" t="s">
        <v>5</v>
      </c>
      <c r="B1" s="156"/>
      <c r="C1" s="156"/>
      <c r="D1" s="156"/>
      <c r="E1" s="156"/>
      <c r="F1" s="109"/>
    </row>
    <row r="2" spans="1:6" s="17" customFormat="1" ht="12.75" x14ac:dyDescent="0.2">
      <c r="A2" s="18" t="s">
        <v>32</v>
      </c>
      <c r="B2" s="18" t="s">
        <v>33</v>
      </c>
      <c r="C2" s="18" t="s">
        <v>34</v>
      </c>
      <c r="D2" s="18" t="s">
        <v>35</v>
      </c>
      <c r="E2" s="18" t="s">
        <v>36</v>
      </c>
    </row>
    <row r="3" spans="1:6" s="17" customFormat="1" ht="89.25" x14ac:dyDescent="0.2">
      <c r="A3" s="18" t="s">
        <v>44</v>
      </c>
      <c r="B3" s="18" t="s">
        <v>1</v>
      </c>
      <c r="C3" s="18" t="s">
        <v>45</v>
      </c>
      <c r="D3" s="18" t="s">
        <v>46</v>
      </c>
      <c r="E3" s="18" t="s">
        <v>47</v>
      </c>
    </row>
    <row r="4" spans="1:6" s="17" customFormat="1" ht="12.75" x14ac:dyDescent="0.2">
      <c r="A4" s="30" t="s">
        <v>94</v>
      </c>
      <c r="B4" s="19">
        <f>'Table 1'!E16</f>
        <v>0</v>
      </c>
      <c r="C4" s="19">
        <f>'Table 1'!C16</f>
        <v>1</v>
      </c>
      <c r="D4" s="19">
        <v>0</v>
      </c>
      <c r="E4" s="19">
        <f t="shared" ref="E4:E17" si="0">(B4*C4)+D4</f>
        <v>0</v>
      </c>
    </row>
    <row r="5" spans="1:6" s="17" customFormat="1" ht="12.75" x14ac:dyDescent="0.2">
      <c r="A5" s="30" t="s">
        <v>95</v>
      </c>
      <c r="B5" s="19">
        <v>0</v>
      </c>
      <c r="C5" s="19">
        <f>'Table 1'!C17</f>
        <v>1</v>
      </c>
      <c r="D5" s="19">
        <v>0</v>
      </c>
      <c r="E5" s="19">
        <f t="shared" si="0"/>
        <v>0</v>
      </c>
    </row>
    <row r="6" spans="1:6" s="17" customFormat="1" ht="12.75" x14ac:dyDescent="0.2">
      <c r="A6" s="30" t="s">
        <v>96</v>
      </c>
      <c r="B6" s="19">
        <v>0</v>
      </c>
      <c r="C6" s="19">
        <f>'Table 1'!C18</f>
        <v>1</v>
      </c>
      <c r="D6" s="19">
        <v>0</v>
      </c>
      <c r="E6" s="19">
        <f t="shared" si="0"/>
        <v>0</v>
      </c>
    </row>
    <row r="7" spans="1:6" s="17" customFormat="1" ht="12.75" x14ac:dyDescent="0.2">
      <c r="A7" s="30" t="s">
        <v>97</v>
      </c>
      <c r="B7" s="19">
        <v>0</v>
      </c>
      <c r="C7" s="19">
        <f>'Table 1'!C19</f>
        <v>1</v>
      </c>
      <c r="D7" s="19">
        <v>0</v>
      </c>
      <c r="E7" s="19">
        <f t="shared" si="0"/>
        <v>0</v>
      </c>
    </row>
    <row r="8" spans="1:6" s="17" customFormat="1" ht="12.75" x14ac:dyDescent="0.2">
      <c r="A8" s="30" t="s">
        <v>98</v>
      </c>
      <c r="B8" s="19">
        <v>0</v>
      </c>
      <c r="C8" s="19">
        <f>'Table 1'!C20</f>
        <v>1</v>
      </c>
      <c r="D8" s="19">
        <v>0</v>
      </c>
      <c r="E8" s="19">
        <f t="shared" si="0"/>
        <v>0</v>
      </c>
      <c r="F8" s="3"/>
    </row>
    <row r="9" spans="1:6" s="17" customFormat="1" ht="12.75" x14ac:dyDescent="0.2">
      <c r="A9" s="30" t="s">
        <v>48</v>
      </c>
      <c r="B9" s="19">
        <f>'Table 1'!E21</f>
        <v>0.6</v>
      </c>
      <c r="C9" s="19">
        <f>'Table 1'!C21</f>
        <v>1</v>
      </c>
      <c r="D9" s="19">
        <v>0</v>
      </c>
      <c r="E9" s="19">
        <f t="shared" si="0"/>
        <v>0.6</v>
      </c>
    </row>
    <row r="10" spans="1:6" s="17" customFormat="1" ht="12.75" x14ac:dyDescent="0.2">
      <c r="A10" s="30" t="s">
        <v>49</v>
      </c>
      <c r="B10" s="19">
        <f>'Table 1'!E22</f>
        <v>0.6</v>
      </c>
      <c r="C10" s="19">
        <f>'Table 1'!C22</f>
        <v>1</v>
      </c>
      <c r="D10" s="19">
        <v>0</v>
      </c>
      <c r="E10" s="19">
        <f t="shared" si="0"/>
        <v>0.6</v>
      </c>
    </row>
    <row r="11" spans="1:6" s="17" customFormat="1" ht="12.75" x14ac:dyDescent="0.2">
      <c r="A11" s="30" t="s">
        <v>71</v>
      </c>
      <c r="B11" s="19">
        <f>'Table 1'!E23</f>
        <v>0.6</v>
      </c>
      <c r="C11" s="19">
        <f>'Table 1'!C23</f>
        <v>1</v>
      </c>
      <c r="D11" s="19">
        <v>0</v>
      </c>
      <c r="E11" s="19">
        <f t="shared" si="0"/>
        <v>0.6</v>
      </c>
    </row>
    <row r="12" spans="1:6" s="17" customFormat="1" ht="12.75" x14ac:dyDescent="0.2">
      <c r="A12" s="30" t="s">
        <v>99</v>
      </c>
      <c r="B12" s="19">
        <f>'Table 1'!E24</f>
        <v>0.30000000000000004</v>
      </c>
      <c r="C12" s="19">
        <f>'Table 1'!C24</f>
        <v>1</v>
      </c>
      <c r="D12" s="19">
        <v>0</v>
      </c>
      <c r="E12" s="19">
        <f t="shared" si="0"/>
        <v>0.30000000000000004</v>
      </c>
    </row>
    <row r="13" spans="1:6" s="17" customFormat="1" ht="12.75" x14ac:dyDescent="0.2">
      <c r="A13" s="30" t="s">
        <v>72</v>
      </c>
      <c r="B13" s="19">
        <f>'Table 1'!E25</f>
        <v>0</v>
      </c>
      <c r="C13" s="19">
        <f>'Table 1'!C25</f>
        <v>1</v>
      </c>
      <c r="D13" s="19">
        <v>0</v>
      </c>
      <c r="E13" s="19">
        <f t="shared" si="0"/>
        <v>0</v>
      </c>
    </row>
    <row r="14" spans="1:6" s="17" customFormat="1" ht="12.75" x14ac:dyDescent="0.2">
      <c r="A14" s="30" t="s">
        <v>101</v>
      </c>
      <c r="B14" s="70"/>
      <c r="C14" s="19"/>
      <c r="D14" s="19"/>
      <c r="E14" s="19"/>
    </row>
    <row r="15" spans="1:6" s="17" customFormat="1" ht="14.45" customHeight="1" x14ac:dyDescent="0.2">
      <c r="A15" s="34" t="s">
        <v>102</v>
      </c>
      <c r="B15" s="108">
        <v>0.45</v>
      </c>
      <c r="C15" s="19">
        <v>2</v>
      </c>
      <c r="D15" s="19">
        <v>0</v>
      </c>
      <c r="E15" s="19">
        <f t="shared" si="0"/>
        <v>0.9</v>
      </c>
    </row>
    <row r="16" spans="1:6" s="17" customFormat="1" ht="12.75" x14ac:dyDescent="0.2">
      <c r="A16" s="34" t="s">
        <v>103</v>
      </c>
      <c r="B16" s="108">
        <v>2.5499999999999998</v>
      </c>
      <c r="C16" s="19">
        <v>2</v>
      </c>
      <c r="D16" s="19">
        <v>0</v>
      </c>
      <c r="E16" s="19">
        <f t="shared" si="0"/>
        <v>5.0999999999999996</v>
      </c>
    </row>
    <row r="17" spans="1:5" s="17" customFormat="1" ht="12.75" x14ac:dyDescent="0.2">
      <c r="A17" s="30" t="s">
        <v>100</v>
      </c>
      <c r="B17" s="19">
        <f>'Table 1'!E29</f>
        <v>0.30000000000000004</v>
      </c>
      <c r="C17" s="19">
        <v>1</v>
      </c>
      <c r="D17" s="19">
        <v>0</v>
      </c>
      <c r="E17" s="19">
        <f t="shared" si="0"/>
        <v>0.30000000000000004</v>
      </c>
    </row>
    <row r="18" spans="1:5" s="17" customFormat="1" ht="12.75" x14ac:dyDescent="0.2">
      <c r="A18" s="92"/>
      <c r="B18" s="70"/>
      <c r="C18" s="70"/>
      <c r="D18" s="21" t="s">
        <v>172</v>
      </c>
      <c r="E18" s="110">
        <f>ROUND(SUM(E4:E17),0)</f>
        <v>8</v>
      </c>
    </row>
    <row r="19" spans="1:5" s="17" customFormat="1" ht="9.75" customHeight="1" x14ac:dyDescent="0.2">
      <c r="A19" s="69"/>
      <c r="B19" s="70"/>
      <c r="C19" s="70"/>
      <c r="D19" s="71"/>
      <c r="E19" s="72"/>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C11" sqref="C11"/>
    </sheetView>
  </sheetViews>
  <sheetFormatPr defaultColWidth="17.7109375" defaultRowHeight="31.9" customHeight="1" x14ac:dyDescent="0.25"/>
  <sheetData>
    <row r="1" spans="1:6" s="17" customFormat="1" ht="31.9" customHeight="1" x14ac:dyDescent="0.2">
      <c r="A1" s="156" t="s">
        <v>1</v>
      </c>
      <c r="B1" s="156"/>
      <c r="C1" s="156"/>
      <c r="D1" s="156"/>
      <c r="E1" s="156"/>
      <c r="F1" s="156"/>
    </row>
    <row r="2" spans="1:6" s="17" customFormat="1" ht="31.9" customHeight="1" x14ac:dyDescent="0.2">
      <c r="A2" s="26"/>
      <c r="B2" s="157" t="s">
        <v>50</v>
      </c>
      <c r="C2" s="157"/>
      <c r="D2" s="26" t="s">
        <v>51</v>
      </c>
      <c r="E2" s="157"/>
      <c r="F2" s="157"/>
    </row>
    <row r="3" spans="1:6" s="17" customFormat="1" ht="31.9" customHeight="1" x14ac:dyDescent="0.2">
      <c r="A3" s="26"/>
      <c r="B3" s="27" t="s">
        <v>32</v>
      </c>
      <c r="C3" s="27" t="s">
        <v>33</v>
      </c>
      <c r="D3" s="27" t="s">
        <v>34</v>
      </c>
      <c r="E3" s="27" t="s">
        <v>35</v>
      </c>
      <c r="F3" s="27" t="s">
        <v>36</v>
      </c>
    </row>
    <row r="4" spans="1:6" s="17" customFormat="1" ht="70.900000000000006" customHeight="1" x14ac:dyDescent="0.2">
      <c r="A4" s="27" t="s">
        <v>52</v>
      </c>
      <c r="B4" s="26" t="s">
        <v>53</v>
      </c>
      <c r="C4" s="26" t="s">
        <v>54</v>
      </c>
      <c r="D4" s="26" t="s">
        <v>55</v>
      </c>
      <c r="E4" s="26" t="s">
        <v>56</v>
      </c>
      <c r="F4" s="26" t="s">
        <v>57</v>
      </c>
    </row>
    <row r="5" spans="1:6" s="17" customFormat="1" ht="31.9" customHeight="1" x14ac:dyDescent="0.2">
      <c r="A5" s="18">
        <v>1</v>
      </c>
      <c r="B5" s="19">
        <v>0</v>
      </c>
      <c r="C5" s="19">
        <v>3</v>
      </c>
      <c r="D5" s="19">
        <v>0</v>
      </c>
      <c r="E5" s="19">
        <v>0</v>
      </c>
      <c r="F5" s="19">
        <f>B5+C5+D5-E5</f>
        <v>3</v>
      </c>
    </row>
    <row r="6" spans="1:6" s="17" customFormat="1" ht="31.9" customHeight="1" x14ac:dyDescent="0.2">
      <c r="A6" s="18">
        <v>2</v>
      </c>
      <c r="B6" s="19">
        <v>0</v>
      </c>
      <c r="C6" s="19">
        <v>3</v>
      </c>
      <c r="D6" s="19">
        <v>0</v>
      </c>
      <c r="E6" s="19">
        <v>0</v>
      </c>
      <c r="F6" s="19">
        <f>B6+C6+D6-E6</f>
        <v>3</v>
      </c>
    </row>
    <row r="7" spans="1:6" s="17" customFormat="1" ht="31.9" customHeight="1" x14ac:dyDescent="0.2">
      <c r="A7" s="18">
        <v>3</v>
      </c>
      <c r="B7" s="19">
        <v>0</v>
      </c>
      <c r="C7" s="19">
        <v>3</v>
      </c>
      <c r="D7" s="19">
        <v>0</v>
      </c>
      <c r="E7" s="19">
        <v>0</v>
      </c>
      <c r="F7" s="19">
        <f>B7+C7+D7-E7</f>
        <v>3</v>
      </c>
    </row>
    <row r="8" spans="1:6" s="17" customFormat="1" ht="31.9" customHeight="1" x14ac:dyDescent="0.2">
      <c r="A8" s="18" t="s">
        <v>58</v>
      </c>
      <c r="B8" s="19">
        <f>AVERAGE(B5:B7)</f>
        <v>0</v>
      </c>
      <c r="C8" s="19">
        <f>AVERAGE(C5:C7)</f>
        <v>3</v>
      </c>
      <c r="D8" s="19">
        <v>0</v>
      </c>
      <c r="E8" s="19">
        <v>0</v>
      </c>
      <c r="F8" s="21">
        <f>AVERAGE(F5:F7)</f>
        <v>3</v>
      </c>
    </row>
    <row r="9" spans="1:6" s="17" customFormat="1" ht="20.45" customHeight="1" x14ac:dyDescent="0.2">
      <c r="A9" s="20" t="s">
        <v>59</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2024-10-23T21:10:58+00:00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8C8CABD-D2BA-40BB-A479-253E6F87FD35}"/>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infopath/2007/PartnerControls"/>
    <ds:schemaRef ds:uri="1891fcec-84c2-4840-9468-b51a784ab0d1"/>
    <ds:schemaRef ds:uri="http://purl.org/dc/dcmitype/"/>
    <ds:schemaRef ds:uri="http://schemas.openxmlformats.org/package/2006/metadata/core-properties"/>
    <ds:schemaRef ds:uri="http://purl.org/dc/elements/1.1/"/>
    <ds:schemaRef ds:uri="4d6aed1e-57d3-46e3-9aba-f706adbce63b"/>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DC7C2CD-2E69-4FBF-9A85-EA80915ECE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2024-04-02T13:54:52Z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