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sepa.sharepoint.com/sites/Scn129NSPSEGLargeMunicipalWasteCombustors/Shared Documents/General/Post-proposal/Preamble and Reg Text/For ICR/Final ICR Materials/Subpart WWWW (1847.11)/"/>
    </mc:Choice>
  </mc:AlternateContent>
  <xr:revisionPtr revIDLastSave="316" documentId="8_{609F8388-8B64-45C0-9215-F852AC45C540}" xr6:coauthVersionLast="47" xr6:coauthVersionMax="47" xr10:uidLastSave="{CDAAECD0-A014-43D0-9563-171B48CCF39C}"/>
  <bookViews>
    <workbookView xWindow="-120" yWindow="-120" windowWidth="25440" windowHeight="15390" tabRatio="767" firstSheet="5" activeTab="16" xr2:uid="{00000000-000D-0000-FFFF-FFFF00000000}"/>
  </bookViews>
  <sheets>
    <sheet name="Cover" sheetId="12" r:id="rId1"/>
    <sheet name="Inputs" sheetId="13" r:id="rId2"/>
    <sheet name="Table 1a" sheetId="1" r:id="rId3"/>
    <sheet name="Table 1b" sheetId="14" r:id="rId4"/>
    <sheet name="Table 2a" sheetId="17" r:id="rId5"/>
    <sheet name="Table 2b" sheetId="16" r:id="rId6"/>
    <sheet name="Table 3a" sheetId="18" r:id="rId7"/>
    <sheet name="Table 3b" sheetId="19" r:id="rId8"/>
    <sheet name="Table 4" sheetId="8" r:id="rId9"/>
    <sheet name="Table 5" sheetId="20" r:id="rId10"/>
    <sheet name="Table 6 " sheetId="21" r:id="rId11"/>
    <sheet name="Table 7" sheetId="22" r:id="rId12"/>
    <sheet name="Table 8" sheetId="23" r:id="rId13"/>
    <sheet name="Table 9" sheetId="2" r:id="rId14"/>
    <sheet name="Table 10" sheetId="9" r:id="rId15"/>
    <sheet name="Table 11" sheetId="10" r:id="rId16"/>
    <sheet name="Table 12" sheetId="11" r:id="rId17"/>
    <sheet name="Responses" sheetId="4" r:id="rId18"/>
    <sheet name="Respondents" sheetId="5"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0" l="1"/>
  <c r="F16" i="10"/>
  <c r="F16" i="2"/>
  <c r="F16" i="9"/>
  <c r="I16" i="9"/>
  <c r="I16" i="2"/>
  <c r="D8" i="10"/>
  <c r="F8" i="10" s="1"/>
  <c r="D7" i="10"/>
  <c r="F7" i="10" s="1"/>
  <c r="D6" i="10"/>
  <c r="F6" i="10" s="1"/>
  <c r="F8" i="9"/>
  <c r="D8" i="9"/>
  <c r="D7" i="9"/>
  <c r="F7" i="9" s="1"/>
  <c r="F6" i="9"/>
  <c r="D6" i="9"/>
  <c r="F8" i="2"/>
  <c r="F7" i="2"/>
  <c r="F6" i="2"/>
  <c r="G6" i="2" s="1"/>
  <c r="D8" i="2"/>
  <c r="D7" i="2"/>
  <c r="D6" i="2"/>
  <c r="F18" i="21"/>
  <c r="C6" i="5"/>
  <c r="D7" i="23"/>
  <c r="D6" i="23"/>
  <c r="E7" i="23"/>
  <c r="E6" i="23"/>
  <c r="C7" i="23"/>
  <c r="C6" i="23"/>
  <c r="F10" i="22"/>
  <c r="F10" i="21"/>
  <c r="F10" i="20"/>
  <c r="H10" i="20" s="1"/>
  <c r="E11" i="4"/>
  <c r="E10" i="4"/>
  <c r="E9" i="4"/>
  <c r="D9" i="21"/>
  <c r="F9" i="21" s="1"/>
  <c r="D8" i="21"/>
  <c r="F8" i="21" s="1"/>
  <c r="D6" i="21"/>
  <c r="F6" i="21" s="1"/>
  <c r="D9" i="20"/>
  <c r="F9" i="20" s="1"/>
  <c r="D8" i="20"/>
  <c r="F8" i="20" s="1"/>
  <c r="D6" i="20"/>
  <c r="F6" i="20" s="1"/>
  <c r="D9" i="22"/>
  <c r="F9" i="22" s="1"/>
  <c r="D8" i="22"/>
  <c r="F8" i="22" s="1"/>
  <c r="D6" i="22"/>
  <c r="F6" i="22" s="1"/>
  <c r="H2" i="22"/>
  <c r="G2" i="22"/>
  <c r="F2" i="22"/>
  <c r="H2" i="21"/>
  <c r="G2" i="21"/>
  <c r="F2" i="21"/>
  <c r="H2" i="20"/>
  <c r="G2" i="20"/>
  <c r="F2" i="20"/>
  <c r="G8" i="2" l="1"/>
  <c r="I8" i="2" s="1"/>
  <c r="H8" i="2"/>
  <c r="H7" i="2"/>
  <c r="G7" i="2"/>
  <c r="I7" i="2" s="1"/>
  <c r="H6" i="2"/>
  <c r="I6" i="2"/>
  <c r="H8" i="10"/>
  <c r="G8" i="10"/>
  <c r="I8" i="10" s="1"/>
  <c r="H6" i="10"/>
  <c r="G6" i="10"/>
  <c r="I6" i="10" s="1"/>
  <c r="H7" i="10"/>
  <c r="I7" i="10" s="1"/>
  <c r="G7" i="10"/>
  <c r="H7" i="9"/>
  <c r="G7" i="9"/>
  <c r="I7" i="9" s="1"/>
  <c r="G6" i="9"/>
  <c r="I6" i="9" s="1"/>
  <c r="H6" i="9"/>
  <c r="G8" i="9"/>
  <c r="I8" i="9" s="1"/>
  <c r="H8" i="9"/>
  <c r="G10" i="20"/>
  <c r="G10" i="22"/>
  <c r="H10" i="22"/>
  <c r="I10" i="21" s="1"/>
  <c r="G10" i="21"/>
  <c r="H10" i="21"/>
  <c r="H9" i="20"/>
  <c r="G9" i="20"/>
  <c r="G8" i="21"/>
  <c r="H8" i="21"/>
  <c r="H6" i="21"/>
  <c r="G6" i="21"/>
  <c r="H9" i="21"/>
  <c r="G9" i="21"/>
  <c r="H6" i="20"/>
  <c r="G6" i="20"/>
  <c r="G8" i="20"/>
  <c r="H8" i="20"/>
  <c r="H9" i="22"/>
  <c r="G9" i="22"/>
  <c r="I9" i="21" s="1"/>
  <c r="G8" i="22"/>
  <c r="H8" i="22"/>
  <c r="I8" i="22" s="1"/>
  <c r="G6" i="22"/>
  <c r="H6" i="22"/>
  <c r="I8" i="21" l="1"/>
  <c r="I6" i="22"/>
  <c r="I8" i="20"/>
  <c r="I10" i="20"/>
  <c r="I9" i="20"/>
  <c r="I10" i="22"/>
  <c r="I6" i="20"/>
  <c r="F18" i="22"/>
  <c r="B5" i="23" s="1"/>
  <c r="I6" i="21"/>
  <c r="I18" i="21" s="1"/>
  <c r="C4" i="23" s="1"/>
  <c r="E4" i="23" s="1"/>
  <c r="I9" i="22"/>
  <c r="B4" i="23"/>
  <c r="F18" i="20"/>
  <c r="B3" i="23" s="1"/>
  <c r="B7" i="23" l="1"/>
  <c r="B6" i="23"/>
  <c r="I18" i="22"/>
  <c r="C5" i="23" s="1"/>
  <c r="E5" i="23" s="1"/>
  <c r="I18" i="20"/>
  <c r="C3" i="23" s="1"/>
  <c r="E3" i="23" s="1"/>
  <c r="F26" i="1" l="1"/>
  <c r="C16" i="13"/>
  <c r="B7" i="4"/>
  <c r="E7" i="4" s="1"/>
  <c r="B6" i="4"/>
  <c r="E6" i="4" s="1"/>
  <c r="E6" i="8"/>
  <c r="D8" i="8"/>
  <c r="D7" i="8"/>
  <c r="C6" i="8"/>
  <c r="B6" i="8"/>
  <c r="C5" i="8"/>
  <c r="B5" i="8"/>
  <c r="G8" i="18" l="1"/>
  <c r="F8" i="18"/>
  <c r="E8" i="18"/>
  <c r="F8" i="1"/>
  <c r="E8" i="1"/>
  <c r="D8" i="1"/>
  <c r="C18" i="13" l="1"/>
  <c r="C17" i="13"/>
  <c r="F8" i="13"/>
  <c r="H2" i="18" s="1"/>
  <c r="F7" i="13"/>
  <c r="F6" i="13"/>
  <c r="F2" i="1" s="1"/>
  <c r="D9" i="5"/>
  <c r="E9" i="5"/>
  <c r="I26" i="19"/>
  <c r="F26" i="19"/>
  <c r="D19" i="19"/>
  <c r="D18" i="19"/>
  <c r="B8" i="19"/>
  <c r="D8" i="19" s="1"/>
  <c r="G2" i="19"/>
  <c r="F2" i="19"/>
  <c r="I26" i="18"/>
  <c r="F26" i="18"/>
  <c r="E19" i="18"/>
  <c r="D19" i="18"/>
  <c r="F19" i="18" s="1"/>
  <c r="E18" i="18"/>
  <c r="F18" i="18" s="1"/>
  <c r="H18" i="18" s="1"/>
  <c r="D18" i="18"/>
  <c r="B8" i="18"/>
  <c r="D8" i="18" s="1"/>
  <c r="G2" i="18"/>
  <c r="F2" i="18"/>
  <c r="E19" i="17"/>
  <c r="E18" i="17"/>
  <c r="F18" i="17" s="1"/>
  <c r="E8" i="17"/>
  <c r="F8" i="17" s="1"/>
  <c r="I26" i="17"/>
  <c r="F26" i="17"/>
  <c r="D19" i="17"/>
  <c r="D18" i="17"/>
  <c r="B8" i="17"/>
  <c r="D8" i="17" s="1"/>
  <c r="G2" i="17"/>
  <c r="F2" i="17"/>
  <c r="G2" i="9" l="1"/>
  <c r="G2" i="10"/>
  <c r="F2" i="9"/>
  <c r="F2" i="10"/>
  <c r="I18" i="17"/>
  <c r="H2" i="19"/>
  <c r="G8" i="17"/>
  <c r="H2" i="9"/>
  <c r="H2" i="10"/>
  <c r="H2" i="17"/>
  <c r="I8" i="17" s="1"/>
  <c r="H18" i="17"/>
  <c r="G18" i="17"/>
  <c r="H8" i="18"/>
  <c r="G19" i="18"/>
  <c r="I19" i="18" s="1"/>
  <c r="H19" i="18"/>
  <c r="G18" i="18"/>
  <c r="I18" i="18" s="1"/>
  <c r="F19" i="17"/>
  <c r="H19" i="17" s="1"/>
  <c r="H8" i="17"/>
  <c r="F20" i="18" l="1"/>
  <c r="F27" i="18" s="1"/>
  <c r="I8" i="18"/>
  <c r="I20" i="18" s="1"/>
  <c r="I27" i="18" s="1"/>
  <c r="G19" i="17"/>
  <c r="I19" i="17" s="1"/>
  <c r="I20" i="17" s="1"/>
  <c r="I27" i="17" s="1"/>
  <c r="F20" i="17" l="1"/>
  <c r="F27" i="17" s="1"/>
  <c r="I29" i="18"/>
  <c r="D19" i="16"/>
  <c r="D18" i="16"/>
  <c r="B8" i="16"/>
  <c r="D8" i="16" s="1"/>
  <c r="H2" i="16"/>
  <c r="G2" i="16"/>
  <c r="F2" i="16"/>
  <c r="B6" i="14"/>
  <c r="B7" i="14"/>
  <c r="B8" i="14"/>
  <c r="B9" i="14"/>
  <c r="B10" i="14"/>
  <c r="B11" i="14"/>
  <c r="B12" i="14"/>
  <c r="B13" i="14"/>
  <c r="B14" i="14"/>
  <c r="B15" i="14"/>
  <c r="B16" i="14"/>
  <c r="B17" i="14"/>
  <c r="B18" i="14"/>
  <c r="D18" i="14" s="1"/>
  <c r="B19" i="14"/>
  <c r="D19" i="14" s="1"/>
  <c r="B20" i="14"/>
  <c r="B21" i="14"/>
  <c r="B22" i="14"/>
  <c r="B23" i="14"/>
  <c r="B24" i="14"/>
  <c r="B25" i="14"/>
  <c r="B5" i="14"/>
  <c r="D23" i="14"/>
  <c r="D17" i="14"/>
  <c r="D8" i="14"/>
  <c r="H2" i="14"/>
  <c r="G2" i="14"/>
  <c r="F2" i="14"/>
  <c r="E23" i="1"/>
  <c r="F23" i="1" s="1"/>
  <c r="D23" i="1"/>
  <c r="E19" i="1"/>
  <c r="D19" i="1"/>
  <c r="E18" i="1"/>
  <c r="D18" i="1"/>
  <c r="E17" i="1"/>
  <c r="F17" i="1" s="1"/>
  <c r="D17" i="1"/>
  <c r="C27" i="13"/>
  <c r="B27" i="13"/>
  <c r="E17" i="14" s="1"/>
  <c r="E19" i="14" l="1"/>
  <c r="E19" i="16"/>
  <c r="F19" i="14"/>
  <c r="G23" i="1"/>
  <c r="H23" i="1"/>
  <c r="E18" i="16"/>
  <c r="E8" i="14"/>
  <c r="F8" i="14" s="1"/>
  <c r="H8" i="14" s="1"/>
  <c r="E23" i="14"/>
  <c r="F23" i="14" s="1"/>
  <c r="E18" i="19"/>
  <c r="F18" i="19" s="1"/>
  <c r="E8" i="19"/>
  <c r="F8" i="19" s="1"/>
  <c r="E19" i="19"/>
  <c r="F19" i="19" s="1"/>
  <c r="E8" i="16"/>
  <c r="F8" i="16" s="1"/>
  <c r="E18" i="14"/>
  <c r="F18" i="14" s="1"/>
  <c r="H18" i="14" s="1"/>
  <c r="F18" i="1"/>
  <c r="G18" i="1" s="1"/>
  <c r="I29" i="17"/>
  <c r="F18" i="16"/>
  <c r="F19" i="16"/>
  <c r="G19" i="16" s="1"/>
  <c r="H8" i="16"/>
  <c r="F17" i="14"/>
  <c r="I17" i="14" s="1"/>
  <c r="G19" i="14"/>
  <c r="H19" i="14"/>
  <c r="H17" i="14"/>
  <c r="G17" i="14"/>
  <c r="F19" i="1"/>
  <c r="H19" i="1" s="1"/>
  <c r="G17" i="1"/>
  <c r="H17" i="1"/>
  <c r="H18" i="1"/>
  <c r="H18" i="19" l="1"/>
  <c r="G18" i="19"/>
  <c r="I18" i="19" s="1"/>
  <c r="H18" i="16"/>
  <c r="G18" i="16"/>
  <c r="I18" i="16" s="1"/>
  <c r="I19" i="16"/>
  <c r="F26" i="14"/>
  <c r="F20" i="19"/>
  <c r="F27" i="19" s="1"/>
  <c r="G8" i="19"/>
  <c r="H8" i="19"/>
  <c r="I8" i="19"/>
  <c r="H23" i="14"/>
  <c r="G19" i="19"/>
  <c r="H19" i="19"/>
  <c r="F26" i="16"/>
  <c r="H19" i="16"/>
  <c r="G8" i="16"/>
  <c r="I8" i="16" s="1"/>
  <c r="G23" i="14"/>
  <c r="G8" i="14"/>
  <c r="I8" i="14" s="1"/>
  <c r="I19" i="14"/>
  <c r="G18" i="14"/>
  <c r="G19" i="1"/>
  <c r="H8" i="1"/>
  <c r="G8" i="1"/>
  <c r="F20" i="1" l="1"/>
  <c r="F27" i="1" s="1"/>
  <c r="I20" i="19"/>
  <c r="I27" i="19" s="1"/>
  <c r="I20" i="16"/>
  <c r="F20" i="16"/>
  <c r="F27" i="16" s="1"/>
  <c r="I19" i="19"/>
  <c r="I23" i="14"/>
  <c r="I26" i="14" s="1"/>
  <c r="I18" i="14"/>
  <c r="F20" i="14" l="1"/>
  <c r="I29" i="19"/>
  <c r="I26" i="16"/>
  <c r="I27" i="16" s="1"/>
  <c r="I20" i="14"/>
  <c r="I27" i="14" s="1"/>
  <c r="I29" i="14" s="1"/>
  <c r="B4" i="8" l="1"/>
  <c r="F27" i="14"/>
  <c r="I29" i="16"/>
  <c r="E5" i="8"/>
  <c r="B8" i="8" l="1"/>
  <c r="B7" i="8"/>
  <c r="F2" i="2"/>
  <c r="G2" i="1" l="1"/>
  <c r="H2" i="1"/>
  <c r="I20" i="1" l="1"/>
  <c r="I8" i="1"/>
  <c r="I23" i="1"/>
  <c r="I26" i="1" s="1"/>
  <c r="I17" i="1"/>
  <c r="I18" i="1"/>
  <c r="I19" i="1"/>
  <c r="I27" i="1" l="1"/>
  <c r="I29" i="1" s="1"/>
  <c r="C4" i="8"/>
  <c r="G2" i="2"/>
  <c r="H2" i="2"/>
  <c r="B9" i="5"/>
  <c r="C8" i="8" l="1"/>
  <c r="C7" i="8"/>
  <c r="D7" i="11"/>
  <c r="D6" i="11"/>
  <c r="C5" i="11" l="1"/>
  <c r="E5" i="11" s="1"/>
  <c r="B5" i="11"/>
  <c r="C4" i="11" l="1"/>
  <c r="E4" i="11" s="1"/>
  <c r="B4" i="11"/>
  <c r="F6" i="5" l="1"/>
  <c r="C7" i="5" l="1"/>
  <c r="F7" i="5" l="1"/>
  <c r="C8" i="5" l="1"/>
  <c r="C9" i="5" s="1"/>
  <c r="F8" i="5" l="1"/>
  <c r="F9" i="5" s="1"/>
  <c r="B3" i="11" l="1"/>
  <c r="B7" i="11" s="1"/>
  <c r="C3" i="11" l="1"/>
  <c r="E4" i="8"/>
  <c r="B6" i="11"/>
  <c r="E8" i="8" l="1"/>
  <c r="E7" i="8"/>
  <c r="C7" i="11"/>
  <c r="E3" i="11"/>
  <c r="E7" i="11" s="1"/>
  <c r="C6" i="11"/>
  <c r="E6" i="11" l="1"/>
</calcChain>
</file>

<file path=xl/sharedStrings.xml><?xml version="1.0" encoding="utf-8"?>
<sst xmlns="http://schemas.openxmlformats.org/spreadsheetml/2006/main" count="736" uniqueCount="185">
  <si>
    <t>ATTACHMENT 1</t>
  </si>
  <si>
    <t>SUPPORTING STATEMENT</t>
  </si>
  <si>
    <t>TABLES 1a, 1b, 2a, 2b, 3a, and 3b</t>
  </si>
  <si>
    <t>TABLE 4</t>
  </si>
  <si>
    <t>TABLES 5, 6, and 7</t>
  </si>
  <si>
    <t>TABLE 8</t>
  </si>
  <si>
    <t>Industry Wages*</t>
  </si>
  <si>
    <t>May 2022 National Industry-Specific Occupational Employment and Wage Estimates</t>
  </si>
  <si>
    <t>NAICS 562200 - Waste Treatment and Disposal</t>
  </si>
  <si>
    <t>Category</t>
  </si>
  <si>
    <t>Occupation Code</t>
  </si>
  <si>
    <t>Mean hourly rate ($/hr)</t>
  </si>
  <si>
    <t>Fringe Benefit Loading Rate</t>
  </si>
  <si>
    <t>Overhead and Profit Rate</t>
  </si>
  <si>
    <t>Loaded Rate ($/hr)</t>
  </si>
  <si>
    <t>Technical</t>
  </si>
  <si>
    <t>17-2112</t>
  </si>
  <si>
    <t>Management</t>
  </si>
  <si>
    <t>11-9041</t>
  </si>
  <si>
    <t>Clerical</t>
  </si>
  <si>
    <t>43-9061</t>
  </si>
  <si>
    <t>https://www.bls.gov/oes/current/naics4_562200.htm</t>
  </si>
  <si>
    <t>*Labor rates are assumed to be comparable between private and public sector.</t>
  </si>
  <si>
    <t>EPA Wages</t>
  </si>
  <si>
    <t>Hourly Mean Wage</t>
  </si>
  <si>
    <t>With Fringe &amp; Overhead</t>
  </si>
  <si>
    <t>(GS- 12, step 1) - Tech.</t>
  </si>
  <si>
    <t>(GS- 13, step 5) - Mgmt.</t>
  </si>
  <si>
    <t>(GS-6, step 3) - Cler.</t>
  </si>
  <si>
    <t>https://www.opm.gov/policy-data-oversight/pay-leave/salaries-wages/salary-tables/23Tables/html/GS_h.aspx</t>
  </si>
  <si>
    <t>Facilities</t>
  </si>
  <si>
    <t>Number of Facilities</t>
  </si>
  <si>
    <t>Number of Units</t>
  </si>
  <si>
    <t>Existing</t>
  </si>
  <si>
    <t>Municipality Owned*</t>
  </si>
  <si>
    <t>Privately Owned*</t>
  </si>
  <si>
    <t>*Based on 2022 inventory.</t>
  </si>
  <si>
    <r>
      <t xml:space="preserve">Burden item </t>
    </r>
    <r>
      <rPr>
        <b/>
        <vertAlign val="superscript"/>
        <sz val="10"/>
        <color theme="1"/>
        <rFont val="Times New Roman"/>
        <family val="1"/>
      </rPr>
      <t>a</t>
    </r>
  </si>
  <si>
    <t>(A)</t>
  </si>
  <si>
    <t>(B)</t>
  </si>
  <si>
    <t>(C)</t>
  </si>
  <si>
    <t>(D)</t>
  </si>
  <si>
    <t>(E)</t>
  </si>
  <si>
    <t>(F)</t>
  </si>
  <si>
    <t>(G)</t>
  </si>
  <si>
    <t>(H)</t>
  </si>
  <si>
    <t>Person-hours per occurrence</t>
  </si>
  <si>
    <t>No. of occurrences per respondent per year</t>
  </si>
  <si>
    <t>Person-hours per respondent per year 
(C=AxB)</t>
  </si>
  <si>
    <r>
      <t xml:space="preserve">Respondents per year </t>
    </r>
    <r>
      <rPr>
        <b/>
        <vertAlign val="superscript"/>
        <sz val="10"/>
        <color theme="1"/>
        <rFont val="Times New Roman"/>
        <family val="1"/>
      </rPr>
      <t>b</t>
    </r>
  </si>
  <si>
    <t>Technical hours per year 
(E=CxD)</t>
  </si>
  <si>
    <t>Management hours per year 
(F=Ex0.05)</t>
  </si>
  <si>
    <t>Clerical hours per year 
(G=Ex0.1)</t>
  </si>
  <si>
    <r>
      <t xml:space="preserve">Total cost per year ($) </t>
    </r>
    <r>
      <rPr>
        <b/>
        <vertAlign val="superscript"/>
        <sz val="10"/>
        <color theme="1"/>
        <rFont val="Times New Roman"/>
        <family val="1"/>
      </rPr>
      <t>c</t>
    </r>
  </si>
  <si>
    <r>
      <t xml:space="preserve">1.  Applications </t>
    </r>
    <r>
      <rPr>
        <vertAlign val="superscript"/>
        <sz val="10"/>
        <rFont val="Times New Roman"/>
        <family val="1"/>
      </rPr>
      <t>d</t>
    </r>
  </si>
  <si>
    <t>2.  Survey and Studies</t>
  </si>
  <si>
    <t>N/A</t>
  </si>
  <si>
    <t>3.  Reporting requirements</t>
  </si>
  <si>
    <r>
      <t xml:space="preserve">A.  Familiarize with regulatory requirements </t>
    </r>
    <r>
      <rPr>
        <vertAlign val="superscript"/>
        <sz val="10"/>
        <color theme="1"/>
        <rFont val="Times New Roman"/>
        <family val="1"/>
      </rPr>
      <t>e</t>
    </r>
  </si>
  <si>
    <t>B.  Required activities</t>
  </si>
  <si>
    <t>Initial performance test</t>
  </si>
  <si>
    <t>Repeat performance test</t>
  </si>
  <si>
    <r>
      <t xml:space="preserve">CEMS demonstration </t>
    </r>
    <r>
      <rPr>
        <vertAlign val="superscript"/>
        <sz val="10"/>
        <color theme="1"/>
        <rFont val="Times New Roman"/>
        <family val="1"/>
      </rPr>
      <t>f</t>
    </r>
  </si>
  <si>
    <t>Annual performance test</t>
  </si>
  <si>
    <t>C.  Write report</t>
  </si>
  <si>
    <t xml:space="preserve">Notifications (construction/modification, start-up, initial/repeat performance test, CEMS demonstration, CEMS start/stop, exemptions) </t>
  </si>
  <si>
    <t>Performance test reports
(initial/repeat and annual compliance)</t>
  </si>
  <si>
    <t>CEMS demonstration report</t>
  </si>
  <si>
    <t>Familiarize with CEDRI</t>
  </si>
  <si>
    <t>Electronic data submittal</t>
  </si>
  <si>
    <t>Subtotal for Reporting Requirements</t>
  </si>
  <si>
    <t>4.  Recordkeeping requirements</t>
  </si>
  <si>
    <t>Record startups, shutdowns, and malfunctions</t>
  </si>
  <si>
    <r>
      <t xml:space="preserve">Records of all emission rates, computations, tests </t>
    </r>
    <r>
      <rPr>
        <vertAlign val="superscript"/>
        <sz val="10"/>
        <color theme="1"/>
        <rFont val="Times New Roman"/>
        <family val="1"/>
      </rPr>
      <t>g</t>
    </r>
  </si>
  <si>
    <t>Records of employee review of operations manual</t>
  </si>
  <si>
    <t>Records of operating parameters for control devices</t>
  </si>
  <si>
    <t>Subtotal for Recordkeeping Requirements</t>
  </si>
  <si>
    <r>
      <t xml:space="preserve">TOTAL LABOR BURDEN AND COST (rounded) </t>
    </r>
    <r>
      <rPr>
        <b/>
        <vertAlign val="superscript"/>
        <sz val="10"/>
        <color theme="1"/>
        <rFont val="Times New Roman"/>
        <family val="1"/>
      </rPr>
      <t>h</t>
    </r>
  </si>
  <si>
    <r>
      <t xml:space="preserve">TOTAL CAPITAL AND O&amp;M COST (rounded) </t>
    </r>
    <r>
      <rPr>
        <b/>
        <vertAlign val="superscript"/>
        <sz val="10"/>
        <color theme="1"/>
        <rFont val="Times New Roman"/>
        <family val="1"/>
      </rPr>
      <t>h</t>
    </r>
  </si>
  <si>
    <r>
      <t xml:space="preserve">GRAND TOTAL (rounded) </t>
    </r>
    <r>
      <rPr>
        <b/>
        <vertAlign val="superscript"/>
        <sz val="10"/>
        <color theme="1"/>
        <rFont val="Times New Roman"/>
        <family val="1"/>
      </rPr>
      <t>h</t>
    </r>
  </si>
  <si>
    <t>Assumptions:</t>
  </si>
  <si>
    <r>
      <rPr>
        <vertAlign val="superscript"/>
        <sz val="10"/>
        <color theme="1"/>
        <rFont val="Times New Roman"/>
        <family val="1"/>
      </rPr>
      <t>a</t>
    </r>
    <r>
      <rPr>
        <sz val="10"/>
        <color theme="1"/>
        <rFont val="Times New Roman"/>
        <family val="1"/>
      </rPr>
      <t xml:space="preserve"> These burden estimates are intended to be incremental. Requirements already established for existing large MWCs are indicated as N/A in column (A) and already accounted for in a separate ICR. </t>
    </r>
  </si>
  <si>
    <r>
      <t xml:space="preserve">b </t>
    </r>
    <r>
      <rPr>
        <sz val="10"/>
        <color theme="1"/>
        <rFont val="Times New Roman"/>
        <family val="1"/>
      </rPr>
      <t>There are 152 large MWC units at 57 facilities. Of these, there are 62 units at 22 plants that are publicly owned. We have assumed that there will be no new respondents over the three-year period of this ICR.</t>
    </r>
  </si>
  <si>
    <r>
      <t xml:space="preserve">c </t>
    </r>
    <r>
      <rPr>
        <sz val="10"/>
        <rFont val="Times New Roman"/>
        <family val="1"/>
      </rPr>
      <t>This ICR uses the following labor rates for both privately and publicly owned sources: $165.71 for managerial, $104.87 for technical,  and $40.57 for clerical labor.  These rates are from the United States Department of Labor, Bureau of Labor Statistics, May 2022, National Industry-Specific Occupational Employment and Wage Estimates for 562200 - Waste Treatment and Disposal. These rates have been adjusted using a Fringe Benefit Loading Rate of 1.5 and an Overhead and Profit Rate of 1.4 (Mean Hourly Rate * Fringe Benefit Loading Rate * Overhead and Profit Rate = Loaded Rate)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</si>
  <si>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e</t>
    </r>
    <r>
      <rPr>
        <sz val="10"/>
        <color theme="1"/>
        <rFont val="Times New Roman"/>
        <family val="1"/>
      </rPr>
      <t xml:space="preserve"> This ICR assumes all existing respondents will have to familiarize themselves with the amended regulatory requirements each year for the first three years.</t>
    </r>
  </si>
  <si>
    <r>
      <rPr>
        <vertAlign val="superscript"/>
        <sz val="10"/>
        <color theme="1"/>
        <rFont val="Times New Roman"/>
        <family val="1"/>
      </rPr>
      <t>f</t>
    </r>
    <r>
      <rPr>
        <sz val="10"/>
        <color theme="1"/>
        <rFont val="Times New Roman"/>
        <family val="1"/>
      </rPr>
      <t xml:space="preserve"> Adjustments and record coding to accommodate new CEMS requirements during start-up and shutdown are included under the CEMS demonstration report element of 3C.</t>
    </r>
  </si>
  <si>
    <r>
      <rPr>
        <vertAlign val="superscript"/>
        <sz val="10"/>
        <color theme="1"/>
        <rFont val="Times New Roman"/>
        <family val="1"/>
      </rPr>
      <t>g</t>
    </r>
    <r>
      <rPr>
        <sz val="10"/>
        <color theme="1"/>
        <rFont val="Times New Roman"/>
        <family val="1"/>
      </rPr>
      <t xml:space="preserve"> Includes additional hours for downloading/processing CEMS data now required to be collected during start-up and shutdown. </t>
    </r>
  </si>
  <si>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 </t>
    </r>
  </si>
  <si>
    <r>
      <t xml:space="preserve">b </t>
    </r>
    <r>
      <rPr>
        <sz val="10"/>
        <color theme="1"/>
        <rFont val="Times New Roman"/>
        <family val="1"/>
      </rPr>
      <t xml:space="preserve"> There are 152 large MWC units at 57 facilities. Of these, there are 90 units at 35 plants that are privately owned. We have assumed that there will be no new respondents over the three-year period of this ICR.</t>
    </r>
  </si>
  <si>
    <r>
      <rPr>
        <vertAlign val="superscript"/>
        <sz val="10"/>
        <color theme="1"/>
        <rFont val="Times New Roman"/>
        <family val="1"/>
      </rPr>
      <t>f</t>
    </r>
    <r>
      <rPr>
        <sz val="10"/>
        <color theme="1"/>
        <rFont val="Times New Roman"/>
        <family val="1"/>
      </rPr>
      <t xml:space="preserve">  Adjustments and record coding to accommodate new CEMS requirements during start-up and shutdown are included under the CEMS demonstration report element of 3C.</t>
    </r>
  </si>
  <si>
    <t>1.  Applications</t>
  </si>
  <si>
    <r>
      <t xml:space="preserve">A.  Familiarize with regulatory requirements </t>
    </r>
    <r>
      <rPr>
        <vertAlign val="superscript"/>
        <sz val="10"/>
        <color theme="1"/>
        <rFont val="Times New Roman"/>
        <family val="1"/>
      </rPr>
      <t>d</t>
    </r>
  </si>
  <si>
    <t>CEMS demonstration</t>
  </si>
  <si>
    <t>Records of all emission rates, computations, tests</t>
  </si>
  <si>
    <r>
      <t xml:space="preserve">TOTAL LABOR BURDEN AND COST (rounded) </t>
    </r>
    <r>
      <rPr>
        <b/>
        <vertAlign val="superscript"/>
        <sz val="10"/>
        <color theme="1"/>
        <rFont val="Times New Roman"/>
        <family val="1"/>
      </rPr>
      <t>e</t>
    </r>
  </si>
  <si>
    <r>
      <t xml:space="preserve">TOTAL CAPITAL AND O&amp;M COST (rounded) </t>
    </r>
    <r>
      <rPr>
        <b/>
        <vertAlign val="superscript"/>
        <sz val="10"/>
        <color theme="1"/>
        <rFont val="Times New Roman"/>
        <family val="1"/>
      </rPr>
      <t>e</t>
    </r>
  </si>
  <si>
    <r>
      <t xml:space="preserve">GRAND TOTAL (rounded) </t>
    </r>
    <r>
      <rPr>
        <b/>
        <vertAlign val="superscript"/>
        <sz val="10"/>
        <color theme="1"/>
        <rFont val="Times New Roman"/>
        <family val="1"/>
      </rPr>
      <t>e</t>
    </r>
  </si>
  <si>
    <r>
      <t xml:space="preserve">b </t>
    </r>
    <r>
      <rPr>
        <sz val="10"/>
        <color theme="1"/>
        <rFont val="Times New Roman"/>
        <family val="1"/>
      </rPr>
      <t xml:space="preserve"> There are 152 large MWC units at 57 facilities. Of these, there are 62 units at 22 plants that are publicly owned. We have assumed that there will be no new respondents over the three-year period of this ICR.</t>
    </r>
  </si>
  <si>
    <r>
      <rPr>
        <vertAlign val="superscript"/>
        <sz val="10"/>
        <color theme="1"/>
        <rFont val="Times New Roman"/>
        <family val="1"/>
      </rPr>
      <t>d</t>
    </r>
    <r>
      <rPr>
        <sz val="10"/>
        <color theme="1"/>
        <rFont val="Times New Roman"/>
        <family val="1"/>
      </rPr>
      <t xml:space="preserve"> This ICR assumes all existing respondents will have to familiarize themselves with the amended regulatory requirements each year for the first three years.</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</si>
  <si>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 </t>
    </r>
  </si>
  <si>
    <t>Year</t>
  </si>
  <si>
    <t>Total Labor Hours</t>
  </si>
  <si>
    <t>Labor Costs</t>
  </si>
  <si>
    <t>Non-Labor (Capital/Startup and O&amp;M) Costs</t>
  </si>
  <si>
    <t>Total Costs</t>
  </si>
  <si>
    <t>Total (rounded)</t>
  </si>
  <si>
    <t>Average (rounded)</t>
  </si>
  <si>
    <r>
      <t xml:space="preserve">1. Applications </t>
    </r>
    <r>
      <rPr>
        <vertAlign val="superscript"/>
        <sz val="10"/>
        <color theme="1"/>
        <rFont val="Times New Roman"/>
        <family val="1"/>
      </rPr>
      <t>d</t>
    </r>
  </si>
  <si>
    <t>Notification of construction/ modification</t>
  </si>
  <si>
    <t>Notification of actual startup</t>
  </si>
  <si>
    <t>Notification of initial/repeat performance test</t>
  </si>
  <si>
    <t>Semiannual report</t>
  </si>
  <si>
    <r>
      <t>TOTAL (rounded)</t>
    </r>
    <r>
      <rPr>
        <sz val="10"/>
        <color theme="1"/>
        <rFont val="Times New Roman"/>
        <family val="1"/>
      </rPr>
      <t> </t>
    </r>
    <r>
      <rPr>
        <b/>
        <vertAlign val="superscript"/>
        <sz val="10"/>
        <color theme="1"/>
        <rFont val="Times New Roman"/>
        <family val="1"/>
      </rPr>
      <t>e</t>
    </r>
  </si>
  <si>
    <r>
      <t xml:space="preserve">b </t>
    </r>
    <r>
      <rPr>
        <sz val="10"/>
        <color theme="1"/>
        <rFont val="Times New Roman"/>
        <family val="1"/>
      </rPr>
      <t xml:space="preserve"> There are 152 large MWC units at 57 facilities. Of these, there are 90 units at 35 plants that are privately owned and 62 units at 22 plants that are publicly owned. We have assumed that there will be no new respondents over the three-year period of this ICR.</t>
    </r>
  </si>
  <si>
    <r>
      <rPr>
        <vertAlign val="superscript"/>
        <sz val="10"/>
        <color theme="1"/>
        <rFont val="Times New Roman"/>
        <family val="1"/>
      </rPr>
      <t>c</t>
    </r>
    <r>
      <rPr>
        <sz val="10"/>
        <color theme="1"/>
        <rFont val="Times New Roman"/>
        <family val="1"/>
      </rPr>
      <t xml:space="preserve">  This ICR uses the following labor rates:  $73.46 for managerial, $54.51 for technical,  and $29.50 for clerical labor. These rates are from the Office of Personnel Management (OPM), 2021 General Schedule, which excludes locality rates of pay. The rates have been increased by 60 percent to account for the benefit packages available to government employees. </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</si>
  <si>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 </t>
    </r>
  </si>
  <si>
    <t>1. Applications</t>
  </si>
  <si>
    <r>
      <t>TOTAL (rounded)</t>
    </r>
    <r>
      <rPr>
        <sz val="10"/>
        <color theme="1"/>
        <rFont val="Times New Roman"/>
        <family val="1"/>
      </rPr>
      <t> </t>
    </r>
    <r>
      <rPr>
        <b/>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</si>
  <si>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 </t>
    </r>
  </si>
  <si>
    <t>Total Hours</t>
  </si>
  <si>
    <t>Non-Labor Costs</t>
  </si>
  <si>
    <t>Total (Rounded)</t>
  </si>
  <si>
    <t>Average (Rounded)</t>
  </si>
  <si>
    <t>Summary of Total Annual Responses</t>
  </si>
  <si>
    <t>Information Collection Activity</t>
  </si>
  <si>
    <t>Number of Respondents</t>
  </si>
  <si>
    <t>Number of Responses</t>
  </si>
  <si>
    <t>Number of Existing Respondents That Keep Records But Do Not Submit Reports</t>
  </si>
  <si>
    <t>Total Annual  Responses E=(BxC)+D</t>
  </si>
  <si>
    <t>Case-by-case NOx emission limit demonstration</t>
  </si>
  <si>
    <t>Subtotal (rounded)</t>
  </si>
  <si>
    <t>Respondents That Submit Reports</t>
  </si>
  <si>
    <t>Respondents That Do Not Submit Any Reports</t>
  </si>
  <si>
    <t>Number of New Respondents</t>
  </si>
  <si>
    <t>Number of Existing Respondents that keep records but do not submit reports</t>
  </si>
  <si>
    <t>Number of Existing Respondents That Are Also New Respondents</t>
  </si>
  <si>
    <t>Number of Respondents
(E=A+B+C-D)</t>
  </si>
  <si>
    <t>Average</t>
  </si>
  <si>
    <r>
      <rPr>
        <vertAlign val="superscript"/>
        <sz val="10"/>
        <color theme="1"/>
        <rFont val="Times New Roman"/>
        <family val="1"/>
      </rPr>
      <t>d</t>
    </r>
    <r>
      <rPr>
        <sz val="10"/>
        <color theme="1"/>
        <rFont val="Times New Roman"/>
        <family val="1"/>
      </rPr>
      <t xml:space="preserve"> No additional permit applications are anticipated within the first three years.</t>
    </r>
  </si>
  <si>
    <r>
      <t xml:space="preserve">Table 1a: Annual Municipality-Owned Respondent Burden and Cost Year One </t>
    </r>
    <r>
      <rPr>
        <b/>
        <sz val="12"/>
        <color theme="1"/>
        <rFont val="Calibri"/>
        <family val="2"/>
      </rPr>
      <t>–</t>
    </r>
    <r>
      <rPr>
        <b/>
        <sz val="12"/>
        <color theme="1"/>
        <rFont val="Times New Roman"/>
        <family val="1"/>
      </rPr>
      <t xml:space="preserve"> Emission Guidelines for Existing Sources: Large Municipal Waste Combustors Voluntary Remand Response and 5-year Review (40 CFR Part 60, Subpart WWWW) (Final Rule) </t>
    </r>
  </si>
  <si>
    <t xml:space="preserve">Table 4 - Summary of Annual Respondent Burden and Cost - Emission Guidelines for Existing Sources: Large Municipal Waste Combustors Voluntary Remand Response and 5-year Review (40 CFR Part 60, WWWW) (Final Rule)  </t>
  </si>
  <si>
    <r>
      <t xml:space="preserve">Table 3b: Annual Privately Owned Respondent Burden and Cost Year Three </t>
    </r>
    <r>
      <rPr>
        <b/>
        <sz val="12"/>
        <color theme="1"/>
        <rFont val="Calibri"/>
        <family val="2"/>
      </rPr>
      <t>–</t>
    </r>
    <r>
      <rPr>
        <b/>
        <sz val="12"/>
        <color theme="1"/>
        <rFont val="Times New Roman"/>
        <family val="1"/>
      </rPr>
      <t xml:space="preserve"> Emission Guidelines for Existing Sources: Large Municipal Waste Combustors Voluntary Remand Response and 5-year Review (40 CFR Part 60, Subpart WWWW) (Final Rule) </t>
    </r>
  </si>
  <si>
    <r>
      <t xml:space="preserve">Table 3a: Annual Municipality-Owned Respondent Burden and Cost Year Three </t>
    </r>
    <r>
      <rPr>
        <b/>
        <sz val="12"/>
        <color theme="1"/>
        <rFont val="Calibri"/>
        <family val="2"/>
      </rPr>
      <t>–</t>
    </r>
    <r>
      <rPr>
        <b/>
        <sz val="12"/>
        <color theme="1"/>
        <rFont val="Times New Roman"/>
        <family val="1"/>
      </rPr>
      <t xml:space="preserve"> Emission Guidelines for Existing Sources: Large Municipal Waste Combustors Voluntary Remand Response and 5-year Review (40 CFR Part 60, Subpart WWWW) (Final Rule) </t>
    </r>
  </si>
  <si>
    <r>
      <t xml:space="preserve">Table 2b: Annual Privately Owned Respondent Burden and Cost Year Two </t>
    </r>
    <r>
      <rPr>
        <b/>
        <sz val="12"/>
        <color theme="1"/>
        <rFont val="Calibri"/>
        <family val="2"/>
      </rPr>
      <t>–</t>
    </r>
    <r>
      <rPr>
        <b/>
        <sz val="12"/>
        <color theme="1"/>
        <rFont val="Times New Roman"/>
        <family val="1"/>
      </rPr>
      <t xml:space="preserve"> Emission Guidelines for Existing Sources: Large Municipal Waste Combustors Voluntary Remand Response and 5-year Review (40 CFR Part 60, Subpart WWWW) (Final Rule) </t>
    </r>
  </si>
  <si>
    <r>
      <t xml:space="preserve">Table 2a: Annual Municipality-Owned Respondent Burden and Cost Year Two </t>
    </r>
    <r>
      <rPr>
        <b/>
        <sz val="12"/>
        <color theme="1"/>
        <rFont val="Calibri"/>
        <family val="2"/>
      </rPr>
      <t>–</t>
    </r>
    <r>
      <rPr>
        <b/>
        <sz val="12"/>
        <color theme="1"/>
        <rFont val="Times New Roman"/>
        <family val="1"/>
      </rPr>
      <t xml:space="preserve"> Emission Guidelines for Existing Sources: Large Municipal Waste Combustors Voluntary Remand Response and 5-year Review (40 CFR Part 60, Subpart WWWW) (Final Rule) </t>
    </r>
  </si>
  <si>
    <r>
      <t xml:space="preserve">Table 1b: Annual Privately Owned Respondent Burden and Cost Year One </t>
    </r>
    <r>
      <rPr>
        <b/>
        <sz val="12"/>
        <color theme="1"/>
        <rFont val="Calibri"/>
        <family val="2"/>
      </rPr>
      <t>–</t>
    </r>
    <r>
      <rPr>
        <b/>
        <sz val="12"/>
        <color theme="1"/>
        <rFont val="Times New Roman"/>
        <family val="1"/>
      </rPr>
      <t xml:space="preserve"> Emission Guidelines for Existing Sources: Large Municipal Waste Combustors Voluntary Remand Response and 5-year Review (40 CFR Part 60, Subpart WWWW) (Final Rule) </t>
    </r>
  </si>
  <si>
    <t>Annual Respondent Burden and Cost of the Emission Guidelines for Existing Sources: Large Municipal Waste Combustors Voluntary Remand Response and 5-year Review (40 CFR Part 60, Subpart WWWW) (Final Rule) – (a) Publicly Owned and (b) Privately Owned; Years 1-3</t>
  </si>
  <si>
    <t>Annual Agency Burden and Cost of the Emission Guidelines for Existing Sources: Large Municipal Waste Combustors Voluntary Remand Response and 5-year Review (40 CFR Part 60, Subpart WWWW) (Final Rule) – Years 1-3</t>
  </si>
  <si>
    <t>Summary of Annual Respondent Burden and Cost of the Emission Guidelines for Existing Sources: Large Municipal Waste Combustors Voluntary Remand Response and 5-year Review (40 CFR Part 60, WWWW) (Final Rule) Rule)</t>
  </si>
  <si>
    <t>Summary of Annual Agency Burden and Cost of the Emission Guidelines for Existing Sources: Large Municipal Waste Combustors Voluntary Remand Response and 5-year Review (40 CFR Part 60, Subpart WWWW) (Final Rule)</t>
  </si>
  <si>
    <t xml:space="preserve">Emission Guidelines for Existing Sources: Large Municipal Waste Combustors Voluntary Remand Response and 5-year Review (40 CFR Part 60, Subpart WWWW) (Final Rule) </t>
  </si>
  <si>
    <t>2. Familiarize with Regulatory Requirements</t>
  </si>
  <si>
    <t xml:space="preserve">Table 9: Average Annual EPA Burden and Cost Year One - Emission Guidelines for Existing Sources: Large Municipal Waste Combustors Voluntary Remand Response and 5-year Review (40 CFR Part 60, Subpart WWWW) (Final Rule) </t>
  </si>
  <si>
    <t xml:space="preserve">Table 10: Average Annual EPA Burden and Cost Year Two - Emission Guidelines for Existing Sources: Large Municipal Waste Combustors Voluntary Remand Response and 5-year Review (40 CFR Part 60, Subpart WWWW) (Final Rule) </t>
  </si>
  <si>
    <t xml:space="preserve">Table 11: Average Annual EPA Burden and Cost Year Three - Emission Guidelines for Existing Sources: Large Municipal Waste Combustors Voluntary Remand Response and 5-year Review (40 CFR Part 60, Subpart WWWW) (Final Rule) </t>
  </si>
  <si>
    <t xml:space="preserve">Table 12: Summary of Annual Agency Burden and Cost of the Emission Guidelines for Existing Sources: Large Municipal Waste Combustors Voluntary Remand Response and 5-year Review (40 CFR Part 60, Subpart WWWW) (Final Rule) </t>
  </si>
  <si>
    <t>TABLES 9, 10, and 11</t>
  </si>
  <si>
    <t>TABLE 12</t>
  </si>
  <si>
    <t>Annual Designated Administrator Burden and Cost of the Emission Guidelines for Existing Sources: Large Municipal Waste Combustors Voluntary Remand Response and 5-year Review (40 CFR Part 60, Subpart WWWW) (Final Rule) – Years 1-3</t>
  </si>
  <si>
    <t>Summary of Annual Designated Burden and Cost of the Emission Guidelines for Existing Sources: Large Municipal Waste Combustors Voluntary Remand Response and 5-year Review (40 CFR Part 60, Subpart WWWW) (Final Rule)</t>
  </si>
  <si>
    <t xml:space="preserve">Table 5: Average Annual Designated Administrator Burden and Cost Year One - Emission Guidelines for Existing Sources: Large Municipal Waste Combustors Voluntary Remand Response and 5-year Review (40 CFR Part 60, Subpart WWWW) (Final Rule) </t>
  </si>
  <si>
    <t xml:space="preserve">Table 6: Average Annual Designated Administrator Burden and Cost Year Two - Emission Guidelines for Existing Sources: Large Municipal Waste Combustors Voluntary Remand Response and 5-year Review (40 CFR Part 60, Subpart WWWW) (Final Rule) </t>
  </si>
  <si>
    <t xml:space="preserve">Table 7: Average Annual Designated Administrator Burden and Cost Year Three - Emission Guidelines for Existing Sources: Large Municipal Waste Combustors Voluntary Remand Response and 5-year Review (40 CFR Part 60, Subpart WWWW) (Final Rule) </t>
  </si>
  <si>
    <t xml:space="preserve">Table 8: Summary of Annual Designated Administrator Burden and Cost of the Emission Guidelines for Existing Sources: Large Municipal Waste Combustors Voluntary Remand Response and 5-year Review (40 CFR Part 60, Subpart WWWW) (Final Rule) </t>
  </si>
  <si>
    <t xml:space="preserve">   A. Develop a state plan</t>
  </si>
  <si>
    <t>4. Review notifications and reports</t>
  </si>
  <si>
    <t xml:space="preserve"> Owners and operators of large MWCs</t>
  </si>
  <si>
    <t>Designated Administrators</t>
  </si>
  <si>
    <t>State plan submittal</t>
  </si>
  <si>
    <t>Notification of public hearing</t>
  </si>
  <si>
    <t xml:space="preserve">   C. Submit a negative declaration</t>
  </si>
  <si>
    <r>
      <t>3. Required Activities</t>
    </r>
    <r>
      <rPr>
        <vertAlign val="superscript"/>
        <sz val="10"/>
        <color theme="1"/>
        <rFont val="Times New Roman"/>
        <family val="1"/>
      </rPr>
      <t>e</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</si>
  <si>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 </t>
    </r>
  </si>
  <si>
    <r>
      <t>TOTAL (rounded)</t>
    </r>
    <r>
      <rPr>
        <sz val="10"/>
        <color theme="1"/>
        <rFont val="Times New Roman"/>
        <family val="1"/>
      </rPr>
      <t> </t>
    </r>
    <r>
      <rPr>
        <vertAlign val="superscript"/>
        <sz val="10"/>
        <color theme="1"/>
        <rFont val="Times New Roman"/>
        <family val="1"/>
      </rPr>
      <t>f</t>
    </r>
  </si>
  <si>
    <r>
      <rPr>
        <vertAlign val="superscript"/>
        <sz val="10"/>
        <color theme="1"/>
        <rFont val="Times New Roman"/>
        <family val="1"/>
      </rPr>
      <t>e</t>
    </r>
    <r>
      <rPr>
        <sz val="10"/>
        <color theme="1"/>
        <rFont val="Times New Roman"/>
        <family val="1"/>
      </rPr>
      <t xml:space="preserve"> We have assumed that Designated Administrators have completed all other activities for the units affected by this subpart that are currently subject to subparts Ea, Eb, and Cb. </t>
    </r>
  </si>
  <si>
    <r>
      <t>Number of Existing Respondents</t>
    </r>
    <r>
      <rPr>
        <vertAlign val="superscript"/>
        <sz val="10"/>
        <color rgb="FF000000"/>
        <rFont val="Times New Roman"/>
        <family val="1"/>
      </rPr>
      <t>a</t>
    </r>
  </si>
  <si>
    <r>
      <t xml:space="preserve">a An average of 57 large MWC plants (respondents) will be subject to the standards over the next three years. Additionally, it is estimated there will </t>
    </r>
    <r>
      <rPr>
        <sz val="10"/>
        <rFont val="Times New Roman"/>
        <family val="1"/>
      </rPr>
      <t>be</t>
    </r>
    <r>
      <rPr>
        <sz val="10"/>
        <color rgb="FFFF0000"/>
        <rFont val="Times New Roman"/>
        <family val="1"/>
      </rPr>
      <t xml:space="preserve"> </t>
    </r>
    <r>
      <rPr>
        <sz val="10"/>
        <color theme="1"/>
        <rFont val="Times New Roman"/>
        <family val="1"/>
      </rPr>
      <t>15 State Designated Administrators. Total number of respondents = (57 + 15) = 72.</t>
    </r>
  </si>
  <si>
    <t>TABLE: Number of Respondents</t>
  </si>
  <si>
    <t>TABLE: Summary of Total Annual Responses</t>
  </si>
  <si>
    <r>
      <t xml:space="preserve">2. Applications </t>
    </r>
    <r>
      <rPr>
        <vertAlign val="superscript"/>
        <sz val="10"/>
        <color theme="1"/>
        <rFont val="Times New Roman"/>
        <family val="1"/>
      </rPr>
      <t>d</t>
    </r>
  </si>
  <si>
    <t>1. Review State reports</t>
  </si>
  <si>
    <t xml:space="preserve">   Review notification of public hearing on State plan</t>
  </si>
  <si>
    <t xml:space="preserve">   Review/approve State plan</t>
  </si>
  <si>
    <t xml:space="preserve">   B. Public hearing on state plan and certification of hearing</t>
  </si>
  <si>
    <t xml:space="preserve">   Review certification for public hearing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</si>
</sst>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3" formatCode="_(* #,##0.00_);_(* \(#,##0.00\);_(* &quot;-&quot;??_);_(@_)"/>
    <numFmt numFmtId="164" formatCode="&quot;$&quot;#,##0.00"/>
    <numFmt numFmtId="165" formatCode="0.0"/>
    <numFmt numFmtId="166" formatCode="General_)"/>
    <numFmt numFmtId="167" formatCode="&quot;$&quot;#,##0"/>
  </numFmts>
  <fonts count="34"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sz val="10"/>
      <color rgb="FF000000"/>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10"/>
      <color rgb="FFFF0000"/>
      <name val="Times New Roman"/>
      <family val="1"/>
    </font>
    <font>
      <b/>
      <sz val="11"/>
      <color theme="1"/>
      <name val="Times New Roman"/>
      <family val="1"/>
    </font>
    <font>
      <sz val="11"/>
      <color theme="1"/>
      <name val="Times New Roman"/>
      <family val="1"/>
    </font>
    <font>
      <sz val="10"/>
      <name val="Times New Roman"/>
      <family val="1"/>
    </font>
    <font>
      <sz val="9"/>
      <color rgb="FF000000"/>
      <name val="Times New Roman"/>
      <family val="1"/>
    </font>
    <font>
      <b/>
      <sz val="12"/>
      <color rgb="FF000000"/>
      <name val="Times New Roman"/>
      <family val="1"/>
    </font>
    <font>
      <sz val="10"/>
      <color rgb="FF000000"/>
      <name val="Times New Roman"/>
      <family val="1"/>
    </font>
    <font>
      <sz val="12"/>
      <color rgb="FF000000"/>
      <name val="Times New Roman"/>
      <family val="1"/>
    </font>
    <font>
      <sz val="12"/>
      <color theme="1"/>
      <name val="Calibri"/>
      <family val="2"/>
      <scheme val="minor"/>
    </font>
    <font>
      <sz val="9"/>
      <name val="Times New Roman"/>
      <family val="1"/>
    </font>
    <font>
      <b/>
      <sz val="12"/>
      <name val="Times New Roman"/>
      <family val="1"/>
    </font>
    <font>
      <b/>
      <sz val="10"/>
      <name val="Times New Roman"/>
      <family val="1"/>
    </font>
    <font>
      <sz val="12"/>
      <color theme="1"/>
      <name val="Times New Roman"/>
      <family val="1"/>
    </font>
    <font>
      <u/>
      <sz val="11"/>
      <color theme="10"/>
      <name val="Calibri"/>
      <family val="2"/>
      <scheme val="minor"/>
    </font>
    <font>
      <sz val="10"/>
      <name val="Arial"/>
      <family val="2"/>
    </font>
    <font>
      <b/>
      <sz val="11"/>
      <name val="Calibri"/>
      <family val="2"/>
      <scheme val="minor"/>
    </font>
    <font>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sz val="8"/>
      <name val="Courier"/>
      <family val="3"/>
    </font>
    <font>
      <sz val="11"/>
      <color theme="1"/>
      <name val="Calibri"/>
      <family val="2"/>
      <scheme val="minor"/>
    </font>
    <font>
      <i/>
      <sz val="10"/>
      <name val="Calibri"/>
      <family val="2"/>
      <scheme val="minor"/>
    </font>
    <font>
      <b/>
      <sz val="12"/>
      <color theme="1"/>
      <name val="Calibri"/>
      <family val="2"/>
    </font>
    <font>
      <vertAlign val="superscript"/>
      <sz val="10"/>
      <name val="Times New Roman"/>
      <family val="1"/>
    </font>
    <font>
      <vertAlign val="superscript"/>
      <sz val="10"/>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39997558519241921"/>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s>
  <cellStyleXfs count="7">
    <xf numFmtId="0" fontId="0" fillId="0" borderId="0"/>
    <xf numFmtId="0" fontId="16" fillId="0" borderId="0"/>
    <xf numFmtId="0" fontId="21" fillId="0" borderId="0" applyNumberFormat="0" applyFill="0" applyBorder="0" applyAlignment="0" applyProtection="0"/>
    <xf numFmtId="0" fontId="22" fillId="0" borderId="0"/>
    <xf numFmtId="0" fontId="28" fillId="0" borderId="0"/>
    <xf numFmtId="9" fontId="29" fillId="0" borderId="0" applyFont="0" applyFill="0" applyBorder="0" applyAlignment="0" applyProtection="0"/>
    <xf numFmtId="43" fontId="29" fillId="0" borderId="0" applyFont="0" applyFill="0" applyBorder="0" applyAlignment="0" applyProtection="0"/>
  </cellStyleXfs>
  <cellXfs count="152">
    <xf numFmtId="0" fontId="0" fillId="0" borderId="0" xfId="0"/>
    <xf numFmtId="0" fontId="1" fillId="0" borderId="0" xfId="0" applyFont="1" applyAlignment="1">
      <alignment vertical="center"/>
    </xf>
    <xf numFmtId="164" fontId="2" fillId="0" borderId="0" xfId="0" applyNumberFormat="1" applyFont="1"/>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2" fillId="0" borderId="2" xfId="0" applyFont="1" applyBorder="1" applyAlignment="1">
      <alignment horizontal="left" vertical="center" wrapText="1" indent="1"/>
    </xf>
    <xf numFmtId="8" fontId="2" fillId="0" borderId="2" xfId="0" applyNumberFormat="1" applyFont="1" applyBorder="1" applyAlignment="1">
      <alignment horizontal="right" vertical="center" wrapText="1"/>
    </xf>
    <xf numFmtId="0" fontId="2" fillId="0" borderId="2" xfId="0" applyFont="1" applyBorder="1" applyAlignment="1">
      <alignment horizontal="left" vertical="center" wrapText="1" indent="2"/>
    </xf>
    <xf numFmtId="165"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7" fillId="0" borderId="2" xfId="0" applyFont="1" applyBorder="1" applyAlignment="1">
      <alignment vertical="center" wrapText="1"/>
    </xf>
    <xf numFmtId="6" fontId="3" fillId="0" borderId="2" xfId="0" applyNumberFormat="1" applyFont="1" applyBorder="1" applyAlignment="1">
      <alignment horizontal="right" vertical="center" wrapText="1"/>
    </xf>
    <xf numFmtId="0" fontId="3" fillId="0" borderId="2" xfId="0" applyFont="1" applyBorder="1" applyAlignment="1">
      <alignment vertical="center" wrapText="1"/>
    </xf>
    <xf numFmtId="0" fontId="3" fillId="0" borderId="0" xfId="0" applyFont="1" applyAlignment="1">
      <alignment vertical="center"/>
    </xf>
    <xf numFmtId="0" fontId="1" fillId="0" borderId="0" xfId="0" applyFont="1"/>
    <xf numFmtId="0" fontId="2" fillId="0" borderId="0" xfId="0" applyFont="1"/>
    <xf numFmtId="0" fontId="8" fillId="0" borderId="0" xfId="0" applyFont="1"/>
    <xf numFmtId="0" fontId="9" fillId="0" borderId="0" xfId="0" applyFont="1"/>
    <xf numFmtId="0" fontId="10" fillId="0" borderId="0" xfId="0" applyFont="1"/>
    <xf numFmtId="0" fontId="4" fillId="0" borderId="2" xfId="0" applyFont="1" applyBorder="1" applyAlignment="1">
      <alignment horizontal="center" vertical="center"/>
    </xf>
    <xf numFmtId="0" fontId="12" fillId="0" borderId="2" xfId="0" applyFont="1" applyBorder="1" applyAlignment="1">
      <alignment horizontal="center" vertical="center" wrapText="1"/>
    </xf>
    <xf numFmtId="0" fontId="14" fillId="0" borderId="2" xfId="0" applyFont="1" applyBorder="1" applyAlignment="1">
      <alignment horizontal="center" vertical="center"/>
    </xf>
    <xf numFmtId="0" fontId="11" fillId="0" borderId="2" xfId="0" applyFont="1" applyBorder="1" applyAlignment="1">
      <alignment horizontal="center" vertical="center"/>
    </xf>
    <xf numFmtId="0" fontId="14" fillId="0" borderId="2" xfId="0" applyFont="1" applyBorder="1" applyAlignment="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2" fontId="2" fillId="0" borderId="2" xfId="0" applyNumberFormat="1" applyFont="1" applyBorder="1" applyAlignment="1">
      <alignment horizontal="center" vertical="center" wrapText="1"/>
    </xf>
    <xf numFmtId="166" fontId="18" fillId="2" borderId="0" xfId="0" applyNumberFormat="1" applyFont="1" applyFill="1" applyAlignment="1">
      <alignment vertical="center"/>
    </xf>
    <xf numFmtId="166" fontId="18" fillId="2" borderId="0" xfId="0" applyNumberFormat="1" applyFont="1" applyFill="1" applyAlignment="1">
      <alignment vertical="center" wrapText="1"/>
    </xf>
    <xf numFmtId="166" fontId="19" fillId="2" borderId="2" xfId="0" applyNumberFormat="1" applyFont="1" applyFill="1" applyBorder="1" applyAlignment="1">
      <alignment horizontal="center"/>
    </xf>
    <xf numFmtId="166" fontId="11" fillId="2" borderId="2" xfId="0" applyNumberFormat="1" applyFont="1" applyFill="1" applyBorder="1" applyAlignment="1">
      <alignment horizontal="center"/>
    </xf>
    <xf numFmtId="166" fontId="19" fillId="3" borderId="2" xfId="0" applyNumberFormat="1" applyFont="1" applyFill="1" applyBorder="1" applyAlignment="1">
      <alignment horizontal="center" wrapText="1"/>
    </xf>
    <xf numFmtId="166" fontId="19" fillId="0" borderId="2" xfId="0" applyNumberFormat="1" applyFont="1" applyBorder="1" applyAlignment="1">
      <alignment horizontal="center" wrapText="1"/>
    </xf>
    <xf numFmtId="3" fontId="11" fillId="3" borderId="2" xfId="0" applyNumberFormat="1" applyFont="1" applyFill="1" applyBorder="1" applyAlignment="1">
      <alignment horizontal="center"/>
    </xf>
    <xf numFmtId="167" fontId="11" fillId="3" borderId="2" xfId="0" applyNumberFormat="1" applyFont="1" applyFill="1" applyBorder="1" applyAlignment="1">
      <alignment horizontal="center"/>
    </xf>
    <xf numFmtId="3" fontId="19" fillId="3" borderId="2" xfId="0" applyNumberFormat="1" applyFont="1" applyFill="1" applyBorder="1" applyAlignment="1">
      <alignment horizontal="center"/>
    </xf>
    <xf numFmtId="167" fontId="19" fillId="3" borderId="2" xfId="0" applyNumberFormat="1" applyFont="1" applyFill="1" applyBorder="1" applyAlignment="1">
      <alignment horizontal="center"/>
    </xf>
    <xf numFmtId="167" fontId="0" fillId="0" borderId="0" xfId="0" applyNumberFormat="1"/>
    <xf numFmtId="3" fontId="19" fillId="0" borderId="2" xfId="0" applyNumberFormat="1" applyFont="1" applyBorder="1" applyAlignment="1">
      <alignment horizontal="center"/>
    </xf>
    <xf numFmtId="167" fontId="19" fillId="0" borderId="2" xfId="0" applyNumberFormat="1" applyFont="1" applyBorder="1" applyAlignment="1">
      <alignment horizontal="center"/>
    </xf>
    <xf numFmtId="166" fontId="19" fillId="2" borderId="6" xfId="0" applyNumberFormat="1" applyFont="1" applyFill="1" applyBorder="1" applyAlignment="1">
      <alignment horizontal="center"/>
    </xf>
    <xf numFmtId="166" fontId="19" fillId="2" borderId="6" xfId="0" applyNumberFormat="1" applyFont="1" applyFill="1" applyBorder="1" applyAlignment="1">
      <alignment horizontal="center" wrapText="1"/>
    </xf>
    <xf numFmtId="166" fontId="11" fillId="2" borderId="3" xfId="0" applyNumberFormat="1" applyFont="1" applyFill="1" applyBorder="1" applyAlignment="1">
      <alignment horizontal="center"/>
    </xf>
    <xf numFmtId="3" fontId="11" fillId="2" borderId="3" xfId="0" applyNumberFormat="1" applyFont="1" applyFill="1" applyBorder="1" applyAlignment="1">
      <alignment horizontal="center"/>
    </xf>
    <xf numFmtId="167" fontId="11" fillId="2" borderId="3" xfId="0" applyNumberFormat="1" applyFont="1" applyFill="1" applyBorder="1" applyAlignment="1">
      <alignment horizontal="center"/>
    </xf>
    <xf numFmtId="3" fontId="11" fillId="2" borderId="2" xfId="0" applyNumberFormat="1" applyFont="1" applyFill="1" applyBorder="1" applyAlignment="1">
      <alignment horizontal="center"/>
    </xf>
    <xf numFmtId="167" fontId="11" fillId="2" borderId="2" xfId="0" applyNumberFormat="1" applyFont="1" applyFill="1" applyBorder="1" applyAlignment="1">
      <alignment horizontal="center"/>
    </xf>
    <xf numFmtId="166" fontId="11" fillId="2" borderId="6" xfId="0" applyNumberFormat="1" applyFont="1" applyFill="1" applyBorder="1" applyAlignment="1">
      <alignment horizontal="center"/>
    </xf>
    <xf numFmtId="3" fontId="11" fillId="2" borderId="6" xfId="0" applyNumberFormat="1" applyFont="1" applyFill="1" applyBorder="1" applyAlignment="1">
      <alignment horizontal="center"/>
    </xf>
    <xf numFmtId="167" fontId="11" fillId="2" borderId="6" xfId="0" applyNumberFormat="1" applyFont="1" applyFill="1" applyBorder="1" applyAlignment="1">
      <alignment horizontal="center"/>
    </xf>
    <xf numFmtId="167" fontId="11" fillId="2" borderId="7" xfId="0" applyNumberFormat="1" applyFont="1" applyFill="1" applyBorder="1" applyAlignment="1">
      <alignment horizontal="center"/>
    </xf>
    <xf numFmtId="167" fontId="11" fillId="2" borderId="8" xfId="0" applyNumberFormat="1" applyFont="1" applyFill="1" applyBorder="1" applyAlignment="1">
      <alignment horizontal="center"/>
    </xf>
    <xf numFmtId="1" fontId="12" fillId="0" borderId="2"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xf>
    <xf numFmtId="166" fontId="19" fillId="2" borderId="3" xfId="0" applyNumberFormat="1" applyFont="1" applyFill="1" applyBorder="1" applyAlignment="1">
      <alignment horizontal="center"/>
    </xf>
    <xf numFmtId="0" fontId="20" fillId="0" borderId="0" xfId="0" applyFont="1" applyAlignment="1">
      <alignment vertical="center"/>
    </xf>
    <xf numFmtId="0" fontId="13" fillId="0" borderId="0" xfId="0" applyFont="1" applyAlignment="1">
      <alignment vertical="center"/>
    </xf>
    <xf numFmtId="0" fontId="0" fillId="0" borderId="0" xfId="0" applyAlignment="1">
      <alignment vertical="center"/>
    </xf>
    <xf numFmtId="0" fontId="20" fillId="0" borderId="0" xfId="0" applyFont="1" applyAlignment="1">
      <alignment horizontal="left" vertical="center"/>
    </xf>
    <xf numFmtId="0" fontId="23" fillId="0" borderId="0" xfId="1" applyFont="1" applyAlignment="1">
      <alignment vertical="center"/>
    </xf>
    <xf numFmtId="0" fontId="24" fillId="0" borderId="0" xfId="0" applyFont="1" applyAlignment="1">
      <alignment vertical="center"/>
    </xf>
    <xf numFmtId="0" fontId="25" fillId="0" borderId="11" xfId="1" applyFont="1" applyBorder="1" applyAlignment="1">
      <alignment vertical="center"/>
    </xf>
    <xf numFmtId="0" fontId="24" fillId="0" borderId="11" xfId="0" applyFont="1" applyBorder="1" applyAlignment="1">
      <alignment vertical="center"/>
    </xf>
    <xf numFmtId="0" fontId="26" fillId="4" borderId="15" xfId="1" applyFont="1" applyFill="1" applyBorder="1" applyAlignment="1">
      <alignment horizontal="center" vertical="center"/>
    </xf>
    <xf numFmtId="17" fontId="26" fillId="4" borderId="3" xfId="1" applyNumberFormat="1" applyFont="1" applyFill="1" applyBorder="1" applyAlignment="1">
      <alignment horizontal="center" vertical="center"/>
    </xf>
    <xf numFmtId="0" fontId="26" fillId="4" borderId="3" xfId="1" applyFont="1" applyFill="1" applyBorder="1" applyAlignment="1">
      <alignment horizontal="center" vertical="center" wrapText="1"/>
    </xf>
    <xf numFmtId="17" fontId="26" fillId="4" borderId="3" xfId="1" applyNumberFormat="1" applyFont="1" applyFill="1" applyBorder="1" applyAlignment="1">
      <alignment horizontal="center" vertical="center" wrapText="1"/>
    </xf>
    <xf numFmtId="0" fontId="26" fillId="5" borderId="16" xfId="1" applyFont="1" applyFill="1" applyBorder="1" applyAlignment="1">
      <alignment horizontal="center" vertical="center" wrapText="1"/>
    </xf>
    <xf numFmtId="0" fontId="24" fillId="0" borderId="9" xfId="0" applyFont="1" applyBorder="1" applyAlignment="1">
      <alignment vertical="center"/>
    </xf>
    <xf numFmtId="0" fontId="25" fillId="0" borderId="2" xfId="1" applyFont="1" applyBorder="1" applyAlignment="1">
      <alignment vertical="center"/>
    </xf>
    <xf numFmtId="0" fontId="25" fillId="0" borderId="2" xfId="0" applyFont="1" applyBorder="1" applyAlignment="1">
      <alignment vertical="center"/>
    </xf>
    <xf numFmtId="2" fontId="25" fillId="4" borderId="10" xfId="0" applyNumberFormat="1" applyFont="1" applyFill="1" applyBorder="1" applyAlignment="1">
      <alignment vertical="center"/>
    </xf>
    <xf numFmtId="49" fontId="25" fillId="0" borderId="2" xfId="1" applyNumberFormat="1" applyFont="1" applyBorder="1" applyAlignment="1">
      <alignment vertical="center"/>
    </xf>
    <xf numFmtId="0" fontId="24" fillId="0" borderId="12" xfId="0" applyFont="1" applyBorder="1" applyAlignment="1">
      <alignment vertical="center"/>
    </xf>
    <xf numFmtId="49" fontId="25" fillId="0" borderId="13" xfId="1" applyNumberFormat="1" applyFont="1" applyBorder="1" applyAlignment="1">
      <alignment vertical="center"/>
    </xf>
    <xf numFmtId="0" fontId="25" fillId="0" borderId="13" xfId="1" applyFont="1" applyBorder="1" applyAlignment="1">
      <alignment vertical="center"/>
    </xf>
    <xf numFmtId="0" fontId="25" fillId="0" borderId="13" xfId="0" applyFont="1" applyBorder="1" applyAlignment="1">
      <alignment vertical="center"/>
    </xf>
    <xf numFmtId="2" fontId="25" fillId="4" borderId="14" xfId="0" applyNumberFormat="1" applyFont="1" applyFill="1" applyBorder="1" applyAlignment="1">
      <alignment vertical="center"/>
    </xf>
    <xf numFmtId="0" fontId="27" fillId="0" borderId="0" xfId="2" applyFont="1" applyBorder="1" applyAlignment="1">
      <alignment vertical="center"/>
    </xf>
    <xf numFmtId="49" fontId="25" fillId="0" borderId="0" xfId="1" applyNumberFormat="1" applyFont="1" applyAlignment="1">
      <alignment vertical="center"/>
    </xf>
    <xf numFmtId="0" fontId="25" fillId="0" borderId="0" xfId="1" applyFont="1" applyAlignment="1">
      <alignment vertical="center"/>
    </xf>
    <xf numFmtId="0" fontId="25" fillId="0" borderId="0" xfId="0" applyFont="1" applyAlignment="1">
      <alignment vertical="center"/>
    </xf>
    <xf numFmtId="2" fontId="25" fillId="0" borderId="0" xfId="0" applyNumberFormat="1" applyFont="1" applyAlignment="1">
      <alignment vertical="center"/>
    </xf>
    <xf numFmtId="0" fontId="21" fillId="0" borderId="0" xfId="2" applyBorder="1" applyAlignment="1" applyProtection="1">
      <alignment vertical="center"/>
    </xf>
    <xf numFmtId="0" fontId="27" fillId="0" borderId="0" xfId="2" applyFont="1" applyFill="1" applyBorder="1" applyAlignment="1" applyProtection="1">
      <alignment vertical="center"/>
    </xf>
    <xf numFmtId="0" fontId="23" fillId="0" borderId="11" xfId="3" applyFont="1" applyBorder="1" applyAlignment="1">
      <alignment vertical="center"/>
    </xf>
    <xf numFmtId="0" fontId="25" fillId="0" borderId="11" xfId="4" applyFont="1" applyBorder="1" applyAlignment="1">
      <alignment vertical="center"/>
    </xf>
    <xf numFmtId="0" fontId="25" fillId="0" borderId="15" xfId="3" applyFont="1" applyBorder="1" applyAlignment="1">
      <alignment vertical="center" wrapText="1"/>
    </xf>
    <xf numFmtId="0" fontId="26" fillId="0" borderId="3" xfId="3" applyFont="1" applyBorder="1" applyAlignment="1">
      <alignment vertical="center" wrapText="1"/>
    </xf>
    <xf numFmtId="0" fontId="26" fillId="0" borderId="16" xfId="3" applyFont="1" applyBorder="1" applyAlignment="1">
      <alignment vertical="center" wrapText="1"/>
    </xf>
    <xf numFmtId="0" fontId="25" fillId="0" borderId="9" xfId="3" applyFont="1" applyBorder="1" applyAlignment="1">
      <alignment vertical="center"/>
    </xf>
    <xf numFmtId="0" fontId="25" fillId="0" borderId="2" xfId="3" applyFont="1" applyBorder="1" applyAlignment="1">
      <alignment vertical="center"/>
    </xf>
    <xf numFmtId="164" fontId="25" fillId="4" borderId="10" xfId="4" applyNumberFormat="1" applyFont="1" applyFill="1" applyBorder="1" applyAlignment="1">
      <alignment vertical="center"/>
    </xf>
    <xf numFmtId="164" fontId="24" fillId="0" borderId="0" xfId="0" applyNumberFormat="1" applyFont="1" applyAlignment="1">
      <alignment vertical="center"/>
    </xf>
    <xf numFmtId="0" fontId="25" fillId="0" borderId="9" xfId="4" applyFont="1" applyBorder="1" applyAlignment="1">
      <alignment vertical="center"/>
    </xf>
    <xf numFmtId="0" fontId="25" fillId="0" borderId="2" xfId="4" applyFont="1" applyBorder="1" applyAlignment="1">
      <alignment vertical="center"/>
    </xf>
    <xf numFmtId="0" fontId="25" fillId="0" borderId="12" xfId="3" applyFont="1" applyBorder="1" applyAlignment="1">
      <alignment vertical="center"/>
    </xf>
    <xf numFmtId="0" fontId="25" fillId="0" borderId="13" xfId="3" applyFont="1" applyBorder="1" applyAlignment="1">
      <alignment vertical="center"/>
    </xf>
    <xf numFmtId="164" fontId="25" fillId="4" borderId="14" xfId="4" applyNumberFormat="1" applyFont="1" applyFill="1" applyBorder="1" applyAlignment="1">
      <alignment vertical="center"/>
    </xf>
    <xf numFmtId="0" fontId="25" fillId="0" borderId="0" xfId="3" applyFont="1" applyAlignment="1">
      <alignment vertical="center"/>
    </xf>
    <xf numFmtId="0" fontId="25" fillId="0" borderId="0" xfId="4" applyFont="1" applyAlignment="1">
      <alignment vertical="center"/>
    </xf>
    <xf numFmtId="1" fontId="25" fillId="0" borderId="10" xfId="4" applyNumberFormat="1" applyFont="1" applyBorder="1" applyAlignment="1">
      <alignment vertical="center"/>
    </xf>
    <xf numFmtId="0" fontId="30" fillId="0" borderId="9" xfId="3" applyFont="1" applyBorder="1" applyAlignment="1">
      <alignment horizontal="left" vertical="center"/>
    </xf>
    <xf numFmtId="0" fontId="30" fillId="0" borderId="2" xfId="3" applyFont="1" applyBorder="1" applyAlignment="1">
      <alignment vertical="center"/>
    </xf>
    <xf numFmtId="1" fontId="30" fillId="0" borderId="10" xfId="4" applyNumberFormat="1" applyFont="1" applyBorder="1" applyAlignment="1">
      <alignment vertical="center"/>
    </xf>
    <xf numFmtId="0" fontId="30" fillId="0" borderId="12" xfId="3" applyFont="1" applyBorder="1" applyAlignment="1">
      <alignment horizontal="left" vertical="center"/>
    </xf>
    <xf numFmtId="0" fontId="30" fillId="0" borderId="13" xfId="3" applyFont="1" applyBorder="1" applyAlignment="1">
      <alignment vertical="center"/>
    </xf>
    <xf numFmtId="1" fontId="30" fillId="0" borderId="14" xfId="4" applyNumberFormat="1" applyFont="1" applyBorder="1" applyAlignment="1">
      <alignment vertical="center"/>
    </xf>
    <xf numFmtId="0" fontId="13" fillId="0" borderId="0" xfId="0" applyFont="1" applyAlignment="1">
      <alignment horizontal="left" vertical="center"/>
    </xf>
    <xf numFmtId="9" fontId="0" fillId="0" borderId="0" xfId="5" applyFont="1" applyFill="1" applyBorder="1" applyAlignment="1">
      <alignment vertical="center"/>
    </xf>
    <xf numFmtId="0" fontId="11" fillId="0" borderId="2" xfId="0" applyFont="1" applyBorder="1" applyAlignment="1">
      <alignment vertical="center" wrapText="1"/>
    </xf>
    <xf numFmtId="0" fontId="24" fillId="0" borderId="0" xfId="0" applyFont="1" applyAlignment="1">
      <alignment horizontal="left" vertical="center"/>
    </xf>
    <xf numFmtId="1" fontId="14" fillId="0" borderId="2" xfId="0" applyNumberFormat="1" applyFont="1" applyBorder="1" applyAlignment="1">
      <alignment horizontal="center" vertical="center"/>
    </xf>
    <xf numFmtId="1"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2" fillId="0" borderId="2" xfId="6"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6" fontId="2" fillId="0" borderId="2" xfId="0" applyNumberFormat="1" applyFont="1" applyBorder="1" applyAlignment="1">
      <alignment horizontal="right" vertical="center" wrapText="1"/>
    </xf>
    <xf numFmtId="0" fontId="16" fillId="0" borderId="0" xfId="0" applyFont="1" applyAlignment="1">
      <alignment vertical="center"/>
    </xf>
    <xf numFmtId="0" fontId="15"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 fillId="0" borderId="0" xfId="0" applyFont="1" applyAlignment="1">
      <alignment horizontal="lef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6" fillId="0" borderId="0" xfId="0" applyFont="1" applyAlignment="1">
      <alignment horizontal="left" vertical="top" wrapText="1"/>
    </xf>
    <xf numFmtId="0" fontId="32" fillId="0" borderId="0" xfId="0" applyFont="1" applyAlignment="1">
      <alignment horizontal="left" vertical="top" wrapText="1"/>
    </xf>
    <xf numFmtId="0" fontId="1"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top"/>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 xfId="0" applyFont="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5" fillId="0" borderId="2" xfId="0" applyFont="1" applyBorder="1" applyAlignment="1">
      <alignment vertical="center" wrapText="1"/>
    </xf>
    <xf numFmtId="0" fontId="13" fillId="0" borderId="2" xfId="0" applyFont="1" applyBorder="1" applyAlignment="1">
      <alignment horizontal="center"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cellXfs>
  <cellStyles count="7">
    <cellStyle name="Comma" xfId="6" builtinId="3"/>
    <cellStyle name="Hyperlink" xfId="2" builtinId="8"/>
    <cellStyle name="Normal" xfId="0" builtinId="0"/>
    <cellStyle name="Normal 2" xfId="1" xr:uid="{7E6C7388-5E63-4F6D-AA25-0F1E37A85685}"/>
    <cellStyle name="Normal_HMIWI EG SS" xfId="4" xr:uid="{3BF2AC5D-DA26-4339-830C-C3D4B84C2EEB}"/>
    <cellStyle name="Normal_ICR Cost Inputs" xfId="3" xr:uid="{9939D3D8-231F-499D-83DF-D96B98965EA9}"/>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pm.gov/policy-data-oversight/pay-leave/salaries-wages/salary-tables/23Tables/html/GS_h.aspx" TargetMode="External"/><Relationship Id="rId1" Type="http://schemas.openxmlformats.org/officeDocument/2006/relationships/hyperlink" Target="https://www.bls.gov/oes/current/naics4_5622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073D8-DD4B-4B7E-AE0C-9266759FBA30}">
  <dimension ref="A1:Q25"/>
  <sheetViews>
    <sheetView topLeftCell="A3" workbookViewId="0">
      <selection activeCell="A23" sqref="A23:A25"/>
    </sheetView>
  </sheetViews>
  <sheetFormatPr defaultColWidth="8.85546875" defaultRowHeight="15" x14ac:dyDescent="0.25"/>
  <cols>
    <col min="1" max="16384" width="8.85546875" style="63"/>
  </cols>
  <sheetData>
    <row r="1" spans="1:17" ht="15.75" x14ac:dyDescent="0.25">
      <c r="A1" s="127" t="s">
        <v>0</v>
      </c>
      <c r="B1" s="127"/>
      <c r="C1" s="127"/>
      <c r="D1" s="127"/>
      <c r="E1" s="127"/>
      <c r="F1" s="127"/>
      <c r="G1" s="127"/>
      <c r="H1" s="127"/>
      <c r="I1" s="127"/>
      <c r="J1" s="127"/>
      <c r="K1" s="127"/>
      <c r="L1" s="127"/>
      <c r="M1" s="127"/>
      <c r="N1" s="127"/>
      <c r="O1" s="127"/>
      <c r="P1" s="127"/>
      <c r="Q1" s="127"/>
    </row>
    <row r="2" spans="1:17" ht="15.75" x14ac:dyDescent="0.25">
      <c r="A2" s="128" t="s">
        <v>1</v>
      </c>
      <c r="B2" s="129"/>
      <c r="C2" s="129"/>
      <c r="D2" s="129"/>
      <c r="E2" s="129"/>
      <c r="F2" s="129"/>
      <c r="G2" s="129"/>
      <c r="H2" s="129"/>
      <c r="I2" s="129"/>
      <c r="J2" s="129"/>
      <c r="K2" s="129"/>
      <c r="L2" s="129"/>
      <c r="M2" s="129"/>
      <c r="N2" s="129"/>
      <c r="O2" s="129"/>
      <c r="P2" s="129"/>
      <c r="Q2" s="129"/>
    </row>
    <row r="3" spans="1:17" ht="31.5" customHeight="1" x14ac:dyDescent="0.25">
      <c r="A3" s="128" t="s">
        <v>150</v>
      </c>
      <c r="B3" s="128"/>
      <c r="C3" s="128"/>
      <c r="D3" s="128"/>
      <c r="E3" s="128"/>
      <c r="F3" s="128"/>
      <c r="G3" s="128"/>
      <c r="H3" s="128"/>
      <c r="I3" s="128"/>
      <c r="J3" s="128"/>
      <c r="K3" s="128"/>
      <c r="L3" s="128"/>
      <c r="M3" s="128"/>
      <c r="N3" s="128"/>
      <c r="O3" s="128"/>
      <c r="P3" s="128"/>
      <c r="Q3" s="128"/>
    </row>
    <row r="4" spans="1:17" ht="15.75" x14ac:dyDescent="0.25">
      <c r="A4" s="61"/>
      <c r="B4" s="61"/>
      <c r="C4" s="61"/>
      <c r="D4" s="61"/>
      <c r="E4" s="61"/>
      <c r="F4" s="61"/>
      <c r="G4" s="61"/>
      <c r="H4" s="61"/>
      <c r="I4" s="61"/>
      <c r="J4" s="61"/>
      <c r="K4" s="61"/>
      <c r="L4" s="61"/>
      <c r="M4" s="61"/>
      <c r="N4" s="61"/>
      <c r="O4" s="61"/>
      <c r="P4" s="61"/>
      <c r="Q4" s="61"/>
    </row>
    <row r="5" spans="1:17" ht="15.75" x14ac:dyDescent="0.25">
      <c r="A5" s="1" t="s">
        <v>2</v>
      </c>
      <c r="B5" s="61"/>
      <c r="C5" s="61"/>
      <c r="D5" s="61"/>
      <c r="E5" s="61"/>
      <c r="F5" s="61"/>
      <c r="G5" s="61"/>
      <c r="H5" s="61"/>
      <c r="I5" s="61"/>
      <c r="J5" s="61"/>
      <c r="K5" s="61"/>
      <c r="L5" s="61"/>
      <c r="M5" s="61"/>
      <c r="N5" s="61"/>
      <c r="O5" s="61"/>
      <c r="P5" s="61"/>
      <c r="Q5" s="61"/>
    </row>
    <row r="6" spans="1:17" ht="31.5" customHeight="1" x14ac:dyDescent="0.25">
      <c r="A6" s="130" t="s">
        <v>146</v>
      </c>
      <c r="B6" s="130"/>
      <c r="C6" s="130"/>
      <c r="D6" s="130"/>
      <c r="E6" s="130"/>
      <c r="F6" s="130"/>
      <c r="G6" s="130"/>
      <c r="H6" s="130"/>
      <c r="I6" s="130"/>
      <c r="J6" s="130"/>
      <c r="K6" s="130"/>
      <c r="L6" s="130"/>
      <c r="M6" s="130"/>
      <c r="N6" s="130"/>
      <c r="O6" s="130"/>
      <c r="P6" s="130"/>
      <c r="Q6" s="130"/>
    </row>
    <row r="7" spans="1:17" ht="15.75" x14ac:dyDescent="0.25">
      <c r="A7" s="64"/>
      <c r="B7" s="61"/>
      <c r="C7" s="61"/>
      <c r="D7" s="61"/>
      <c r="E7" s="61"/>
      <c r="F7" s="61"/>
      <c r="G7" s="61"/>
      <c r="H7" s="61"/>
      <c r="I7" s="61"/>
      <c r="J7" s="61"/>
      <c r="K7" s="61"/>
      <c r="L7" s="61"/>
      <c r="M7" s="61"/>
      <c r="N7" s="61"/>
      <c r="O7" s="61"/>
      <c r="P7" s="61"/>
      <c r="Q7" s="61"/>
    </row>
    <row r="8" spans="1:17" ht="15.75" x14ac:dyDescent="0.25">
      <c r="A8" s="1" t="s">
        <v>3</v>
      </c>
      <c r="B8" s="61"/>
      <c r="C8" s="61"/>
      <c r="D8" s="61"/>
      <c r="E8" s="61"/>
      <c r="F8" s="61"/>
      <c r="G8" s="61"/>
      <c r="H8" s="61"/>
      <c r="I8" s="61"/>
      <c r="J8" s="61"/>
      <c r="K8" s="61"/>
      <c r="L8" s="61"/>
      <c r="M8" s="61"/>
      <c r="N8" s="61"/>
      <c r="O8" s="61"/>
      <c r="P8" s="61"/>
      <c r="Q8" s="61"/>
    </row>
    <row r="9" spans="1:17" ht="31.5" customHeight="1" x14ac:dyDescent="0.25">
      <c r="A9" s="130" t="s">
        <v>148</v>
      </c>
      <c r="B9" s="130"/>
      <c r="C9" s="130"/>
      <c r="D9" s="130"/>
      <c r="E9" s="130"/>
      <c r="F9" s="130"/>
      <c r="G9" s="130"/>
      <c r="H9" s="130"/>
      <c r="I9" s="130"/>
      <c r="J9" s="130"/>
      <c r="K9" s="130"/>
      <c r="L9" s="130"/>
      <c r="M9" s="130"/>
      <c r="N9" s="130"/>
      <c r="O9" s="130"/>
      <c r="P9" s="130"/>
      <c r="Q9" s="130"/>
    </row>
    <row r="10" spans="1:17" ht="15.75" x14ac:dyDescent="0.25">
      <c r="A10" s="61"/>
      <c r="B10" s="61"/>
      <c r="C10" s="61"/>
      <c r="D10" s="61"/>
      <c r="E10" s="61"/>
      <c r="F10" s="61"/>
      <c r="G10" s="61"/>
      <c r="H10" s="61"/>
      <c r="I10" s="61"/>
      <c r="J10" s="61"/>
      <c r="K10" s="61"/>
      <c r="L10" s="61"/>
      <c r="M10" s="61"/>
      <c r="N10" s="61"/>
      <c r="O10" s="61"/>
      <c r="P10" s="61"/>
      <c r="Q10" s="61"/>
    </row>
    <row r="11" spans="1:17" ht="15.75" x14ac:dyDescent="0.25">
      <c r="A11" s="62" t="s">
        <v>4</v>
      </c>
      <c r="B11" s="62"/>
      <c r="C11" s="61"/>
      <c r="D11" s="61"/>
      <c r="E11" s="61"/>
      <c r="F11" s="61"/>
      <c r="G11" s="61"/>
      <c r="H11" s="61"/>
      <c r="I11" s="61"/>
      <c r="J11" s="61"/>
      <c r="K11" s="61"/>
      <c r="L11" s="61"/>
      <c r="M11" s="61"/>
      <c r="N11" s="61"/>
      <c r="O11" s="61"/>
      <c r="P11" s="61"/>
      <c r="Q11" s="61"/>
    </row>
    <row r="12" spans="1:17" ht="15.75" x14ac:dyDescent="0.25">
      <c r="A12" s="126" t="s">
        <v>158</v>
      </c>
      <c r="B12" s="126"/>
      <c r="C12" s="126"/>
      <c r="D12" s="126"/>
      <c r="E12" s="126"/>
      <c r="F12" s="126"/>
      <c r="G12" s="126"/>
      <c r="H12" s="126"/>
      <c r="I12" s="126"/>
      <c r="J12" s="126"/>
      <c r="K12" s="126"/>
      <c r="L12" s="126"/>
      <c r="M12" s="126"/>
      <c r="N12" s="126"/>
      <c r="O12" s="126"/>
      <c r="P12" s="126"/>
      <c r="Q12" s="126"/>
    </row>
    <row r="13" spans="1:17" ht="32.25" customHeight="1" x14ac:dyDescent="0.25">
      <c r="A13" s="61"/>
      <c r="B13" s="61"/>
      <c r="C13" s="61"/>
      <c r="D13" s="61"/>
      <c r="E13" s="61"/>
      <c r="F13" s="61"/>
      <c r="G13" s="61"/>
      <c r="H13" s="61"/>
      <c r="I13" s="61"/>
      <c r="J13" s="61"/>
      <c r="K13" s="61"/>
      <c r="L13" s="61"/>
      <c r="M13" s="61"/>
      <c r="N13" s="61"/>
      <c r="O13" s="61"/>
      <c r="P13" s="61"/>
      <c r="Q13" s="61"/>
    </row>
    <row r="14" spans="1:17" ht="15.75" x14ac:dyDescent="0.25">
      <c r="A14" s="1" t="s">
        <v>5</v>
      </c>
      <c r="B14" s="61"/>
      <c r="C14" s="61"/>
      <c r="D14" s="61"/>
      <c r="E14" s="61"/>
      <c r="F14" s="61"/>
      <c r="G14" s="61"/>
      <c r="H14" s="61"/>
      <c r="I14" s="61"/>
      <c r="J14" s="61"/>
      <c r="K14" s="61"/>
      <c r="L14" s="61"/>
      <c r="M14" s="61"/>
      <c r="N14" s="61"/>
      <c r="O14" s="61"/>
      <c r="P14" s="61"/>
      <c r="Q14" s="61"/>
    </row>
    <row r="15" spans="1:17" ht="37.5" customHeight="1" x14ac:dyDescent="0.25">
      <c r="A15" s="126" t="s">
        <v>159</v>
      </c>
      <c r="B15" s="126"/>
      <c r="C15" s="126"/>
      <c r="D15" s="126"/>
      <c r="E15" s="126"/>
      <c r="F15" s="126"/>
      <c r="G15" s="126"/>
      <c r="H15" s="126"/>
      <c r="I15" s="126"/>
      <c r="J15" s="126"/>
      <c r="K15" s="126"/>
      <c r="L15" s="126"/>
      <c r="M15" s="126"/>
      <c r="N15" s="126"/>
      <c r="O15" s="126"/>
      <c r="P15" s="126"/>
      <c r="Q15" s="126"/>
    </row>
    <row r="16" spans="1:17" ht="12.75" customHeight="1" x14ac:dyDescent="0.25">
      <c r="A16" s="61"/>
      <c r="B16" s="61"/>
      <c r="C16" s="61"/>
      <c r="D16" s="61"/>
      <c r="E16" s="61"/>
      <c r="F16" s="61"/>
      <c r="G16" s="61"/>
      <c r="H16" s="61"/>
      <c r="I16" s="61"/>
      <c r="J16" s="61"/>
      <c r="K16" s="61"/>
      <c r="L16" s="61"/>
      <c r="M16" s="61"/>
      <c r="N16" s="61"/>
      <c r="O16" s="61"/>
      <c r="P16" s="61"/>
      <c r="Q16" s="61"/>
    </row>
    <row r="17" spans="1:17" ht="15.75" x14ac:dyDescent="0.25">
      <c r="A17" s="62" t="s">
        <v>156</v>
      </c>
      <c r="B17" s="62"/>
      <c r="C17" s="61"/>
      <c r="D17" s="61"/>
      <c r="E17" s="61"/>
      <c r="F17" s="61"/>
      <c r="G17" s="61"/>
      <c r="H17" s="61"/>
      <c r="I17" s="61"/>
      <c r="J17" s="61"/>
      <c r="K17" s="61"/>
      <c r="L17" s="61"/>
      <c r="M17" s="61"/>
      <c r="N17" s="61"/>
      <c r="O17" s="61"/>
      <c r="P17" s="61"/>
      <c r="Q17" s="61"/>
    </row>
    <row r="18" spans="1:17" ht="15.75" x14ac:dyDescent="0.25">
      <c r="A18" s="126" t="s">
        <v>147</v>
      </c>
      <c r="B18" s="126"/>
      <c r="C18" s="126"/>
      <c r="D18" s="126"/>
      <c r="E18" s="126"/>
      <c r="F18" s="126"/>
      <c r="G18" s="126"/>
      <c r="H18" s="126"/>
      <c r="I18" s="126"/>
      <c r="J18" s="126"/>
      <c r="K18" s="126"/>
      <c r="L18" s="126"/>
      <c r="M18" s="126"/>
      <c r="N18" s="126"/>
      <c r="O18" s="126"/>
      <c r="P18" s="126"/>
      <c r="Q18" s="126"/>
    </row>
    <row r="19" spans="1:17" ht="15.75" x14ac:dyDescent="0.25">
      <c r="A19" s="61"/>
      <c r="B19" s="61"/>
      <c r="C19" s="61"/>
      <c r="D19" s="61"/>
      <c r="E19" s="61"/>
      <c r="F19" s="61"/>
      <c r="G19" s="61"/>
      <c r="H19" s="61"/>
      <c r="I19" s="61"/>
      <c r="J19" s="61"/>
      <c r="K19" s="61"/>
      <c r="L19" s="61"/>
      <c r="M19" s="61"/>
      <c r="N19" s="61"/>
      <c r="O19" s="61"/>
      <c r="P19" s="61"/>
      <c r="Q19" s="61"/>
    </row>
    <row r="20" spans="1:17" ht="15.75" x14ac:dyDescent="0.25">
      <c r="A20" s="1" t="s">
        <v>157</v>
      </c>
      <c r="B20" s="61"/>
      <c r="C20" s="61"/>
      <c r="D20" s="61"/>
      <c r="E20" s="61"/>
      <c r="F20" s="61"/>
      <c r="G20" s="61"/>
      <c r="H20" s="61"/>
      <c r="I20" s="61"/>
      <c r="J20" s="61"/>
      <c r="K20" s="61"/>
      <c r="L20" s="61"/>
      <c r="M20" s="61"/>
      <c r="N20" s="61"/>
      <c r="O20" s="61"/>
      <c r="P20" s="61"/>
      <c r="Q20" s="61"/>
    </row>
    <row r="21" spans="1:17" ht="15.75" x14ac:dyDescent="0.25">
      <c r="A21" s="126" t="s">
        <v>149</v>
      </c>
      <c r="B21" s="126"/>
      <c r="C21" s="126"/>
      <c r="D21" s="126"/>
      <c r="E21" s="126"/>
      <c r="F21" s="126"/>
      <c r="G21" s="126"/>
      <c r="H21" s="126"/>
      <c r="I21" s="126"/>
      <c r="J21" s="126"/>
      <c r="K21" s="126"/>
      <c r="L21" s="126"/>
      <c r="M21" s="126"/>
      <c r="N21" s="126"/>
      <c r="O21" s="126"/>
      <c r="P21" s="126"/>
      <c r="Q21" s="126"/>
    </row>
    <row r="23" spans="1:17" ht="15.75" x14ac:dyDescent="0.25">
      <c r="A23" s="1" t="s">
        <v>177</v>
      </c>
    </row>
    <row r="24" spans="1:17" ht="15.75" x14ac:dyDescent="0.25">
      <c r="A24" s="125"/>
    </row>
    <row r="25" spans="1:17" ht="15.75" x14ac:dyDescent="0.25">
      <c r="A25" s="1" t="s">
        <v>178</v>
      </c>
    </row>
  </sheetData>
  <mergeCells count="9">
    <mergeCell ref="A18:Q18"/>
    <mergeCell ref="A21:Q21"/>
    <mergeCell ref="A1:Q1"/>
    <mergeCell ref="A2:Q2"/>
    <mergeCell ref="A3:Q3"/>
    <mergeCell ref="A6:Q6"/>
    <mergeCell ref="A9:Q9"/>
    <mergeCell ref="A12:Q12"/>
    <mergeCell ref="A15:Q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4EFE-3EE5-4370-BB4D-4A0E8ECED730}">
  <sheetPr>
    <tabColor rgb="FF00B0F0"/>
  </sheetPr>
  <dimension ref="A1:J41"/>
  <sheetViews>
    <sheetView workbookViewId="0">
      <selection activeCell="E8" sqref="E8"/>
    </sheetView>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12" max="12" width="31" customWidth="1"/>
    <col min="15" max="15" width="23.42578125" customWidth="1"/>
    <col min="16" max="16" width="21.5703125" customWidth="1"/>
  </cols>
  <sheetData>
    <row r="1" spans="1:9" ht="15.75" x14ac:dyDescent="0.25">
      <c r="A1" s="17" t="s">
        <v>160</v>
      </c>
    </row>
    <row r="2" spans="1:9" s="18" customFormat="1" ht="12.75" x14ac:dyDescent="0.2">
      <c r="F2" s="2">
        <f>Inputs!C16</f>
        <v>54.512</v>
      </c>
      <c r="G2" s="2">
        <f>Inputs!C17</f>
        <v>73.456000000000003</v>
      </c>
      <c r="H2" s="2">
        <f>Inputs!C18</f>
        <v>29.504000000000005</v>
      </c>
      <c r="I2" s="2"/>
    </row>
    <row r="3" spans="1:9" s="18" customFormat="1" ht="12.75" x14ac:dyDescent="0.2">
      <c r="A3" s="141" t="s">
        <v>37</v>
      </c>
      <c r="B3" s="3" t="s">
        <v>38</v>
      </c>
      <c r="C3" s="3" t="s">
        <v>39</v>
      </c>
      <c r="D3" s="3" t="s">
        <v>40</v>
      </c>
      <c r="E3" s="3" t="s">
        <v>41</v>
      </c>
      <c r="F3" s="4" t="s">
        <v>42</v>
      </c>
      <c r="G3" s="3" t="s">
        <v>43</v>
      </c>
      <c r="H3" s="3" t="s">
        <v>44</v>
      </c>
      <c r="I3" s="3" t="s">
        <v>45</v>
      </c>
    </row>
    <row r="4" spans="1:9" s="18" customFormat="1" ht="63.75" x14ac:dyDescent="0.2">
      <c r="A4" s="141"/>
      <c r="B4" s="121" t="s">
        <v>46</v>
      </c>
      <c r="C4" s="121" t="s">
        <v>47</v>
      </c>
      <c r="D4" s="121" t="s">
        <v>48</v>
      </c>
      <c r="E4" s="121" t="s">
        <v>49</v>
      </c>
      <c r="F4" s="121" t="s">
        <v>50</v>
      </c>
      <c r="G4" s="121" t="s">
        <v>51</v>
      </c>
      <c r="H4" s="121" t="s">
        <v>52</v>
      </c>
      <c r="I4" s="121" t="s">
        <v>53</v>
      </c>
    </row>
    <row r="5" spans="1:9" s="18" customFormat="1" ht="15.75" x14ac:dyDescent="0.2">
      <c r="A5" s="5" t="s">
        <v>107</v>
      </c>
      <c r="B5" s="6" t="s">
        <v>56</v>
      </c>
      <c r="C5" s="6"/>
      <c r="D5" s="6"/>
      <c r="E5" s="12"/>
      <c r="F5" s="6"/>
      <c r="G5" s="6"/>
      <c r="H5" s="6"/>
      <c r="I5" s="9"/>
    </row>
    <row r="6" spans="1:9" s="18" customFormat="1" ht="12.75" x14ac:dyDescent="0.2">
      <c r="A6" s="5" t="s">
        <v>151</v>
      </c>
      <c r="B6" s="6">
        <v>4</v>
      </c>
      <c r="C6" s="6">
        <v>0</v>
      </c>
      <c r="D6" s="6">
        <f>B6*C6</f>
        <v>0</v>
      </c>
      <c r="E6" s="12">
        <v>15</v>
      </c>
      <c r="F6" s="6">
        <f>D6*E6</f>
        <v>0</v>
      </c>
      <c r="G6" s="6">
        <f>F6*0.05</f>
        <v>0</v>
      </c>
      <c r="H6" s="6">
        <f>F6*0.1</f>
        <v>0</v>
      </c>
      <c r="I6" s="124">
        <f>F6*Inputs!$C$16+'Table 7'!G6*Inputs!$C$17+'Table 7'!H6*Inputs!$C$18</f>
        <v>0</v>
      </c>
    </row>
    <row r="7" spans="1:9" s="18" customFormat="1" ht="15.75" x14ac:dyDescent="0.2">
      <c r="A7" s="5" t="s">
        <v>171</v>
      </c>
      <c r="B7" s="6" t="s">
        <v>56</v>
      </c>
      <c r="C7" s="6"/>
      <c r="D7" s="6"/>
      <c r="E7" s="12"/>
      <c r="F7" s="6"/>
      <c r="G7" s="6"/>
      <c r="H7" s="6"/>
      <c r="I7" s="124"/>
    </row>
    <row r="8" spans="1:9" s="18" customFormat="1" ht="12.75" x14ac:dyDescent="0.2">
      <c r="A8" s="5" t="s">
        <v>164</v>
      </c>
      <c r="B8" s="122">
        <v>400</v>
      </c>
      <c r="C8" s="6">
        <v>0</v>
      </c>
      <c r="D8" s="6">
        <f>B8*C8</f>
        <v>0</v>
      </c>
      <c r="E8" s="12">
        <v>15</v>
      </c>
      <c r="F8" s="123">
        <f>D8*E8</f>
        <v>0</v>
      </c>
      <c r="G8" s="6">
        <f>F8*0.05</f>
        <v>0</v>
      </c>
      <c r="H8" s="6">
        <f>F8*0.1</f>
        <v>0</v>
      </c>
      <c r="I8" s="124">
        <f>F8*Inputs!$C$16+'Table 7'!G8*Inputs!$C$17+'Table 7'!H8*Inputs!$C$18</f>
        <v>0</v>
      </c>
    </row>
    <row r="9" spans="1:9" s="18" customFormat="1" ht="25.5" x14ac:dyDescent="0.2">
      <c r="A9" s="5" t="s">
        <v>183</v>
      </c>
      <c r="B9" s="6">
        <v>8</v>
      </c>
      <c r="C9" s="6">
        <v>0</v>
      </c>
      <c r="D9" s="6">
        <f>B9*C9</f>
        <v>0</v>
      </c>
      <c r="E9" s="12">
        <v>15</v>
      </c>
      <c r="F9" s="6">
        <f>D9*E9</f>
        <v>0</v>
      </c>
      <c r="G9" s="6">
        <f>F9*0.05</f>
        <v>0</v>
      </c>
      <c r="H9" s="6">
        <f>F9*0.1</f>
        <v>0</v>
      </c>
      <c r="I9" s="124">
        <f>F9*Inputs!$C$16+'Table 7'!G9*Inputs!$C$17+'Table 7'!H9*Inputs!$C$18</f>
        <v>0</v>
      </c>
    </row>
    <row r="10" spans="1:9" s="18" customFormat="1" ht="12.75" x14ac:dyDescent="0.2">
      <c r="A10" s="5" t="s">
        <v>170</v>
      </c>
      <c r="B10" s="6">
        <v>1</v>
      </c>
      <c r="C10" s="6">
        <v>0</v>
      </c>
      <c r="D10" s="6">
        <v>0</v>
      </c>
      <c r="E10" s="12">
        <v>15</v>
      </c>
      <c r="F10" s="6">
        <f>D10*E10</f>
        <v>0</v>
      </c>
      <c r="G10" s="6">
        <f>F10*0.05</f>
        <v>0</v>
      </c>
      <c r="H10" s="6">
        <f>F10*0.1</f>
        <v>0</v>
      </c>
      <c r="I10" s="124">
        <f>F10*Inputs!$C$16+'Table 7'!G10*Inputs!$C$17+'Table 7'!H10*Inputs!$C$18</f>
        <v>0</v>
      </c>
    </row>
    <row r="11" spans="1:9" s="18" customFormat="1" ht="12.75" x14ac:dyDescent="0.2">
      <c r="A11" s="5" t="s">
        <v>165</v>
      </c>
      <c r="B11" s="6"/>
      <c r="C11" s="6"/>
      <c r="D11" s="6"/>
      <c r="E11" s="12"/>
      <c r="F11" s="6"/>
      <c r="G11" s="6"/>
      <c r="H11" s="6"/>
      <c r="I11" s="9"/>
    </row>
    <row r="12" spans="1:9" s="18" customFormat="1" ht="12.75" x14ac:dyDescent="0.2">
      <c r="A12" s="8" t="s">
        <v>108</v>
      </c>
      <c r="B12" s="6" t="s">
        <v>56</v>
      </c>
      <c r="C12" s="6"/>
      <c r="D12" s="6"/>
      <c r="E12" s="12"/>
      <c r="F12" s="6"/>
      <c r="G12" s="6"/>
      <c r="H12" s="6"/>
      <c r="I12" s="9"/>
    </row>
    <row r="13" spans="1:9" s="18" customFormat="1" ht="12.75" x14ac:dyDescent="0.2">
      <c r="A13" s="8" t="s">
        <v>109</v>
      </c>
      <c r="B13" s="6" t="s">
        <v>56</v>
      </c>
      <c r="C13" s="6"/>
      <c r="D13" s="6"/>
      <c r="E13" s="12"/>
      <c r="F13" s="6"/>
      <c r="G13" s="6"/>
      <c r="H13" s="6"/>
      <c r="I13" s="9"/>
    </row>
    <row r="14" spans="1:9" s="18" customFormat="1" ht="12.75" x14ac:dyDescent="0.2">
      <c r="A14" s="8" t="s">
        <v>110</v>
      </c>
      <c r="B14" s="6" t="s">
        <v>56</v>
      </c>
      <c r="C14" s="6"/>
      <c r="D14" s="6"/>
      <c r="E14" s="12"/>
      <c r="F14" s="6"/>
      <c r="G14" s="6"/>
      <c r="H14" s="6"/>
      <c r="I14" s="9"/>
    </row>
    <row r="15" spans="1:9" s="18" customFormat="1" ht="12.75" x14ac:dyDescent="0.2">
      <c r="A15" s="8" t="s">
        <v>60</v>
      </c>
      <c r="B15" s="6" t="s">
        <v>56</v>
      </c>
      <c r="C15" s="6"/>
      <c r="D15" s="6"/>
      <c r="E15" s="12"/>
      <c r="F15" s="6"/>
      <c r="G15" s="6"/>
      <c r="H15" s="6"/>
      <c r="I15" s="9"/>
    </row>
    <row r="16" spans="1:9" s="18" customFormat="1" ht="12.75" x14ac:dyDescent="0.2">
      <c r="A16" s="8" t="s">
        <v>61</v>
      </c>
      <c r="B16" s="6" t="s">
        <v>56</v>
      </c>
      <c r="C16" s="6"/>
      <c r="D16" s="6"/>
      <c r="E16" s="6"/>
      <c r="F16" s="6"/>
      <c r="G16" s="12"/>
      <c r="H16" s="12"/>
      <c r="I16" s="9"/>
    </row>
    <row r="17" spans="1:10" s="18" customFormat="1" ht="12.75" x14ac:dyDescent="0.2">
      <c r="A17" s="8" t="s">
        <v>111</v>
      </c>
      <c r="B17" s="6" t="s">
        <v>56</v>
      </c>
      <c r="C17" s="6"/>
      <c r="D17" s="6"/>
      <c r="E17" s="12"/>
      <c r="F17" s="6"/>
      <c r="G17" s="6"/>
      <c r="H17" s="6"/>
      <c r="I17" s="9"/>
    </row>
    <row r="18" spans="1:10" s="18" customFormat="1" ht="15.75" x14ac:dyDescent="0.2">
      <c r="A18" s="15" t="s">
        <v>173</v>
      </c>
      <c r="B18" s="15"/>
      <c r="C18" s="15"/>
      <c r="D18" s="15"/>
      <c r="E18" s="15"/>
      <c r="F18" s="141">
        <f>ROUND(SUM(F5:H17),0)</f>
        <v>0</v>
      </c>
      <c r="G18" s="141"/>
      <c r="H18" s="141"/>
      <c r="I18" s="14">
        <f>ROUND(SUM(I5:I17),-1)</f>
        <v>0</v>
      </c>
    </row>
    <row r="19" spans="1:10" s="18" customFormat="1" ht="12.75" x14ac:dyDescent="0.2">
      <c r="J19" s="19"/>
    </row>
    <row r="20" spans="1:10" s="18" customFormat="1" ht="12.75" x14ac:dyDescent="0.2">
      <c r="A20" s="16" t="s">
        <v>80</v>
      </c>
    </row>
    <row r="21" spans="1:10" s="18" customFormat="1" ht="33" customHeight="1" x14ac:dyDescent="0.2">
      <c r="A21" s="139" t="s">
        <v>81</v>
      </c>
      <c r="B21" s="139"/>
      <c r="C21" s="139"/>
      <c r="D21" s="139"/>
      <c r="E21" s="139"/>
      <c r="F21" s="139"/>
      <c r="G21" s="139"/>
      <c r="H21" s="139"/>
      <c r="I21" s="139"/>
    </row>
    <row r="22" spans="1:10" s="18" customFormat="1" ht="33" customHeight="1" x14ac:dyDescent="0.2">
      <c r="A22" s="136" t="s">
        <v>113</v>
      </c>
      <c r="B22" s="136"/>
      <c r="C22" s="136"/>
      <c r="D22" s="136"/>
      <c r="E22" s="136"/>
      <c r="F22" s="136"/>
      <c r="G22" s="136"/>
      <c r="H22" s="136"/>
      <c r="I22" s="136"/>
    </row>
    <row r="23" spans="1:10" s="18" customFormat="1" ht="48.75" customHeight="1" x14ac:dyDescent="0.2">
      <c r="A23" s="131" t="s">
        <v>114</v>
      </c>
      <c r="B23" s="131"/>
      <c r="C23" s="131"/>
      <c r="D23" s="131"/>
      <c r="E23" s="131"/>
      <c r="F23" s="131"/>
      <c r="G23" s="131"/>
      <c r="H23" s="131"/>
      <c r="I23" s="131"/>
    </row>
    <row r="24" spans="1:10" s="18" customFormat="1" ht="33" customHeight="1" x14ac:dyDescent="0.2">
      <c r="A24" s="131" t="s">
        <v>138</v>
      </c>
      <c r="B24" s="131"/>
      <c r="C24" s="131"/>
      <c r="D24" s="131"/>
      <c r="E24" s="131"/>
      <c r="F24" s="131"/>
      <c r="G24" s="131"/>
      <c r="H24" s="131"/>
      <c r="I24" s="131"/>
    </row>
    <row r="25" spans="1:10" s="18" customFormat="1" ht="27" customHeight="1" x14ac:dyDescent="0.2">
      <c r="A25" s="131" t="s">
        <v>174</v>
      </c>
      <c r="B25" s="131"/>
      <c r="C25" s="131"/>
      <c r="D25" s="131"/>
      <c r="E25" s="131"/>
      <c r="F25" s="131"/>
      <c r="G25" s="131"/>
      <c r="H25" s="131"/>
      <c r="I25" s="131"/>
    </row>
    <row r="26" spans="1:10" s="18" customFormat="1" ht="15.75" x14ac:dyDescent="0.2">
      <c r="A26" s="140" t="s">
        <v>172</v>
      </c>
      <c r="B26" s="140"/>
      <c r="C26" s="140"/>
      <c r="D26" s="140"/>
      <c r="E26" s="140"/>
      <c r="F26" s="140"/>
      <c r="G26" s="140"/>
      <c r="H26" s="140"/>
      <c r="I26" s="140"/>
    </row>
    <row r="27" spans="1:10" s="18" customFormat="1" ht="12.75" x14ac:dyDescent="0.2"/>
    <row r="28" spans="1:10" s="18" customFormat="1" ht="12.75" x14ac:dyDescent="0.2"/>
    <row r="29" spans="1:10" s="18" customFormat="1" ht="12.75" x14ac:dyDescent="0.2"/>
    <row r="30" spans="1:10" s="18" customFormat="1" ht="12.75" x14ac:dyDescent="0.2"/>
    <row r="31" spans="1:10" s="18" customFormat="1" ht="12.75" x14ac:dyDescent="0.2"/>
    <row r="32" spans="1:10" s="18" customFormat="1" ht="12.75" x14ac:dyDescent="0.2"/>
    <row r="33" spans="1:9" s="18" customFormat="1" ht="12.75" x14ac:dyDescent="0.2"/>
    <row r="34" spans="1:9" s="18" customFormat="1" ht="12.75" x14ac:dyDescent="0.2"/>
    <row r="35" spans="1:9" s="18" customFormat="1" ht="12.75" x14ac:dyDescent="0.2"/>
    <row r="36" spans="1:9" s="18" customFormat="1" ht="12.75" x14ac:dyDescent="0.2"/>
    <row r="37" spans="1:9" s="18" customFormat="1" ht="12.75" x14ac:dyDescent="0.2"/>
    <row r="38" spans="1:9" s="18" customFormat="1" ht="12.75" x14ac:dyDescent="0.2"/>
    <row r="39" spans="1:9" s="18" customFormat="1" ht="12.75" x14ac:dyDescent="0.2"/>
    <row r="40" spans="1:9" s="18" customFormat="1" x14ac:dyDescent="0.25">
      <c r="A40"/>
      <c r="B40"/>
      <c r="C40"/>
      <c r="D40"/>
      <c r="E40"/>
      <c r="F40"/>
      <c r="G40"/>
      <c r="H40"/>
      <c r="I40"/>
    </row>
    <row r="41" spans="1:9" s="18" customFormat="1" x14ac:dyDescent="0.25">
      <c r="A41"/>
      <c r="B41"/>
      <c r="C41"/>
      <c r="D41"/>
      <c r="E41"/>
      <c r="F41"/>
      <c r="G41"/>
      <c r="H41"/>
      <c r="I41"/>
    </row>
  </sheetData>
  <mergeCells count="8">
    <mergeCell ref="A26:I26"/>
    <mergeCell ref="A25:I25"/>
    <mergeCell ref="A3:A4"/>
    <mergeCell ref="F18:H18"/>
    <mergeCell ref="A21:I21"/>
    <mergeCell ref="A22:I22"/>
    <mergeCell ref="A23:I23"/>
    <mergeCell ref="A24:I24"/>
  </mergeCells>
  <pageMargins left="0.7" right="0.7" top="0.75" bottom="0.75" header="0.3" footer="0.3"/>
  <pageSetup orientation="portrait" horizontalDpi="4294967293"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2556-12D4-4F6A-8C46-B549F83DA418}">
  <sheetPr>
    <tabColor rgb="FF00B0F0"/>
  </sheetPr>
  <dimension ref="A1:J38"/>
  <sheetViews>
    <sheetView workbookViewId="0">
      <selection activeCell="E8" sqref="E8"/>
    </sheetView>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9" max="9" width="13.42578125" customWidth="1"/>
    <col min="12" max="12" width="31" customWidth="1"/>
    <col min="15" max="15" width="23.42578125" customWidth="1"/>
    <col min="16" max="16" width="21.5703125" customWidth="1"/>
  </cols>
  <sheetData>
    <row r="1" spans="1:9" ht="15.75" x14ac:dyDescent="0.25">
      <c r="A1" s="17" t="s">
        <v>161</v>
      </c>
    </row>
    <row r="2" spans="1:9" s="18" customFormat="1" ht="12.75" x14ac:dyDescent="0.2">
      <c r="F2" s="2">
        <f>Inputs!C16</f>
        <v>54.512</v>
      </c>
      <c r="G2" s="2">
        <f>Inputs!C17</f>
        <v>73.456000000000003</v>
      </c>
      <c r="H2" s="2">
        <f>Inputs!C18</f>
        <v>29.504000000000005</v>
      </c>
      <c r="I2" s="2"/>
    </row>
    <row r="3" spans="1:9" s="18" customFormat="1" ht="12.75" x14ac:dyDescent="0.2">
      <c r="A3" s="141" t="s">
        <v>37</v>
      </c>
      <c r="B3" s="3" t="s">
        <v>38</v>
      </c>
      <c r="C3" s="3" t="s">
        <v>39</v>
      </c>
      <c r="D3" s="3" t="s">
        <v>40</v>
      </c>
      <c r="E3" s="3" t="s">
        <v>41</v>
      </c>
      <c r="F3" s="4" t="s">
        <v>42</v>
      </c>
      <c r="G3" s="3" t="s">
        <v>43</v>
      </c>
      <c r="H3" s="3" t="s">
        <v>44</v>
      </c>
      <c r="I3" s="3" t="s">
        <v>45</v>
      </c>
    </row>
    <row r="4" spans="1:9" s="18" customFormat="1" ht="63.75" x14ac:dyDescent="0.2">
      <c r="A4" s="141"/>
      <c r="B4" s="121" t="s">
        <v>46</v>
      </c>
      <c r="C4" s="121" t="s">
        <v>47</v>
      </c>
      <c r="D4" s="121" t="s">
        <v>48</v>
      </c>
      <c r="E4" s="121" t="s">
        <v>49</v>
      </c>
      <c r="F4" s="121" t="s">
        <v>50</v>
      </c>
      <c r="G4" s="121" t="s">
        <v>51</v>
      </c>
      <c r="H4" s="121" t="s">
        <v>52</v>
      </c>
      <c r="I4" s="121" t="s">
        <v>53</v>
      </c>
    </row>
    <row r="5" spans="1:9" s="18" customFormat="1" ht="12.75" x14ac:dyDescent="0.2">
      <c r="A5" s="5" t="s">
        <v>116</v>
      </c>
      <c r="B5" s="6" t="s">
        <v>56</v>
      </c>
      <c r="C5" s="6"/>
      <c r="D5" s="6"/>
      <c r="E5" s="12"/>
      <c r="F5" s="6"/>
      <c r="G5" s="6"/>
      <c r="H5" s="6"/>
      <c r="I5" s="9"/>
    </row>
    <row r="6" spans="1:9" s="18" customFormat="1" ht="12.75" x14ac:dyDescent="0.2">
      <c r="A6" s="5" t="s">
        <v>151</v>
      </c>
      <c r="B6" s="6">
        <v>4</v>
      </c>
      <c r="C6" s="6">
        <v>15</v>
      </c>
      <c r="D6" s="6">
        <f>B6*C6</f>
        <v>60</v>
      </c>
      <c r="E6" s="12">
        <v>15</v>
      </c>
      <c r="F6" s="6">
        <f>D6*E6</f>
        <v>900</v>
      </c>
      <c r="G6" s="6">
        <f>F6*0.05</f>
        <v>45</v>
      </c>
      <c r="H6" s="6">
        <f>F6*0.1</f>
        <v>90</v>
      </c>
      <c r="I6" s="9">
        <f>F6*Inputs!$C$16+'Table 7'!G6*Inputs!$C$17+'Table 7'!H6*Inputs!$C$18</f>
        <v>49060.800000000003</v>
      </c>
    </row>
    <row r="7" spans="1:9" s="18" customFormat="1" ht="15.75" x14ac:dyDescent="0.2">
      <c r="A7" s="5" t="s">
        <v>171</v>
      </c>
      <c r="B7" s="6" t="s">
        <v>56</v>
      </c>
      <c r="C7" s="6"/>
      <c r="D7" s="6"/>
      <c r="E7" s="12"/>
      <c r="F7" s="6"/>
      <c r="G7" s="6"/>
      <c r="H7" s="6"/>
      <c r="I7" s="9"/>
    </row>
    <row r="8" spans="1:9" s="18" customFormat="1" ht="12.75" x14ac:dyDescent="0.2">
      <c r="A8" s="5" t="s">
        <v>164</v>
      </c>
      <c r="B8" s="122">
        <v>400</v>
      </c>
      <c r="C8" s="6">
        <v>1</v>
      </c>
      <c r="D8" s="123">
        <f>B8*C8</f>
        <v>400</v>
      </c>
      <c r="E8" s="12">
        <v>15</v>
      </c>
      <c r="F8" s="123">
        <f>D8*E8</f>
        <v>6000</v>
      </c>
      <c r="G8" s="123">
        <f>F8*0.05</f>
        <v>300</v>
      </c>
      <c r="H8" s="123">
        <f>F8*0.1</f>
        <v>600</v>
      </c>
      <c r="I8" s="9">
        <f>F8*Inputs!$C$16+'Table 7'!G8*Inputs!$C$17+'Table 7'!H8*Inputs!$C$18</f>
        <v>327072</v>
      </c>
    </row>
    <row r="9" spans="1:9" s="18" customFormat="1" ht="25.5" x14ac:dyDescent="0.2">
      <c r="A9" s="5" t="s">
        <v>183</v>
      </c>
      <c r="B9" s="6">
        <v>8</v>
      </c>
      <c r="C9" s="6">
        <v>1</v>
      </c>
      <c r="D9" s="6">
        <f>B9*C9</f>
        <v>8</v>
      </c>
      <c r="E9" s="12">
        <v>15</v>
      </c>
      <c r="F9" s="6">
        <f>D9*E9</f>
        <v>120</v>
      </c>
      <c r="G9" s="6">
        <f>F9*0.05</f>
        <v>6</v>
      </c>
      <c r="H9" s="6">
        <f>F9*0.1</f>
        <v>12</v>
      </c>
      <c r="I9" s="9">
        <f>F9*Inputs!$C$16+'Table 7'!G9*Inputs!$C$17+'Table 7'!H9*Inputs!$C$18</f>
        <v>6541.4400000000005</v>
      </c>
    </row>
    <row r="10" spans="1:9" s="18" customFormat="1" ht="12.75" x14ac:dyDescent="0.2">
      <c r="A10" s="5" t="s">
        <v>170</v>
      </c>
      <c r="B10" s="6">
        <v>1</v>
      </c>
      <c r="C10" s="6">
        <v>0</v>
      </c>
      <c r="D10" s="6">
        <v>0</v>
      </c>
      <c r="E10" s="12">
        <v>15</v>
      </c>
      <c r="F10" s="6">
        <f>D10*E10</f>
        <v>0</v>
      </c>
      <c r="G10" s="6">
        <f>F10*0.05</f>
        <v>0</v>
      </c>
      <c r="H10" s="6">
        <f>F10*0.1</f>
        <v>0</v>
      </c>
      <c r="I10" s="124">
        <f>F10*Inputs!$C$16+'Table 7'!G10*Inputs!$C$17+'Table 7'!H10*Inputs!$C$18</f>
        <v>0</v>
      </c>
    </row>
    <row r="11" spans="1:9" s="18" customFormat="1" ht="12.75" x14ac:dyDescent="0.2">
      <c r="A11" s="5" t="s">
        <v>165</v>
      </c>
      <c r="B11" s="6"/>
      <c r="C11" s="6"/>
      <c r="D11" s="6"/>
      <c r="E11" s="12"/>
      <c r="F11" s="6"/>
      <c r="G11" s="6"/>
      <c r="H11" s="6"/>
      <c r="I11" s="9"/>
    </row>
    <row r="12" spans="1:9" s="18" customFormat="1" ht="12.75" x14ac:dyDescent="0.2">
      <c r="A12" s="8" t="s">
        <v>108</v>
      </c>
      <c r="B12" s="6" t="s">
        <v>56</v>
      </c>
      <c r="C12" s="6"/>
      <c r="D12" s="6"/>
      <c r="E12" s="12"/>
      <c r="F12" s="6"/>
      <c r="G12" s="6"/>
      <c r="H12" s="6"/>
      <c r="I12" s="9"/>
    </row>
    <row r="13" spans="1:9" s="18" customFormat="1" ht="12.75" x14ac:dyDescent="0.2">
      <c r="A13" s="8" t="s">
        <v>109</v>
      </c>
      <c r="B13" s="6" t="s">
        <v>56</v>
      </c>
      <c r="C13" s="6"/>
      <c r="D13" s="6"/>
      <c r="E13" s="12"/>
      <c r="F13" s="6"/>
      <c r="G13" s="6"/>
      <c r="H13" s="6"/>
      <c r="I13" s="9"/>
    </row>
    <row r="14" spans="1:9" s="18" customFormat="1" ht="12.75" x14ac:dyDescent="0.2">
      <c r="A14" s="8" t="s">
        <v>110</v>
      </c>
      <c r="B14" s="6" t="s">
        <v>56</v>
      </c>
      <c r="C14" s="6"/>
      <c r="D14" s="6"/>
      <c r="E14" s="12"/>
      <c r="F14" s="6"/>
      <c r="G14" s="6"/>
      <c r="H14" s="6"/>
      <c r="I14" s="9"/>
    </row>
    <row r="15" spans="1:9" s="18" customFormat="1" ht="12.75" x14ac:dyDescent="0.2">
      <c r="A15" s="8" t="s">
        <v>60</v>
      </c>
      <c r="B15" s="6" t="s">
        <v>56</v>
      </c>
      <c r="C15" s="6"/>
      <c r="D15" s="6"/>
      <c r="E15" s="12"/>
      <c r="F15" s="6"/>
      <c r="G15" s="6"/>
      <c r="H15" s="6"/>
      <c r="I15" s="9"/>
    </row>
    <row r="16" spans="1:9" s="18" customFormat="1" ht="12.75" x14ac:dyDescent="0.2">
      <c r="A16" s="8" t="s">
        <v>61</v>
      </c>
      <c r="B16" s="6" t="s">
        <v>56</v>
      </c>
      <c r="C16" s="6"/>
      <c r="D16" s="6"/>
      <c r="E16" s="6"/>
      <c r="F16" s="6"/>
      <c r="G16" s="12"/>
      <c r="H16" s="11"/>
      <c r="I16" s="9"/>
    </row>
    <row r="17" spans="1:10" s="18" customFormat="1" ht="12.75" x14ac:dyDescent="0.2">
      <c r="A17" s="8" t="s">
        <v>111</v>
      </c>
      <c r="B17" s="6" t="s">
        <v>56</v>
      </c>
      <c r="C17" s="6"/>
      <c r="D17" s="6"/>
      <c r="E17" s="12"/>
      <c r="F17" s="6"/>
      <c r="G17" s="6"/>
      <c r="H17" s="6"/>
      <c r="I17" s="9"/>
    </row>
    <row r="18" spans="1:10" s="18" customFormat="1" ht="15.75" x14ac:dyDescent="0.2">
      <c r="A18" s="15" t="s">
        <v>173</v>
      </c>
      <c r="B18" s="15"/>
      <c r="C18" s="15"/>
      <c r="D18" s="15"/>
      <c r="E18" s="15"/>
      <c r="F18" s="135">
        <f>ROUND(SUM(F5:H17),0)</f>
        <v>8073</v>
      </c>
      <c r="G18" s="135"/>
      <c r="H18" s="135"/>
      <c r="I18" s="14">
        <f>ROUND(SUM(I5:I17),-1)</f>
        <v>382670</v>
      </c>
    </row>
    <row r="19" spans="1:10" s="18" customFormat="1" ht="12.75" x14ac:dyDescent="0.2">
      <c r="J19" s="19"/>
    </row>
    <row r="20" spans="1:10" s="18" customFormat="1" ht="12.75" x14ac:dyDescent="0.2">
      <c r="A20" s="16" t="s">
        <v>80</v>
      </c>
    </row>
    <row r="21" spans="1:10" s="18" customFormat="1" ht="33" customHeight="1" x14ac:dyDescent="0.2">
      <c r="A21" s="139" t="s">
        <v>81</v>
      </c>
      <c r="B21" s="139"/>
      <c r="C21" s="139"/>
      <c r="D21" s="139"/>
      <c r="E21" s="139"/>
      <c r="F21" s="139"/>
      <c r="G21" s="139"/>
      <c r="H21" s="139"/>
      <c r="I21" s="139"/>
    </row>
    <row r="22" spans="1:10" s="18" customFormat="1" ht="33" customHeight="1" x14ac:dyDescent="0.2">
      <c r="A22" s="136" t="s">
        <v>113</v>
      </c>
      <c r="B22" s="136"/>
      <c r="C22" s="136"/>
      <c r="D22" s="136"/>
      <c r="E22" s="136"/>
      <c r="F22" s="136"/>
      <c r="G22" s="136"/>
      <c r="H22" s="136"/>
      <c r="I22" s="136"/>
    </row>
    <row r="23" spans="1:10" s="18" customFormat="1" ht="45" customHeight="1" x14ac:dyDescent="0.2">
      <c r="A23" s="131" t="s">
        <v>114</v>
      </c>
      <c r="B23" s="131"/>
      <c r="C23" s="131"/>
      <c r="D23" s="131"/>
      <c r="E23" s="131"/>
      <c r="F23" s="131"/>
      <c r="G23" s="131"/>
      <c r="H23" s="131"/>
      <c r="I23" s="131"/>
    </row>
    <row r="24" spans="1:10" s="18" customFormat="1" ht="27" customHeight="1" x14ac:dyDescent="0.2">
      <c r="A24" s="131" t="s">
        <v>174</v>
      </c>
      <c r="B24" s="131"/>
      <c r="C24" s="131"/>
      <c r="D24" s="131"/>
      <c r="E24" s="131"/>
      <c r="F24" s="131"/>
      <c r="G24" s="131"/>
      <c r="H24" s="131"/>
      <c r="I24" s="131"/>
    </row>
    <row r="25" spans="1:10" s="18" customFormat="1" ht="15.75" x14ac:dyDescent="0.2">
      <c r="A25" s="140" t="s">
        <v>172</v>
      </c>
      <c r="B25" s="140"/>
      <c r="C25" s="140"/>
      <c r="D25" s="140"/>
      <c r="E25" s="140"/>
      <c r="F25" s="140"/>
      <c r="G25" s="140"/>
      <c r="H25" s="140"/>
      <c r="I25" s="140"/>
    </row>
    <row r="26" spans="1:10" s="18" customFormat="1" ht="12.75" x14ac:dyDescent="0.2"/>
    <row r="27" spans="1:10" s="18" customFormat="1" ht="12.75" x14ac:dyDescent="0.2"/>
    <row r="28" spans="1:10" s="18" customFormat="1" ht="12.75" x14ac:dyDescent="0.2"/>
    <row r="29" spans="1:10" s="18" customFormat="1" ht="12.75" x14ac:dyDescent="0.2"/>
    <row r="30" spans="1:10" s="18" customFormat="1" ht="12.75" x14ac:dyDescent="0.2"/>
    <row r="31" spans="1:10" s="18" customFormat="1" ht="12.75" x14ac:dyDescent="0.2"/>
    <row r="32" spans="1:10" s="18" customFormat="1" ht="12.75" x14ac:dyDescent="0.2"/>
    <row r="33" spans="1:9" s="18" customFormat="1" ht="12.75" x14ac:dyDescent="0.2"/>
    <row r="34" spans="1:9" s="18" customFormat="1" ht="12.75" x14ac:dyDescent="0.2"/>
    <row r="35" spans="1:9" s="18" customFormat="1" ht="12.75" x14ac:dyDescent="0.2"/>
    <row r="36" spans="1:9" s="18" customFormat="1" ht="12.75" x14ac:dyDescent="0.2"/>
    <row r="37" spans="1:9" s="18" customFormat="1" x14ac:dyDescent="0.25">
      <c r="A37"/>
      <c r="B37"/>
      <c r="C37"/>
      <c r="D37"/>
      <c r="E37"/>
      <c r="F37"/>
      <c r="G37"/>
      <c r="H37"/>
      <c r="I37"/>
    </row>
    <row r="38" spans="1:9" s="18" customFormat="1" x14ac:dyDescent="0.25">
      <c r="A38"/>
      <c r="B38"/>
      <c r="C38"/>
      <c r="D38"/>
      <c r="E38"/>
      <c r="F38"/>
      <c r="G38"/>
      <c r="H38"/>
      <c r="I38"/>
    </row>
  </sheetData>
  <mergeCells count="7">
    <mergeCell ref="A25:I25"/>
    <mergeCell ref="A3:A4"/>
    <mergeCell ref="F18:H18"/>
    <mergeCell ref="A21:I21"/>
    <mergeCell ref="A22:I22"/>
    <mergeCell ref="A23:I23"/>
    <mergeCell ref="A24:I24"/>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4691A-E8AD-4B5B-B7C5-1B467418DBFC}">
  <sheetPr>
    <tabColor rgb="FF00B0F0"/>
  </sheetPr>
  <dimension ref="A1:J38"/>
  <sheetViews>
    <sheetView workbookViewId="0">
      <selection activeCell="E8" sqref="E8"/>
    </sheetView>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9" max="9" width="13.7109375" customWidth="1"/>
    <col min="12" max="12" width="31" customWidth="1"/>
    <col min="15" max="15" width="23.42578125" customWidth="1"/>
    <col min="16" max="16" width="21.5703125" customWidth="1"/>
  </cols>
  <sheetData>
    <row r="1" spans="1:9" ht="15.75" x14ac:dyDescent="0.25">
      <c r="A1" s="17" t="s">
        <v>162</v>
      </c>
    </row>
    <row r="2" spans="1:9" s="18" customFormat="1" ht="12.75" x14ac:dyDescent="0.2">
      <c r="F2" s="2">
        <f>Inputs!C16</f>
        <v>54.512</v>
      </c>
      <c r="G2" s="2">
        <f>Inputs!C17</f>
        <v>73.456000000000003</v>
      </c>
      <c r="H2" s="2">
        <f>Inputs!C18</f>
        <v>29.504000000000005</v>
      </c>
      <c r="I2" s="2"/>
    </row>
    <row r="3" spans="1:9" s="18" customFormat="1" ht="12.75" x14ac:dyDescent="0.2">
      <c r="A3" s="141" t="s">
        <v>37</v>
      </c>
      <c r="B3" s="3" t="s">
        <v>38</v>
      </c>
      <c r="C3" s="3" t="s">
        <v>39</v>
      </c>
      <c r="D3" s="3" t="s">
        <v>40</v>
      </c>
      <c r="E3" s="3" t="s">
        <v>41</v>
      </c>
      <c r="F3" s="4" t="s">
        <v>42</v>
      </c>
      <c r="G3" s="3" t="s">
        <v>43</v>
      </c>
      <c r="H3" s="3" t="s">
        <v>44</v>
      </c>
      <c r="I3" s="3" t="s">
        <v>45</v>
      </c>
    </row>
    <row r="4" spans="1:9" s="18" customFormat="1" ht="63.75" x14ac:dyDescent="0.2">
      <c r="A4" s="141"/>
      <c r="B4" s="121" t="s">
        <v>46</v>
      </c>
      <c r="C4" s="121" t="s">
        <v>47</v>
      </c>
      <c r="D4" s="121" t="s">
        <v>48</v>
      </c>
      <c r="E4" s="121" t="s">
        <v>49</v>
      </c>
      <c r="F4" s="121" t="s">
        <v>50</v>
      </c>
      <c r="G4" s="121" t="s">
        <v>51</v>
      </c>
      <c r="H4" s="121" t="s">
        <v>52</v>
      </c>
      <c r="I4" s="121" t="s">
        <v>53</v>
      </c>
    </row>
    <row r="5" spans="1:9" s="18" customFormat="1" ht="12.75" x14ac:dyDescent="0.2">
      <c r="A5" s="5" t="s">
        <v>116</v>
      </c>
      <c r="B5" s="6" t="s">
        <v>56</v>
      </c>
      <c r="C5" s="6"/>
      <c r="D5" s="6"/>
      <c r="E5" s="12"/>
      <c r="F5" s="6"/>
      <c r="G5" s="6"/>
      <c r="H5" s="6"/>
      <c r="I5" s="9"/>
    </row>
    <row r="6" spans="1:9" s="18" customFormat="1" ht="12.75" x14ac:dyDescent="0.2">
      <c r="A6" s="5" t="s">
        <v>151</v>
      </c>
      <c r="B6" s="6">
        <v>4</v>
      </c>
      <c r="C6" s="6">
        <v>0</v>
      </c>
      <c r="D6" s="6">
        <f>B6*C6</f>
        <v>0</v>
      </c>
      <c r="E6" s="12">
        <v>15</v>
      </c>
      <c r="F6" s="6">
        <f>D6*E6</f>
        <v>0</v>
      </c>
      <c r="G6" s="6">
        <f>F6*0.05</f>
        <v>0</v>
      </c>
      <c r="H6" s="6">
        <f>F6*0.1</f>
        <v>0</v>
      </c>
      <c r="I6" s="9">
        <f>F6*Inputs!$C$16+'Table 7'!G6*Inputs!$C$17+'Table 7'!H6*Inputs!$C$18</f>
        <v>0</v>
      </c>
    </row>
    <row r="7" spans="1:9" s="18" customFormat="1" ht="15.75" x14ac:dyDescent="0.2">
      <c r="A7" s="5" t="s">
        <v>171</v>
      </c>
      <c r="B7" s="6" t="s">
        <v>56</v>
      </c>
      <c r="C7" s="6"/>
      <c r="D7" s="6"/>
      <c r="E7" s="12"/>
      <c r="F7" s="6"/>
      <c r="G7" s="6"/>
      <c r="H7" s="6"/>
      <c r="I7" s="9"/>
    </row>
    <row r="8" spans="1:9" s="18" customFormat="1" ht="12.75" x14ac:dyDescent="0.2">
      <c r="A8" s="5" t="s">
        <v>164</v>
      </c>
      <c r="B8" s="122">
        <v>400</v>
      </c>
      <c r="C8" s="6">
        <v>0</v>
      </c>
      <c r="D8" s="6">
        <f>B8*C8</f>
        <v>0</v>
      </c>
      <c r="E8" s="12">
        <v>15</v>
      </c>
      <c r="F8" s="123">
        <f>D8*E8</f>
        <v>0</v>
      </c>
      <c r="G8" s="6">
        <f>F8*0.05</f>
        <v>0</v>
      </c>
      <c r="H8" s="6">
        <f>F8*0.1</f>
        <v>0</v>
      </c>
      <c r="I8" s="9">
        <f>F8*Inputs!$C$16+'Table 7'!G8*Inputs!$C$17+'Table 7'!H8*Inputs!$C$18</f>
        <v>0</v>
      </c>
    </row>
    <row r="9" spans="1:9" s="18" customFormat="1" ht="25.5" x14ac:dyDescent="0.2">
      <c r="A9" s="5" t="s">
        <v>183</v>
      </c>
      <c r="B9" s="6">
        <v>8</v>
      </c>
      <c r="C9" s="6">
        <v>0</v>
      </c>
      <c r="D9" s="6">
        <f>B9*C9</f>
        <v>0</v>
      </c>
      <c r="E9" s="12">
        <v>15</v>
      </c>
      <c r="F9" s="6">
        <f>D9*E9</f>
        <v>0</v>
      </c>
      <c r="G9" s="6">
        <f>F9*0.05</f>
        <v>0</v>
      </c>
      <c r="H9" s="6">
        <f>F9*0.1</f>
        <v>0</v>
      </c>
      <c r="I9" s="9">
        <f>F9*Inputs!$C$16+'Table 7'!G9*Inputs!$C$17+'Table 7'!H9*Inputs!$C$18</f>
        <v>0</v>
      </c>
    </row>
    <row r="10" spans="1:9" s="18" customFormat="1" ht="12.75" x14ac:dyDescent="0.2">
      <c r="A10" s="5" t="s">
        <v>170</v>
      </c>
      <c r="B10" s="6">
        <v>1</v>
      </c>
      <c r="C10" s="6">
        <v>0</v>
      </c>
      <c r="D10" s="6">
        <v>0</v>
      </c>
      <c r="E10" s="12">
        <v>15</v>
      </c>
      <c r="F10" s="6">
        <f>D10*E10</f>
        <v>0</v>
      </c>
      <c r="G10" s="6">
        <f>F10*0.05</f>
        <v>0</v>
      </c>
      <c r="H10" s="6">
        <f>F10*0.1</f>
        <v>0</v>
      </c>
      <c r="I10" s="124">
        <f>F10*Inputs!$C$16+'Table 7'!G10*Inputs!$C$17+'Table 7'!H10*Inputs!$C$18</f>
        <v>0</v>
      </c>
    </row>
    <row r="11" spans="1:9" s="18" customFormat="1" ht="12.75" x14ac:dyDescent="0.2">
      <c r="A11" s="5" t="s">
        <v>165</v>
      </c>
      <c r="B11" s="6" t="s">
        <v>56</v>
      </c>
      <c r="C11" s="6"/>
      <c r="D11" s="6"/>
      <c r="E11" s="12"/>
      <c r="F11" s="6"/>
      <c r="G11" s="6"/>
      <c r="H11" s="6"/>
      <c r="I11" s="9"/>
    </row>
    <row r="12" spans="1:9" s="18" customFormat="1" ht="12.75" x14ac:dyDescent="0.2">
      <c r="A12" s="8" t="s">
        <v>108</v>
      </c>
      <c r="B12" s="6" t="s">
        <v>56</v>
      </c>
      <c r="C12" s="6"/>
      <c r="D12" s="6"/>
      <c r="E12" s="12"/>
      <c r="F12" s="6"/>
      <c r="G12" s="6"/>
      <c r="H12" s="6"/>
      <c r="I12" s="9"/>
    </row>
    <row r="13" spans="1:9" s="18" customFormat="1" ht="12.75" x14ac:dyDescent="0.2">
      <c r="A13" s="8" t="s">
        <v>109</v>
      </c>
      <c r="B13" s="6" t="s">
        <v>56</v>
      </c>
      <c r="C13" s="6"/>
      <c r="D13" s="6"/>
      <c r="E13" s="12"/>
      <c r="F13" s="6"/>
      <c r="G13" s="6"/>
      <c r="H13" s="6"/>
      <c r="I13" s="9"/>
    </row>
    <row r="14" spans="1:9" s="18" customFormat="1" ht="12.75" x14ac:dyDescent="0.2">
      <c r="A14" s="8" t="s">
        <v>110</v>
      </c>
      <c r="B14" s="6" t="s">
        <v>56</v>
      </c>
      <c r="C14" s="6"/>
      <c r="D14" s="6"/>
      <c r="E14" s="12"/>
      <c r="F14" s="6"/>
      <c r="G14" s="6"/>
      <c r="H14" s="6"/>
      <c r="I14" s="9"/>
    </row>
    <row r="15" spans="1:9" s="18" customFormat="1" ht="12.75" x14ac:dyDescent="0.2">
      <c r="A15" s="8" t="s">
        <v>60</v>
      </c>
      <c r="B15" s="6" t="s">
        <v>56</v>
      </c>
      <c r="C15" s="6"/>
      <c r="D15" s="6"/>
      <c r="E15" s="12"/>
      <c r="F15" s="6"/>
      <c r="G15" s="6"/>
      <c r="H15" s="6"/>
      <c r="I15" s="9"/>
    </row>
    <row r="16" spans="1:9" s="18" customFormat="1" ht="12.75" x14ac:dyDescent="0.2">
      <c r="A16" s="8" t="s">
        <v>61</v>
      </c>
      <c r="B16" s="6" t="s">
        <v>56</v>
      </c>
      <c r="C16" s="6"/>
      <c r="D16" s="6"/>
      <c r="E16" s="6"/>
      <c r="F16" s="6"/>
      <c r="G16" s="12"/>
      <c r="H16" s="11"/>
      <c r="I16" s="9"/>
    </row>
    <row r="17" spans="1:10" s="18" customFormat="1" ht="12.75" x14ac:dyDescent="0.2">
      <c r="A17" s="8" t="s">
        <v>111</v>
      </c>
      <c r="B17" s="6" t="s">
        <v>56</v>
      </c>
      <c r="C17" s="6"/>
      <c r="D17" s="6"/>
      <c r="E17" s="12"/>
      <c r="F17" s="6"/>
      <c r="G17" s="6"/>
      <c r="H17" s="6"/>
      <c r="I17" s="9"/>
    </row>
    <row r="18" spans="1:10" s="18" customFormat="1" ht="12" customHeight="1" x14ac:dyDescent="0.2">
      <c r="A18" s="15" t="s">
        <v>173</v>
      </c>
      <c r="B18" s="15"/>
      <c r="C18" s="15"/>
      <c r="D18" s="15"/>
      <c r="E18" s="15"/>
      <c r="F18" s="135">
        <f>ROUND(SUM(F5:H17),0)</f>
        <v>0</v>
      </c>
      <c r="G18" s="135"/>
      <c r="H18" s="135"/>
      <c r="I18" s="14">
        <f>ROUND(SUM(I5:I17),-1)</f>
        <v>0</v>
      </c>
    </row>
    <row r="19" spans="1:10" s="18" customFormat="1" ht="12.75" x14ac:dyDescent="0.2">
      <c r="J19" s="19"/>
    </row>
    <row r="20" spans="1:10" s="18" customFormat="1" ht="12.75" x14ac:dyDescent="0.2">
      <c r="A20" s="16" t="s">
        <v>80</v>
      </c>
    </row>
    <row r="21" spans="1:10" s="18" customFormat="1" ht="33" customHeight="1" x14ac:dyDescent="0.2">
      <c r="A21" s="139" t="s">
        <v>81</v>
      </c>
      <c r="B21" s="139"/>
      <c r="C21" s="139"/>
      <c r="D21" s="139"/>
      <c r="E21" s="139"/>
      <c r="F21" s="139"/>
      <c r="G21" s="139"/>
      <c r="H21" s="139"/>
      <c r="I21" s="139"/>
    </row>
    <row r="22" spans="1:10" s="18" customFormat="1" ht="33.6" customHeight="1" x14ac:dyDescent="0.2">
      <c r="A22" s="136" t="s">
        <v>113</v>
      </c>
      <c r="B22" s="136"/>
      <c r="C22" s="136"/>
      <c r="D22" s="136"/>
      <c r="E22" s="136"/>
      <c r="F22" s="136"/>
      <c r="G22" s="136"/>
      <c r="H22" s="136"/>
      <c r="I22" s="136"/>
    </row>
    <row r="23" spans="1:10" s="18" customFormat="1" ht="48.6" customHeight="1" x14ac:dyDescent="0.2">
      <c r="A23" s="131" t="s">
        <v>114</v>
      </c>
      <c r="B23" s="131"/>
      <c r="C23" s="131"/>
      <c r="D23" s="131"/>
      <c r="E23" s="131"/>
      <c r="F23" s="131"/>
      <c r="G23" s="131"/>
      <c r="H23" s="131"/>
      <c r="I23" s="131"/>
    </row>
    <row r="24" spans="1:10" s="18" customFormat="1" ht="27" customHeight="1" x14ac:dyDescent="0.2">
      <c r="A24" s="131" t="s">
        <v>174</v>
      </c>
      <c r="B24" s="131"/>
      <c r="C24" s="131"/>
      <c r="D24" s="131"/>
      <c r="E24" s="131"/>
      <c r="F24" s="131"/>
      <c r="G24" s="131"/>
      <c r="H24" s="131"/>
      <c r="I24" s="131"/>
    </row>
    <row r="25" spans="1:10" s="18" customFormat="1" ht="15.75" x14ac:dyDescent="0.2">
      <c r="A25" s="140" t="s">
        <v>172</v>
      </c>
      <c r="B25" s="140"/>
      <c r="C25" s="140"/>
      <c r="D25" s="140"/>
      <c r="E25" s="140"/>
      <c r="F25" s="140"/>
      <c r="G25" s="140"/>
      <c r="H25" s="140"/>
      <c r="I25" s="140"/>
    </row>
    <row r="26" spans="1:10" s="18" customFormat="1" ht="12.75" x14ac:dyDescent="0.2"/>
    <row r="27" spans="1:10" s="18" customFormat="1" ht="12.75" x14ac:dyDescent="0.2"/>
    <row r="28" spans="1:10" s="18" customFormat="1" ht="12.75" x14ac:dyDescent="0.2"/>
    <row r="29" spans="1:10" s="18" customFormat="1" ht="12.75" x14ac:dyDescent="0.2"/>
    <row r="30" spans="1:10" s="18" customFormat="1" ht="12.75" x14ac:dyDescent="0.2"/>
    <row r="31" spans="1:10" s="18" customFormat="1" ht="12.75" x14ac:dyDescent="0.2"/>
    <row r="32" spans="1:10" s="18" customFormat="1" ht="12.75" x14ac:dyDescent="0.2"/>
    <row r="33" spans="1:9" s="18" customFormat="1" ht="12.75" x14ac:dyDescent="0.2"/>
    <row r="34" spans="1:9" s="18" customFormat="1" ht="12.75" x14ac:dyDescent="0.2"/>
    <row r="35" spans="1:9" s="18" customFormat="1" ht="12.75" x14ac:dyDescent="0.2"/>
    <row r="36" spans="1:9" s="18" customFormat="1" ht="12.75" x14ac:dyDescent="0.2"/>
    <row r="37" spans="1:9" s="18" customFormat="1" x14ac:dyDescent="0.25">
      <c r="A37"/>
      <c r="B37"/>
      <c r="C37"/>
      <c r="D37"/>
      <c r="E37"/>
      <c r="F37"/>
      <c r="G37"/>
      <c r="H37"/>
      <c r="I37"/>
    </row>
    <row r="38" spans="1:9" s="18" customFormat="1" x14ac:dyDescent="0.25">
      <c r="A38"/>
      <c r="B38"/>
      <c r="C38"/>
      <c r="D38"/>
      <c r="E38"/>
      <c r="F38"/>
      <c r="G38"/>
      <c r="H38"/>
      <c r="I38"/>
    </row>
  </sheetData>
  <mergeCells count="7">
    <mergeCell ref="A25:I25"/>
    <mergeCell ref="A3:A4"/>
    <mergeCell ref="F18:H18"/>
    <mergeCell ref="A21:I21"/>
    <mergeCell ref="A22:I22"/>
    <mergeCell ref="A23:I23"/>
    <mergeCell ref="A24:I2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C35A-C9B3-4C57-A3F9-85A1754CAFB2}">
  <sheetPr>
    <tabColor rgb="FF00B0F0"/>
  </sheetPr>
  <dimension ref="A1:E11"/>
  <sheetViews>
    <sheetView workbookViewId="0">
      <selection activeCell="E8" sqref="E8"/>
    </sheetView>
  </sheetViews>
  <sheetFormatPr defaultRowHeight="15" x14ac:dyDescent="0.25"/>
  <cols>
    <col min="1" max="1" width="16.42578125" customWidth="1"/>
    <col min="3" max="3" width="15.85546875" customWidth="1"/>
    <col min="4" max="4" width="13.28515625" customWidth="1"/>
    <col min="5" max="5" width="14.5703125" customWidth="1"/>
  </cols>
  <sheetData>
    <row r="1" spans="1:5" x14ac:dyDescent="0.25">
      <c r="A1" s="20" t="s">
        <v>163</v>
      </c>
    </row>
    <row r="2" spans="1:5" ht="39.75" thickBot="1" x14ac:dyDescent="0.3">
      <c r="A2" s="45" t="s">
        <v>100</v>
      </c>
      <c r="B2" s="46" t="s">
        <v>119</v>
      </c>
      <c r="C2" s="46" t="s">
        <v>102</v>
      </c>
      <c r="D2" s="46" t="s">
        <v>120</v>
      </c>
      <c r="E2" s="46" t="s">
        <v>104</v>
      </c>
    </row>
    <row r="3" spans="1:5" ht="15.75" thickTop="1" x14ac:dyDescent="0.25">
      <c r="A3" s="47">
        <v>1</v>
      </c>
      <c r="B3" s="48">
        <f>'Table 5'!F18</f>
        <v>0</v>
      </c>
      <c r="C3" s="55">
        <f>'Table 5'!I18</f>
        <v>0</v>
      </c>
      <c r="D3" s="49">
        <v>0</v>
      </c>
      <c r="E3" s="49">
        <f>+C3+D3</f>
        <v>0</v>
      </c>
    </row>
    <row r="4" spans="1:5" x14ac:dyDescent="0.25">
      <c r="A4" s="35">
        <v>2</v>
      </c>
      <c r="B4" s="48">
        <f>'Table 6 '!F18</f>
        <v>8073</v>
      </c>
      <c r="C4" s="49">
        <f>'Table 6 '!I18</f>
        <v>382670</v>
      </c>
      <c r="D4" s="51">
        <v>0</v>
      </c>
      <c r="E4" s="49">
        <f>+C4+D4</f>
        <v>382670</v>
      </c>
    </row>
    <row r="5" spans="1:5" ht="15.75" thickBot="1" x14ac:dyDescent="0.3">
      <c r="A5" s="52">
        <v>3</v>
      </c>
      <c r="B5" s="53">
        <f>'Table 7'!F18</f>
        <v>0</v>
      </c>
      <c r="C5" s="56">
        <f>'Table 7'!I18</f>
        <v>0</v>
      </c>
      <c r="D5" s="54">
        <v>0</v>
      </c>
      <c r="E5" s="54">
        <f>+C5+D5</f>
        <v>0</v>
      </c>
    </row>
    <row r="6" spans="1:5" ht="15.75" thickTop="1" x14ac:dyDescent="0.25">
      <c r="A6" s="60" t="s">
        <v>121</v>
      </c>
      <c r="B6" s="48">
        <f>ROUND(SUM(B3:B5),-1)</f>
        <v>8070</v>
      </c>
      <c r="C6" s="49">
        <f>ROUND(SUM(C3:C5),-3)</f>
        <v>383000</v>
      </c>
      <c r="D6" s="49">
        <f>ROUND(SUM(D3:D5),-1)</f>
        <v>0</v>
      </c>
      <c r="E6" s="49">
        <f>ROUND(SUM(E3:E5),-3)</f>
        <v>383000</v>
      </c>
    </row>
    <row r="7" spans="1:5" x14ac:dyDescent="0.25">
      <c r="A7" s="34" t="s">
        <v>122</v>
      </c>
      <c r="B7" s="50">
        <f>ROUND(AVERAGE(B3:B5),-1)</f>
        <v>2690</v>
      </c>
      <c r="C7" s="51">
        <f>ROUND(AVERAGE(C3:C5),-3)</f>
        <v>128000</v>
      </c>
      <c r="D7" s="51">
        <f>ROUND(AVERAGE(D3:D5),-1)</f>
        <v>0</v>
      </c>
      <c r="E7" s="51">
        <f>ROUND(AVERAGE(E3:E5),-3)</f>
        <v>128000</v>
      </c>
    </row>
    <row r="11" spans="1:5" x14ac:dyDescent="0.25">
      <c r="C11" s="42"/>
    </row>
  </sheetData>
  <pageMargins left="0.7" right="0.7" top="0.75" bottom="0.75" header="0.3" footer="0.3"/>
  <pageSetup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E70A-2FA9-4BA0-BD8F-4555C7318829}">
  <sheetPr>
    <tabColor theme="4" tint="0.39997558519241921"/>
  </sheetPr>
  <dimension ref="A1:J38"/>
  <sheetViews>
    <sheetView workbookViewId="0">
      <selection activeCell="F17" sqref="F17"/>
    </sheetView>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9" max="9" width="12.85546875" customWidth="1"/>
    <col min="12" max="12" width="31" customWidth="1"/>
    <col min="15" max="15" width="23.42578125" customWidth="1"/>
    <col min="16" max="16" width="21.5703125" customWidth="1"/>
  </cols>
  <sheetData>
    <row r="1" spans="1:9" ht="15.75" x14ac:dyDescent="0.25">
      <c r="A1" s="17" t="s">
        <v>152</v>
      </c>
    </row>
    <row r="2" spans="1:9" s="18" customFormat="1" ht="12.75" x14ac:dyDescent="0.2">
      <c r="F2" s="2">
        <f>Inputs!C16</f>
        <v>54.512</v>
      </c>
      <c r="G2" s="2">
        <f>Inputs!C17</f>
        <v>73.456000000000003</v>
      </c>
      <c r="H2" s="2">
        <f>Inputs!C18</f>
        <v>29.504000000000005</v>
      </c>
      <c r="I2" s="2"/>
    </row>
    <row r="3" spans="1:9" s="18" customFormat="1" ht="12.75" x14ac:dyDescent="0.2">
      <c r="A3" s="141" t="s">
        <v>37</v>
      </c>
      <c r="B3" s="3" t="s">
        <v>38</v>
      </c>
      <c r="C3" s="3" t="s">
        <v>39</v>
      </c>
      <c r="D3" s="3" t="s">
        <v>40</v>
      </c>
      <c r="E3" s="3" t="s">
        <v>41</v>
      </c>
      <c r="F3" s="4" t="s">
        <v>42</v>
      </c>
      <c r="G3" s="3" t="s">
        <v>43</v>
      </c>
      <c r="H3" s="3" t="s">
        <v>44</v>
      </c>
      <c r="I3" s="3" t="s">
        <v>45</v>
      </c>
    </row>
    <row r="4" spans="1:9" s="18" customFormat="1" ht="63.75" x14ac:dyDescent="0.2">
      <c r="A4" s="141"/>
      <c r="B4" s="121" t="s">
        <v>46</v>
      </c>
      <c r="C4" s="121" t="s">
        <v>47</v>
      </c>
      <c r="D4" s="121" t="s">
        <v>48</v>
      </c>
      <c r="E4" s="121" t="s">
        <v>49</v>
      </c>
      <c r="F4" s="121" t="s">
        <v>50</v>
      </c>
      <c r="G4" s="121" t="s">
        <v>51</v>
      </c>
      <c r="H4" s="121" t="s">
        <v>52</v>
      </c>
      <c r="I4" s="121" t="s">
        <v>53</v>
      </c>
    </row>
    <row r="5" spans="1:9" s="18" customFormat="1" ht="12.75" x14ac:dyDescent="0.2">
      <c r="A5" s="149" t="s">
        <v>180</v>
      </c>
      <c r="B5" s="121"/>
      <c r="C5" s="121"/>
      <c r="D5" s="121"/>
      <c r="E5" s="121"/>
      <c r="F5" s="121"/>
      <c r="G5" s="121"/>
      <c r="H5" s="121"/>
      <c r="I5" s="121"/>
    </row>
    <row r="6" spans="1:9" s="18" customFormat="1" ht="12.75" x14ac:dyDescent="0.2">
      <c r="A6" s="149" t="s">
        <v>181</v>
      </c>
      <c r="B6" s="6">
        <v>2</v>
      </c>
      <c r="C6" s="6">
        <v>1</v>
      </c>
      <c r="D6" s="6">
        <f>B6*C6</f>
        <v>2</v>
      </c>
      <c r="E6" s="6">
        <v>0</v>
      </c>
      <c r="F6" s="6">
        <f>D6*E6</f>
        <v>0</v>
      </c>
      <c r="G6" s="6">
        <f>F6*0.05</f>
        <v>0</v>
      </c>
      <c r="H6" s="6">
        <f>F6*0.1</f>
        <v>0</v>
      </c>
      <c r="I6" s="151">
        <f>F6*$F$2+G6*$G$2+H6*$H$2</f>
        <v>0</v>
      </c>
    </row>
    <row r="7" spans="1:9" s="18" customFormat="1" ht="12.75" x14ac:dyDescent="0.2">
      <c r="A7" s="149" t="s">
        <v>184</v>
      </c>
      <c r="B7" s="6">
        <v>2</v>
      </c>
      <c r="C7" s="6">
        <v>1</v>
      </c>
      <c r="D7" s="6">
        <f>B7*C7</f>
        <v>2</v>
      </c>
      <c r="E7" s="6">
        <v>0</v>
      </c>
      <c r="F7" s="6">
        <f>D7*E7</f>
        <v>0</v>
      </c>
      <c r="G7" s="6">
        <f>F7*0.05</f>
        <v>0</v>
      </c>
      <c r="H7" s="6">
        <f>F7*0.1</f>
        <v>0</v>
      </c>
      <c r="I7" s="151">
        <f>F7*$F$2+G7*$G$2+H7*$H$2</f>
        <v>0</v>
      </c>
    </row>
    <row r="8" spans="1:9" s="18" customFormat="1" ht="12.75" x14ac:dyDescent="0.2">
      <c r="A8" s="149" t="s">
        <v>182</v>
      </c>
      <c r="B8" s="6">
        <v>300</v>
      </c>
      <c r="C8" s="6">
        <v>1</v>
      </c>
      <c r="D8" s="6">
        <f>B8*C8</f>
        <v>300</v>
      </c>
      <c r="E8" s="6">
        <v>0</v>
      </c>
      <c r="F8" s="6">
        <f>D8*E8</f>
        <v>0</v>
      </c>
      <c r="G8" s="6">
        <f>F8*0.05</f>
        <v>0</v>
      </c>
      <c r="H8" s="6">
        <f>F8*0.1</f>
        <v>0</v>
      </c>
      <c r="I8" s="151">
        <f>F8*$F$2+G8*$G$2+H8*$H$2</f>
        <v>0</v>
      </c>
    </row>
    <row r="9" spans="1:9" s="18" customFormat="1" ht="15.75" x14ac:dyDescent="0.2">
      <c r="A9" s="5" t="s">
        <v>179</v>
      </c>
      <c r="B9" s="6" t="s">
        <v>56</v>
      </c>
      <c r="C9" s="6"/>
      <c r="D9" s="6"/>
      <c r="E9" s="12"/>
      <c r="F9" s="6"/>
      <c r="G9" s="6"/>
      <c r="H9" s="6"/>
      <c r="I9" s="9"/>
    </row>
    <row r="10" spans="1:9" s="18" customFormat="1" ht="12.75" x14ac:dyDescent="0.2">
      <c r="A10" s="8" t="s">
        <v>108</v>
      </c>
      <c r="B10" s="6" t="s">
        <v>56</v>
      </c>
      <c r="C10" s="6"/>
      <c r="D10" s="6"/>
      <c r="E10" s="12"/>
      <c r="F10" s="6"/>
      <c r="G10" s="6"/>
      <c r="H10" s="6"/>
      <c r="I10" s="9"/>
    </row>
    <row r="11" spans="1:9" s="18" customFormat="1" ht="12.75" x14ac:dyDescent="0.2">
      <c r="A11" s="8" t="s">
        <v>109</v>
      </c>
      <c r="B11" s="6" t="s">
        <v>56</v>
      </c>
      <c r="C11" s="6"/>
      <c r="D11" s="6"/>
      <c r="E11" s="12"/>
      <c r="F11" s="6"/>
      <c r="G11" s="6"/>
      <c r="H11" s="6"/>
      <c r="I11" s="9"/>
    </row>
    <row r="12" spans="1:9" s="18" customFormat="1" ht="12.75" x14ac:dyDescent="0.2">
      <c r="A12" s="8" t="s">
        <v>110</v>
      </c>
      <c r="B12" s="6" t="s">
        <v>56</v>
      </c>
      <c r="C12" s="6"/>
      <c r="D12" s="6"/>
      <c r="E12" s="12"/>
      <c r="F12" s="6"/>
      <c r="G12" s="6"/>
      <c r="H12" s="6"/>
      <c r="I12" s="9"/>
    </row>
    <row r="13" spans="1:9" s="18" customFormat="1" ht="12.75" x14ac:dyDescent="0.2">
      <c r="A13" s="8" t="s">
        <v>60</v>
      </c>
      <c r="B13" s="6" t="s">
        <v>56</v>
      </c>
      <c r="C13" s="6"/>
      <c r="D13" s="6"/>
      <c r="E13" s="12"/>
      <c r="F13" s="6"/>
      <c r="G13" s="6"/>
      <c r="H13" s="6"/>
      <c r="I13" s="9"/>
    </row>
    <row r="14" spans="1:9" s="18" customFormat="1" ht="12.75" x14ac:dyDescent="0.2">
      <c r="A14" s="8" t="s">
        <v>61</v>
      </c>
      <c r="B14" s="6" t="s">
        <v>56</v>
      </c>
      <c r="C14" s="6"/>
      <c r="D14" s="6"/>
      <c r="E14" s="6"/>
      <c r="F14" s="6"/>
      <c r="G14" s="12"/>
      <c r="H14" s="12"/>
      <c r="I14" s="9"/>
    </row>
    <row r="15" spans="1:9" s="18" customFormat="1" ht="12.75" x14ac:dyDescent="0.2">
      <c r="A15" s="8" t="s">
        <v>111</v>
      </c>
      <c r="B15" s="6" t="s">
        <v>56</v>
      </c>
      <c r="C15" s="6"/>
      <c r="D15" s="6"/>
      <c r="E15" s="12"/>
      <c r="F15" s="6"/>
      <c r="G15" s="6"/>
      <c r="H15" s="6"/>
      <c r="I15" s="9"/>
    </row>
    <row r="16" spans="1:9" s="18" customFormat="1" ht="15.75" x14ac:dyDescent="0.2">
      <c r="A16" s="15" t="s">
        <v>112</v>
      </c>
      <c r="B16" s="15"/>
      <c r="C16" s="15"/>
      <c r="D16" s="15"/>
      <c r="E16" s="15"/>
      <c r="F16" s="141">
        <f>ROUND(SUM(F6:H15),0)</f>
        <v>0</v>
      </c>
      <c r="G16" s="141"/>
      <c r="H16" s="141"/>
      <c r="I16" s="14">
        <f>SUM(I6:I15)</f>
        <v>0</v>
      </c>
    </row>
    <row r="17" spans="1:10" s="18" customFormat="1" ht="12.75" x14ac:dyDescent="0.2">
      <c r="J17" s="19"/>
    </row>
    <row r="18" spans="1:10" s="18" customFormat="1" ht="12.75" x14ac:dyDescent="0.2">
      <c r="A18" s="16" t="s">
        <v>80</v>
      </c>
    </row>
    <row r="19" spans="1:10" s="18" customFormat="1" ht="33" customHeight="1" x14ac:dyDescent="0.2">
      <c r="A19" s="139" t="s">
        <v>81</v>
      </c>
      <c r="B19" s="139"/>
      <c r="C19" s="139"/>
      <c r="D19" s="139"/>
      <c r="E19" s="139"/>
      <c r="F19" s="139"/>
      <c r="G19" s="139"/>
      <c r="H19" s="139"/>
      <c r="I19" s="139"/>
    </row>
    <row r="20" spans="1:10" s="18" customFormat="1" ht="33" customHeight="1" x14ac:dyDescent="0.2">
      <c r="A20" s="136" t="s">
        <v>113</v>
      </c>
      <c r="B20" s="136"/>
      <c r="C20" s="136"/>
      <c r="D20" s="136"/>
      <c r="E20" s="136"/>
      <c r="F20" s="136"/>
      <c r="G20" s="136"/>
      <c r="H20" s="136"/>
      <c r="I20" s="136"/>
    </row>
    <row r="21" spans="1:10" s="18" customFormat="1" ht="48.75" customHeight="1" x14ac:dyDescent="0.2">
      <c r="A21" s="131" t="s">
        <v>114</v>
      </c>
      <c r="B21" s="131"/>
      <c r="C21" s="131"/>
      <c r="D21" s="131"/>
      <c r="E21" s="131"/>
      <c r="F21" s="131"/>
      <c r="G21" s="131"/>
      <c r="H21" s="131"/>
      <c r="I21" s="131"/>
    </row>
    <row r="22" spans="1:10" s="18" customFormat="1" ht="33" customHeight="1" x14ac:dyDescent="0.2">
      <c r="A22" s="131" t="s">
        <v>138</v>
      </c>
      <c r="B22" s="131"/>
      <c r="C22" s="131"/>
      <c r="D22" s="131"/>
      <c r="E22" s="131"/>
      <c r="F22" s="131"/>
      <c r="G22" s="131"/>
      <c r="H22" s="131"/>
      <c r="I22" s="131"/>
    </row>
    <row r="23" spans="1:10" s="18" customFormat="1" ht="15.75" x14ac:dyDescent="0.2">
      <c r="A23" s="140" t="s">
        <v>115</v>
      </c>
      <c r="B23" s="140"/>
      <c r="C23" s="140"/>
      <c r="D23" s="140"/>
      <c r="E23" s="140"/>
      <c r="F23" s="140"/>
      <c r="G23" s="140"/>
      <c r="H23" s="140"/>
      <c r="I23" s="140"/>
    </row>
    <row r="24" spans="1:10" s="18" customFormat="1" ht="12.75" x14ac:dyDescent="0.2"/>
    <row r="25" spans="1:10" s="18" customFormat="1" ht="12.75" x14ac:dyDescent="0.2"/>
    <row r="26" spans="1:10" s="18" customFormat="1" ht="12.75" x14ac:dyDescent="0.2"/>
    <row r="27" spans="1:10" s="18" customFormat="1" ht="12.75" x14ac:dyDescent="0.2"/>
    <row r="28" spans="1:10" s="18" customFormat="1" ht="12.75" x14ac:dyDescent="0.2"/>
    <row r="29" spans="1:10" s="18" customFormat="1" ht="12.75" x14ac:dyDescent="0.2"/>
    <row r="30" spans="1:10" s="18" customFormat="1" ht="12.75" x14ac:dyDescent="0.2"/>
    <row r="31" spans="1:10" s="18" customFormat="1" ht="12.75" x14ac:dyDescent="0.2"/>
    <row r="32" spans="1:10" s="18" customFormat="1" ht="12.75" x14ac:dyDescent="0.2"/>
    <row r="33" spans="1:9" s="18" customFormat="1" ht="12.75" x14ac:dyDescent="0.2"/>
    <row r="34" spans="1:9" s="18" customFormat="1" ht="12.75" x14ac:dyDescent="0.2"/>
    <row r="35" spans="1:9" s="18" customFormat="1" ht="12.75" x14ac:dyDescent="0.2"/>
    <row r="36" spans="1:9" s="18" customFormat="1" ht="12.75" x14ac:dyDescent="0.2"/>
    <row r="37" spans="1:9" s="18" customFormat="1" x14ac:dyDescent="0.25">
      <c r="A37"/>
      <c r="B37"/>
      <c r="C37"/>
      <c r="D37"/>
      <c r="E37"/>
      <c r="F37"/>
      <c r="G37"/>
      <c r="H37"/>
      <c r="I37"/>
    </row>
    <row r="38" spans="1:9" s="18" customFormat="1" x14ac:dyDescent="0.25">
      <c r="A38"/>
      <c r="B38"/>
      <c r="C38"/>
      <c r="D38"/>
      <c r="E38"/>
      <c r="F38"/>
      <c r="G38"/>
      <c r="H38"/>
      <c r="I38"/>
    </row>
  </sheetData>
  <mergeCells count="7">
    <mergeCell ref="A23:I23"/>
    <mergeCell ref="A3:A4"/>
    <mergeCell ref="F16:H16"/>
    <mergeCell ref="A20:I20"/>
    <mergeCell ref="A21:I21"/>
    <mergeCell ref="A22:I22"/>
    <mergeCell ref="A19:I19"/>
  </mergeCells>
  <pageMargins left="0.7" right="0.7" top="0.75" bottom="0.75" header="0.3" footer="0.3"/>
  <pageSetup orientation="portrait" horizontalDpi="4294967293"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F272-2265-4291-A3FF-2400A62E206C}">
  <sheetPr>
    <tabColor theme="4" tint="0.39997558519241921"/>
  </sheetPr>
  <dimension ref="A1:J36"/>
  <sheetViews>
    <sheetView workbookViewId="0">
      <selection activeCell="F17" sqref="F17"/>
    </sheetView>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9" max="9" width="12.28515625" customWidth="1"/>
    <col min="12" max="12" width="31" customWidth="1"/>
    <col min="15" max="15" width="23.42578125" customWidth="1"/>
    <col min="16" max="16" width="21.5703125" customWidth="1"/>
  </cols>
  <sheetData>
    <row r="1" spans="1:9" ht="15.75" x14ac:dyDescent="0.25">
      <c r="A1" s="17" t="s">
        <v>153</v>
      </c>
    </row>
    <row r="2" spans="1:9" s="18" customFormat="1" ht="12.75" x14ac:dyDescent="0.2">
      <c r="F2" s="2">
        <f>Inputs!C16</f>
        <v>54.512</v>
      </c>
      <c r="G2" s="2">
        <f>Inputs!C17</f>
        <v>73.456000000000003</v>
      </c>
      <c r="H2" s="2">
        <f>Inputs!C18</f>
        <v>29.504000000000005</v>
      </c>
      <c r="I2" s="2"/>
    </row>
    <row r="3" spans="1:9" s="18" customFormat="1" ht="12.75" x14ac:dyDescent="0.2">
      <c r="A3" s="141" t="s">
        <v>37</v>
      </c>
      <c r="B3" s="3" t="s">
        <v>38</v>
      </c>
      <c r="C3" s="3" t="s">
        <v>39</v>
      </c>
      <c r="D3" s="3" t="s">
        <v>40</v>
      </c>
      <c r="E3" s="3" t="s">
        <v>41</v>
      </c>
      <c r="F3" s="4" t="s">
        <v>42</v>
      </c>
      <c r="G3" s="3" t="s">
        <v>43</v>
      </c>
      <c r="H3" s="3" t="s">
        <v>44</v>
      </c>
      <c r="I3" s="3" t="s">
        <v>45</v>
      </c>
    </row>
    <row r="4" spans="1:9" s="18" customFormat="1" ht="63.75" x14ac:dyDescent="0.2">
      <c r="A4" s="141"/>
      <c r="B4" s="121" t="s">
        <v>46</v>
      </c>
      <c r="C4" s="121" t="s">
        <v>47</v>
      </c>
      <c r="D4" s="121" t="s">
        <v>48</v>
      </c>
      <c r="E4" s="121" t="s">
        <v>49</v>
      </c>
      <c r="F4" s="121" t="s">
        <v>50</v>
      </c>
      <c r="G4" s="121" t="s">
        <v>51</v>
      </c>
      <c r="H4" s="121" t="s">
        <v>52</v>
      </c>
      <c r="I4" s="121" t="s">
        <v>53</v>
      </c>
    </row>
    <row r="5" spans="1:9" s="18" customFormat="1" ht="12.75" x14ac:dyDescent="0.2">
      <c r="A5" s="149" t="s">
        <v>180</v>
      </c>
      <c r="B5" s="121"/>
      <c r="C5" s="121"/>
      <c r="D5" s="121"/>
      <c r="E5" s="121"/>
      <c r="F5" s="121"/>
      <c r="G5" s="121"/>
      <c r="H5" s="121"/>
      <c r="I5" s="121"/>
    </row>
    <row r="6" spans="1:9" s="18" customFormat="1" ht="12.75" x14ac:dyDescent="0.2">
      <c r="A6" s="149" t="s">
        <v>181</v>
      </c>
      <c r="B6" s="6">
        <v>2</v>
      </c>
      <c r="C6" s="6">
        <v>1</v>
      </c>
      <c r="D6" s="6">
        <f>B6*C6</f>
        <v>2</v>
      </c>
      <c r="E6" s="6">
        <v>15</v>
      </c>
      <c r="F6" s="6">
        <f>D6*E6</f>
        <v>30</v>
      </c>
      <c r="G6" s="6">
        <f>F6*0.05</f>
        <v>1.5</v>
      </c>
      <c r="H6" s="6">
        <f>F6*0.1</f>
        <v>3</v>
      </c>
      <c r="I6" s="150">
        <f>F6*$F$2+G6*$G$2+H6*$H$2</f>
        <v>1834.056</v>
      </c>
    </row>
    <row r="7" spans="1:9" s="18" customFormat="1" ht="12.75" x14ac:dyDescent="0.2">
      <c r="A7" s="149" t="s">
        <v>184</v>
      </c>
      <c r="B7" s="6">
        <v>2</v>
      </c>
      <c r="C7" s="6">
        <v>1</v>
      </c>
      <c r="D7" s="6">
        <f>B7*C7</f>
        <v>2</v>
      </c>
      <c r="E7" s="6">
        <v>15</v>
      </c>
      <c r="F7" s="6">
        <f>D7*E7</f>
        <v>30</v>
      </c>
      <c r="G7" s="6">
        <f>F7*0.05</f>
        <v>1.5</v>
      </c>
      <c r="H7" s="6">
        <f>F7*0.1</f>
        <v>3</v>
      </c>
      <c r="I7" s="150">
        <f>F7*$F$2+G7*$G$2+H7*$H$2</f>
        <v>1834.056</v>
      </c>
    </row>
    <row r="8" spans="1:9" s="18" customFormat="1" ht="12.75" x14ac:dyDescent="0.2">
      <c r="A8" s="149" t="s">
        <v>182</v>
      </c>
      <c r="B8" s="6">
        <v>300</v>
      </c>
      <c r="C8" s="6">
        <v>1</v>
      </c>
      <c r="D8" s="6">
        <f>B8*C8</f>
        <v>300</v>
      </c>
      <c r="E8" s="6">
        <v>15</v>
      </c>
      <c r="F8" s="6">
        <f>D8*E8</f>
        <v>4500</v>
      </c>
      <c r="G8" s="6">
        <f>F8*0.05</f>
        <v>225</v>
      </c>
      <c r="H8" s="6">
        <f>F8*0.1</f>
        <v>450</v>
      </c>
      <c r="I8" s="150">
        <f>F8*$F$2+G8*$G$2+H8*$H$2</f>
        <v>275108.40000000002</v>
      </c>
    </row>
    <row r="9" spans="1:9" s="18" customFormat="1" ht="15.75" x14ac:dyDescent="0.2">
      <c r="A9" s="5" t="s">
        <v>179</v>
      </c>
      <c r="B9" s="6" t="s">
        <v>56</v>
      </c>
      <c r="C9" s="6"/>
      <c r="D9" s="6"/>
      <c r="E9" s="12"/>
      <c r="F9" s="6"/>
      <c r="G9" s="6"/>
      <c r="H9" s="6"/>
      <c r="I9" s="9"/>
    </row>
    <row r="10" spans="1:9" s="18" customFormat="1" ht="12.75" x14ac:dyDescent="0.2">
      <c r="A10" s="8" t="s">
        <v>108</v>
      </c>
      <c r="B10" s="6" t="s">
        <v>56</v>
      </c>
      <c r="C10" s="6"/>
      <c r="D10" s="6"/>
      <c r="E10" s="12"/>
      <c r="F10" s="6"/>
      <c r="G10" s="6"/>
      <c r="H10" s="6"/>
      <c r="I10" s="9"/>
    </row>
    <row r="11" spans="1:9" s="18" customFormat="1" ht="12.75" x14ac:dyDescent="0.2">
      <c r="A11" s="8" t="s">
        <v>109</v>
      </c>
      <c r="B11" s="6" t="s">
        <v>56</v>
      </c>
      <c r="C11" s="6"/>
      <c r="D11" s="6"/>
      <c r="E11" s="12"/>
      <c r="F11" s="6"/>
      <c r="G11" s="6"/>
      <c r="H11" s="6"/>
      <c r="I11" s="9"/>
    </row>
    <row r="12" spans="1:9" s="18" customFormat="1" ht="12.75" x14ac:dyDescent="0.2">
      <c r="A12" s="8" t="s">
        <v>110</v>
      </c>
      <c r="B12" s="6" t="s">
        <v>56</v>
      </c>
      <c r="C12" s="6"/>
      <c r="D12" s="6"/>
      <c r="E12" s="12"/>
      <c r="F12" s="6"/>
      <c r="G12" s="6"/>
      <c r="H12" s="6"/>
      <c r="I12" s="9"/>
    </row>
    <row r="13" spans="1:9" s="18" customFormat="1" ht="12.75" x14ac:dyDescent="0.2">
      <c r="A13" s="8" t="s">
        <v>60</v>
      </c>
      <c r="B13" s="6" t="s">
        <v>56</v>
      </c>
      <c r="C13" s="6"/>
      <c r="D13" s="6"/>
      <c r="E13" s="12"/>
      <c r="F13" s="6"/>
      <c r="G13" s="6"/>
      <c r="H13" s="6"/>
      <c r="I13" s="9"/>
    </row>
    <row r="14" spans="1:9" s="18" customFormat="1" ht="12.75" x14ac:dyDescent="0.2">
      <c r="A14" s="8" t="s">
        <v>61</v>
      </c>
      <c r="B14" s="6" t="s">
        <v>56</v>
      </c>
      <c r="C14" s="6"/>
      <c r="D14" s="6"/>
      <c r="E14" s="6"/>
      <c r="F14" s="6"/>
      <c r="G14" s="12"/>
      <c r="H14" s="11"/>
      <c r="I14" s="9"/>
    </row>
    <row r="15" spans="1:9" s="18" customFormat="1" ht="12.75" x14ac:dyDescent="0.2">
      <c r="A15" s="8" t="s">
        <v>111</v>
      </c>
      <c r="B15" s="6" t="s">
        <v>56</v>
      </c>
      <c r="C15" s="6"/>
      <c r="D15" s="6"/>
      <c r="E15" s="12"/>
      <c r="F15" s="6"/>
      <c r="G15" s="6"/>
      <c r="H15" s="6"/>
      <c r="I15" s="9"/>
    </row>
    <row r="16" spans="1:9" s="18" customFormat="1" ht="15.75" x14ac:dyDescent="0.2">
      <c r="A16" s="15" t="s">
        <v>117</v>
      </c>
      <c r="B16" s="15"/>
      <c r="C16" s="15"/>
      <c r="D16" s="15"/>
      <c r="E16" s="15"/>
      <c r="F16" s="141">
        <f>ROUND(SUM(F6:H15),0)</f>
        <v>5244</v>
      </c>
      <c r="G16" s="141"/>
      <c r="H16" s="141"/>
      <c r="I16" s="14">
        <f>ROUND(SUM(I6:I15),-1)</f>
        <v>278780</v>
      </c>
    </row>
    <row r="17" spans="1:10" s="18" customFormat="1" ht="12.75" x14ac:dyDescent="0.2">
      <c r="J17" s="19"/>
    </row>
    <row r="18" spans="1:10" s="18" customFormat="1" ht="12.75" x14ac:dyDescent="0.2">
      <c r="A18" s="16" t="s">
        <v>80</v>
      </c>
    </row>
    <row r="19" spans="1:10" s="18" customFormat="1" ht="33" customHeight="1" x14ac:dyDescent="0.2">
      <c r="A19" s="139" t="s">
        <v>81</v>
      </c>
      <c r="B19" s="139"/>
      <c r="C19" s="139"/>
      <c r="D19" s="139"/>
      <c r="E19" s="139"/>
      <c r="F19" s="139"/>
      <c r="G19" s="139"/>
      <c r="H19" s="139"/>
      <c r="I19" s="139"/>
    </row>
    <row r="20" spans="1:10" s="18" customFormat="1" ht="33" customHeight="1" x14ac:dyDescent="0.2">
      <c r="A20" s="136" t="s">
        <v>113</v>
      </c>
      <c r="B20" s="136"/>
      <c r="C20" s="136"/>
      <c r="D20" s="136"/>
      <c r="E20" s="136"/>
      <c r="F20" s="136"/>
      <c r="G20" s="136"/>
      <c r="H20" s="136"/>
      <c r="I20" s="136"/>
    </row>
    <row r="21" spans="1:10" s="18" customFormat="1" ht="45" customHeight="1" x14ac:dyDescent="0.2">
      <c r="A21" s="131" t="s">
        <v>114</v>
      </c>
      <c r="B21" s="131"/>
      <c r="C21" s="131"/>
      <c r="D21" s="131"/>
      <c r="E21" s="131"/>
      <c r="F21" s="131"/>
      <c r="G21" s="131"/>
      <c r="H21" s="131"/>
      <c r="I21" s="131"/>
    </row>
    <row r="22" spans="1:10" s="18" customFormat="1" ht="15.75" x14ac:dyDescent="0.2">
      <c r="A22" s="140" t="s">
        <v>118</v>
      </c>
      <c r="B22" s="140"/>
      <c r="C22" s="140"/>
      <c r="D22" s="140"/>
      <c r="E22" s="140"/>
      <c r="F22" s="140"/>
      <c r="G22" s="140"/>
      <c r="H22" s="140"/>
      <c r="I22" s="140"/>
    </row>
    <row r="23" spans="1:10" s="18" customFormat="1" ht="12.75" x14ac:dyDescent="0.2"/>
    <row r="24" spans="1:10" s="18" customFormat="1" ht="12.75" x14ac:dyDescent="0.2"/>
    <row r="25" spans="1:10" s="18" customFormat="1" ht="12.75" x14ac:dyDescent="0.2"/>
    <row r="26" spans="1:10" s="18" customFormat="1" ht="12.75" x14ac:dyDescent="0.2"/>
    <row r="27" spans="1:10" s="18" customFormat="1" ht="12.75" x14ac:dyDescent="0.2"/>
    <row r="28" spans="1:10" s="18" customFormat="1" ht="12.75" x14ac:dyDescent="0.2"/>
    <row r="29" spans="1:10" s="18" customFormat="1" ht="12.75" x14ac:dyDescent="0.2"/>
    <row r="30" spans="1:10" s="18" customFormat="1" ht="12.75" x14ac:dyDescent="0.2"/>
    <row r="31" spans="1:10" s="18" customFormat="1" ht="12.75" x14ac:dyDescent="0.2"/>
    <row r="32" spans="1:10" s="18" customFormat="1" ht="12.75" x14ac:dyDescent="0.2"/>
    <row r="33" spans="1:9" s="18" customFormat="1" ht="12.75" x14ac:dyDescent="0.2"/>
    <row r="34" spans="1:9" s="18" customFormat="1" ht="12.75" x14ac:dyDescent="0.2"/>
    <row r="35" spans="1:9" s="18" customFormat="1" x14ac:dyDescent="0.25">
      <c r="A35"/>
      <c r="B35"/>
      <c r="C35"/>
      <c r="D35"/>
      <c r="E35"/>
      <c r="F35"/>
      <c r="G35"/>
      <c r="H35"/>
      <c r="I35"/>
    </row>
    <row r="36" spans="1:9" s="18" customFormat="1" x14ac:dyDescent="0.25">
      <c r="A36"/>
      <c r="B36"/>
      <c r="C36"/>
      <c r="D36"/>
      <c r="E36"/>
      <c r="F36"/>
      <c r="G36"/>
      <c r="H36"/>
      <c r="I36"/>
    </row>
  </sheetData>
  <mergeCells count="6">
    <mergeCell ref="A22:I22"/>
    <mergeCell ref="A3:A4"/>
    <mergeCell ref="F16:H16"/>
    <mergeCell ref="A19:I19"/>
    <mergeCell ref="A20:I20"/>
    <mergeCell ref="A21:I21"/>
  </mergeCell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D46C-1319-4A38-80D3-317D06508A8D}">
  <sheetPr>
    <tabColor theme="4" tint="0.39997558519241921"/>
  </sheetPr>
  <dimension ref="A1:J36"/>
  <sheetViews>
    <sheetView workbookViewId="0">
      <selection activeCell="I17" sqref="I17"/>
    </sheetView>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12" max="12" width="31" customWidth="1"/>
    <col min="15" max="15" width="23.42578125" customWidth="1"/>
    <col min="16" max="16" width="21.5703125" customWidth="1"/>
  </cols>
  <sheetData>
    <row r="1" spans="1:9" ht="15.75" x14ac:dyDescent="0.25">
      <c r="A1" s="17" t="s">
        <v>154</v>
      </c>
    </row>
    <row r="2" spans="1:9" s="18" customFormat="1" ht="12.75" x14ac:dyDescent="0.2">
      <c r="F2" s="2">
        <f>Inputs!C16</f>
        <v>54.512</v>
      </c>
      <c r="G2" s="2">
        <f>Inputs!C17</f>
        <v>73.456000000000003</v>
      </c>
      <c r="H2" s="2">
        <f>Inputs!C18</f>
        <v>29.504000000000005</v>
      </c>
      <c r="I2" s="2"/>
    </row>
    <row r="3" spans="1:9" s="18" customFormat="1" ht="12.75" x14ac:dyDescent="0.2">
      <c r="A3" s="141" t="s">
        <v>37</v>
      </c>
      <c r="B3" s="3" t="s">
        <v>38</v>
      </c>
      <c r="C3" s="3" t="s">
        <v>39</v>
      </c>
      <c r="D3" s="3" t="s">
        <v>40</v>
      </c>
      <c r="E3" s="3" t="s">
        <v>41</v>
      </c>
      <c r="F3" s="4" t="s">
        <v>42</v>
      </c>
      <c r="G3" s="3" t="s">
        <v>43</v>
      </c>
      <c r="H3" s="3" t="s">
        <v>44</v>
      </c>
      <c r="I3" s="3" t="s">
        <v>45</v>
      </c>
    </row>
    <row r="4" spans="1:9" s="18" customFormat="1" ht="63.75" x14ac:dyDescent="0.2">
      <c r="A4" s="141"/>
      <c r="B4" s="121" t="s">
        <v>46</v>
      </c>
      <c r="C4" s="121" t="s">
        <v>47</v>
      </c>
      <c r="D4" s="121" t="s">
        <v>48</v>
      </c>
      <c r="E4" s="121" t="s">
        <v>49</v>
      </c>
      <c r="F4" s="121" t="s">
        <v>50</v>
      </c>
      <c r="G4" s="121" t="s">
        <v>51</v>
      </c>
      <c r="H4" s="121" t="s">
        <v>52</v>
      </c>
      <c r="I4" s="121" t="s">
        <v>53</v>
      </c>
    </row>
    <row r="5" spans="1:9" s="18" customFormat="1" ht="12.75" x14ac:dyDescent="0.2">
      <c r="A5" s="149" t="s">
        <v>180</v>
      </c>
      <c r="B5" s="121"/>
      <c r="C5" s="121"/>
      <c r="D5" s="121"/>
      <c r="E5" s="121"/>
      <c r="F5" s="121"/>
      <c r="G5" s="121"/>
      <c r="H5" s="121"/>
      <c r="I5" s="121"/>
    </row>
    <row r="6" spans="1:9" s="18" customFormat="1" ht="12.75" x14ac:dyDescent="0.2">
      <c r="A6" s="149" t="s">
        <v>181</v>
      </c>
      <c r="B6" s="6">
        <v>2</v>
      </c>
      <c r="C6" s="6">
        <v>1</v>
      </c>
      <c r="D6" s="6">
        <f>B6*C6</f>
        <v>2</v>
      </c>
      <c r="E6" s="6">
        <v>0</v>
      </c>
      <c r="F6" s="6">
        <f>D6*E6</f>
        <v>0</v>
      </c>
      <c r="G6" s="6">
        <f>F6*0.05</f>
        <v>0</v>
      </c>
      <c r="H6" s="6">
        <f>F6*0.1</f>
        <v>0</v>
      </c>
      <c r="I6" s="151">
        <f>F6*$F$2+G6*$G$2+H6*$H$2</f>
        <v>0</v>
      </c>
    </row>
    <row r="7" spans="1:9" s="18" customFormat="1" ht="12.75" x14ac:dyDescent="0.2">
      <c r="A7" s="149" t="s">
        <v>184</v>
      </c>
      <c r="B7" s="6">
        <v>2</v>
      </c>
      <c r="C7" s="6">
        <v>1</v>
      </c>
      <c r="D7" s="6">
        <f>B7*C7</f>
        <v>2</v>
      </c>
      <c r="E7" s="6">
        <v>0</v>
      </c>
      <c r="F7" s="6">
        <f>D7*E7</f>
        <v>0</v>
      </c>
      <c r="G7" s="6">
        <f>F7*0.05</f>
        <v>0</v>
      </c>
      <c r="H7" s="6">
        <f>F7*0.1</f>
        <v>0</v>
      </c>
      <c r="I7" s="151">
        <f>F7*$F$2+G7*$G$2+H7*$H$2</f>
        <v>0</v>
      </c>
    </row>
    <row r="8" spans="1:9" s="18" customFormat="1" ht="12.75" x14ac:dyDescent="0.2">
      <c r="A8" s="149" t="s">
        <v>182</v>
      </c>
      <c r="B8" s="6">
        <v>300</v>
      </c>
      <c r="C8" s="6">
        <v>1</v>
      </c>
      <c r="D8" s="6">
        <f>B8*C8</f>
        <v>300</v>
      </c>
      <c r="E8" s="6">
        <v>0</v>
      </c>
      <c r="F8" s="6">
        <f>D8*E8</f>
        <v>0</v>
      </c>
      <c r="G8" s="6">
        <f>F8*0.05</f>
        <v>0</v>
      </c>
      <c r="H8" s="6">
        <f>F8*0.1</f>
        <v>0</v>
      </c>
      <c r="I8" s="151">
        <f>F8*$F$2+G8*$G$2+H8*$H$2</f>
        <v>0</v>
      </c>
    </row>
    <row r="9" spans="1:9" s="18" customFormat="1" ht="15.75" x14ac:dyDescent="0.2">
      <c r="A9" s="5" t="s">
        <v>179</v>
      </c>
      <c r="B9" s="6" t="s">
        <v>56</v>
      </c>
      <c r="C9" s="6"/>
      <c r="D9" s="6"/>
      <c r="E9" s="12"/>
      <c r="F9" s="6"/>
      <c r="G9" s="6"/>
      <c r="H9" s="6"/>
      <c r="I9" s="9"/>
    </row>
    <row r="10" spans="1:9" s="18" customFormat="1" ht="12.75" x14ac:dyDescent="0.2">
      <c r="A10" s="8" t="s">
        <v>108</v>
      </c>
      <c r="B10" s="6" t="s">
        <v>56</v>
      </c>
      <c r="C10" s="6"/>
      <c r="D10" s="6"/>
      <c r="E10" s="12"/>
      <c r="F10" s="6"/>
      <c r="G10" s="6"/>
      <c r="H10" s="6"/>
      <c r="I10" s="9"/>
    </row>
    <row r="11" spans="1:9" s="18" customFormat="1" ht="12.75" x14ac:dyDescent="0.2">
      <c r="A11" s="8" t="s">
        <v>109</v>
      </c>
      <c r="B11" s="6" t="s">
        <v>56</v>
      </c>
      <c r="C11" s="6"/>
      <c r="D11" s="6"/>
      <c r="E11" s="12"/>
      <c r="F11" s="6"/>
      <c r="G11" s="6"/>
      <c r="H11" s="6"/>
      <c r="I11" s="9"/>
    </row>
    <row r="12" spans="1:9" s="18" customFormat="1" ht="12.75" x14ac:dyDescent="0.2">
      <c r="A12" s="8" t="s">
        <v>110</v>
      </c>
      <c r="B12" s="6" t="s">
        <v>56</v>
      </c>
      <c r="C12" s="6"/>
      <c r="D12" s="6"/>
      <c r="E12" s="12"/>
      <c r="F12" s="6"/>
      <c r="G12" s="6"/>
      <c r="H12" s="6"/>
      <c r="I12" s="9"/>
    </row>
    <row r="13" spans="1:9" s="18" customFormat="1" ht="12.75" x14ac:dyDescent="0.2">
      <c r="A13" s="8" t="s">
        <v>60</v>
      </c>
      <c r="B13" s="6" t="s">
        <v>56</v>
      </c>
      <c r="C13" s="6"/>
      <c r="D13" s="6"/>
      <c r="E13" s="12"/>
      <c r="F13" s="6"/>
      <c r="G13" s="6"/>
      <c r="H13" s="6"/>
      <c r="I13" s="9"/>
    </row>
    <row r="14" spans="1:9" s="18" customFormat="1" ht="12.75" x14ac:dyDescent="0.2">
      <c r="A14" s="8" t="s">
        <v>61</v>
      </c>
      <c r="B14" s="6" t="s">
        <v>56</v>
      </c>
      <c r="C14" s="6"/>
      <c r="D14" s="6"/>
      <c r="E14" s="6"/>
      <c r="F14" s="6"/>
      <c r="G14" s="12"/>
      <c r="H14" s="11"/>
      <c r="I14" s="9"/>
    </row>
    <row r="15" spans="1:9" s="18" customFormat="1" ht="12.75" x14ac:dyDescent="0.2">
      <c r="A15" s="8" t="s">
        <v>111</v>
      </c>
      <c r="B15" s="6" t="s">
        <v>56</v>
      </c>
      <c r="C15" s="6"/>
      <c r="D15" s="6"/>
      <c r="E15" s="12"/>
      <c r="F15" s="6"/>
      <c r="G15" s="6"/>
      <c r="H15" s="6"/>
      <c r="I15" s="9"/>
    </row>
    <row r="16" spans="1:9" s="18" customFormat="1" ht="15.75" x14ac:dyDescent="0.2">
      <c r="A16" s="15" t="s">
        <v>117</v>
      </c>
      <c r="B16" s="15"/>
      <c r="C16" s="15"/>
      <c r="D16" s="15"/>
      <c r="E16" s="15"/>
      <c r="F16" s="141">
        <f>ROUND(SUM(F6:H15),0)</f>
        <v>0</v>
      </c>
      <c r="G16" s="141"/>
      <c r="H16" s="141"/>
      <c r="I16" s="14">
        <f>SUM(I6:I15)</f>
        <v>0</v>
      </c>
    </row>
    <row r="17" spans="1:10" s="18" customFormat="1" ht="12.75" x14ac:dyDescent="0.2">
      <c r="J17" s="19"/>
    </row>
    <row r="18" spans="1:10" s="18" customFormat="1" ht="12.75" x14ac:dyDescent="0.2">
      <c r="A18" s="16" t="s">
        <v>80</v>
      </c>
    </row>
    <row r="19" spans="1:10" s="18" customFormat="1" ht="33" customHeight="1" x14ac:dyDescent="0.2">
      <c r="A19" s="139" t="s">
        <v>81</v>
      </c>
      <c r="B19" s="139"/>
      <c r="C19" s="139"/>
      <c r="D19" s="139"/>
      <c r="E19" s="139"/>
      <c r="F19" s="139"/>
      <c r="G19" s="139"/>
      <c r="H19" s="139"/>
      <c r="I19" s="139"/>
    </row>
    <row r="20" spans="1:10" s="18" customFormat="1" ht="33.6" customHeight="1" x14ac:dyDescent="0.2">
      <c r="A20" s="136" t="s">
        <v>113</v>
      </c>
      <c r="B20" s="136"/>
      <c r="C20" s="136"/>
      <c r="D20" s="136"/>
      <c r="E20" s="136"/>
      <c r="F20" s="136"/>
      <c r="G20" s="136"/>
      <c r="H20" s="136"/>
      <c r="I20" s="136"/>
    </row>
    <row r="21" spans="1:10" s="18" customFormat="1" ht="48.6" customHeight="1" x14ac:dyDescent="0.2">
      <c r="A21" s="131" t="s">
        <v>114</v>
      </c>
      <c r="B21" s="131"/>
      <c r="C21" s="131"/>
      <c r="D21" s="131"/>
      <c r="E21" s="131"/>
      <c r="F21" s="131"/>
      <c r="G21" s="131"/>
      <c r="H21" s="131"/>
      <c r="I21" s="131"/>
    </row>
    <row r="22" spans="1:10" s="18" customFormat="1" ht="15.75" x14ac:dyDescent="0.2">
      <c r="A22" s="140" t="s">
        <v>118</v>
      </c>
      <c r="B22" s="140"/>
      <c r="C22" s="140"/>
      <c r="D22" s="140"/>
      <c r="E22" s="140"/>
      <c r="F22" s="140"/>
      <c r="G22" s="140"/>
      <c r="H22" s="140"/>
      <c r="I22" s="140"/>
    </row>
    <row r="23" spans="1:10" s="18" customFormat="1" ht="12.75" x14ac:dyDescent="0.2"/>
    <row r="24" spans="1:10" s="18" customFormat="1" ht="12.75" x14ac:dyDescent="0.2"/>
    <row r="25" spans="1:10" s="18" customFormat="1" ht="12.75" x14ac:dyDescent="0.2"/>
    <row r="26" spans="1:10" s="18" customFormat="1" ht="12.75" x14ac:dyDescent="0.2"/>
    <row r="27" spans="1:10" s="18" customFormat="1" ht="12.75" x14ac:dyDescent="0.2"/>
    <row r="28" spans="1:10" s="18" customFormat="1" ht="12.75" x14ac:dyDescent="0.2"/>
    <row r="29" spans="1:10" s="18" customFormat="1" ht="12.75" x14ac:dyDescent="0.2"/>
    <row r="30" spans="1:10" s="18" customFormat="1" ht="12.75" x14ac:dyDescent="0.2"/>
    <row r="31" spans="1:10" s="18" customFormat="1" ht="12.75" x14ac:dyDescent="0.2"/>
    <row r="32" spans="1:10" s="18" customFormat="1" ht="12.75" x14ac:dyDescent="0.2"/>
    <row r="33" spans="1:9" s="18" customFormat="1" ht="12.75" x14ac:dyDescent="0.2"/>
    <row r="34" spans="1:9" s="18" customFormat="1" ht="12.75" x14ac:dyDescent="0.2"/>
    <row r="35" spans="1:9" s="18" customFormat="1" x14ac:dyDescent="0.25">
      <c r="A35"/>
      <c r="B35"/>
      <c r="C35"/>
      <c r="D35"/>
      <c r="E35"/>
      <c r="F35"/>
      <c r="G35"/>
      <c r="H35"/>
      <c r="I35"/>
    </row>
    <row r="36" spans="1:9" s="18" customFormat="1" x14ac:dyDescent="0.25">
      <c r="A36"/>
      <c r="B36"/>
      <c r="C36"/>
      <c r="D36"/>
      <c r="E36"/>
      <c r="F36"/>
      <c r="G36"/>
      <c r="H36"/>
      <c r="I36"/>
    </row>
  </sheetData>
  <mergeCells count="6">
    <mergeCell ref="A22:I22"/>
    <mergeCell ref="A3:A4"/>
    <mergeCell ref="F16:H16"/>
    <mergeCell ref="A19:I19"/>
    <mergeCell ref="A20:I20"/>
    <mergeCell ref="A21:I2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FF141-A7C5-440C-92B6-5471CF845B53}">
  <sheetPr>
    <tabColor theme="4" tint="0.39997558519241921"/>
  </sheetPr>
  <dimension ref="A1:E7"/>
  <sheetViews>
    <sheetView tabSelected="1" workbookViewId="0">
      <selection activeCell="O30" sqref="O30"/>
    </sheetView>
  </sheetViews>
  <sheetFormatPr defaultRowHeight="15" x14ac:dyDescent="0.25"/>
  <cols>
    <col min="1" max="1" width="16.42578125" customWidth="1"/>
  </cols>
  <sheetData>
    <row r="1" spans="1:5" x14ac:dyDescent="0.25">
      <c r="A1" s="20" t="s">
        <v>155</v>
      </c>
    </row>
    <row r="2" spans="1:5" ht="39.75" thickBot="1" x14ac:dyDescent="0.3">
      <c r="A2" s="45" t="s">
        <v>100</v>
      </c>
      <c r="B2" s="46" t="s">
        <v>119</v>
      </c>
      <c r="C2" s="46" t="s">
        <v>102</v>
      </c>
      <c r="D2" s="46" t="s">
        <v>120</v>
      </c>
      <c r="E2" s="46" t="s">
        <v>104</v>
      </c>
    </row>
    <row r="3" spans="1:5" ht="15.75" thickTop="1" x14ac:dyDescent="0.25">
      <c r="A3" s="47">
        <v>1</v>
      </c>
      <c r="B3" s="48">
        <f>'Table 9'!F16</f>
        <v>0</v>
      </c>
      <c r="C3" s="55">
        <f>'Table 9'!I16</f>
        <v>0</v>
      </c>
      <c r="D3" s="49">
        <v>0</v>
      </c>
      <c r="E3" s="49">
        <f>+C3+D3</f>
        <v>0</v>
      </c>
    </row>
    <row r="4" spans="1:5" x14ac:dyDescent="0.25">
      <c r="A4" s="35">
        <v>2</v>
      </c>
      <c r="B4" s="48">
        <f>'Table 10'!F16</f>
        <v>5244</v>
      </c>
      <c r="C4" s="49">
        <f>'Table 10'!I16</f>
        <v>278780</v>
      </c>
      <c r="D4" s="51">
        <v>0</v>
      </c>
      <c r="E4" s="49">
        <f>+C4+D4</f>
        <v>278780</v>
      </c>
    </row>
    <row r="5" spans="1:5" ht="15.75" thickBot="1" x14ac:dyDescent="0.3">
      <c r="A5" s="52">
        <v>3</v>
      </c>
      <c r="B5" s="53">
        <f>'Table 11'!F16</f>
        <v>0</v>
      </c>
      <c r="C5" s="56">
        <f>'Table 11'!I16</f>
        <v>0</v>
      </c>
      <c r="D5" s="54">
        <v>0</v>
      </c>
      <c r="E5" s="54">
        <f>+C5+D5</f>
        <v>0</v>
      </c>
    </row>
    <row r="6" spans="1:5" ht="15.75" thickTop="1" x14ac:dyDescent="0.25">
      <c r="A6" s="60" t="s">
        <v>121</v>
      </c>
      <c r="B6" s="48">
        <f>SUM(B3:B5)</f>
        <v>5244</v>
      </c>
      <c r="C6" s="49">
        <f>SUM(C3:C5)</f>
        <v>278780</v>
      </c>
      <c r="D6" s="49">
        <f t="shared" ref="D6:E6" si="0">SUM(D3:D5)</f>
        <v>0</v>
      </c>
      <c r="E6" s="49">
        <f t="shared" si="0"/>
        <v>278780</v>
      </c>
    </row>
    <row r="7" spans="1:5" x14ac:dyDescent="0.25">
      <c r="A7" s="34" t="s">
        <v>122</v>
      </c>
      <c r="B7" s="50">
        <f>AVERAGE(B3:B5)</f>
        <v>1748</v>
      </c>
      <c r="C7" s="51">
        <f>AVERAGE(C3:C5)</f>
        <v>92926.666666666672</v>
      </c>
      <c r="D7" s="51">
        <f>AVERAGE(D3:D5)</f>
        <v>0</v>
      </c>
      <c r="E7" s="51">
        <f>ROUND(AVERAGE(E3:E5),-1)</f>
        <v>92930</v>
      </c>
    </row>
  </sheetData>
  <pageMargins left="0.7" right="0.7" top="0.75" bottom="0.75" header="0.3" footer="0.3"/>
  <pageSetup orientation="portrait"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1268-E157-4911-90AC-9185DB9AC5A8}">
  <dimension ref="A1:E11"/>
  <sheetViews>
    <sheetView workbookViewId="0">
      <selection activeCell="D21" sqref="D21"/>
    </sheetView>
  </sheetViews>
  <sheetFormatPr defaultRowHeight="15" x14ac:dyDescent="0.25"/>
  <cols>
    <col min="1" max="1" width="26.7109375" customWidth="1"/>
    <col min="2" max="2" width="27.140625" customWidth="1"/>
    <col min="3" max="3" width="18.5703125" customWidth="1"/>
    <col min="4" max="5" width="23.42578125" customWidth="1"/>
  </cols>
  <sheetData>
    <row r="1" spans="1:5" ht="15.75" x14ac:dyDescent="0.25">
      <c r="A1" s="114" t="s">
        <v>123</v>
      </c>
      <c r="B1" s="21"/>
      <c r="C1" s="21"/>
      <c r="D1" s="21"/>
      <c r="E1" s="21"/>
    </row>
    <row r="2" spans="1:5" x14ac:dyDescent="0.25">
      <c r="A2" s="20"/>
      <c r="B2" s="21"/>
      <c r="C2" s="21"/>
      <c r="D2" s="21"/>
      <c r="E2" s="21"/>
    </row>
    <row r="3" spans="1:5" x14ac:dyDescent="0.25">
      <c r="A3" s="3" t="s">
        <v>38</v>
      </c>
      <c r="B3" s="3" t="s">
        <v>39</v>
      </c>
      <c r="C3" s="3" t="s">
        <v>40</v>
      </c>
      <c r="D3" s="3" t="s">
        <v>41</v>
      </c>
      <c r="E3" s="4" t="s">
        <v>42</v>
      </c>
    </row>
    <row r="4" spans="1:5" ht="51" x14ac:dyDescent="0.25">
      <c r="A4" s="121" t="s">
        <v>124</v>
      </c>
      <c r="B4" s="121" t="s">
        <v>125</v>
      </c>
      <c r="C4" s="121" t="s">
        <v>126</v>
      </c>
      <c r="D4" s="121" t="s">
        <v>127</v>
      </c>
      <c r="E4" s="121" t="s">
        <v>128</v>
      </c>
    </row>
    <row r="5" spans="1:5" x14ac:dyDescent="0.25">
      <c r="A5" s="142" t="s">
        <v>166</v>
      </c>
      <c r="B5" s="143"/>
      <c r="C5" s="143"/>
      <c r="D5" s="143"/>
      <c r="E5" s="144"/>
    </row>
    <row r="6" spans="1:5" ht="25.5" x14ac:dyDescent="0.25">
      <c r="A6" s="5" t="s">
        <v>129</v>
      </c>
      <c r="B6" s="59">
        <f>SUM('Table 1a'!E5,'Table 1b'!E5,'Table 2a'!E5, 'Table 2b'!E5,'Table 3a'!E5, 'Table 3b'!E5)/3</f>
        <v>0</v>
      </c>
      <c r="C6" s="118">
        <v>0</v>
      </c>
      <c r="D6" s="24">
        <v>0</v>
      </c>
      <c r="E6" s="24">
        <f>+B6*C6+D6</f>
        <v>0</v>
      </c>
    </row>
    <row r="7" spans="1:5" x14ac:dyDescent="0.25">
      <c r="A7" s="5" t="s">
        <v>69</v>
      </c>
      <c r="B7" s="25">
        <f>SUM('Table 1a'!E19,'Table 1b'!E19,'Table 2a'!E19, 'Table 2b'!E19,'Table 3a'!E19, 'Table 3b'!E19)/3</f>
        <v>57</v>
      </c>
      <c r="C7" s="24">
        <v>1</v>
      </c>
      <c r="D7" s="24">
        <v>0</v>
      </c>
      <c r="E7" s="24">
        <f>+B7*C7+D7</f>
        <v>57</v>
      </c>
    </row>
    <row r="8" spans="1:5" x14ac:dyDescent="0.25">
      <c r="A8" s="142" t="s">
        <v>167</v>
      </c>
      <c r="B8" s="143"/>
      <c r="C8" s="143"/>
      <c r="D8" s="143"/>
      <c r="E8" s="144"/>
    </row>
    <row r="9" spans="1:5" x14ac:dyDescent="0.25">
      <c r="A9" s="5" t="s">
        <v>168</v>
      </c>
      <c r="B9" s="25">
        <v>15</v>
      </c>
      <c r="C9" s="24">
        <v>1</v>
      </c>
      <c r="D9" s="24">
        <v>0</v>
      </c>
      <c r="E9" s="24">
        <f>+B9*C9+D9</f>
        <v>15</v>
      </c>
    </row>
    <row r="10" spans="1:5" x14ac:dyDescent="0.25">
      <c r="A10" s="5" t="s">
        <v>169</v>
      </c>
      <c r="B10" s="25">
        <v>15</v>
      </c>
      <c r="C10" s="24">
        <v>1</v>
      </c>
      <c r="D10" s="24">
        <v>0</v>
      </c>
      <c r="E10" s="24">
        <f>+B10*C10+D10</f>
        <v>15</v>
      </c>
    </row>
    <row r="11" spans="1:5" x14ac:dyDescent="0.25">
      <c r="A11" s="26"/>
      <c r="B11" s="24"/>
      <c r="C11" s="24"/>
      <c r="D11" s="3" t="s">
        <v>130</v>
      </c>
      <c r="E11" s="22">
        <f>ROUND(SUM(E6:E10),0)</f>
        <v>87</v>
      </c>
    </row>
  </sheetData>
  <mergeCells count="2">
    <mergeCell ref="A5:E5"/>
    <mergeCell ref="A8:E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B38A-D13A-4562-8ECB-C30F39597E3E}">
  <dimension ref="A1:F10"/>
  <sheetViews>
    <sheetView workbookViewId="0">
      <selection activeCell="D14" sqref="D14"/>
    </sheetView>
  </sheetViews>
  <sheetFormatPr defaultRowHeight="15" x14ac:dyDescent="0.25"/>
  <cols>
    <col min="2" max="2" width="19" customWidth="1"/>
    <col min="3" max="3" width="20.85546875" customWidth="1"/>
    <col min="4" max="4" width="35" customWidth="1"/>
    <col min="5" max="5" width="26.7109375" customWidth="1"/>
    <col min="6" max="6" width="18.140625" customWidth="1"/>
  </cols>
  <sheetData>
    <row r="1" spans="1:6" ht="15.75" x14ac:dyDescent="0.25">
      <c r="A1" s="147"/>
      <c r="B1" s="147"/>
      <c r="C1" s="147"/>
      <c r="D1" s="147"/>
      <c r="E1" s="147"/>
      <c r="F1" s="147"/>
    </row>
    <row r="2" spans="1:6" ht="15.75" x14ac:dyDescent="0.25">
      <c r="A2" s="148" t="s">
        <v>125</v>
      </c>
      <c r="B2" s="148"/>
      <c r="C2" s="148"/>
      <c r="D2" s="148"/>
      <c r="E2" s="148"/>
      <c r="F2" s="148"/>
    </row>
    <row r="3" spans="1:6" ht="24" x14ac:dyDescent="0.25">
      <c r="A3" s="30"/>
      <c r="B3" s="145" t="s">
        <v>131</v>
      </c>
      <c r="C3" s="146"/>
      <c r="D3" s="29" t="s">
        <v>132</v>
      </c>
      <c r="E3" s="29"/>
      <c r="F3" s="29"/>
    </row>
    <row r="4" spans="1:6" x14ac:dyDescent="0.25">
      <c r="A4" s="27"/>
      <c r="B4" s="28" t="s">
        <v>38</v>
      </c>
      <c r="C4" s="28" t="s">
        <v>39</v>
      </c>
      <c r="D4" s="28" t="s">
        <v>40</v>
      </c>
      <c r="E4" s="28" t="s">
        <v>41</v>
      </c>
      <c r="F4" s="28" t="s">
        <v>42</v>
      </c>
    </row>
    <row r="5" spans="1:6" ht="38.25" x14ac:dyDescent="0.25">
      <c r="A5" s="28" t="s">
        <v>100</v>
      </c>
      <c r="B5" s="27" t="s">
        <v>133</v>
      </c>
      <c r="C5" s="27" t="s">
        <v>175</v>
      </c>
      <c r="D5" s="27" t="s">
        <v>134</v>
      </c>
      <c r="E5" s="27" t="s">
        <v>135</v>
      </c>
      <c r="F5" s="27" t="s">
        <v>136</v>
      </c>
    </row>
    <row r="6" spans="1:6" x14ac:dyDescent="0.25">
      <c r="A6" s="23">
        <v>1</v>
      </c>
      <c r="B6" s="57">
        <v>0</v>
      </c>
      <c r="C6" s="57">
        <f>Inputs!B25+15</f>
        <v>72</v>
      </c>
      <c r="D6" s="57">
        <v>0</v>
      </c>
      <c r="E6" s="57">
        <v>0</v>
      </c>
      <c r="F6" s="57">
        <f>B6+C6+D6-E6</f>
        <v>72</v>
      </c>
    </row>
    <row r="7" spans="1:6" x14ac:dyDescent="0.25">
      <c r="A7" s="23">
        <v>2</v>
      </c>
      <c r="B7" s="57">
        <v>0</v>
      </c>
      <c r="C7" s="57">
        <f>F6</f>
        <v>72</v>
      </c>
      <c r="D7" s="57">
        <v>0</v>
      </c>
      <c r="E7" s="57">
        <v>0</v>
      </c>
      <c r="F7" s="57">
        <f t="shared" ref="F7:F8" si="0">B7+C7+D7-E7</f>
        <v>72</v>
      </c>
    </row>
    <row r="8" spans="1:6" x14ac:dyDescent="0.25">
      <c r="A8" s="23">
        <v>3</v>
      </c>
      <c r="B8" s="57">
        <v>0</v>
      </c>
      <c r="C8" s="57">
        <f>F7</f>
        <v>72</v>
      </c>
      <c r="D8" s="57">
        <v>0</v>
      </c>
      <c r="E8" s="57">
        <v>0</v>
      </c>
      <c r="F8" s="57">
        <f t="shared" si="0"/>
        <v>72</v>
      </c>
    </row>
    <row r="9" spans="1:6" x14ac:dyDescent="0.25">
      <c r="A9" s="23" t="s">
        <v>137</v>
      </c>
      <c r="B9" s="57">
        <f>AVERAGE(B6:B8)</f>
        <v>0</v>
      </c>
      <c r="C9" s="57">
        <f>AVERAGE(C6:C8)</f>
        <v>72</v>
      </c>
      <c r="D9" s="57">
        <f t="shared" ref="D9:E9" si="1">AVERAGE(D6:D8)</f>
        <v>0</v>
      </c>
      <c r="E9" s="57">
        <f t="shared" si="1"/>
        <v>0</v>
      </c>
      <c r="F9" s="58">
        <f>AVERAGE(F6:F8)</f>
        <v>72</v>
      </c>
    </row>
    <row r="10" spans="1:6" ht="36.75" customHeight="1" x14ac:dyDescent="0.25">
      <c r="A10" s="131" t="s">
        <v>176</v>
      </c>
      <c r="B10" s="131"/>
      <c r="C10" s="131"/>
      <c r="D10" s="131"/>
      <c r="E10" s="131"/>
      <c r="F10" s="131"/>
    </row>
  </sheetData>
  <mergeCells count="4">
    <mergeCell ref="B3:C3"/>
    <mergeCell ref="A1:F1"/>
    <mergeCell ref="A2:F2"/>
    <mergeCell ref="A10:F10"/>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14EE2-676A-4F09-9CDF-DAB59BDEBCD5}">
  <dimension ref="A2:F30"/>
  <sheetViews>
    <sheetView topLeftCell="A14" workbookViewId="0">
      <selection activeCell="B25" sqref="B25"/>
    </sheetView>
  </sheetViews>
  <sheetFormatPr defaultColWidth="8.85546875" defaultRowHeight="15" x14ac:dyDescent="0.25"/>
  <cols>
    <col min="1" max="1" width="53.85546875" style="63" customWidth="1"/>
    <col min="2" max="2" width="19.28515625" style="63" customWidth="1"/>
    <col min="3" max="3" width="17.7109375" style="63" customWidth="1"/>
    <col min="4" max="4" width="11.5703125" style="63" customWidth="1"/>
    <col min="5" max="5" width="11.42578125" style="63" customWidth="1"/>
    <col min="6" max="6" width="13.85546875" style="63" customWidth="1"/>
    <col min="7" max="16384" width="8.85546875" style="63"/>
  </cols>
  <sheetData>
    <row r="2" spans="1:6" x14ac:dyDescent="0.25">
      <c r="A2" s="65" t="s">
        <v>6</v>
      </c>
      <c r="B2" s="66"/>
      <c r="C2" s="66"/>
      <c r="D2" s="66"/>
      <c r="E2" s="66"/>
      <c r="F2" s="66"/>
    </row>
    <row r="3" spans="1:6" x14ac:dyDescent="0.25">
      <c r="A3" s="66" t="s">
        <v>7</v>
      </c>
      <c r="B3" s="66"/>
      <c r="C3" s="66"/>
      <c r="D3" s="66"/>
      <c r="E3" s="66"/>
      <c r="F3" s="66"/>
    </row>
    <row r="4" spans="1:6" ht="15.75" thickBot="1" x14ac:dyDescent="0.3">
      <c r="A4" s="67" t="s">
        <v>8</v>
      </c>
      <c r="B4" s="68"/>
      <c r="C4" s="68"/>
      <c r="D4" s="68"/>
      <c r="E4" s="68"/>
      <c r="F4" s="68"/>
    </row>
    <row r="5" spans="1:6" ht="38.25" x14ac:dyDescent="0.25">
      <c r="A5" s="69" t="s">
        <v>9</v>
      </c>
      <c r="B5" s="70" t="s">
        <v>10</v>
      </c>
      <c r="C5" s="71" t="s">
        <v>11</v>
      </c>
      <c r="D5" s="72" t="s">
        <v>12</v>
      </c>
      <c r="E5" s="72" t="s">
        <v>13</v>
      </c>
      <c r="F5" s="73" t="s">
        <v>14</v>
      </c>
    </row>
    <row r="6" spans="1:6" x14ac:dyDescent="0.25">
      <c r="A6" s="74" t="s">
        <v>15</v>
      </c>
      <c r="B6" s="75" t="s">
        <v>16</v>
      </c>
      <c r="C6" s="75">
        <v>49.94</v>
      </c>
      <c r="D6" s="76">
        <v>1.5</v>
      </c>
      <c r="E6" s="76">
        <v>1.4</v>
      </c>
      <c r="F6" s="77">
        <f>C6*D6*E6</f>
        <v>104.874</v>
      </c>
    </row>
    <row r="7" spans="1:6" x14ac:dyDescent="0.25">
      <c r="A7" s="74" t="s">
        <v>17</v>
      </c>
      <c r="B7" s="78" t="s">
        <v>18</v>
      </c>
      <c r="C7" s="75">
        <v>78.91</v>
      </c>
      <c r="D7" s="76">
        <v>1.5</v>
      </c>
      <c r="E7" s="76">
        <v>1.4</v>
      </c>
      <c r="F7" s="77">
        <f>C7*D7*E7</f>
        <v>165.71099999999998</v>
      </c>
    </row>
    <row r="8" spans="1:6" ht="15.75" thickBot="1" x14ac:dyDescent="0.3">
      <c r="A8" s="79" t="s">
        <v>19</v>
      </c>
      <c r="B8" s="80" t="s">
        <v>20</v>
      </c>
      <c r="C8" s="81">
        <v>19.32</v>
      </c>
      <c r="D8" s="82">
        <v>1.5</v>
      </c>
      <c r="E8" s="82">
        <v>1.4</v>
      </c>
      <c r="F8" s="83">
        <f>C8*D8*E8</f>
        <v>40.571999999999996</v>
      </c>
    </row>
    <row r="9" spans="1:6" x14ac:dyDescent="0.25">
      <c r="A9" s="84" t="s">
        <v>21</v>
      </c>
      <c r="B9" s="85"/>
      <c r="C9" s="86"/>
      <c r="D9" s="87"/>
      <c r="E9" s="87"/>
      <c r="F9" s="88"/>
    </row>
    <row r="10" spans="1:6" x14ac:dyDescent="0.25">
      <c r="A10" s="66" t="s">
        <v>22</v>
      </c>
      <c r="B10" s="87"/>
      <c r="C10" s="87"/>
      <c r="D10" s="66"/>
      <c r="E10" s="66"/>
      <c r="F10" s="66"/>
    </row>
    <row r="11" spans="1:6" x14ac:dyDescent="0.25">
      <c r="A11" s="89"/>
      <c r="B11" s="87"/>
      <c r="C11" s="87"/>
      <c r="D11" s="66"/>
      <c r="E11" s="66"/>
      <c r="F11" s="66"/>
    </row>
    <row r="12" spans="1:6" x14ac:dyDescent="0.25">
      <c r="A12" s="89"/>
      <c r="B12" s="87"/>
      <c r="C12" s="87"/>
      <c r="D12" s="66"/>
      <c r="E12" s="66"/>
      <c r="F12" s="66"/>
    </row>
    <row r="13" spans="1:6" x14ac:dyDescent="0.25">
      <c r="A13" s="90"/>
      <c r="B13" s="87"/>
      <c r="C13" s="87"/>
      <c r="D13" s="66"/>
      <c r="E13" s="66"/>
      <c r="F13" s="66"/>
    </row>
    <row r="14" spans="1:6" ht="15.75" thickBot="1" x14ac:dyDescent="0.3">
      <c r="A14" s="91" t="s">
        <v>23</v>
      </c>
      <c r="B14" s="92"/>
      <c r="C14" s="92"/>
      <c r="D14" s="66"/>
      <c r="E14" s="66"/>
      <c r="F14" s="66"/>
    </row>
    <row r="15" spans="1:6" ht="25.5" x14ac:dyDescent="0.25">
      <c r="A15" s="93"/>
      <c r="B15" s="94" t="s">
        <v>24</v>
      </c>
      <c r="C15" s="95" t="s">
        <v>25</v>
      </c>
      <c r="D15" s="66"/>
      <c r="E15" s="66"/>
      <c r="F15" s="66"/>
    </row>
    <row r="16" spans="1:6" x14ac:dyDescent="0.25">
      <c r="A16" s="96" t="s">
        <v>26</v>
      </c>
      <c r="B16" s="97">
        <v>34.07</v>
      </c>
      <c r="C16" s="98">
        <f>B16*1.6</f>
        <v>54.512</v>
      </c>
      <c r="D16" s="66"/>
      <c r="E16" s="99"/>
      <c r="F16" s="66"/>
    </row>
    <row r="17" spans="1:6" x14ac:dyDescent="0.25">
      <c r="A17" s="100" t="s">
        <v>27</v>
      </c>
      <c r="B17" s="101">
        <v>45.91</v>
      </c>
      <c r="C17" s="98">
        <f>B17*1.6</f>
        <v>73.456000000000003</v>
      </c>
      <c r="D17" s="66"/>
      <c r="E17" s="99"/>
      <c r="F17" s="66"/>
    </row>
    <row r="18" spans="1:6" ht="15.75" thickBot="1" x14ac:dyDescent="0.3">
      <c r="A18" s="102" t="s">
        <v>28</v>
      </c>
      <c r="B18" s="103">
        <v>18.440000000000001</v>
      </c>
      <c r="C18" s="104">
        <f>B18*1.6</f>
        <v>29.504000000000005</v>
      </c>
      <c r="D18" s="66"/>
      <c r="E18" s="99"/>
      <c r="F18" s="66"/>
    </row>
    <row r="19" spans="1:6" x14ac:dyDescent="0.25">
      <c r="A19" s="84" t="s">
        <v>29</v>
      </c>
      <c r="B19" s="105"/>
      <c r="C19" s="105"/>
      <c r="D19" s="66"/>
      <c r="E19" s="66"/>
      <c r="F19" s="66"/>
    </row>
    <row r="20" spans="1:6" x14ac:dyDescent="0.25">
      <c r="A20" s="106"/>
      <c r="B20" s="106"/>
      <c r="C20" s="106"/>
      <c r="D20" s="66"/>
      <c r="E20" s="66"/>
      <c r="F20" s="66"/>
    </row>
    <row r="23" spans="1:6" ht="15.75" thickBot="1" x14ac:dyDescent="0.3">
      <c r="A23" s="91" t="s">
        <v>30</v>
      </c>
      <c r="B23" s="92"/>
      <c r="C23" s="92"/>
    </row>
    <row r="24" spans="1:6" x14ac:dyDescent="0.25">
      <c r="A24" s="93"/>
      <c r="B24" s="94" t="s">
        <v>31</v>
      </c>
      <c r="C24" s="95" t="s">
        <v>32</v>
      </c>
    </row>
    <row r="25" spans="1:6" x14ac:dyDescent="0.25">
      <c r="A25" s="96" t="s">
        <v>33</v>
      </c>
      <c r="B25" s="97">
        <v>57</v>
      </c>
      <c r="C25" s="107">
        <v>152</v>
      </c>
    </row>
    <row r="26" spans="1:6" x14ac:dyDescent="0.25">
      <c r="A26" s="108" t="s">
        <v>34</v>
      </c>
      <c r="B26" s="109">
        <v>22</v>
      </c>
      <c r="C26" s="110">
        <v>62</v>
      </c>
    </row>
    <row r="27" spans="1:6" ht="15.75" thickBot="1" x14ac:dyDescent="0.3">
      <c r="A27" s="111" t="s">
        <v>35</v>
      </c>
      <c r="B27" s="112">
        <f>B25-B26</f>
        <v>35</v>
      </c>
      <c r="C27" s="113">
        <f>C25-C26</f>
        <v>90</v>
      </c>
    </row>
    <row r="28" spans="1:6" x14ac:dyDescent="0.25">
      <c r="A28" s="66" t="s">
        <v>36</v>
      </c>
    </row>
    <row r="30" spans="1:6" x14ac:dyDescent="0.25">
      <c r="A30" s="117"/>
      <c r="C30" s="115"/>
    </row>
  </sheetData>
  <hyperlinks>
    <hyperlink ref="A9" r:id="rId1" xr:uid="{67526DDA-2280-4061-B644-2CA3B1BA75DE}"/>
    <hyperlink ref="A19" r:id="rId2" xr:uid="{E3ABB87C-E93B-43A3-81D2-0358149E1A2D}"/>
  </hyperlinks>
  <pageMargins left="0.7" right="0.7" top="0.75" bottom="0.75" header="0.3" footer="0.3"/>
  <pageSetup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38" t="s">
        <v>139</v>
      </c>
      <c r="B1" s="138"/>
      <c r="C1" s="138"/>
      <c r="D1" s="138"/>
      <c r="E1" s="138"/>
      <c r="F1" s="138"/>
      <c r="G1" s="138"/>
      <c r="H1" s="138"/>
      <c r="I1" s="138"/>
    </row>
    <row r="2" spans="1:9" x14ac:dyDescent="0.25">
      <c r="F2" s="2">
        <f>Inputs!F6</f>
        <v>104.874</v>
      </c>
      <c r="G2" s="2">
        <f>Inputs!F7</f>
        <v>165.71099999999998</v>
      </c>
      <c r="H2" s="2">
        <f>Inputs!F8</f>
        <v>40.571999999999996</v>
      </c>
      <c r="I2" s="2"/>
    </row>
    <row r="3" spans="1:9" x14ac:dyDescent="0.25">
      <c r="A3" s="132" t="s">
        <v>37</v>
      </c>
      <c r="B3" s="3" t="s">
        <v>38</v>
      </c>
      <c r="C3" s="3" t="s">
        <v>39</v>
      </c>
      <c r="D3" s="3" t="s">
        <v>40</v>
      </c>
      <c r="E3" s="3" t="s">
        <v>41</v>
      </c>
      <c r="F3" s="4" t="s">
        <v>42</v>
      </c>
      <c r="G3" s="3" t="s">
        <v>43</v>
      </c>
      <c r="H3" s="3" t="s">
        <v>44</v>
      </c>
      <c r="I3" s="3" t="s">
        <v>45</v>
      </c>
    </row>
    <row r="4" spans="1:9" ht="63.75" x14ac:dyDescent="0.25">
      <c r="A4" s="133"/>
      <c r="B4" s="121" t="s">
        <v>46</v>
      </c>
      <c r="C4" s="121" t="s">
        <v>47</v>
      </c>
      <c r="D4" s="121" t="s">
        <v>48</v>
      </c>
      <c r="E4" s="121" t="s">
        <v>49</v>
      </c>
      <c r="F4" s="121" t="s">
        <v>50</v>
      </c>
      <c r="G4" s="121" t="s">
        <v>51</v>
      </c>
      <c r="H4" s="121" t="s">
        <v>52</v>
      </c>
      <c r="I4" s="121" t="s">
        <v>53</v>
      </c>
    </row>
    <row r="5" spans="1:9" ht="15.75" x14ac:dyDescent="0.25">
      <c r="A5" s="116" t="s">
        <v>54</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58</v>
      </c>
      <c r="B8" s="6">
        <v>8</v>
      </c>
      <c r="C8" s="6">
        <v>1</v>
      </c>
      <c r="D8" s="6">
        <f>+B8*C8</f>
        <v>8</v>
      </c>
      <c r="E8" s="6">
        <f>Inputs!$B$26</f>
        <v>22</v>
      </c>
      <c r="F8" s="6">
        <f>+D8*E8</f>
        <v>176</v>
      </c>
      <c r="G8" s="6">
        <f>+F8*0.05</f>
        <v>8.8000000000000007</v>
      </c>
      <c r="H8" s="6">
        <f>+F8*0.1</f>
        <v>17.600000000000001</v>
      </c>
      <c r="I8" s="9">
        <f>+$F$2*F8+$G$2*G8+$H$2*H8</f>
        <v>20630.148000000001</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ht="15.75" x14ac:dyDescent="0.25">
      <c r="A12" s="10" t="s">
        <v>62</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v>8</v>
      </c>
      <c r="C17" s="6">
        <v>1</v>
      </c>
      <c r="D17" s="6">
        <f t="shared" ref="D17:D19" si="0">+B17*C17</f>
        <v>8</v>
      </c>
      <c r="E17" s="6">
        <f>Inputs!$B$26</f>
        <v>22</v>
      </c>
      <c r="F17" s="6">
        <f>+D17*E17</f>
        <v>176</v>
      </c>
      <c r="G17" s="6">
        <f t="shared" ref="G17:G19" si="1">+F17*0.05</f>
        <v>8.8000000000000007</v>
      </c>
      <c r="H17" s="6">
        <f t="shared" ref="H17:H19" si="2">+F17*0.1</f>
        <v>17.600000000000001</v>
      </c>
      <c r="I17" s="9">
        <f t="shared" ref="I17:I19" si="3">+$F$2*F17+$G$2*G17+$H$2*H17</f>
        <v>20630.148000000001</v>
      </c>
    </row>
    <row r="18" spans="1:9" x14ac:dyDescent="0.25">
      <c r="A18" s="10" t="s">
        <v>68</v>
      </c>
      <c r="B18" s="6">
        <v>4</v>
      </c>
      <c r="C18" s="6">
        <v>1</v>
      </c>
      <c r="D18" s="6">
        <f t="shared" si="0"/>
        <v>4</v>
      </c>
      <c r="E18" s="6">
        <f>Inputs!$B$26</f>
        <v>22</v>
      </c>
      <c r="F18" s="6">
        <f t="shared" ref="F18:F19" si="4">+D18*E18</f>
        <v>88</v>
      </c>
      <c r="G18" s="6">
        <f t="shared" si="1"/>
        <v>4.4000000000000004</v>
      </c>
      <c r="H18" s="6">
        <f t="shared" si="2"/>
        <v>8.8000000000000007</v>
      </c>
      <c r="I18" s="9">
        <f t="shared" si="3"/>
        <v>10315.074000000001</v>
      </c>
    </row>
    <row r="19" spans="1:9" x14ac:dyDescent="0.25">
      <c r="A19" s="10" t="s">
        <v>69</v>
      </c>
      <c r="B19" s="6">
        <v>1</v>
      </c>
      <c r="C19" s="6">
        <v>1</v>
      </c>
      <c r="D19" s="6">
        <f t="shared" si="0"/>
        <v>1</v>
      </c>
      <c r="E19" s="6">
        <f>Inputs!$B$26</f>
        <v>22</v>
      </c>
      <c r="F19" s="6">
        <f t="shared" si="4"/>
        <v>22</v>
      </c>
      <c r="G19" s="6">
        <f t="shared" si="1"/>
        <v>1.1000000000000001</v>
      </c>
      <c r="H19" s="6">
        <f t="shared" si="2"/>
        <v>2.2000000000000002</v>
      </c>
      <c r="I19" s="9">
        <f t="shared" si="3"/>
        <v>2578.7685000000001</v>
      </c>
    </row>
    <row r="20" spans="1:9" ht="27" x14ac:dyDescent="0.25">
      <c r="A20" s="13" t="s">
        <v>70</v>
      </c>
      <c r="B20" s="121"/>
      <c r="C20" s="121"/>
      <c r="D20" s="6"/>
      <c r="E20" s="119"/>
      <c r="F20" s="134">
        <f>SUM(F5:H19)</f>
        <v>531.30000000000007</v>
      </c>
      <c r="G20" s="134"/>
      <c r="H20" s="134"/>
      <c r="I20" s="14">
        <f>SUM(I5:I19)</f>
        <v>54154.138500000001</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8.5" x14ac:dyDescent="0.25">
      <c r="A23" s="10" t="s">
        <v>73</v>
      </c>
      <c r="B23" s="6">
        <v>4</v>
      </c>
      <c r="C23" s="6">
        <v>1</v>
      </c>
      <c r="D23" s="6">
        <f t="shared" ref="D23" si="5">+B23*C23</f>
        <v>4</v>
      </c>
      <c r="E23" s="6">
        <f>Inputs!$B$26</f>
        <v>22</v>
      </c>
      <c r="F23" s="6">
        <f>+D23*E23</f>
        <v>88</v>
      </c>
      <c r="G23" s="6">
        <f>+F23*0.05</f>
        <v>4.4000000000000004</v>
      </c>
      <c r="H23" s="6">
        <f>+F23*0.1</f>
        <v>8.8000000000000007</v>
      </c>
      <c r="I23" s="9">
        <f>+$F$2*F23+$G$2*G23+$H$2*H23</f>
        <v>10315.074000000001</v>
      </c>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4">
        <f>SUM(F21:H25)</f>
        <v>101.2</v>
      </c>
      <c r="G26" s="134"/>
      <c r="H26" s="134"/>
      <c r="I26" s="14">
        <f>SUM(I21:I25)</f>
        <v>10315.074000000001</v>
      </c>
    </row>
    <row r="27" spans="1:9" ht="28.5" x14ac:dyDescent="0.25">
      <c r="A27" s="15" t="s">
        <v>77</v>
      </c>
      <c r="B27" s="15"/>
      <c r="C27" s="15"/>
      <c r="D27" s="15"/>
      <c r="E27" s="15"/>
      <c r="F27" s="135">
        <f>ROUND(F20+F26,0)</f>
        <v>633</v>
      </c>
      <c r="G27" s="135"/>
      <c r="H27" s="135"/>
      <c r="I27" s="14">
        <f>ROUND(I20+I26,-2)</f>
        <v>64500</v>
      </c>
    </row>
    <row r="28" spans="1:9" ht="28.5" x14ac:dyDescent="0.25">
      <c r="A28" s="15" t="s">
        <v>78</v>
      </c>
      <c r="B28" s="15"/>
      <c r="C28" s="15"/>
      <c r="D28" s="15"/>
      <c r="E28" s="15"/>
      <c r="F28" s="120"/>
      <c r="G28" s="120"/>
      <c r="H28" s="120"/>
      <c r="I28" s="14">
        <v>0</v>
      </c>
    </row>
    <row r="29" spans="1:9" ht="15.75" x14ac:dyDescent="0.25">
      <c r="A29" s="15" t="s">
        <v>79</v>
      </c>
      <c r="B29" s="15"/>
      <c r="C29" s="15"/>
      <c r="D29" s="15"/>
      <c r="E29" s="15"/>
      <c r="F29" s="120"/>
      <c r="G29" s="120"/>
      <c r="H29" s="120"/>
      <c r="I29" s="14">
        <f>ROUND(I27+I28,-2)</f>
        <v>64500</v>
      </c>
    </row>
    <row r="31" spans="1:9" x14ac:dyDescent="0.25">
      <c r="A31" s="16" t="s">
        <v>80</v>
      </c>
    </row>
    <row r="32" spans="1:9" x14ac:dyDescent="0.25">
      <c r="A32" s="16"/>
    </row>
    <row r="33" spans="1:9" ht="29.25" customHeight="1" x14ac:dyDescent="0.25">
      <c r="A33" s="139" t="s">
        <v>81</v>
      </c>
      <c r="B33" s="139"/>
      <c r="C33" s="139"/>
      <c r="D33" s="139"/>
      <c r="E33" s="139"/>
      <c r="F33" s="139"/>
      <c r="G33" s="139"/>
      <c r="H33" s="139"/>
      <c r="I33" s="139"/>
    </row>
    <row r="34" spans="1:9" ht="32.25" customHeight="1" x14ac:dyDescent="0.25">
      <c r="A34" s="136" t="s">
        <v>82</v>
      </c>
      <c r="B34" s="136"/>
      <c r="C34" s="136"/>
      <c r="D34" s="136"/>
      <c r="E34" s="136"/>
      <c r="F34" s="136"/>
      <c r="G34" s="136"/>
      <c r="H34" s="136"/>
      <c r="I34" s="136"/>
    </row>
    <row r="35" spans="1:9" ht="87" customHeight="1" x14ac:dyDescent="0.25">
      <c r="A35" s="137" t="s">
        <v>83</v>
      </c>
      <c r="B35" s="137"/>
      <c r="C35" s="137"/>
      <c r="D35" s="137"/>
      <c r="E35" s="137"/>
      <c r="F35" s="137"/>
      <c r="G35" s="137"/>
      <c r="H35" s="137"/>
      <c r="I35" s="137"/>
    </row>
    <row r="36" spans="1:9" x14ac:dyDescent="0.25">
      <c r="A36" s="131" t="s">
        <v>138</v>
      </c>
      <c r="B36" s="131"/>
      <c r="C36" s="131"/>
      <c r="D36" s="131"/>
      <c r="E36" s="131"/>
      <c r="F36" s="131"/>
      <c r="G36" s="131"/>
      <c r="H36" s="131"/>
      <c r="I36" s="131"/>
    </row>
    <row r="37" spans="1:9" ht="21.6" customHeight="1" x14ac:dyDescent="0.25">
      <c r="A37" s="131" t="s">
        <v>84</v>
      </c>
      <c r="B37" s="131"/>
      <c r="C37" s="131"/>
      <c r="D37" s="131"/>
      <c r="E37" s="131"/>
      <c r="F37" s="131"/>
      <c r="G37" s="131"/>
      <c r="H37" s="131"/>
      <c r="I37" s="131"/>
    </row>
    <row r="38" spans="1:9" ht="28.15" customHeight="1" x14ac:dyDescent="0.25">
      <c r="A38" s="131" t="s">
        <v>85</v>
      </c>
      <c r="B38" s="131"/>
      <c r="C38" s="131"/>
      <c r="D38" s="131"/>
      <c r="E38" s="131"/>
      <c r="F38" s="131"/>
      <c r="G38" s="131"/>
      <c r="H38" s="131"/>
      <c r="I38" s="131"/>
    </row>
    <row r="39" spans="1:9" ht="17.45" customHeight="1" x14ac:dyDescent="0.25">
      <c r="A39" s="131" t="s">
        <v>86</v>
      </c>
      <c r="B39" s="131"/>
      <c r="C39" s="131"/>
      <c r="D39" s="131"/>
      <c r="E39" s="131"/>
      <c r="F39" s="131"/>
      <c r="G39" s="131"/>
      <c r="H39" s="131"/>
      <c r="I39" s="131"/>
    </row>
    <row r="40" spans="1:9" ht="19.149999999999999" customHeight="1" x14ac:dyDescent="0.25">
      <c r="A40" s="131" t="s">
        <v>87</v>
      </c>
      <c r="B40" s="131"/>
      <c r="C40" s="131"/>
      <c r="D40" s="131"/>
      <c r="E40" s="131"/>
      <c r="F40" s="131"/>
      <c r="G40" s="131"/>
      <c r="H40" s="131"/>
      <c r="I40" s="131"/>
    </row>
  </sheetData>
  <mergeCells count="13">
    <mergeCell ref="A1:I1"/>
    <mergeCell ref="A38:I38"/>
    <mergeCell ref="A33:I33"/>
    <mergeCell ref="A39:I39"/>
    <mergeCell ref="A37:I37"/>
    <mergeCell ref="A40:I40"/>
    <mergeCell ref="A3:A4"/>
    <mergeCell ref="F20:H20"/>
    <mergeCell ref="F26:H26"/>
    <mergeCell ref="F27:H27"/>
    <mergeCell ref="A34:I34"/>
    <mergeCell ref="A35:I35"/>
    <mergeCell ref="A36:I36"/>
  </mergeCells>
  <pageMargins left="0.7" right="0.7" top="0.75" bottom="0.75" header="0.3" footer="0.3"/>
  <pageSetup orientation="portrait"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60B5F-C0CA-4B8B-BE7A-445C2189B8EE}">
  <dimension ref="A1:I40"/>
  <sheetViews>
    <sheetView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38" t="s">
        <v>145</v>
      </c>
      <c r="B1" s="138"/>
      <c r="C1" s="138"/>
      <c r="D1" s="138"/>
      <c r="E1" s="138"/>
      <c r="F1" s="138"/>
      <c r="G1" s="138"/>
      <c r="H1" s="138"/>
      <c r="I1" s="138"/>
    </row>
    <row r="2" spans="1:9" x14ac:dyDescent="0.25">
      <c r="F2" s="2">
        <f>Inputs!F6</f>
        <v>104.874</v>
      </c>
      <c r="G2" s="2">
        <f>Inputs!F7</f>
        <v>165.71099999999998</v>
      </c>
      <c r="H2" s="2">
        <f>Inputs!F8</f>
        <v>40.571999999999996</v>
      </c>
      <c r="I2" s="2"/>
    </row>
    <row r="3" spans="1:9" x14ac:dyDescent="0.25">
      <c r="A3" s="132" t="s">
        <v>37</v>
      </c>
      <c r="B3" s="3" t="s">
        <v>38</v>
      </c>
      <c r="C3" s="3" t="s">
        <v>39</v>
      </c>
      <c r="D3" s="3" t="s">
        <v>40</v>
      </c>
      <c r="E3" s="3" t="s">
        <v>41</v>
      </c>
      <c r="F3" s="4" t="s">
        <v>42</v>
      </c>
      <c r="G3" s="3" t="s">
        <v>43</v>
      </c>
      <c r="H3" s="3" t="s">
        <v>44</v>
      </c>
      <c r="I3" s="3" t="s">
        <v>45</v>
      </c>
    </row>
    <row r="4" spans="1:9" ht="63.75" x14ac:dyDescent="0.25">
      <c r="A4" s="133"/>
      <c r="B4" s="121" t="s">
        <v>46</v>
      </c>
      <c r="C4" s="121" t="s">
        <v>47</v>
      </c>
      <c r="D4" s="121" t="s">
        <v>48</v>
      </c>
      <c r="E4" s="121" t="s">
        <v>49</v>
      </c>
      <c r="F4" s="121" t="s">
        <v>50</v>
      </c>
      <c r="G4" s="121" t="s">
        <v>51</v>
      </c>
      <c r="H4" s="121" t="s">
        <v>52</v>
      </c>
      <c r="I4" s="121" t="s">
        <v>53</v>
      </c>
    </row>
    <row r="5" spans="1:9" ht="15.75" x14ac:dyDescent="0.25">
      <c r="A5" s="116" t="s">
        <v>54</v>
      </c>
      <c r="B5" s="6" t="str">
        <f>'Table 1a'!B5</f>
        <v>N/A</v>
      </c>
      <c r="C5" s="6"/>
      <c r="D5" s="6"/>
      <c r="E5" s="11"/>
      <c r="F5" s="6"/>
      <c r="G5" s="6"/>
      <c r="H5" s="6"/>
      <c r="I5" s="9"/>
    </row>
    <row r="6" spans="1:9" x14ac:dyDescent="0.25">
      <c r="A6" s="5" t="s">
        <v>55</v>
      </c>
      <c r="B6" s="6" t="str">
        <f>'Table 1a'!B6</f>
        <v>N/A</v>
      </c>
      <c r="C6" s="6"/>
      <c r="D6" s="6"/>
      <c r="E6" s="6"/>
      <c r="F6" s="6"/>
      <c r="G6" s="6"/>
      <c r="H6" s="6"/>
      <c r="I6" s="7"/>
    </row>
    <row r="7" spans="1:9" x14ac:dyDescent="0.25">
      <c r="A7" s="5" t="s">
        <v>57</v>
      </c>
      <c r="B7" s="6">
        <f>'Table 1a'!B7</f>
        <v>0</v>
      </c>
      <c r="C7" s="6"/>
      <c r="D7" s="6"/>
      <c r="E7" s="6"/>
      <c r="F7" s="6"/>
      <c r="G7" s="6"/>
      <c r="H7" s="6"/>
      <c r="I7" s="7"/>
    </row>
    <row r="8" spans="1:9" ht="28.5" x14ac:dyDescent="0.25">
      <c r="A8" s="8" t="s">
        <v>58</v>
      </c>
      <c r="B8" s="6">
        <f>'Table 1a'!B8</f>
        <v>8</v>
      </c>
      <c r="C8" s="6">
        <v>1</v>
      </c>
      <c r="D8" s="6">
        <f>+B8*C8</f>
        <v>8</v>
      </c>
      <c r="E8" s="6">
        <f>Inputs!$B$27</f>
        <v>35</v>
      </c>
      <c r="F8" s="6">
        <f>+D8*E8</f>
        <v>280</v>
      </c>
      <c r="G8" s="6">
        <f>+F8*0.05</f>
        <v>14</v>
      </c>
      <c r="H8" s="6">
        <f>+F8*0.1</f>
        <v>28</v>
      </c>
      <c r="I8" s="9">
        <f>+$F$2*F8+$G$2*G8+$H$2*H8</f>
        <v>32820.69</v>
      </c>
    </row>
    <row r="9" spans="1:9" x14ac:dyDescent="0.25">
      <c r="A9" s="8" t="s">
        <v>59</v>
      </c>
      <c r="B9" s="6">
        <f>'Table 1a'!B9</f>
        <v>0</v>
      </c>
      <c r="C9" s="6"/>
      <c r="D9" s="6"/>
      <c r="E9" s="6"/>
      <c r="F9" s="6"/>
      <c r="G9" s="6"/>
      <c r="H9" s="6"/>
      <c r="I9" s="7"/>
    </row>
    <row r="10" spans="1:9" x14ac:dyDescent="0.25">
      <c r="A10" s="10" t="s">
        <v>60</v>
      </c>
      <c r="B10" s="6" t="str">
        <f>'Table 1a'!B10</f>
        <v>N/A</v>
      </c>
      <c r="C10" s="6"/>
      <c r="D10" s="6"/>
      <c r="E10" s="12"/>
      <c r="F10" s="6"/>
      <c r="G10" s="6"/>
      <c r="H10" s="6"/>
      <c r="I10" s="9"/>
    </row>
    <row r="11" spans="1:9" x14ac:dyDescent="0.25">
      <c r="A11" s="10" t="s">
        <v>61</v>
      </c>
      <c r="B11" s="6" t="str">
        <f>'Table 1a'!B11</f>
        <v>N/A</v>
      </c>
      <c r="C11" s="6"/>
      <c r="D11" s="6"/>
      <c r="E11" s="31"/>
      <c r="F11" s="6"/>
      <c r="G11" s="6"/>
      <c r="H11" s="6"/>
      <c r="I11" s="9"/>
    </row>
    <row r="12" spans="1:9" ht="15.75" x14ac:dyDescent="0.25">
      <c r="A12" s="10" t="s">
        <v>62</v>
      </c>
      <c r="B12" s="6" t="str">
        <f>'Table 1a'!B12</f>
        <v>N/A</v>
      </c>
      <c r="C12" s="6"/>
      <c r="D12" s="6"/>
      <c r="E12" s="12"/>
      <c r="F12" s="6"/>
      <c r="G12" s="6"/>
      <c r="H12" s="6"/>
      <c r="I12" s="9"/>
    </row>
    <row r="13" spans="1:9" x14ac:dyDescent="0.25">
      <c r="A13" s="10" t="s">
        <v>63</v>
      </c>
      <c r="B13" s="6" t="str">
        <f>'Table 1a'!B13</f>
        <v>N/A</v>
      </c>
      <c r="C13" s="6"/>
      <c r="D13" s="6"/>
      <c r="E13" s="12"/>
      <c r="F13" s="6"/>
      <c r="G13" s="6"/>
      <c r="H13" s="6"/>
      <c r="I13" s="9"/>
    </row>
    <row r="14" spans="1:9" x14ac:dyDescent="0.25">
      <c r="A14" s="8" t="s">
        <v>64</v>
      </c>
      <c r="B14" s="6">
        <f>'Table 1a'!B14</f>
        <v>0</v>
      </c>
      <c r="C14" s="6"/>
      <c r="D14" s="6"/>
      <c r="E14" s="6"/>
      <c r="F14" s="6"/>
      <c r="G14" s="6"/>
      <c r="H14" s="6"/>
      <c r="I14" s="7"/>
    </row>
    <row r="15" spans="1:9" ht="63.75" x14ac:dyDescent="0.25">
      <c r="A15" s="10" t="s">
        <v>65</v>
      </c>
      <c r="B15" s="6" t="str">
        <f>'Table 1a'!B15</f>
        <v>N/A</v>
      </c>
      <c r="C15" s="6"/>
      <c r="D15" s="6"/>
      <c r="E15" s="6"/>
      <c r="F15" s="31"/>
      <c r="G15" s="31"/>
      <c r="H15" s="31"/>
      <c r="I15" s="9"/>
    </row>
    <row r="16" spans="1:9" ht="38.25" x14ac:dyDescent="0.25">
      <c r="A16" s="10" t="s">
        <v>66</v>
      </c>
      <c r="B16" s="6" t="str">
        <f>'Table 1a'!B16</f>
        <v>N/A</v>
      </c>
      <c r="C16" s="6"/>
      <c r="D16" s="6"/>
      <c r="E16" s="12"/>
      <c r="F16" s="6"/>
      <c r="G16" s="11"/>
      <c r="H16" s="11"/>
      <c r="I16" s="9"/>
    </row>
    <row r="17" spans="1:9" x14ac:dyDescent="0.25">
      <c r="A17" s="10" t="s">
        <v>67</v>
      </c>
      <c r="B17" s="6">
        <f>'Table 1a'!B17</f>
        <v>8</v>
      </c>
      <c r="C17" s="6">
        <v>1</v>
      </c>
      <c r="D17" s="6">
        <f t="shared" ref="D17:D19" si="0">+B17*C17</f>
        <v>8</v>
      </c>
      <c r="E17" s="6">
        <f>Inputs!$B$27</f>
        <v>35</v>
      </c>
      <c r="F17" s="6">
        <f t="shared" ref="F17:F19" si="1">+D17*E17</f>
        <v>280</v>
      </c>
      <c r="G17" s="6">
        <f t="shared" ref="G17:G19" si="2">+F17*0.05</f>
        <v>14</v>
      </c>
      <c r="H17" s="6">
        <f t="shared" ref="H17:H19" si="3">+F17*0.1</f>
        <v>28</v>
      </c>
      <c r="I17" s="9">
        <f>+$F$2*F17+$G$2*G17+$H$2*H17</f>
        <v>32820.69</v>
      </c>
    </row>
    <row r="18" spans="1:9" x14ac:dyDescent="0.25">
      <c r="A18" s="10" t="s">
        <v>68</v>
      </c>
      <c r="B18" s="6">
        <f>'Table 1a'!B18</f>
        <v>4</v>
      </c>
      <c r="C18" s="6">
        <v>1</v>
      </c>
      <c r="D18" s="6">
        <f t="shared" si="0"/>
        <v>4</v>
      </c>
      <c r="E18" s="6">
        <f>Inputs!$B$27</f>
        <v>35</v>
      </c>
      <c r="F18" s="6">
        <f t="shared" si="1"/>
        <v>140</v>
      </c>
      <c r="G18" s="6">
        <f t="shared" si="2"/>
        <v>7</v>
      </c>
      <c r="H18" s="6">
        <f t="shared" si="3"/>
        <v>14</v>
      </c>
      <c r="I18" s="9">
        <f t="shared" ref="I18:I19" si="4">+$F$2*F18+$G$2*G18+$H$2*H18</f>
        <v>16410.345000000001</v>
      </c>
    </row>
    <row r="19" spans="1:9" x14ac:dyDescent="0.25">
      <c r="A19" s="10" t="s">
        <v>69</v>
      </c>
      <c r="B19" s="6">
        <f>'Table 1a'!B19</f>
        <v>1</v>
      </c>
      <c r="C19" s="6">
        <v>1</v>
      </c>
      <c r="D19" s="6">
        <f t="shared" si="0"/>
        <v>1</v>
      </c>
      <c r="E19" s="6">
        <f>Inputs!$B$27</f>
        <v>35</v>
      </c>
      <c r="F19" s="6">
        <f t="shared" si="1"/>
        <v>35</v>
      </c>
      <c r="G19" s="6">
        <f t="shared" si="2"/>
        <v>1.75</v>
      </c>
      <c r="H19" s="6">
        <f t="shared" si="3"/>
        <v>3.5</v>
      </c>
      <c r="I19" s="9">
        <f t="shared" si="4"/>
        <v>4102.5862500000003</v>
      </c>
    </row>
    <row r="20" spans="1:9" ht="27" x14ac:dyDescent="0.25">
      <c r="A20" s="13" t="s">
        <v>70</v>
      </c>
      <c r="B20" s="121">
        <f>'Table 1a'!B20</f>
        <v>0</v>
      </c>
      <c r="C20" s="121"/>
      <c r="D20" s="6"/>
      <c r="E20" s="119"/>
      <c r="F20" s="134">
        <f>SUM(F5:H19)</f>
        <v>845.25</v>
      </c>
      <c r="G20" s="134"/>
      <c r="H20" s="134"/>
      <c r="I20" s="14">
        <f>SUM(I5:I19)</f>
        <v>86154.311249999999</v>
      </c>
    </row>
    <row r="21" spans="1:9" x14ac:dyDescent="0.25">
      <c r="A21" s="5" t="s">
        <v>71</v>
      </c>
      <c r="B21" s="6">
        <f>'Table 1a'!B21</f>
        <v>0</v>
      </c>
      <c r="C21" s="6"/>
      <c r="D21" s="6"/>
      <c r="E21" s="12"/>
      <c r="F21" s="6"/>
      <c r="G21" s="6"/>
      <c r="H21" s="6"/>
      <c r="I21" s="7"/>
    </row>
    <row r="22" spans="1:9" ht="25.5" x14ac:dyDescent="0.25">
      <c r="A22" s="10" t="s">
        <v>72</v>
      </c>
      <c r="B22" s="6" t="str">
        <f>'Table 1a'!B22</f>
        <v>N/A</v>
      </c>
      <c r="C22" s="6"/>
      <c r="D22" s="6"/>
      <c r="E22" s="6"/>
      <c r="F22" s="6"/>
      <c r="G22" s="6"/>
      <c r="H22" s="6"/>
      <c r="I22" s="9"/>
    </row>
    <row r="23" spans="1:9" ht="28.5" x14ac:dyDescent="0.25">
      <c r="A23" s="10" t="s">
        <v>73</v>
      </c>
      <c r="B23" s="6">
        <f>'Table 1a'!B23</f>
        <v>4</v>
      </c>
      <c r="C23" s="6">
        <v>1</v>
      </c>
      <c r="D23" s="6">
        <f t="shared" ref="D23" si="5">+B23*C23</f>
        <v>4</v>
      </c>
      <c r="E23" s="6">
        <f>Inputs!$B$27</f>
        <v>35</v>
      </c>
      <c r="F23" s="6">
        <f>+D23*E23</f>
        <v>140</v>
      </c>
      <c r="G23" s="6">
        <f t="shared" ref="G23" si="6">+F23*0.05</f>
        <v>7</v>
      </c>
      <c r="H23" s="6">
        <f t="shared" ref="H23" si="7">+F23*0.1</f>
        <v>14</v>
      </c>
      <c r="I23" s="9">
        <f t="shared" ref="I23" si="8">+$F$2*F23+$G$2*G23+$H$2*H23</f>
        <v>16410.345000000001</v>
      </c>
    </row>
    <row r="24" spans="1:9" ht="25.5" x14ac:dyDescent="0.25">
      <c r="A24" s="10" t="s">
        <v>74</v>
      </c>
      <c r="B24" s="6" t="str">
        <f>'Table 1a'!B24</f>
        <v>N/A</v>
      </c>
      <c r="C24" s="6"/>
      <c r="D24" s="6"/>
      <c r="E24" s="12"/>
      <c r="F24" s="12"/>
      <c r="G24" s="12"/>
      <c r="H24" s="12"/>
      <c r="I24" s="9"/>
    </row>
    <row r="25" spans="1:9" ht="25.5" x14ac:dyDescent="0.25">
      <c r="A25" s="10" t="s">
        <v>75</v>
      </c>
      <c r="B25" s="6" t="str">
        <f>'Table 1a'!B25</f>
        <v>N/A</v>
      </c>
      <c r="C25" s="6"/>
      <c r="D25" s="6"/>
      <c r="E25" s="12"/>
      <c r="F25" s="12"/>
      <c r="G25" s="12"/>
      <c r="H25" s="12"/>
      <c r="I25" s="9"/>
    </row>
    <row r="26" spans="1:9" ht="27" x14ac:dyDescent="0.25">
      <c r="A26" s="13" t="s">
        <v>76</v>
      </c>
      <c r="B26" s="121"/>
      <c r="C26" s="121"/>
      <c r="D26" s="15"/>
      <c r="E26" s="121"/>
      <c r="F26" s="134">
        <f>SUM(F21:H25)</f>
        <v>161</v>
      </c>
      <c r="G26" s="134"/>
      <c r="H26" s="134"/>
      <c r="I26" s="14">
        <f>SUM(I21:I25)</f>
        <v>16410.345000000001</v>
      </c>
    </row>
    <row r="27" spans="1:9" ht="28.5" x14ac:dyDescent="0.25">
      <c r="A27" s="15" t="s">
        <v>77</v>
      </c>
      <c r="B27" s="15"/>
      <c r="C27" s="15"/>
      <c r="D27" s="15"/>
      <c r="E27" s="15"/>
      <c r="F27" s="135">
        <f>ROUND(F20+F26,0)</f>
        <v>1006</v>
      </c>
      <c r="G27" s="135"/>
      <c r="H27" s="135"/>
      <c r="I27" s="14">
        <f>ROUND(I20+I26,-2)</f>
        <v>102600</v>
      </c>
    </row>
    <row r="28" spans="1:9" ht="28.5" x14ac:dyDescent="0.25">
      <c r="A28" s="15" t="s">
        <v>78</v>
      </c>
      <c r="B28" s="15"/>
      <c r="C28" s="15"/>
      <c r="D28" s="15"/>
      <c r="E28" s="15"/>
      <c r="F28" s="120"/>
      <c r="G28" s="120"/>
      <c r="H28" s="120"/>
      <c r="I28" s="14">
        <v>0</v>
      </c>
    </row>
    <row r="29" spans="1:9" ht="15.75" x14ac:dyDescent="0.25">
      <c r="A29" s="15" t="s">
        <v>79</v>
      </c>
      <c r="B29" s="15"/>
      <c r="C29" s="15"/>
      <c r="D29" s="15"/>
      <c r="E29" s="15"/>
      <c r="F29" s="120"/>
      <c r="G29" s="120"/>
      <c r="H29" s="120"/>
      <c r="I29" s="14">
        <f>ROUND(I27+I28,-2)</f>
        <v>102600</v>
      </c>
    </row>
    <row r="31" spans="1:9" x14ac:dyDescent="0.25">
      <c r="A31" s="16" t="s">
        <v>80</v>
      </c>
    </row>
    <row r="32" spans="1:9" x14ac:dyDescent="0.25">
      <c r="A32" s="16"/>
    </row>
    <row r="33" spans="1:9" ht="29.25" customHeight="1" x14ac:dyDescent="0.25">
      <c r="A33" s="139" t="s">
        <v>81</v>
      </c>
      <c r="B33" s="139"/>
      <c r="C33" s="139"/>
      <c r="D33" s="139"/>
      <c r="E33" s="139"/>
      <c r="F33" s="139"/>
      <c r="G33" s="139"/>
      <c r="H33" s="139"/>
      <c r="I33" s="139"/>
    </row>
    <row r="34" spans="1:9" ht="32.25" customHeight="1" x14ac:dyDescent="0.25">
      <c r="A34" s="136" t="s">
        <v>88</v>
      </c>
      <c r="B34" s="136"/>
      <c r="C34" s="136"/>
      <c r="D34" s="136"/>
      <c r="E34" s="136"/>
      <c r="F34" s="136"/>
      <c r="G34" s="136"/>
      <c r="H34" s="136"/>
      <c r="I34" s="136"/>
    </row>
    <row r="35" spans="1:9" ht="87" customHeight="1" x14ac:dyDescent="0.25">
      <c r="A35" s="137" t="s">
        <v>83</v>
      </c>
      <c r="B35" s="137"/>
      <c r="C35" s="137"/>
      <c r="D35" s="137"/>
      <c r="E35" s="137"/>
      <c r="F35" s="137"/>
      <c r="G35" s="137"/>
      <c r="H35" s="137"/>
      <c r="I35" s="137"/>
    </row>
    <row r="36" spans="1:9" x14ac:dyDescent="0.25">
      <c r="A36" s="131" t="s">
        <v>138</v>
      </c>
      <c r="B36" s="131"/>
      <c r="C36" s="131"/>
      <c r="D36" s="131"/>
      <c r="E36" s="131"/>
      <c r="F36" s="131"/>
      <c r="G36" s="131"/>
      <c r="H36" s="131"/>
      <c r="I36" s="131"/>
    </row>
    <row r="37" spans="1:9" ht="15" customHeight="1" x14ac:dyDescent="0.25">
      <c r="A37" s="131" t="s">
        <v>84</v>
      </c>
      <c r="B37" s="131"/>
      <c r="C37" s="131"/>
      <c r="D37" s="131"/>
      <c r="E37" s="131"/>
      <c r="F37" s="131"/>
      <c r="G37" s="131"/>
      <c r="H37" s="131"/>
      <c r="I37" s="131"/>
    </row>
    <row r="38" spans="1:9" ht="32.450000000000003" customHeight="1" x14ac:dyDescent="0.25">
      <c r="A38" s="131" t="s">
        <v>89</v>
      </c>
      <c r="B38" s="131"/>
      <c r="C38" s="131"/>
      <c r="D38" s="131"/>
      <c r="E38" s="131"/>
      <c r="F38" s="131"/>
      <c r="G38" s="131"/>
      <c r="H38" s="131"/>
      <c r="I38" s="131"/>
    </row>
    <row r="39" spans="1:9" x14ac:dyDescent="0.25">
      <c r="A39" s="131" t="s">
        <v>86</v>
      </c>
      <c r="B39" s="131"/>
      <c r="C39" s="131"/>
      <c r="D39" s="131"/>
      <c r="E39" s="131"/>
      <c r="F39" s="131"/>
      <c r="G39" s="131"/>
      <c r="H39" s="131"/>
      <c r="I39" s="131"/>
    </row>
    <row r="40" spans="1:9" x14ac:dyDescent="0.25">
      <c r="A40" s="131" t="s">
        <v>87</v>
      </c>
      <c r="B40" s="131"/>
      <c r="C40" s="131"/>
      <c r="D40" s="131"/>
      <c r="E40" s="131"/>
      <c r="F40" s="131"/>
      <c r="G40" s="131"/>
      <c r="H40" s="131"/>
      <c r="I40" s="131"/>
    </row>
  </sheetData>
  <mergeCells count="13">
    <mergeCell ref="A40:I40"/>
    <mergeCell ref="A34:I34"/>
    <mergeCell ref="A35:I35"/>
    <mergeCell ref="A36:I36"/>
    <mergeCell ref="A37:I37"/>
    <mergeCell ref="A38:I38"/>
    <mergeCell ref="A39:I39"/>
    <mergeCell ref="A33:I33"/>
    <mergeCell ref="A1:I1"/>
    <mergeCell ref="A3:A4"/>
    <mergeCell ref="F20:H20"/>
    <mergeCell ref="F26:H26"/>
    <mergeCell ref="F27:H27"/>
  </mergeCells>
  <pageMargins left="0.7" right="0.7" top="0.75" bottom="0.75" header="0.3" footer="0.3"/>
  <pageSetup orientation="portrait"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5DCD-E9B2-463D-BA30-A71DD72A9D35}">
  <dimension ref="A1:I37"/>
  <sheetViews>
    <sheetView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38" t="s">
        <v>144</v>
      </c>
      <c r="B1" s="138"/>
      <c r="C1" s="138"/>
      <c r="D1" s="138"/>
      <c r="E1" s="138"/>
      <c r="F1" s="138"/>
      <c r="G1" s="138"/>
      <c r="H1" s="138"/>
      <c r="I1" s="138"/>
    </row>
    <row r="2" spans="1:9" x14ac:dyDescent="0.25">
      <c r="F2" s="2">
        <f>Inputs!F6</f>
        <v>104.874</v>
      </c>
      <c r="G2" s="2">
        <f>Inputs!F7</f>
        <v>165.71099999999998</v>
      </c>
      <c r="H2" s="2">
        <f>Inputs!F8</f>
        <v>40.571999999999996</v>
      </c>
      <c r="I2" s="2"/>
    </row>
    <row r="3" spans="1:9" x14ac:dyDescent="0.25">
      <c r="A3" s="132" t="s">
        <v>37</v>
      </c>
      <c r="B3" s="3" t="s">
        <v>38</v>
      </c>
      <c r="C3" s="3" t="s">
        <v>39</v>
      </c>
      <c r="D3" s="3" t="s">
        <v>40</v>
      </c>
      <c r="E3" s="3" t="s">
        <v>41</v>
      </c>
      <c r="F3" s="4" t="s">
        <v>42</v>
      </c>
      <c r="G3" s="3" t="s">
        <v>43</v>
      </c>
      <c r="H3" s="3" t="s">
        <v>44</v>
      </c>
      <c r="I3" s="3" t="s">
        <v>45</v>
      </c>
    </row>
    <row r="4" spans="1:9" ht="63.75" x14ac:dyDescent="0.25">
      <c r="A4" s="133"/>
      <c r="B4" s="121" t="s">
        <v>46</v>
      </c>
      <c r="C4" s="121" t="s">
        <v>47</v>
      </c>
      <c r="D4" s="121" t="s">
        <v>48</v>
      </c>
      <c r="E4" s="121" t="s">
        <v>49</v>
      </c>
      <c r="F4" s="121" t="s">
        <v>50</v>
      </c>
      <c r="G4" s="121" t="s">
        <v>51</v>
      </c>
      <c r="H4" s="121" t="s">
        <v>52</v>
      </c>
      <c r="I4" s="121" t="s">
        <v>53</v>
      </c>
    </row>
    <row r="5" spans="1:9" x14ac:dyDescent="0.25">
      <c r="A5" s="5" t="s">
        <v>90</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91</v>
      </c>
      <c r="B8" s="6">
        <f>'Table 1a'!B8</f>
        <v>8</v>
      </c>
      <c r="C8" s="6">
        <v>1</v>
      </c>
      <c r="D8" s="6">
        <f>+B8*C8</f>
        <v>8</v>
      </c>
      <c r="E8" s="6">
        <f>Inputs!$B$26</f>
        <v>22</v>
      </c>
      <c r="F8" s="6">
        <f>+D8*E8</f>
        <v>176</v>
      </c>
      <c r="G8" s="6">
        <f>+F8*0.05</f>
        <v>8.8000000000000007</v>
      </c>
      <c r="H8" s="6">
        <f>+F8*0.1</f>
        <v>17.600000000000001</v>
      </c>
      <c r="I8" s="9">
        <f>+$F$2*F8+$G$2*G8+$H$2*H8</f>
        <v>20630.148000000001</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92</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Inputs!$B$26</f>
        <v>22</v>
      </c>
      <c r="F18" s="6">
        <f>+D18*E18</f>
        <v>22</v>
      </c>
      <c r="G18" s="6">
        <f>+F18*0.05</f>
        <v>1.1000000000000001</v>
      </c>
      <c r="H18" s="6">
        <f>+F18*0.1</f>
        <v>2.2000000000000002</v>
      </c>
      <c r="I18" s="9">
        <f>+$F$2*F18+$G$2*G18+$H$2*H18</f>
        <v>2578.7685000000001</v>
      </c>
    </row>
    <row r="19" spans="1:9" x14ac:dyDescent="0.25">
      <c r="A19" s="10" t="s">
        <v>69</v>
      </c>
      <c r="B19" s="6">
        <v>1</v>
      </c>
      <c r="C19" s="6">
        <v>1</v>
      </c>
      <c r="D19" s="6">
        <f t="shared" si="0"/>
        <v>1</v>
      </c>
      <c r="E19" s="6">
        <f>Inputs!$B$26</f>
        <v>22</v>
      </c>
      <c r="F19" s="6">
        <f t="shared" ref="F19" si="1">+D19*E19</f>
        <v>22</v>
      </c>
      <c r="G19" s="6">
        <f t="shared" ref="G19" si="2">+F19*0.05</f>
        <v>1.1000000000000001</v>
      </c>
      <c r="H19" s="6">
        <f t="shared" ref="H19" si="3">+F19*0.1</f>
        <v>2.2000000000000002</v>
      </c>
      <c r="I19" s="9">
        <f t="shared" ref="I19" si="4">+$F$2*F19+$G$2*G19+$H$2*H19</f>
        <v>2578.7685000000001</v>
      </c>
    </row>
    <row r="20" spans="1:9" ht="27" x14ac:dyDescent="0.25">
      <c r="A20" s="13" t="s">
        <v>70</v>
      </c>
      <c r="B20" s="121"/>
      <c r="C20" s="121"/>
      <c r="D20" s="6"/>
      <c r="E20" s="119"/>
      <c r="F20" s="134">
        <f>SUM(F5:H19)</f>
        <v>252.99999999999997</v>
      </c>
      <c r="G20" s="134"/>
      <c r="H20" s="134"/>
      <c r="I20" s="14">
        <f>SUM(I5:I19)</f>
        <v>25787.684999999998</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93</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4">
        <f>SUM(F21:H25)</f>
        <v>0</v>
      </c>
      <c r="G26" s="134"/>
      <c r="H26" s="134"/>
      <c r="I26" s="14">
        <f>SUM(I21:I25)</f>
        <v>0</v>
      </c>
    </row>
    <row r="27" spans="1:9" ht="28.5" x14ac:dyDescent="0.25">
      <c r="A27" s="15" t="s">
        <v>94</v>
      </c>
      <c r="B27" s="15"/>
      <c r="C27" s="15"/>
      <c r="D27" s="15"/>
      <c r="E27" s="15"/>
      <c r="F27" s="135">
        <f>ROUND(F20+F26,0)</f>
        <v>253</v>
      </c>
      <c r="G27" s="135"/>
      <c r="H27" s="135"/>
      <c r="I27" s="14">
        <f>ROUND(I20+I26,-2)</f>
        <v>25800</v>
      </c>
    </row>
    <row r="28" spans="1:9" ht="28.5" x14ac:dyDescent="0.25">
      <c r="A28" s="15" t="s">
        <v>95</v>
      </c>
      <c r="B28" s="15"/>
      <c r="C28" s="15"/>
      <c r="D28" s="15"/>
      <c r="E28" s="15"/>
      <c r="F28" s="120"/>
      <c r="G28" s="120"/>
      <c r="H28" s="120"/>
      <c r="I28" s="14">
        <v>0</v>
      </c>
    </row>
    <row r="29" spans="1:9" ht="15.75" x14ac:dyDescent="0.25">
      <c r="A29" s="15" t="s">
        <v>96</v>
      </c>
      <c r="B29" s="15"/>
      <c r="C29" s="15"/>
      <c r="D29" s="15"/>
      <c r="E29" s="15"/>
      <c r="F29" s="120"/>
      <c r="G29" s="120"/>
      <c r="H29" s="120"/>
      <c r="I29" s="14">
        <f>ROUND(I27+I28,-2)</f>
        <v>25800</v>
      </c>
    </row>
    <row r="31" spans="1:9" x14ac:dyDescent="0.25">
      <c r="A31" s="16" t="s">
        <v>80</v>
      </c>
    </row>
    <row r="32" spans="1:9" x14ac:dyDescent="0.25">
      <c r="A32" s="16"/>
    </row>
    <row r="33" spans="1:9" ht="29.25" customHeight="1" x14ac:dyDescent="0.25">
      <c r="A33" s="139" t="s">
        <v>81</v>
      </c>
      <c r="B33" s="139"/>
      <c r="C33" s="139"/>
      <c r="D33" s="139"/>
      <c r="E33" s="139"/>
      <c r="F33" s="139"/>
      <c r="G33" s="139"/>
      <c r="H33" s="139"/>
      <c r="I33" s="139"/>
    </row>
    <row r="34" spans="1:9" ht="32.25" customHeight="1" x14ac:dyDescent="0.25">
      <c r="A34" s="136" t="s">
        <v>97</v>
      </c>
      <c r="B34" s="136"/>
      <c r="C34" s="136"/>
      <c r="D34" s="136"/>
      <c r="E34" s="136"/>
      <c r="F34" s="136"/>
      <c r="G34" s="136"/>
      <c r="H34" s="136"/>
      <c r="I34" s="136"/>
    </row>
    <row r="35" spans="1:9" ht="87" customHeight="1" x14ac:dyDescent="0.25">
      <c r="A35" s="137" t="s">
        <v>83</v>
      </c>
      <c r="B35" s="137"/>
      <c r="C35" s="137"/>
      <c r="D35" s="137"/>
      <c r="E35" s="137"/>
      <c r="F35" s="137"/>
      <c r="G35" s="137"/>
      <c r="H35" s="137"/>
      <c r="I35" s="137"/>
    </row>
    <row r="36" spans="1:9" ht="15" customHeight="1" x14ac:dyDescent="0.25">
      <c r="A36" s="131" t="s">
        <v>98</v>
      </c>
      <c r="B36" s="131"/>
      <c r="C36" s="131"/>
      <c r="D36" s="131"/>
      <c r="E36" s="131"/>
      <c r="F36" s="131"/>
      <c r="G36" s="131"/>
      <c r="H36" s="131"/>
      <c r="I36" s="131"/>
    </row>
    <row r="37" spans="1:9" ht="18.600000000000001" customHeight="1" x14ac:dyDescent="0.25">
      <c r="A37" s="131" t="s">
        <v>99</v>
      </c>
      <c r="B37" s="131"/>
      <c r="C37" s="131"/>
      <c r="D37" s="131"/>
      <c r="E37" s="131"/>
      <c r="F37" s="131"/>
      <c r="G37" s="131"/>
      <c r="H37" s="131"/>
      <c r="I37" s="131"/>
    </row>
  </sheetData>
  <mergeCells count="10">
    <mergeCell ref="A34:I34"/>
    <mergeCell ref="A35:I35"/>
    <mergeCell ref="A36:I36"/>
    <mergeCell ref="A37:I37"/>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3E686-1CDA-4A39-8415-82AB303EB719}">
  <dimension ref="A1:I37"/>
  <sheetViews>
    <sheetView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38" t="s">
        <v>143</v>
      </c>
      <c r="B1" s="138"/>
      <c r="C1" s="138"/>
      <c r="D1" s="138"/>
      <c r="E1" s="138"/>
      <c r="F1" s="138"/>
      <c r="G1" s="138"/>
      <c r="H1" s="138"/>
      <c r="I1" s="138"/>
    </row>
    <row r="2" spans="1:9" x14ac:dyDescent="0.25">
      <c r="F2" s="2">
        <f>Inputs!F6</f>
        <v>104.874</v>
      </c>
      <c r="G2" s="2">
        <f>Inputs!F7</f>
        <v>165.71099999999998</v>
      </c>
      <c r="H2" s="2">
        <f>Inputs!F8</f>
        <v>40.571999999999996</v>
      </c>
      <c r="I2" s="2"/>
    </row>
    <row r="3" spans="1:9" x14ac:dyDescent="0.25">
      <c r="A3" s="132" t="s">
        <v>37</v>
      </c>
      <c r="B3" s="3" t="s">
        <v>38</v>
      </c>
      <c r="C3" s="3" t="s">
        <v>39</v>
      </c>
      <c r="D3" s="3" t="s">
        <v>40</v>
      </c>
      <c r="E3" s="3" t="s">
        <v>41</v>
      </c>
      <c r="F3" s="4" t="s">
        <v>42</v>
      </c>
      <c r="G3" s="3" t="s">
        <v>43</v>
      </c>
      <c r="H3" s="3" t="s">
        <v>44</v>
      </c>
      <c r="I3" s="3" t="s">
        <v>45</v>
      </c>
    </row>
    <row r="4" spans="1:9" ht="63.75" x14ac:dyDescent="0.25">
      <c r="A4" s="133"/>
      <c r="B4" s="121" t="s">
        <v>46</v>
      </c>
      <c r="C4" s="121" t="s">
        <v>47</v>
      </c>
      <c r="D4" s="121" t="s">
        <v>48</v>
      </c>
      <c r="E4" s="121" t="s">
        <v>49</v>
      </c>
      <c r="F4" s="121" t="s">
        <v>50</v>
      </c>
      <c r="G4" s="121" t="s">
        <v>51</v>
      </c>
      <c r="H4" s="121" t="s">
        <v>52</v>
      </c>
      <c r="I4" s="121" t="s">
        <v>53</v>
      </c>
    </row>
    <row r="5" spans="1:9" x14ac:dyDescent="0.25">
      <c r="A5" s="5" t="s">
        <v>90</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91</v>
      </c>
      <c r="B8" s="6">
        <f>'Table 1a'!B8</f>
        <v>8</v>
      </c>
      <c r="C8" s="6">
        <v>1</v>
      </c>
      <c r="D8" s="6">
        <f>+B8*C8</f>
        <v>8</v>
      </c>
      <c r="E8" s="6">
        <f>Inputs!$B$27</f>
        <v>35</v>
      </c>
      <c r="F8" s="6">
        <f>+D8*E8</f>
        <v>280</v>
      </c>
      <c r="G8" s="6">
        <f>+F8*0.05</f>
        <v>14</v>
      </c>
      <c r="H8" s="6">
        <f>+F8*0.1</f>
        <v>28</v>
      </c>
      <c r="I8" s="9">
        <f>+$F$2*F8+$G$2*G8+$H$2*H8</f>
        <v>32820.69</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92</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Inputs!$B$27</f>
        <v>35</v>
      </c>
      <c r="F18" s="6">
        <f t="shared" ref="F18:F19" si="1">+D18*E18</f>
        <v>35</v>
      </c>
      <c r="G18" s="6">
        <f>+F18*0.05</f>
        <v>1.75</v>
      </c>
      <c r="H18" s="6">
        <f>+F18*0.1</f>
        <v>3.5</v>
      </c>
      <c r="I18" s="9">
        <f t="shared" ref="I18" si="2">+$F$2*F18+$G$2*G18+$H$2*H18</f>
        <v>4102.5862500000003</v>
      </c>
    </row>
    <row r="19" spans="1:9" x14ac:dyDescent="0.25">
      <c r="A19" s="10" t="s">
        <v>69</v>
      </c>
      <c r="B19" s="6">
        <v>1</v>
      </c>
      <c r="C19" s="6">
        <v>1</v>
      </c>
      <c r="D19" s="6">
        <f t="shared" si="0"/>
        <v>1</v>
      </c>
      <c r="E19" s="6">
        <f>Inputs!$B$27</f>
        <v>35</v>
      </c>
      <c r="F19" s="6">
        <f t="shared" si="1"/>
        <v>35</v>
      </c>
      <c r="G19" s="6">
        <f t="shared" ref="G19" si="3">+F19*0.05</f>
        <v>1.75</v>
      </c>
      <c r="H19" s="6">
        <f t="shared" ref="H19" si="4">+F19*0.1</f>
        <v>3.5</v>
      </c>
      <c r="I19" s="9">
        <f>+$F$2*F19+$G$2*G19+$H$2*H19</f>
        <v>4102.5862500000003</v>
      </c>
    </row>
    <row r="20" spans="1:9" ht="27" x14ac:dyDescent="0.25">
      <c r="A20" s="13" t="s">
        <v>70</v>
      </c>
      <c r="B20" s="121"/>
      <c r="C20" s="121"/>
      <c r="D20" s="6"/>
      <c r="E20" s="119"/>
      <c r="F20" s="134">
        <f>SUM(F5:H19)</f>
        <v>402.5</v>
      </c>
      <c r="G20" s="134"/>
      <c r="H20" s="134"/>
      <c r="I20" s="14">
        <f>SUM(I5:I19)</f>
        <v>41025.862500000003</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93</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4">
        <f>SUM(F21:H25)</f>
        <v>0</v>
      </c>
      <c r="G26" s="134"/>
      <c r="H26" s="134"/>
      <c r="I26" s="14">
        <f>SUM(I21:I25)</f>
        <v>0</v>
      </c>
    </row>
    <row r="27" spans="1:9" ht="28.5" x14ac:dyDescent="0.25">
      <c r="A27" s="15" t="s">
        <v>94</v>
      </c>
      <c r="B27" s="15"/>
      <c r="C27" s="15"/>
      <c r="D27" s="15"/>
      <c r="E27" s="15"/>
      <c r="F27" s="135">
        <f>ROUND(F20+F26,0)</f>
        <v>403</v>
      </c>
      <c r="G27" s="135"/>
      <c r="H27" s="135"/>
      <c r="I27" s="14">
        <f>ROUND(I20+I26,-2)</f>
        <v>41000</v>
      </c>
    </row>
    <row r="28" spans="1:9" ht="28.5" x14ac:dyDescent="0.25">
      <c r="A28" s="15" t="s">
        <v>95</v>
      </c>
      <c r="B28" s="15"/>
      <c r="C28" s="15"/>
      <c r="D28" s="15"/>
      <c r="E28" s="15"/>
      <c r="F28" s="120"/>
      <c r="G28" s="120"/>
      <c r="H28" s="120"/>
      <c r="I28" s="14">
        <v>0</v>
      </c>
    </row>
    <row r="29" spans="1:9" ht="15.75" x14ac:dyDescent="0.25">
      <c r="A29" s="15" t="s">
        <v>96</v>
      </c>
      <c r="B29" s="15"/>
      <c r="C29" s="15"/>
      <c r="D29" s="15"/>
      <c r="E29" s="15"/>
      <c r="F29" s="120"/>
      <c r="G29" s="120"/>
      <c r="H29" s="120"/>
      <c r="I29" s="14">
        <f>ROUND(I27+I28,-2)</f>
        <v>41000</v>
      </c>
    </row>
    <row r="31" spans="1:9" x14ac:dyDescent="0.25">
      <c r="A31" s="16" t="s">
        <v>80</v>
      </c>
    </row>
    <row r="32" spans="1:9" x14ac:dyDescent="0.25">
      <c r="A32" s="16"/>
    </row>
    <row r="33" spans="1:9" ht="29.25" customHeight="1" x14ac:dyDescent="0.25">
      <c r="A33" s="139" t="s">
        <v>81</v>
      </c>
      <c r="B33" s="139"/>
      <c r="C33" s="139"/>
      <c r="D33" s="139"/>
      <c r="E33" s="139"/>
      <c r="F33" s="139"/>
      <c r="G33" s="139"/>
      <c r="H33" s="139"/>
      <c r="I33" s="139"/>
    </row>
    <row r="34" spans="1:9" ht="32.25" customHeight="1" x14ac:dyDescent="0.25">
      <c r="A34" s="136" t="s">
        <v>88</v>
      </c>
      <c r="B34" s="136"/>
      <c r="C34" s="136"/>
      <c r="D34" s="136"/>
      <c r="E34" s="136"/>
      <c r="F34" s="136"/>
      <c r="G34" s="136"/>
      <c r="H34" s="136"/>
      <c r="I34" s="136"/>
    </row>
    <row r="35" spans="1:9" ht="87" customHeight="1" x14ac:dyDescent="0.25">
      <c r="A35" s="137" t="s">
        <v>83</v>
      </c>
      <c r="B35" s="137"/>
      <c r="C35" s="137"/>
      <c r="D35" s="137"/>
      <c r="E35" s="137"/>
      <c r="F35" s="137"/>
      <c r="G35" s="137"/>
      <c r="H35" s="137"/>
      <c r="I35" s="137"/>
    </row>
    <row r="36" spans="1:9" ht="15" customHeight="1" x14ac:dyDescent="0.25">
      <c r="A36" s="131" t="s">
        <v>98</v>
      </c>
      <c r="B36" s="131"/>
      <c r="C36" s="131"/>
      <c r="D36" s="131"/>
      <c r="E36" s="131"/>
      <c r="F36" s="131"/>
      <c r="G36" s="131"/>
      <c r="H36" s="131"/>
      <c r="I36" s="131"/>
    </row>
    <row r="37" spans="1:9" x14ac:dyDescent="0.25">
      <c r="A37" s="131" t="s">
        <v>99</v>
      </c>
      <c r="B37" s="131"/>
      <c r="C37" s="131"/>
      <c r="D37" s="131"/>
      <c r="E37" s="131"/>
      <c r="F37" s="131"/>
      <c r="G37" s="131"/>
      <c r="H37" s="131"/>
      <c r="I37" s="131"/>
    </row>
  </sheetData>
  <mergeCells count="10">
    <mergeCell ref="A37:I37"/>
    <mergeCell ref="A34:I34"/>
    <mergeCell ref="A35:I35"/>
    <mergeCell ref="A36:I36"/>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5E6FF-4D28-4E28-8C3B-76CE331F8DA9}">
  <dimension ref="A1:I37"/>
  <sheetViews>
    <sheetView workbookViewId="0">
      <selection activeCell="G23" sqref="G23"/>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38" t="s">
        <v>142</v>
      </c>
      <c r="B1" s="138"/>
      <c r="C1" s="138"/>
      <c r="D1" s="138"/>
      <c r="E1" s="138"/>
      <c r="F1" s="138"/>
      <c r="G1" s="138"/>
      <c r="H1" s="138"/>
      <c r="I1" s="138"/>
    </row>
    <row r="2" spans="1:9" x14ac:dyDescent="0.25">
      <c r="F2" s="2">
        <f>Inputs!F6</f>
        <v>104.874</v>
      </c>
      <c r="G2" s="2">
        <f>Inputs!F7</f>
        <v>165.71099999999998</v>
      </c>
      <c r="H2" s="2">
        <f>Inputs!F8</f>
        <v>40.571999999999996</v>
      </c>
      <c r="I2" s="2"/>
    </row>
    <row r="3" spans="1:9" x14ac:dyDescent="0.25">
      <c r="A3" s="132" t="s">
        <v>37</v>
      </c>
      <c r="B3" s="3" t="s">
        <v>38</v>
      </c>
      <c r="C3" s="3" t="s">
        <v>39</v>
      </c>
      <c r="D3" s="3" t="s">
        <v>40</v>
      </c>
      <c r="E3" s="3" t="s">
        <v>41</v>
      </c>
      <c r="F3" s="4" t="s">
        <v>42</v>
      </c>
      <c r="G3" s="3" t="s">
        <v>43</v>
      </c>
      <c r="H3" s="3" t="s">
        <v>44</v>
      </c>
      <c r="I3" s="3" t="s">
        <v>45</v>
      </c>
    </row>
    <row r="4" spans="1:9" ht="63.75" x14ac:dyDescent="0.25">
      <c r="A4" s="133"/>
      <c r="B4" s="121" t="s">
        <v>46</v>
      </c>
      <c r="C4" s="121" t="s">
        <v>47</v>
      </c>
      <c r="D4" s="121" t="s">
        <v>48</v>
      </c>
      <c r="E4" s="121" t="s">
        <v>49</v>
      </c>
      <c r="F4" s="121" t="s">
        <v>50</v>
      </c>
      <c r="G4" s="121" t="s">
        <v>51</v>
      </c>
      <c r="H4" s="121" t="s">
        <v>52</v>
      </c>
      <c r="I4" s="121" t="s">
        <v>53</v>
      </c>
    </row>
    <row r="5" spans="1:9" x14ac:dyDescent="0.25">
      <c r="A5" s="5" t="s">
        <v>90</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91</v>
      </c>
      <c r="B8" s="6">
        <f>'Table 1a'!B8</f>
        <v>8</v>
      </c>
      <c r="C8" s="6">
        <v>1</v>
      </c>
      <c r="D8" s="6">
        <f>+B8*C8</f>
        <v>8</v>
      </c>
      <c r="E8" s="6">
        <f>Inputs!$B$26</f>
        <v>22</v>
      </c>
      <c r="F8" s="6">
        <f>+D8*E8</f>
        <v>176</v>
      </c>
      <c r="G8" s="6">
        <f>+F8*0.05</f>
        <v>8.8000000000000007</v>
      </c>
      <c r="H8" s="6">
        <f>+F8*0.1</f>
        <v>17.600000000000001</v>
      </c>
      <c r="I8" s="9">
        <f>+$F$2*F8+$G$2*G8+$H$2*H8</f>
        <v>20630.148000000001</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92</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Inputs!$B$26</f>
        <v>22</v>
      </c>
      <c r="F18" s="6">
        <f t="shared" ref="F18:F19" si="1">+D18*E18</f>
        <v>22</v>
      </c>
      <c r="G18" s="6">
        <f t="shared" ref="G18:G19" si="2">+F18*0.05</f>
        <v>1.1000000000000001</v>
      </c>
      <c r="H18" s="6">
        <f t="shared" ref="H18:H19" si="3">+F18*0.1</f>
        <v>2.2000000000000002</v>
      </c>
      <c r="I18" s="9">
        <f t="shared" ref="I18" si="4">+$F$2*F18+$G$2*G18+$H$2*H18</f>
        <v>2578.7685000000001</v>
      </c>
    </row>
    <row r="19" spans="1:9" x14ac:dyDescent="0.25">
      <c r="A19" s="10" t="s">
        <v>69</v>
      </c>
      <c r="B19" s="6">
        <v>1</v>
      </c>
      <c r="C19" s="6">
        <v>1</v>
      </c>
      <c r="D19" s="6">
        <f t="shared" si="0"/>
        <v>1</v>
      </c>
      <c r="E19" s="6">
        <f>Inputs!$B$26</f>
        <v>22</v>
      </c>
      <c r="F19" s="6">
        <f t="shared" si="1"/>
        <v>22</v>
      </c>
      <c r="G19" s="6">
        <f t="shared" si="2"/>
        <v>1.1000000000000001</v>
      </c>
      <c r="H19" s="6">
        <f t="shared" si="3"/>
        <v>2.2000000000000002</v>
      </c>
      <c r="I19" s="9">
        <f>+$F$2*F19+$G$2*G19+$H$2*H19</f>
        <v>2578.7685000000001</v>
      </c>
    </row>
    <row r="20" spans="1:9" ht="27" x14ac:dyDescent="0.25">
      <c r="A20" s="13" t="s">
        <v>70</v>
      </c>
      <c r="B20" s="121"/>
      <c r="C20" s="121"/>
      <c r="D20" s="6"/>
      <c r="E20" s="119"/>
      <c r="F20" s="134">
        <f>SUM(F5:H19)</f>
        <v>252.99999999999997</v>
      </c>
      <c r="G20" s="134"/>
      <c r="H20" s="134"/>
      <c r="I20" s="14">
        <f>SUM(I5:I19)</f>
        <v>25787.684999999998</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93</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4">
        <f>SUM(F21:H25)</f>
        <v>0</v>
      </c>
      <c r="G26" s="134"/>
      <c r="H26" s="134"/>
      <c r="I26" s="14">
        <f>SUM(I21:I25)</f>
        <v>0</v>
      </c>
    </row>
    <row r="27" spans="1:9" ht="28.5" x14ac:dyDescent="0.25">
      <c r="A27" s="15" t="s">
        <v>94</v>
      </c>
      <c r="B27" s="15"/>
      <c r="C27" s="15"/>
      <c r="D27" s="15"/>
      <c r="E27" s="15"/>
      <c r="F27" s="135">
        <f>ROUND(F20+F26,0)</f>
        <v>253</v>
      </c>
      <c r="G27" s="135"/>
      <c r="H27" s="135"/>
      <c r="I27" s="14">
        <f>ROUND(I20+I26,-2)</f>
        <v>25800</v>
      </c>
    </row>
    <row r="28" spans="1:9" ht="28.5" x14ac:dyDescent="0.25">
      <c r="A28" s="15" t="s">
        <v>95</v>
      </c>
      <c r="B28" s="15"/>
      <c r="C28" s="15"/>
      <c r="D28" s="15"/>
      <c r="E28" s="15"/>
      <c r="F28" s="120"/>
      <c r="G28" s="120"/>
      <c r="H28" s="120"/>
      <c r="I28" s="14">
        <v>0</v>
      </c>
    </row>
    <row r="29" spans="1:9" ht="15.75" x14ac:dyDescent="0.25">
      <c r="A29" s="15" t="s">
        <v>96</v>
      </c>
      <c r="B29" s="15"/>
      <c r="C29" s="15"/>
      <c r="D29" s="15"/>
      <c r="E29" s="15"/>
      <c r="F29" s="120"/>
      <c r="G29" s="120"/>
      <c r="H29" s="120"/>
      <c r="I29" s="14">
        <f>ROUND(I27+I28,-2)</f>
        <v>25800</v>
      </c>
    </row>
    <row r="31" spans="1:9" x14ac:dyDescent="0.25">
      <c r="A31" s="16" t="s">
        <v>80</v>
      </c>
    </row>
    <row r="32" spans="1:9" x14ac:dyDescent="0.25">
      <c r="A32" s="16"/>
    </row>
    <row r="33" spans="1:9" ht="29.25" customHeight="1" x14ac:dyDescent="0.25">
      <c r="A33" s="139" t="s">
        <v>81</v>
      </c>
      <c r="B33" s="139"/>
      <c r="C33" s="139"/>
      <c r="D33" s="139"/>
      <c r="E33" s="139"/>
      <c r="F33" s="139"/>
      <c r="G33" s="139"/>
      <c r="H33" s="139"/>
      <c r="I33" s="139"/>
    </row>
    <row r="34" spans="1:9" ht="32.25" customHeight="1" x14ac:dyDescent="0.25">
      <c r="A34" s="136" t="s">
        <v>97</v>
      </c>
      <c r="B34" s="136"/>
      <c r="C34" s="136"/>
      <c r="D34" s="136"/>
      <c r="E34" s="136"/>
      <c r="F34" s="136"/>
      <c r="G34" s="136"/>
      <c r="H34" s="136"/>
      <c r="I34" s="136"/>
    </row>
    <row r="35" spans="1:9" ht="87" customHeight="1" x14ac:dyDescent="0.25">
      <c r="A35" s="137" t="s">
        <v>83</v>
      </c>
      <c r="B35" s="137"/>
      <c r="C35" s="137"/>
      <c r="D35" s="137"/>
      <c r="E35" s="137"/>
      <c r="F35" s="137"/>
      <c r="G35" s="137"/>
      <c r="H35" s="137"/>
      <c r="I35" s="137"/>
    </row>
    <row r="36" spans="1:9" ht="15" customHeight="1" x14ac:dyDescent="0.25">
      <c r="A36" s="131" t="s">
        <v>98</v>
      </c>
      <c r="B36" s="131"/>
      <c r="C36" s="131"/>
      <c r="D36" s="131"/>
      <c r="E36" s="131"/>
      <c r="F36" s="131"/>
      <c r="G36" s="131"/>
      <c r="H36" s="131"/>
      <c r="I36" s="131"/>
    </row>
    <row r="37" spans="1:9" x14ac:dyDescent="0.25">
      <c r="A37" s="131" t="s">
        <v>99</v>
      </c>
      <c r="B37" s="131"/>
      <c r="C37" s="131"/>
      <c r="D37" s="131"/>
      <c r="E37" s="131"/>
      <c r="F37" s="131"/>
      <c r="G37" s="131"/>
      <c r="H37" s="131"/>
      <c r="I37" s="131"/>
    </row>
  </sheetData>
  <mergeCells count="10">
    <mergeCell ref="A34:I34"/>
    <mergeCell ref="A35:I35"/>
    <mergeCell ref="A36:I36"/>
    <mergeCell ref="A37:I37"/>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3969E-5A15-4954-B56C-6B7EC2927F35}">
  <dimension ref="A1:I37"/>
  <sheetViews>
    <sheetView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38" t="s">
        <v>141</v>
      </c>
      <c r="B1" s="138"/>
      <c r="C1" s="138"/>
      <c r="D1" s="138"/>
      <c r="E1" s="138"/>
      <c r="F1" s="138"/>
      <c r="G1" s="138"/>
      <c r="H1" s="138"/>
      <c r="I1" s="138"/>
    </row>
    <row r="2" spans="1:9" x14ac:dyDescent="0.25">
      <c r="F2" s="2">
        <f>Inputs!F6</f>
        <v>104.874</v>
      </c>
      <c r="G2" s="2">
        <f>Inputs!F7</f>
        <v>165.71099999999998</v>
      </c>
      <c r="H2" s="2">
        <f>Inputs!F8</f>
        <v>40.571999999999996</v>
      </c>
      <c r="I2" s="2"/>
    </row>
    <row r="3" spans="1:9" x14ac:dyDescent="0.25">
      <c r="A3" s="132" t="s">
        <v>37</v>
      </c>
      <c r="B3" s="3" t="s">
        <v>38</v>
      </c>
      <c r="C3" s="3" t="s">
        <v>39</v>
      </c>
      <c r="D3" s="3" t="s">
        <v>40</v>
      </c>
      <c r="E3" s="3" t="s">
        <v>41</v>
      </c>
      <c r="F3" s="4" t="s">
        <v>42</v>
      </c>
      <c r="G3" s="3" t="s">
        <v>43</v>
      </c>
      <c r="H3" s="3" t="s">
        <v>44</v>
      </c>
      <c r="I3" s="3" t="s">
        <v>45</v>
      </c>
    </row>
    <row r="4" spans="1:9" ht="63.75" x14ac:dyDescent="0.25">
      <c r="A4" s="133"/>
      <c r="B4" s="121" t="s">
        <v>46</v>
      </c>
      <c r="C4" s="121" t="s">
        <v>47</v>
      </c>
      <c r="D4" s="121" t="s">
        <v>48</v>
      </c>
      <c r="E4" s="121" t="s">
        <v>49</v>
      </c>
      <c r="F4" s="121" t="s">
        <v>50</v>
      </c>
      <c r="G4" s="121" t="s">
        <v>51</v>
      </c>
      <c r="H4" s="121" t="s">
        <v>52</v>
      </c>
      <c r="I4" s="121" t="s">
        <v>53</v>
      </c>
    </row>
    <row r="5" spans="1:9" x14ac:dyDescent="0.25">
      <c r="A5" s="5" t="s">
        <v>90</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91</v>
      </c>
      <c r="B8" s="6">
        <f>'Table 1a'!B8</f>
        <v>8</v>
      </c>
      <c r="C8" s="6">
        <v>1</v>
      </c>
      <c r="D8" s="6">
        <f>+B8*C8</f>
        <v>8</v>
      </c>
      <c r="E8" s="6">
        <f>Inputs!$B$27</f>
        <v>35</v>
      </c>
      <c r="F8" s="6">
        <f>+D8*E8</f>
        <v>280</v>
      </c>
      <c r="G8" s="6">
        <f>+F8*0.05</f>
        <v>14</v>
      </c>
      <c r="H8" s="6">
        <f>+F8*0.1</f>
        <v>28</v>
      </c>
      <c r="I8" s="9">
        <f>+$F$2*F8+$G$2*G8+$H$2*H8</f>
        <v>32820.69</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92</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Inputs!$B$27</f>
        <v>35</v>
      </c>
      <c r="F18" s="6">
        <f t="shared" ref="F18:F19" si="1">+D18*E18</f>
        <v>35</v>
      </c>
      <c r="G18" s="6">
        <f t="shared" ref="G18:G19" si="2">+F18*0.05</f>
        <v>1.75</v>
      </c>
      <c r="H18" s="6">
        <f>+F18*0.1</f>
        <v>3.5</v>
      </c>
      <c r="I18" s="9">
        <f t="shared" ref="I18:I19" si="3">+$F$2*F18+$G$2*G18+$H$2*H18</f>
        <v>4102.5862500000003</v>
      </c>
    </row>
    <row r="19" spans="1:9" x14ac:dyDescent="0.25">
      <c r="A19" s="10" t="s">
        <v>69</v>
      </c>
      <c r="B19" s="6">
        <v>1</v>
      </c>
      <c r="C19" s="6">
        <v>1</v>
      </c>
      <c r="D19" s="6">
        <f t="shared" si="0"/>
        <v>1</v>
      </c>
      <c r="E19" s="6">
        <f>Inputs!$B$27</f>
        <v>35</v>
      </c>
      <c r="F19" s="6">
        <f t="shared" si="1"/>
        <v>35</v>
      </c>
      <c r="G19" s="6">
        <f t="shared" si="2"/>
        <v>1.75</v>
      </c>
      <c r="H19" s="6">
        <f t="shared" ref="H19" si="4">+F19*0.1</f>
        <v>3.5</v>
      </c>
      <c r="I19" s="9">
        <f t="shared" si="3"/>
        <v>4102.5862500000003</v>
      </c>
    </row>
    <row r="20" spans="1:9" ht="27" x14ac:dyDescent="0.25">
      <c r="A20" s="13" t="s">
        <v>70</v>
      </c>
      <c r="B20" s="121"/>
      <c r="C20" s="121"/>
      <c r="D20" s="6"/>
      <c r="E20" s="119"/>
      <c r="F20" s="134">
        <f>SUM(F5:H19)</f>
        <v>402.5</v>
      </c>
      <c r="G20" s="134"/>
      <c r="H20" s="134"/>
      <c r="I20" s="14">
        <f>SUM(I5:I19)</f>
        <v>41025.862500000003</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93</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4">
        <f>SUM(F21:H25)</f>
        <v>0</v>
      </c>
      <c r="G26" s="134"/>
      <c r="H26" s="134"/>
      <c r="I26" s="14">
        <f>SUM(I21:I25)</f>
        <v>0</v>
      </c>
    </row>
    <row r="27" spans="1:9" ht="28.5" x14ac:dyDescent="0.25">
      <c r="A27" s="15" t="s">
        <v>94</v>
      </c>
      <c r="B27" s="15"/>
      <c r="C27" s="15"/>
      <c r="D27" s="15"/>
      <c r="E27" s="15"/>
      <c r="F27" s="135">
        <f>ROUND(F20+F26,0)</f>
        <v>403</v>
      </c>
      <c r="G27" s="135"/>
      <c r="H27" s="135"/>
      <c r="I27" s="14">
        <f>ROUND(I20+I26,-2)</f>
        <v>41000</v>
      </c>
    </row>
    <row r="28" spans="1:9" ht="28.5" x14ac:dyDescent="0.25">
      <c r="A28" s="15" t="s">
        <v>95</v>
      </c>
      <c r="B28" s="15"/>
      <c r="C28" s="15"/>
      <c r="D28" s="15"/>
      <c r="E28" s="15"/>
      <c r="F28" s="120"/>
      <c r="G28" s="120"/>
      <c r="H28" s="120"/>
      <c r="I28" s="14">
        <v>0</v>
      </c>
    </row>
    <row r="29" spans="1:9" ht="15.75" x14ac:dyDescent="0.25">
      <c r="A29" s="15" t="s">
        <v>96</v>
      </c>
      <c r="B29" s="15"/>
      <c r="C29" s="15"/>
      <c r="D29" s="15"/>
      <c r="E29" s="15"/>
      <c r="F29" s="120"/>
      <c r="G29" s="120"/>
      <c r="H29" s="120"/>
      <c r="I29" s="14">
        <f>ROUND(I27+I28,-2)</f>
        <v>41000</v>
      </c>
    </row>
    <row r="31" spans="1:9" x14ac:dyDescent="0.25">
      <c r="A31" s="16" t="s">
        <v>80</v>
      </c>
    </row>
    <row r="32" spans="1:9" x14ac:dyDescent="0.25">
      <c r="A32" s="16"/>
    </row>
    <row r="33" spans="1:9" ht="29.25" customHeight="1" x14ac:dyDescent="0.25">
      <c r="A33" s="139" t="s">
        <v>81</v>
      </c>
      <c r="B33" s="139"/>
      <c r="C33" s="139"/>
      <c r="D33" s="139"/>
      <c r="E33" s="139"/>
      <c r="F33" s="139"/>
      <c r="G33" s="139"/>
      <c r="H33" s="139"/>
      <c r="I33" s="139"/>
    </row>
    <row r="34" spans="1:9" ht="32.25" customHeight="1" x14ac:dyDescent="0.25">
      <c r="A34" s="136" t="s">
        <v>88</v>
      </c>
      <c r="B34" s="136"/>
      <c r="C34" s="136"/>
      <c r="D34" s="136"/>
      <c r="E34" s="136"/>
      <c r="F34" s="136"/>
      <c r="G34" s="136"/>
      <c r="H34" s="136"/>
      <c r="I34" s="136"/>
    </row>
    <row r="35" spans="1:9" ht="87" customHeight="1" x14ac:dyDescent="0.25">
      <c r="A35" s="137" t="s">
        <v>83</v>
      </c>
      <c r="B35" s="137"/>
      <c r="C35" s="137"/>
      <c r="D35" s="137"/>
      <c r="E35" s="137"/>
      <c r="F35" s="137"/>
      <c r="G35" s="137"/>
      <c r="H35" s="137"/>
      <c r="I35" s="137"/>
    </row>
    <row r="36" spans="1:9" ht="15" customHeight="1" x14ac:dyDescent="0.25">
      <c r="A36" s="131" t="s">
        <v>98</v>
      </c>
      <c r="B36" s="131"/>
      <c r="C36" s="131"/>
      <c r="D36" s="131"/>
      <c r="E36" s="131"/>
      <c r="F36" s="131"/>
      <c r="G36" s="131"/>
      <c r="H36" s="131"/>
      <c r="I36" s="131"/>
    </row>
    <row r="37" spans="1:9" x14ac:dyDescent="0.25">
      <c r="A37" s="131" t="s">
        <v>99</v>
      </c>
      <c r="B37" s="131"/>
      <c r="C37" s="131"/>
      <c r="D37" s="131"/>
      <c r="E37" s="131"/>
      <c r="F37" s="131"/>
      <c r="G37" s="131"/>
      <c r="H37" s="131"/>
      <c r="I37" s="131"/>
    </row>
  </sheetData>
  <mergeCells count="10">
    <mergeCell ref="A34:I34"/>
    <mergeCell ref="A35:I35"/>
    <mergeCell ref="A36:I36"/>
    <mergeCell ref="A37:I37"/>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C31D2-8EA9-417A-AC0E-9215685FB37B}">
  <dimension ref="A1:E10"/>
  <sheetViews>
    <sheetView workbookViewId="0">
      <selection activeCell="C5" sqref="C5"/>
    </sheetView>
  </sheetViews>
  <sheetFormatPr defaultRowHeight="15" x14ac:dyDescent="0.25"/>
  <cols>
    <col min="1" max="1" width="18.42578125" customWidth="1"/>
    <col min="2" max="2" width="21.85546875" customWidth="1"/>
    <col min="3" max="3" width="26" customWidth="1"/>
    <col min="4" max="4" width="22.42578125" customWidth="1"/>
    <col min="5" max="5" width="22.28515625" customWidth="1"/>
    <col min="6" max="6" width="15.85546875" customWidth="1"/>
    <col min="7" max="7" width="29.7109375" customWidth="1"/>
    <col min="8" max="8" width="20.5703125" customWidth="1"/>
  </cols>
  <sheetData>
    <row r="1" spans="1:5" ht="15.75" x14ac:dyDescent="0.25">
      <c r="A1" s="32" t="s">
        <v>140</v>
      </c>
    </row>
    <row r="2" spans="1:5" ht="15.75" x14ac:dyDescent="0.25">
      <c r="A2" s="33"/>
    </row>
    <row r="3" spans="1:5" ht="39" x14ac:dyDescent="0.25">
      <c r="A3" s="34" t="s">
        <v>100</v>
      </c>
      <c r="B3" s="36" t="s">
        <v>101</v>
      </c>
      <c r="C3" s="36" t="s">
        <v>102</v>
      </c>
      <c r="D3" s="37" t="s">
        <v>103</v>
      </c>
      <c r="E3" s="36" t="s">
        <v>104</v>
      </c>
    </row>
    <row r="4" spans="1:5" x14ac:dyDescent="0.25">
      <c r="A4" s="35">
        <v>1</v>
      </c>
      <c r="B4" s="38">
        <f>SUM('Table 1a'!F20,'Table 1a'!F26,'Table 1b'!F20,'Table 1b'!F26)</f>
        <v>1638.75</v>
      </c>
      <c r="C4" s="39">
        <f>SUM('Table 1a'!I20,'Table 1a'!I26,'Table 1b'!I20,'Table 1b'!I26)</f>
        <v>167033.86874999999</v>
      </c>
      <c r="D4" s="39">
        <v>0</v>
      </c>
      <c r="E4" s="39">
        <f>C4+D4</f>
        <v>167033.86874999999</v>
      </c>
    </row>
    <row r="5" spans="1:5" x14ac:dyDescent="0.25">
      <c r="A5" s="35">
        <v>2</v>
      </c>
      <c r="B5" s="38">
        <f>SUM('Table 2a'!F20,'Table 2a'!F26,'Table 2b'!F20,'Table 2b'!F26)</f>
        <v>655.5</v>
      </c>
      <c r="C5" s="39">
        <f>SUM('Table 2a'!I20,'Table 2a'!I26,'Table 2b'!I20,'Table 2b'!I26)</f>
        <v>66813.547500000001</v>
      </c>
      <c r="D5" s="39">
        <v>0</v>
      </c>
      <c r="E5" s="39">
        <f>SUM(C5:D5)</f>
        <v>66813.547500000001</v>
      </c>
    </row>
    <row r="6" spans="1:5" x14ac:dyDescent="0.25">
      <c r="A6" s="35">
        <v>3</v>
      </c>
      <c r="B6" s="38">
        <f>SUM('Table 3a'!F20,'Table 3a'!F26,'Table 3b'!F20,'Table 3b'!F26)</f>
        <v>655.5</v>
      </c>
      <c r="C6" s="39">
        <f>SUM('Table 3a'!I20,'Table 3a'!I26,'Table 3b'!I20,'Table 3b'!I26)</f>
        <v>66813.547500000001</v>
      </c>
      <c r="D6" s="39">
        <v>0</v>
      </c>
      <c r="E6" s="39">
        <f>SUM(C6:D6)</f>
        <v>66813.547500000001</v>
      </c>
    </row>
    <row r="7" spans="1:5" x14ac:dyDescent="0.25">
      <c r="A7" s="34" t="s">
        <v>105</v>
      </c>
      <c r="B7" s="43">
        <f>ROUND(SUM(B4:B6),-1)</f>
        <v>2950</v>
      </c>
      <c r="C7" s="44">
        <f>ROUND(SUM(C4:C6),-3)</f>
        <v>301000</v>
      </c>
      <c r="D7" s="44">
        <f>ROUND(SUM(D4:D6),0)</f>
        <v>0</v>
      </c>
      <c r="E7" s="41">
        <f>ROUND(SUM(E4:E6),-3)</f>
        <v>301000</v>
      </c>
    </row>
    <row r="8" spans="1:5" x14ac:dyDescent="0.25">
      <c r="A8" s="34" t="s">
        <v>106</v>
      </c>
      <c r="B8" s="40">
        <f>ROUND(AVERAGE(B4:B6),-1)</f>
        <v>980</v>
      </c>
      <c r="C8" s="41">
        <f>ROUND(AVERAGE(C4:C6),-3)</f>
        <v>100000</v>
      </c>
      <c r="D8" s="41">
        <f>ROUND(AVERAGE(D4:D6),0)</f>
        <v>0</v>
      </c>
      <c r="E8" s="41">
        <f>ROUND(AVERAGE(E4:E6),-3)</f>
        <v>100000</v>
      </c>
    </row>
    <row r="10" spans="1:5" x14ac:dyDescent="0.25">
      <c r="D10" s="42"/>
      <c r="E10" s="4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LastSyncTimeStamp="2016-08-25T00:16:07.24Z"/>
</file>

<file path=customXml/item2.xml><?xml version="1.0" encoding="utf-8"?>
<ct:contentTypeSchema xmlns:ct="http://schemas.microsoft.com/office/2006/metadata/contentType" xmlns:ma="http://schemas.microsoft.com/office/2006/metadata/properties/metaAttributes" ct:_="" ma:_="" ma:contentTypeName="Document" ma:contentTypeID="0x01010072CA672D8D94254FADDAEF98B91C497A" ma:contentTypeVersion="52" ma:contentTypeDescription="Create a new document." ma:contentTypeScope="" ma:versionID="ddce83a1123e3f805a168e7356f0a747">
  <xsd:schema xmlns:xsd="http://www.w3.org/2001/XMLSchema" xmlns:xs="http://www.w3.org/2001/XMLSchema" xmlns:p="http://schemas.microsoft.com/office/2006/metadata/properties" xmlns:ns1="http://schemas.microsoft.com/sharepoint/v3" xmlns:ns2="4ffa91fb-a0ff-4ac5-b2db-65c790d184a4" xmlns:ns3="3541802f-c9a7-4423-ad70-861189f520b0" xmlns:ns4="8cbedb01-7036-4fa4-9d83-78abe0166c2f" targetNamespace="http://schemas.microsoft.com/office/2006/metadata/properties" ma:root="true" ma:fieldsID="208e3e8c8670a5f7f6fc510f3ffac5d1" ns1:_="" ns2:_="" ns3:_="" ns4:_="">
    <xsd:import namespace="http://schemas.microsoft.com/sharepoint/v3"/>
    <xsd:import namespace="4ffa91fb-a0ff-4ac5-b2db-65c790d184a4"/>
    <xsd:import namespace="3541802f-c9a7-4423-ad70-861189f520b0"/>
    <xsd:import namespace="8cbedb01-7036-4fa4-9d83-78abe0166c2f"/>
    <xsd:element name="properties">
      <xsd:complexType>
        <xsd:sequence>
          <xsd:element name="documentManagement">
            <xsd:complexType>
              <xsd:all>
                <xsd:element ref="ns2:Document_x0020_Creation_x0020_Date" minOccurs="0"/>
                <xsd:element ref="ns2:TaxCatchAllLabel" minOccurs="0"/>
                <xsd:element ref="ns2:TaxCatchAll" minOccurs="0"/>
                <xsd:element ref="ns3:Package_x0020_Type" minOccurs="0"/>
                <xsd:element ref="ns3:Group" minOccurs="0"/>
                <xsd:element ref="ns3:Lead" minOccurs="0"/>
                <xsd:element ref="ns3:MediaServiceMetadata" minOccurs="0"/>
                <xsd:element ref="ns3:MediaServiceFastMetadata" minOccurs="0"/>
                <xsd:element ref="ns3:Action_x0020_Type" minOccurs="0"/>
                <xsd:element ref="ns3:SPPDPhase" minOccurs="0"/>
                <xsd:element ref="ns3:ProjectID" minOccurs="0"/>
                <xsd:element ref="ns4:SharedWithUsers" minOccurs="0"/>
                <xsd:element ref="ns4:SharedWithDetails" minOccurs="0"/>
                <xsd:element ref="ns1:DocumentSetDescription" minOccurs="0"/>
                <xsd:element ref="ns3:Review_x0020_Type" minOccurs="0"/>
                <xsd:element ref="ns3:Signature_x0020_Date" minOccurs="0"/>
                <xsd:element ref="ns3:Court_x0020_Order" minOccurs="0"/>
                <xsd:element ref="ns3:MediaServiceObjectDetectorVersions" minOccurs="0"/>
                <xsd:element ref="ns3:AlternateLea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1" nillable="true" ma:displayName="Description" ma:description="A short description of the action being reviewed."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TaxCatchAllLabel" ma:index="9" nillable="true" ma:displayName="Taxonomy Catch All Column1" ma:hidden="true" ma:list="{7056f0a4-3cfe-45f7-9d52-1f31398461bf}" ma:internalName="TaxCatchAllLabel" ma:readOnly="true" ma:showField="CatchAllDataLabel" ma:web="8cbedb01-7036-4fa4-9d83-78abe0166c2f">
      <xsd:complexType>
        <xsd:complexContent>
          <xsd:extension base="dms:MultiChoiceLookup">
            <xsd:sequence>
              <xsd:element name="Value" type="dms:Lookup" maxOccurs="unbounded" minOccurs="0" nillable="true"/>
            </xsd:sequence>
          </xsd:extension>
        </xsd:complexContent>
      </xsd:complexType>
    </xsd:element>
    <xsd:element name="TaxCatchAll" ma:index="10" nillable="true" ma:displayName="Taxonomy Catch All Column" ma:hidden="true" ma:list="{7056f0a4-3cfe-45f7-9d52-1f31398461bf}" ma:internalName="TaxCatchAll" ma:showField="CatchAllData" ma:web="8cbedb01-7036-4fa4-9d83-78abe0166c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41802f-c9a7-4423-ad70-861189f520b0" elementFormDefault="qualified">
    <xsd:import namespace="http://schemas.microsoft.com/office/2006/documentManagement/types"/>
    <xsd:import namespace="http://schemas.microsoft.com/office/infopath/2007/PartnerControls"/>
    <xsd:element name="Package_x0020_Type" ma:index="11" nillable="true" ma:displayName="Package Type" ma:default="OMB" ma:description="Select the type of package (OMB, Signature, or Notice)" ma:format="Dropdown" ma:internalName="Package_x0020_Type">
      <xsd:simpleType>
        <xsd:restriction base="dms:Choice">
          <xsd:enumeration value="OMB"/>
          <xsd:enumeration value="Signature Package"/>
          <xsd:enumeration value="Notice"/>
        </xsd:restriction>
      </xsd:simpleType>
    </xsd:element>
    <xsd:element name="Group" ma:index="12" nillable="true" ma:displayName="Group" ma:default="TDST" ma:description="Select responsible SPPD Group from dropdown list." ma:format="Dropdown" ma:internalName="Group">
      <xsd:simpleType>
        <xsd:restriction base="dms:Choice">
          <xsd:enumeration value="ESG"/>
          <xsd:enumeration value="FIG"/>
          <xsd:enumeration value="MICG"/>
          <xsd:enumeration value="MMG"/>
          <xsd:enumeration value="MPG"/>
          <xsd:enumeration value="NRG"/>
          <xsd:enumeration value="PSG"/>
          <xsd:enumeration value="RCG"/>
          <xsd:enumeration value="SPPD/IO"/>
          <xsd:enumeration value="TDST"/>
          <xsd:enumeration value="Other"/>
        </xsd:restriction>
      </xsd:simpleType>
    </xsd:element>
    <xsd:element name="Lead" ma:index="13" nillable="true" ma:displayName="Lead" ma:description="Primary project lead (one lead only)" ma:list="UserInfo" ma:SharePointGroup="0" ma:internalName="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Action_x0020_Type" ma:index="16" nillable="true" ma:displayName="Action Type" ma:default="ANPR" ma:description="Select the type of action, ANPR, Proposal, Final, Exceptional Issue, or Other." ma:format="Dropdown" ma:internalName="Action_x0020_Type">
      <xsd:simpleType>
        <xsd:restriction base="dms:Choice">
          <xsd:enumeration value="ANPR"/>
          <xsd:enumeration value="Proposal"/>
          <xsd:enumeration value="Final"/>
          <xsd:enumeration value="Exceptional Issue"/>
          <xsd:enumeration value="Other"/>
        </xsd:restriction>
      </xsd:simpleType>
    </xsd:element>
    <xsd:element name="SPPDPhase" ma:index="17" nillable="true" ma:displayName="SPPDPhase" ma:default="0- New" ma:description="Review phase for SPPD rules, assignment of the phase is done through the Blue Folder routing system." ma:format="Dropdown" ma:internalName="SPPDPhase">
      <xsd:simpleType>
        <xsd:restriction base="dms:Choice">
          <xsd:enumeration value="0- New"/>
          <xsd:enumeration value="1- Group Review"/>
          <xsd:enumeration value="2- Consistency Review"/>
          <xsd:enumeration value="3- Admin Review"/>
          <xsd:enumeration value="4- RL Review"/>
          <xsd:enumeration value="5- Secondary Review"/>
          <xsd:enumeration value="6- SPPD Management Review"/>
          <xsd:enumeration value="7- OAQPS Management Review"/>
          <xsd:enumeration value="8- Out of eBF (OAR/OP/OMB)"/>
          <xsd:enumeration value="9- Archive"/>
        </xsd:restriction>
      </xsd:simpleType>
    </xsd:element>
    <xsd:element name="ProjectID" ma:index="18" nillable="true" ma:displayName="ProjectID" ma:description="Unique identifier for the rule/project" ma:internalName="ProjectID">
      <xsd:simpleType>
        <xsd:restriction base="dms:Text">
          <xsd:maxLength value="255"/>
        </xsd:restriction>
      </xsd:simpleType>
    </xsd:element>
    <xsd:element name="Review_x0020_Type" ma:index="22" nillable="true" ma:displayName="Review Type" ma:default="112-TR" ma:description="Select the rule review type that best describes your action. (112 = NESHAP; 111 = NSPS; 129 = Waste Incineration Rules; 183e = VOC Rules; TR = technology review; RTR = Residual Risk and Technology Review)" ma:format="Dropdown" ma:internalName="Review_x0020_Type">
      <xsd:simpleType>
        <xsd:restriction base="dms:Choice">
          <xsd:enumeration value="112-TR"/>
          <xsd:enumeration value="112-RTR"/>
          <xsd:enumeration value="111"/>
          <xsd:enumeration value="129-TR"/>
          <xsd:enumeration value="129-RTR"/>
          <xsd:enumeration value="183e"/>
          <xsd:enumeration value="Other/Multiple"/>
        </xsd:restriction>
      </xsd:simpleType>
    </xsd:element>
    <xsd:element name="Signature_x0020_Date" ma:index="23" nillable="true" ma:displayName="Due Date" ma:description="Court ordered or desired signature date, for OMB packages this is the date the package should be sent to OMB." ma:format="DateOnly" ma:internalName="Signature_x0020_Date">
      <xsd:simpleType>
        <xsd:restriction base="dms:DateTime"/>
      </xsd:simpleType>
    </xsd:element>
    <xsd:element name="Court_x0020_Order" ma:index="24" nillable="true" ma:displayName="Court Order" ma:default="1" ma:description="Does the package have a court ordered signature deadline?" ma:internalName="Court_x0020_Order">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lternateLead" ma:index="26" nillable="true" ma:displayName="AlternateLead" ma:description="Please enter a secondary rule lead/alternate contact for the rule making in case the rule lead is absent. (GL is already cc'ed)" ma:list="UserInfo" ma:SharePointGroup="0" ma:internalName="AlternateLea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bedb01-7036-4fa4-9d83-78abe0166c2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_x0020_Creation_x0020_Date xmlns="4ffa91fb-a0ff-4ac5-b2db-65c790d184a4">2024-09-20T17:08:34+00:00</Document_x0020_Creation_x0020_Date>
    <TaxCatchAll xmlns="4ffa91fb-a0ff-4ac5-b2db-65c790d184a4" xsi:nil="true"/>
    <ProjectID xmlns="3541802f-c9a7-4423-ad70-861189f520b0" xsi:nil="true"/>
    <Action_x0020_Type xmlns="3541802f-c9a7-4423-ad70-861189f520b0">Final</Action_x0020_Type>
    <Lead xmlns="3541802f-c9a7-4423-ad70-861189f520b0">
      <UserInfo>
        <DisplayName>Cope, Noel</DisplayName>
        <AccountId>43</AccountId>
        <AccountType/>
      </UserInfo>
    </Lead>
    <AlternateLead xmlns="3541802f-c9a7-4423-ad70-861189f520b0">
      <UserInfo>
        <DisplayName/>
        <AccountId xsi:nil="true"/>
        <AccountType/>
      </UserInfo>
    </AlternateLead>
    <Review_x0020_Type xmlns="3541802f-c9a7-4423-ad70-861189f520b0">129-TR</Review_x0020_Type>
    <Court_x0020_Order xmlns="3541802f-c9a7-4423-ad70-861189f520b0">true</Court_x0020_Order>
    <DocumentSetDescription xmlns="http://schemas.microsoft.com/sharepoint/v3">Large municipal waste combustor final rule.</DocumentSetDescription>
    <Package_x0020_Type xmlns="3541802f-c9a7-4423-ad70-861189f520b0">OMB</Package_x0020_Type>
    <Group xmlns="3541802f-c9a7-4423-ad70-861189f520b0">FIG</Group>
    <SPPDPhase xmlns="3541802f-c9a7-4423-ad70-861189f520b0">8- Out of eBF (OAR/OP/OMB)</SPPDPhase>
    <Signature_x0020_Date xmlns="3541802f-c9a7-4423-ad70-861189f520b0">2024-09-24T07:00:00+00:00</Signature_x0020_Date>
    <SharedWithUsers xmlns="8cbedb01-7036-4fa4-9d83-78abe0166c2f">
      <UserInfo>
        <DisplayName/>
        <AccountId xsi:nil="true"/>
        <AccountType/>
      </UserInfo>
    </SharedWithUsers>
  </documentManagement>
</p:properties>
</file>

<file path=customXml/itemProps1.xml><?xml version="1.0" encoding="utf-8"?>
<ds:datastoreItem xmlns:ds="http://schemas.openxmlformats.org/officeDocument/2006/customXml" ds:itemID="{83259D63-C0C1-46AA-B598-2DD6E75EF2C3}"/>
</file>

<file path=customXml/itemProps2.xml><?xml version="1.0" encoding="utf-8"?>
<ds:datastoreItem xmlns:ds="http://schemas.openxmlformats.org/officeDocument/2006/customXml" ds:itemID="{5C01156C-753A-4A8C-87CE-5873134CD6AC}"/>
</file>

<file path=customXml/itemProps3.xml><?xml version="1.0" encoding="utf-8"?>
<ds:datastoreItem xmlns:ds="http://schemas.openxmlformats.org/officeDocument/2006/customXml" ds:itemID="{6A8E89AE-B1F4-48F9-9507-83CEFB542033}">
  <ds:schemaRefs>
    <ds:schemaRef ds:uri="http://schemas.microsoft.com/sharepoint/v3/contenttype/forms"/>
  </ds:schemaRefs>
</ds:datastoreItem>
</file>

<file path=customXml/itemProps4.xml><?xml version="1.0" encoding="utf-8"?>
<ds:datastoreItem xmlns:ds="http://schemas.openxmlformats.org/officeDocument/2006/customXml" ds:itemID="{CB3F7F7C-E30B-4677-BCDF-B573F91742C8}">
  <ds:schemaRefs>
    <ds:schemaRef ds:uri="http://schemas.microsoft.com/sharepoint/v3/fields"/>
    <ds:schemaRef ds:uri="http://purl.org/dc/elements/1.1/"/>
    <ds:schemaRef ds:uri="d0b98cc0-20b7-4fcb-9123-15ba73072f7f"/>
    <ds:schemaRef ds:uri="http://purl.org/dc/dcmitype/"/>
    <ds:schemaRef ds:uri="http://schemas.microsoft.com/office/2006/metadata/properties"/>
    <ds:schemaRef ds:uri="http://schemas.microsoft.com/office/infopath/2007/PartnerControls"/>
    <ds:schemaRef ds:uri="b965ac1b-1a81-4327-b0b8-e2627db3efae"/>
    <ds:schemaRef ds:uri="http://schemas.microsoft.com/sharepoint.v3"/>
    <ds:schemaRef ds:uri="http://purl.org/dc/terms/"/>
    <ds:schemaRef ds:uri="4ffa91fb-a0ff-4ac5-b2db-65c790d184a4"/>
    <ds:schemaRef ds:uri="http://schemas.microsoft.com/office/2006/documentManagement/types"/>
    <ds:schemaRef ds:uri="http://schemas.openxmlformats.org/package/2006/metadata/core-propertie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Inputs</vt:lpstr>
      <vt:lpstr>Table 1a</vt:lpstr>
      <vt:lpstr>Table 1b</vt:lpstr>
      <vt:lpstr>Table 2a</vt:lpstr>
      <vt:lpstr>Table 2b</vt:lpstr>
      <vt:lpstr>Table 3a</vt:lpstr>
      <vt:lpstr>Table 3b</vt:lpstr>
      <vt:lpstr>Table 4</vt:lpstr>
      <vt:lpstr>Table 5</vt:lpstr>
      <vt:lpstr>Table 6 </vt:lpstr>
      <vt:lpstr>Table 7</vt:lpstr>
      <vt:lpstr>Table 8</vt:lpstr>
      <vt:lpstr>Table 9</vt:lpstr>
      <vt:lpstr>Table 10</vt:lpstr>
      <vt:lpstr>Table 11</vt:lpstr>
      <vt:lpstr>Table 12</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Stacie Enoch</dc:creator>
  <cp:keywords/>
  <dc:description/>
  <cp:lastModifiedBy>ERG</cp:lastModifiedBy>
  <cp:revision/>
  <dcterms:created xsi:type="dcterms:W3CDTF">2015-06-05T18:17:20Z</dcterms:created>
  <dcterms:modified xsi:type="dcterms:W3CDTF">2024-09-24T13:51:09Z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0x01010072CA672D8D94254FADDAEF98B91C497A</vt:lpwstr>
  </property>
  <property fmtid="{D5CDD505-2E9C-101B-9397-08002B2CF9AE}" pid="3" name="TaxKeyword">
    <vt:lpwstr/>
  </property>
  <property fmtid="{D5CDD505-2E9C-101B-9397-08002B2CF9AE}" pid="4" name="Document Type">
    <vt:lpwstr/>
  </property>
  <property fmtid="{D5CDD505-2E9C-101B-9397-08002B2CF9AE}" pid="5" name="e3f09c3df709400db2417a7161762d62">
    <vt:lpwstr/>
  </property>
  <property fmtid="{D5CDD505-2E9C-101B-9397-08002B2CF9AE}" pid="6" name="EPA_x0020_Subject">
    <vt:lpwstr/>
  </property>
  <property fmtid="{D5CDD505-2E9C-101B-9397-08002B2CF9AE}" pid="7" name="EPA Subject">
    <vt:lpwstr/>
  </property>
  <property fmtid="{D5CDD505-2E9C-101B-9397-08002B2CF9AE}" pid="8" name="Record">
    <vt:lpwstr>Shared</vt:lpwstr>
  </property>
  <property fmtid="{D5CDD505-2E9C-101B-9397-08002B2CF9AE}" pid="9" name="Order">
    <vt:r8>101800</vt:r8>
  </property>
  <property fmtid="{D5CDD505-2E9C-101B-9397-08002B2CF9AE}" pid="10" name="xd_Signature">
    <vt:bool>false</vt:bool>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TemplateUrl">
    <vt:lpwstr/>
  </property>
  <property fmtid="{D5CDD505-2E9C-101B-9397-08002B2CF9AE}" pid="16" name="TriggerFlowInfo">
    <vt:lpwstr/>
  </property>
  <property fmtid="{D5CDD505-2E9C-101B-9397-08002B2CF9AE}" pid="17" name="Language">
    <vt:lpwstr>English</vt:lpwstr>
  </property>
</Properties>
</file>