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- COMP/"/>
    </mc:Choice>
  </mc:AlternateContent>
  <xr:revisionPtr revIDLastSave="0" documentId="8_{BE218BBC-D117-4A93-81A4-3F69B0676336}" xr6:coauthVersionLast="47" xr6:coauthVersionMax="47" xr10:uidLastSave="{00000000-0000-0000-0000-000000000000}"/>
  <bookViews>
    <workbookView xWindow="6420" yWindow="4455" windowWidth="19410" windowHeight="10935" tabRatio="792" activeTab="4" xr2:uid="{C34AE246-E70B-45A1-AB90-DE71D05F720B}"/>
  </bookViews>
  <sheets>
    <sheet name="Reporting Activity" sheetId="6" r:id="rId1"/>
    <sheet name="Respondent Assumptions" sheetId="4" r:id="rId2"/>
    <sheet name="Respondent Burden - ICR" sheetId="1" r:id="rId3"/>
    <sheet name="Incremental Costs" sheetId="7" r:id="rId4"/>
    <sheet name="Summary" sheetId="8" r:id="rId5"/>
    <sheet name="Agency Assumptions" sheetId="5" r:id="rId6"/>
    <sheet name="Agency Burden" sheetId="2" r:id="rId7"/>
  </sheets>
  <externalReferences>
    <externalReference r:id="rId8"/>
  </externalReferences>
  <definedNames>
    <definedName name="_xlnm._FilterDatabase" localSheetId="1" hidden="1">'Respondent Assumptions'!$B$4:$H$68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" i="1" l="1"/>
  <c r="AD18" i="1"/>
  <c r="AE18" i="1"/>
  <c r="AC18" i="1"/>
  <c r="AF25" i="1"/>
  <c r="AE25" i="1"/>
  <c r="AD25" i="1"/>
  <c r="AC25" i="1"/>
  <c r="AE24" i="1"/>
  <c r="AD24" i="1"/>
  <c r="AC24" i="1"/>
  <c r="AE23" i="1"/>
  <c r="AD23" i="1"/>
  <c r="AC23" i="1"/>
  <c r="AD10" i="1"/>
  <c r="AC9" i="1"/>
  <c r="A12" i="7"/>
  <c r="A11" i="7"/>
  <c r="AF24" i="1" l="1"/>
  <c r="AF23" i="1"/>
  <c r="F21" i="6"/>
  <c r="I67" i="1" l="1"/>
  <c r="H64" i="1"/>
  <c r="H65" i="1"/>
  <c r="H66" i="1"/>
  <c r="H67" i="1"/>
  <c r="Q5" i="4"/>
  <c r="B74" i="1"/>
  <c r="B73" i="1"/>
  <c r="F17" i="2"/>
  <c r="W17" i="2" s="1"/>
  <c r="W18" i="2" s="1"/>
  <c r="C17" i="2"/>
  <c r="D17" i="2"/>
  <c r="E17" i="2"/>
  <c r="G17" i="2"/>
  <c r="H17" i="2"/>
  <c r="I17" i="2"/>
  <c r="B17" i="2"/>
  <c r="Y17" i="2" l="1"/>
  <c r="Y18" i="2" s="1"/>
  <c r="X17" i="2"/>
  <c r="X18" i="2" s="1"/>
  <c r="J17" i="2"/>
  <c r="J18" i="2" s="1"/>
  <c r="L17" i="2"/>
  <c r="L18" i="2" s="1"/>
  <c r="K17" i="2"/>
  <c r="K18" i="2" s="1"/>
  <c r="C12" i="1" l="1"/>
  <c r="L5" i="7" l="1"/>
  <c r="M5" i="7"/>
  <c r="N5" i="7"/>
  <c r="O5" i="7"/>
  <c r="P5" i="7"/>
  <c r="Q5" i="7"/>
  <c r="U5" i="7"/>
  <c r="J5" i="7"/>
  <c r="K5" i="7"/>
  <c r="I5" i="7"/>
  <c r="I4" i="7"/>
  <c r="F5" i="7"/>
  <c r="G5" i="7"/>
  <c r="R5" i="7" s="1"/>
  <c r="D5" i="7"/>
  <c r="E5" i="7"/>
  <c r="C5" i="7"/>
  <c r="B5" i="7"/>
  <c r="N25" i="1"/>
  <c r="L25" i="1"/>
  <c r="K25" i="1"/>
  <c r="J25" i="1"/>
  <c r="H25" i="1"/>
  <c r="U25" i="1" s="1"/>
  <c r="F25" i="1"/>
  <c r="E25" i="1"/>
  <c r="D25" i="1"/>
  <c r="G25" i="1" s="1"/>
  <c r="C25" i="1"/>
  <c r="L25" i="4"/>
  <c r="M25" i="4"/>
  <c r="N25" i="4"/>
  <c r="K64" i="4"/>
  <c r="K65" i="4"/>
  <c r="K66" i="4"/>
  <c r="K67" i="4"/>
  <c r="K22" i="4"/>
  <c r="K23" i="4"/>
  <c r="K24" i="4"/>
  <c r="K25" i="4"/>
  <c r="V5" i="7" l="1"/>
  <c r="V8" i="7" s="1"/>
  <c r="C27" i="8" s="1"/>
  <c r="C26" i="8" s="1"/>
  <c r="S5" i="7"/>
  <c r="W5" i="7" s="1"/>
  <c r="T5" i="7"/>
  <c r="X5" i="7" s="1"/>
  <c r="R25" i="1"/>
  <c r="Q25" i="1"/>
  <c r="P25" i="1"/>
  <c r="S25" i="1"/>
  <c r="T25" i="1"/>
  <c r="X25" i="1" s="1"/>
  <c r="M25" i="1"/>
  <c r="V25" i="1"/>
  <c r="Y25" i="1" s="1"/>
  <c r="O25" i="1"/>
  <c r="W25" i="1" l="1"/>
  <c r="F26" i="2" l="1"/>
  <c r="A6" i="7" l="1"/>
  <c r="A3" i="7"/>
  <c r="E66" i="1"/>
  <c r="D7" i="7" s="1"/>
  <c r="F66" i="1"/>
  <c r="E7" i="7" s="1"/>
  <c r="C66" i="1"/>
  <c r="B7" i="7" s="1"/>
  <c r="B66" i="1"/>
  <c r="A7" i="7" s="1"/>
  <c r="N66" i="4"/>
  <c r="L66" i="1" s="1"/>
  <c r="K7" i="7" s="1"/>
  <c r="M66" i="4"/>
  <c r="K66" i="1" s="1"/>
  <c r="J7" i="7" s="1"/>
  <c r="L66" i="4"/>
  <c r="J66" i="1" s="1"/>
  <c r="F66" i="4"/>
  <c r="D66" i="1" s="1"/>
  <c r="G66" i="1" s="1"/>
  <c r="V66" i="1" l="1"/>
  <c r="I7" i="7"/>
  <c r="C7" i="7"/>
  <c r="O66" i="1"/>
  <c r="N66" i="1"/>
  <c r="M66" i="1"/>
  <c r="P66" i="1"/>
  <c r="R66" i="1"/>
  <c r="Q66" i="1"/>
  <c r="D5" i="8" l="1"/>
  <c r="E5" i="8"/>
  <c r="F5" i="8"/>
  <c r="G5" i="8"/>
  <c r="D6" i="8"/>
  <c r="E6" i="8"/>
  <c r="F6" i="8"/>
  <c r="G6" i="8"/>
  <c r="D7" i="8"/>
  <c r="E7" i="8"/>
  <c r="F7" i="8"/>
  <c r="G7" i="8"/>
  <c r="C6" i="8"/>
  <c r="C7" i="8"/>
  <c r="C5" i="8"/>
  <c r="U66" i="1" l="1"/>
  <c r="Y66" i="1" s="1"/>
  <c r="S66" i="1" l="1"/>
  <c r="W66" i="1" s="1"/>
  <c r="T66" i="1"/>
  <c r="X66" i="1" s="1"/>
  <c r="D65" i="4" l="1"/>
  <c r="D12" i="1"/>
  <c r="C3" i="7" s="1"/>
  <c r="E12" i="1"/>
  <c r="D3" i="7" s="1"/>
  <c r="F12" i="1"/>
  <c r="E3" i="7" s="1"/>
  <c r="D13" i="1"/>
  <c r="C4" i="7" s="1"/>
  <c r="E13" i="1"/>
  <c r="D4" i="7" s="1"/>
  <c r="F13" i="1"/>
  <c r="E4" i="7" s="1"/>
  <c r="B3" i="7"/>
  <c r="C13" i="1"/>
  <c r="B4" i="7" s="1"/>
  <c r="L12" i="4"/>
  <c r="J12" i="1" s="1"/>
  <c r="M12" i="4"/>
  <c r="K12" i="1" s="1"/>
  <c r="J4" i="7" s="1"/>
  <c r="N12" i="4"/>
  <c r="L12" i="1" s="1"/>
  <c r="K4" i="7" s="1"/>
  <c r="L13" i="4"/>
  <c r="J13" i="1" s="1"/>
  <c r="M13" i="1" s="1"/>
  <c r="M13" i="4"/>
  <c r="K13" i="1" s="1"/>
  <c r="N13" i="1" s="1"/>
  <c r="N13" i="4"/>
  <c r="L13" i="1" s="1"/>
  <c r="K12" i="4"/>
  <c r="K13" i="4"/>
  <c r="G4" i="7" l="1"/>
  <c r="F4" i="7"/>
  <c r="F3" i="7"/>
  <c r="G3" i="7"/>
  <c r="V13" i="1"/>
  <c r="O12" i="1"/>
  <c r="N12" i="1"/>
  <c r="V12" i="1"/>
  <c r="G12" i="1"/>
  <c r="Q12" i="1" s="1"/>
  <c r="M12" i="1"/>
  <c r="G13" i="1"/>
  <c r="R13" i="1" s="1"/>
  <c r="H12" i="1"/>
  <c r="U12" i="1" s="1"/>
  <c r="O13" i="1"/>
  <c r="H13" i="1"/>
  <c r="D65" i="1"/>
  <c r="C6" i="7" s="1"/>
  <c r="E65" i="1"/>
  <c r="D6" i="7" s="1"/>
  <c r="F65" i="1"/>
  <c r="E6" i="7" s="1"/>
  <c r="C65" i="1"/>
  <c r="B6" i="7" s="1"/>
  <c r="S5" i="4"/>
  <c r="L65" i="4"/>
  <c r="J65" i="1" s="1"/>
  <c r="M65" i="4"/>
  <c r="K65" i="1" s="1"/>
  <c r="J6" i="7" s="1"/>
  <c r="N65" i="4"/>
  <c r="L65" i="1" s="1"/>
  <c r="K6" i="7" s="1"/>
  <c r="F6" i="7" l="1"/>
  <c r="Q13" i="1"/>
  <c r="R12" i="1"/>
  <c r="Y12" i="1"/>
  <c r="S12" i="1"/>
  <c r="W12" i="1" s="1"/>
  <c r="P12" i="1"/>
  <c r="P13" i="1"/>
  <c r="V65" i="1"/>
  <c r="I6" i="7"/>
  <c r="L6" i="7" s="1"/>
  <c r="T12" i="1"/>
  <c r="X12" i="1" s="1"/>
  <c r="T13" i="1"/>
  <c r="X13" i="1" s="1"/>
  <c r="S13" i="1"/>
  <c r="W13" i="1" s="1"/>
  <c r="U13" i="1"/>
  <c r="Y13" i="1" s="1"/>
  <c r="N65" i="1"/>
  <c r="M65" i="1"/>
  <c r="G65" i="1"/>
  <c r="O65" i="1"/>
  <c r="Q65" i="1" l="1"/>
  <c r="P65" i="1"/>
  <c r="R65" i="1"/>
  <c r="M52" i="4"/>
  <c r="N52" i="4"/>
  <c r="L52" i="4"/>
  <c r="L5" i="4"/>
  <c r="G30" i="4" l="1"/>
  <c r="N30" i="4" s="1"/>
  <c r="L30" i="1" s="1"/>
  <c r="D30" i="1"/>
  <c r="E30" i="1"/>
  <c r="F30" i="1"/>
  <c r="C30" i="1"/>
  <c r="C53" i="1"/>
  <c r="C47" i="1"/>
  <c r="C42" i="1"/>
  <c r="C27" i="1"/>
  <c r="M30" i="4" l="1"/>
  <c r="K30" i="1" s="1"/>
  <c r="N30" i="1" s="1"/>
  <c r="L30" i="4"/>
  <c r="J30" i="1" s="1"/>
  <c r="U6" i="7" s="1"/>
  <c r="G30" i="1"/>
  <c r="O30" i="1"/>
  <c r="P6" i="7" l="1"/>
  <c r="Q30" i="1"/>
  <c r="V30" i="1"/>
  <c r="M30" i="1"/>
  <c r="P30" i="1"/>
  <c r="O6" i="7"/>
  <c r="R30" i="1"/>
  <c r="Q6" i="7"/>
  <c r="N6" i="7"/>
  <c r="M6" i="7" l="1"/>
  <c r="F18" i="4" l="1"/>
  <c r="F24" i="6" l="1"/>
  <c r="F31" i="4" s="1"/>
  <c r="G14" i="4" l="1"/>
  <c r="G15" i="4" l="1"/>
  <c r="W5" i="4"/>
  <c r="F7" i="7" l="1"/>
  <c r="G6" i="4" l="1"/>
  <c r="G62" i="4"/>
  <c r="F62" i="4" s="1"/>
  <c r="G33" i="4"/>
  <c r="F23" i="6"/>
  <c r="G22" i="4" l="1"/>
  <c r="G11" i="4" s="1"/>
  <c r="G56" i="4"/>
  <c r="G31" i="4"/>
  <c r="L31" i="4" s="1"/>
  <c r="G53" i="4" l="1"/>
  <c r="G49" i="4"/>
  <c r="G47" i="4"/>
  <c r="G43" i="4"/>
  <c r="G38" i="4"/>
  <c r="G28" i="4"/>
  <c r="G24" i="4"/>
  <c r="G17" i="4"/>
  <c r="G68" i="4" l="1"/>
  <c r="G67" i="4"/>
  <c r="G11" i="2" l="1"/>
  <c r="G12" i="2"/>
  <c r="G13" i="2"/>
  <c r="G15" i="2"/>
  <c r="H15" i="2"/>
  <c r="I15" i="2"/>
  <c r="G16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G36" i="4"/>
  <c r="G35" i="4"/>
  <c r="G61" i="4"/>
  <c r="G41" i="4"/>
  <c r="G32" i="4"/>
  <c r="F56" i="4"/>
  <c r="F22" i="6"/>
  <c r="F33" i="4" s="1"/>
  <c r="F25" i="6"/>
  <c r="F17" i="4" s="1"/>
  <c r="F26" i="6"/>
  <c r="J16" i="2" l="1"/>
  <c r="J13" i="2"/>
  <c r="K15" i="2"/>
  <c r="J12" i="2"/>
  <c r="J11" i="2"/>
  <c r="J15" i="2"/>
  <c r="L15" i="2"/>
  <c r="G6" i="7"/>
  <c r="H30" i="1"/>
  <c r="G7" i="7"/>
  <c r="T65" i="1" l="1"/>
  <c r="U65" i="1"/>
  <c r="S65" i="1"/>
  <c r="S30" i="1"/>
  <c r="W30" i="1" s="1"/>
  <c r="T30" i="1"/>
  <c r="X30" i="1" s="1"/>
  <c r="U30" i="1"/>
  <c r="Y30" i="1" s="1"/>
  <c r="R6" i="7"/>
  <c r="V6" i="7" s="1"/>
  <c r="S6" i="7"/>
  <c r="W6" i="7" s="1"/>
  <c r="T6" i="7"/>
  <c r="X6" i="7" s="1"/>
  <c r="D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F19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6" i="1"/>
  <c r="E26" i="1"/>
  <c r="F26" i="1"/>
  <c r="D27" i="1"/>
  <c r="E27" i="1"/>
  <c r="F27" i="1"/>
  <c r="D28" i="1"/>
  <c r="F28" i="1"/>
  <c r="D29" i="1"/>
  <c r="E29" i="1"/>
  <c r="F29" i="1"/>
  <c r="D31" i="1"/>
  <c r="E31" i="1"/>
  <c r="F31" i="1"/>
  <c r="D32" i="1"/>
  <c r="E32" i="1"/>
  <c r="F32" i="1"/>
  <c r="D33" i="1"/>
  <c r="E33" i="1"/>
  <c r="F33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F53" i="1"/>
  <c r="D54" i="1"/>
  <c r="F54" i="1"/>
  <c r="D55" i="1"/>
  <c r="E55" i="1"/>
  <c r="F55" i="1"/>
  <c r="D56" i="1"/>
  <c r="E56" i="1"/>
  <c r="F56" i="1"/>
  <c r="D57" i="1"/>
  <c r="F57" i="1"/>
  <c r="D58" i="1"/>
  <c r="F58" i="1"/>
  <c r="D59" i="1"/>
  <c r="F59" i="1"/>
  <c r="D60" i="1"/>
  <c r="E60" i="1"/>
  <c r="F60" i="1"/>
  <c r="D61" i="1"/>
  <c r="E61" i="1"/>
  <c r="F61" i="1"/>
  <c r="D62" i="1"/>
  <c r="E62" i="1"/>
  <c r="F62" i="1"/>
  <c r="E63" i="1"/>
  <c r="F63" i="1"/>
  <c r="D64" i="1"/>
  <c r="E64" i="1"/>
  <c r="F64" i="1"/>
  <c r="D67" i="1"/>
  <c r="E67" i="1"/>
  <c r="F67" i="1"/>
  <c r="C52" i="1"/>
  <c r="C32" i="1"/>
  <c r="C15" i="1"/>
  <c r="C16" i="1"/>
  <c r="C17" i="1"/>
  <c r="C18" i="1"/>
  <c r="C19" i="1"/>
  <c r="C20" i="1"/>
  <c r="C21" i="1"/>
  <c r="C22" i="1"/>
  <c r="C23" i="1"/>
  <c r="C24" i="1"/>
  <c r="M37" i="4"/>
  <c r="K37" i="1" s="1"/>
  <c r="N37" i="4"/>
  <c r="L37" i="1" s="1"/>
  <c r="L37" i="4"/>
  <c r="J37" i="1" s="1"/>
  <c r="M42" i="4"/>
  <c r="K42" i="1" s="1"/>
  <c r="N42" i="4"/>
  <c r="L42" i="1" s="1"/>
  <c r="L42" i="4"/>
  <c r="J42" i="1" s="1"/>
  <c r="M48" i="4"/>
  <c r="K48" i="1" s="1"/>
  <c r="N48" i="4"/>
  <c r="L48" i="1" s="1"/>
  <c r="L48" i="4"/>
  <c r="J48" i="1" s="1"/>
  <c r="V48" i="1" s="1"/>
  <c r="M46" i="4"/>
  <c r="K46" i="1" s="1"/>
  <c r="N46" i="4"/>
  <c r="L46" i="1" s="1"/>
  <c r="L46" i="4"/>
  <c r="J46" i="1" s="1"/>
  <c r="M32" i="4"/>
  <c r="K32" i="1" s="1"/>
  <c r="N32" i="4"/>
  <c r="L32" i="1" s="1"/>
  <c r="L32" i="4"/>
  <c r="J32" i="1" s="1"/>
  <c r="V32" i="1" s="1"/>
  <c r="M24" i="4"/>
  <c r="K24" i="1" s="1"/>
  <c r="N24" i="4"/>
  <c r="L24" i="1" s="1"/>
  <c r="L24" i="4"/>
  <c r="J24" i="1" s="1"/>
  <c r="D54" i="4"/>
  <c r="K52" i="4"/>
  <c r="K32" i="4"/>
  <c r="W65" i="1" l="1"/>
  <c r="Y65" i="1"/>
  <c r="X65" i="1"/>
  <c r="G67" i="1"/>
  <c r="E54" i="1"/>
  <c r="H54" i="1" s="1"/>
  <c r="N24" i="1"/>
  <c r="H62" i="1"/>
  <c r="O24" i="1"/>
  <c r="G44" i="1"/>
  <c r="N42" i="1"/>
  <c r="O42" i="1"/>
  <c r="H11" i="1"/>
  <c r="M42" i="1"/>
  <c r="G36" i="1"/>
  <c r="O46" i="1"/>
  <c r="H51" i="1"/>
  <c r="G8" i="1"/>
  <c r="G60" i="1"/>
  <c r="H40" i="1"/>
  <c r="H9" i="1"/>
  <c r="H8" i="1"/>
  <c r="H47" i="1"/>
  <c r="G9" i="1"/>
  <c r="G55" i="1"/>
  <c r="H37" i="1"/>
  <c r="T37" i="1" s="1"/>
  <c r="H35" i="1"/>
  <c r="G37" i="1"/>
  <c r="P37" i="1" s="1"/>
  <c r="G64" i="1"/>
  <c r="G40" i="1"/>
  <c r="G52" i="1"/>
  <c r="G49" i="1"/>
  <c r="N46" i="1"/>
  <c r="H18" i="1"/>
  <c r="G7" i="1"/>
  <c r="V42" i="1"/>
  <c r="O37" i="1"/>
  <c r="G11" i="1"/>
  <c r="G24" i="1"/>
  <c r="P24" i="1" s="1"/>
  <c r="G62" i="1"/>
  <c r="H60" i="1"/>
  <c r="H55" i="1"/>
  <c r="M46" i="1"/>
  <c r="H27" i="1"/>
  <c r="G27" i="1"/>
  <c r="G15" i="1"/>
  <c r="H49" i="1"/>
  <c r="G46" i="1"/>
  <c r="R46" i="1" s="1"/>
  <c r="G31" i="1"/>
  <c r="G22" i="1"/>
  <c r="M48" i="1"/>
  <c r="G48" i="1"/>
  <c r="Q48" i="1" s="1"/>
  <c r="N48" i="1"/>
  <c r="G18" i="1"/>
  <c r="H31" i="1"/>
  <c r="V24" i="1"/>
  <c r="M24" i="1"/>
  <c r="O48" i="1"/>
  <c r="G50" i="1"/>
  <c r="H50" i="1"/>
  <c r="G47" i="1"/>
  <c r="H44" i="1"/>
  <c r="G43" i="1"/>
  <c r="H43" i="1"/>
  <c r="G29" i="1"/>
  <c r="G41" i="1"/>
  <c r="H41" i="1"/>
  <c r="H52" i="1"/>
  <c r="H56" i="1"/>
  <c r="G56" i="1"/>
  <c r="G51" i="1"/>
  <c r="H61" i="1"/>
  <c r="G42" i="1"/>
  <c r="H42" i="1"/>
  <c r="G61" i="1"/>
  <c r="H48" i="1"/>
  <c r="V46" i="1"/>
  <c r="H46" i="1"/>
  <c r="G39" i="1"/>
  <c r="H39" i="1"/>
  <c r="M37" i="1"/>
  <c r="V37" i="1"/>
  <c r="H15" i="1"/>
  <c r="G45" i="1"/>
  <c r="H45" i="1"/>
  <c r="G33" i="1"/>
  <c r="H33" i="1"/>
  <c r="H29" i="1"/>
  <c r="G26" i="1"/>
  <c r="H26" i="1"/>
  <c r="H22" i="1"/>
  <c r="G35" i="1"/>
  <c r="O32" i="1"/>
  <c r="G32" i="1"/>
  <c r="Q32" i="1" s="1"/>
  <c r="H32" i="1"/>
  <c r="H24" i="1"/>
  <c r="G23" i="1"/>
  <c r="H23" i="1"/>
  <c r="G17" i="1"/>
  <c r="H17" i="1"/>
  <c r="G10" i="1"/>
  <c r="H10" i="1"/>
  <c r="N32" i="1"/>
  <c r="G21" i="1"/>
  <c r="H21" i="1"/>
  <c r="G16" i="1"/>
  <c r="H16" i="1"/>
  <c r="G38" i="1"/>
  <c r="H38" i="1"/>
  <c r="N37" i="1"/>
  <c r="H36" i="1"/>
  <c r="M32" i="1"/>
  <c r="H7" i="1"/>
  <c r="G44" i="4"/>
  <c r="G63" i="4"/>
  <c r="G55" i="4"/>
  <c r="G54" i="1" l="1"/>
  <c r="Q37" i="1"/>
  <c r="P46" i="1"/>
  <c r="S37" i="1"/>
  <c r="W37" i="1" s="1"/>
  <c r="U37" i="1"/>
  <c r="Y37" i="1" s="1"/>
  <c r="R24" i="1"/>
  <c r="R37" i="1"/>
  <c r="R32" i="1"/>
  <c r="Q46" i="1"/>
  <c r="Q24" i="1"/>
  <c r="R48" i="1"/>
  <c r="P48" i="1"/>
  <c r="S32" i="1"/>
  <c r="W32" i="1" s="1"/>
  <c r="U32" i="1"/>
  <c r="Y32" i="1" s="1"/>
  <c r="T32" i="1"/>
  <c r="X32" i="1" s="1"/>
  <c r="S46" i="1"/>
  <c r="W46" i="1" s="1"/>
  <c r="T46" i="1"/>
  <c r="X46" i="1" s="1"/>
  <c r="U46" i="1"/>
  <c r="Y46" i="1" s="1"/>
  <c r="P32" i="1"/>
  <c r="S42" i="1"/>
  <c r="W42" i="1" s="1"/>
  <c r="T42" i="1"/>
  <c r="X42" i="1" s="1"/>
  <c r="U42" i="1"/>
  <c r="Y42" i="1" s="1"/>
  <c r="S24" i="1"/>
  <c r="W24" i="1" s="1"/>
  <c r="T24" i="1"/>
  <c r="X24" i="1" s="1"/>
  <c r="U24" i="1"/>
  <c r="Y24" i="1" s="1"/>
  <c r="S48" i="1"/>
  <c r="W48" i="1" s="1"/>
  <c r="U48" i="1"/>
  <c r="Y48" i="1" s="1"/>
  <c r="T48" i="1"/>
  <c r="X48" i="1" s="1"/>
  <c r="Q42" i="1"/>
  <c r="R42" i="1"/>
  <c r="P42" i="1"/>
  <c r="X37" i="1"/>
  <c r="L38" i="4"/>
  <c r="J38" i="1" s="1"/>
  <c r="S38" i="1" s="1"/>
  <c r="M38" i="4"/>
  <c r="K38" i="1" s="1"/>
  <c r="T38" i="1" s="1"/>
  <c r="N38" i="4"/>
  <c r="L38" i="1" s="1"/>
  <c r="O38" i="1" s="1"/>
  <c r="L6" i="4"/>
  <c r="J6" i="1" s="1"/>
  <c r="M6" i="4"/>
  <c r="K6" i="1" s="1"/>
  <c r="N6" i="4"/>
  <c r="L6" i="1" s="1"/>
  <c r="G8" i="4"/>
  <c r="G7" i="4"/>
  <c r="G45" i="4"/>
  <c r="G40" i="4"/>
  <c r="G39" i="4"/>
  <c r="N38" i="1" l="1"/>
  <c r="Q38" i="1"/>
  <c r="M38" i="1"/>
  <c r="P38" i="1"/>
  <c r="V38" i="1"/>
  <c r="X38" i="1" s="1"/>
  <c r="U38" i="1"/>
  <c r="R38" i="1"/>
  <c r="N6" i="1"/>
  <c r="M6" i="1"/>
  <c r="V6" i="1"/>
  <c r="O6" i="1"/>
  <c r="N7" i="4"/>
  <c r="L7" i="1" s="1"/>
  <c r="L7" i="4"/>
  <c r="J7" i="1" s="1"/>
  <c r="M7" i="4"/>
  <c r="K7" i="1" s="1"/>
  <c r="M8" i="4"/>
  <c r="K8" i="1" s="1"/>
  <c r="N8" i="4"/>
  <c r="L8" i="1" s="1"/>
  <c r="L8" i="4"/>
  <c r="J8" i="1" s="1"/>
  <c r="M39" i="4"/>
  <c r="K39" i="1" s="1"/>
  <c r="N39" i="4"/>
  <c r="L39" i="1" s="1"/>
  <c r="L39" i="4"/>
  <c r="J39" i="1" s="1"/>
  <c r="F23" i="2"/>
  <c r="P13" i="2" l="1"/>
  <c r="N17" i="2"/>
  <c r="P12" i="2"/>
  <c r="P10" i="2"/>
  <c r="P16" i="2"/>
  <c r="P15" i="2"/>
  <c r="P14" i="2"/>
  <c r="P17" i="2"/>
  <c r="O17" i="2"/>
  <c r="L7" i="7"/>
  <c r="O7" i="7"/>
  <c r="U7" i="7"/>
  <c r="R7" i="7"/>
  <c r="Q7" i="7"/>
  <c r="N7" i="7"/>
  <c r="T7" i="7"/>
  <c r="P7" i="7"/>
  <c r="M7" i="7"/>
  <c r="S7" i="7"/>
  <c r="N13" i="2"/>
  <c r="N16" i="2"/>
  <c r="N12" i="2"/>
  <c r="N15" i="2"/>
  <c r="N11" i="2"/>
  <c r="O15" i="2"/>
  <c r="N39" i="1"/>
  <c r="T39" i="1"/>
  <c r="Q39" i="1"/>
  <c r="V39" i="1"/>
  <c r="M39" i="1"/>
  <c r="P39" i="1"/>
  <c r="S39" i="1"/>
  <c r="W38" i="1"/>
  <c r="Y38" i="1"/>
  <c r="O39" i="1"/>
  <c r="R39" i="1"/>
  <c r="U39" i="1"/>
  <c r="R8" i="1"/>
  <c r="O8" i="1"/>
  <c r="U8" i="1"/>
  <c r="N8" i="1"/>
  <c r="Q8" i="1"/>
  <c r="T8" i="1"/>
  <c r="N7" i="1"/>
  <c r="Q7" i="1"/>
  <c r="T7" i="1"/>
  <c r="M8" i="1"/>
  <c r="V8" i="1"/>
  <c r="P8" i="1"/>
  <c r="S8" i="1"/>
  <c r="M7" i="1"/>
  <c r="V7" i="1"/>
  <c r="P7" i="1"/>
  <c r="S7" i="1"/>
  <c r="O7" i="1"/>
  <c r="R7" i="1"/>
  <c r="U7" i="1"/>
  <c r="B5" i="2"/>
  <c r="B6" i="2"/>
  <c r="B7" i="2"/>
  <c r="B8" i="2"/>
  <c r="B9" i="2"/>
  <c r="B10" i="2"/>
  <c r="B11" i="2"/>
  <c r="B12" i="2"/>
  <c r="B13" i="2"/>
  <c r="B14" i="2"/>
  <c r="B21" i="5"/>
  <c r="B22" i="5"/>
  <c r="B23" i="5"/>
  <c r="B24" i="5"/>
  <c r="B25" i="5"/>
  <c r="B26" i="5"/>
  <c r="B27" i="5"/>
  <c r="B28" i="5"/>
  <c r="B29" i="5"/>
  <c r="B30" i="5"/>
  <c r="B31" i="5"/>
  <c r="B32" i="5"/>
  <c r="G23" i="4"/>
  <c r="W7" i="7" l="1"/>
  <c r="X7" i="7"/>
  <c r="V7" i="7"/>
  <c r="W39" i="1"/>
  <c r="Y39" i="1"/>
  <c r="Y7" i="1"/>
  <c r="X8" i="1"/>
  <c r="W8" i="1"/>
  <c r="X39" i="1"/>
  <c r="Y8" i="1"/>
  <c r="W7" i="1"/>
  <c r="X7" i="1"/>
  <c r="L23" i="4"/>
  <c r="J23" i="1" s="1"/>
  <c r="N23" i="4"/>
  <c r="L23" i="1" s="1"/>
  <c r="M23" i="4"/>
  <c r="K23" i="1" s="1"/>
  <c r="N23" i="1" l="1"/>
  <c r="T23" i="1"/>
  <c r="Q23" i="1"/>
  <c r="O23" i="1"/>
  <c r="R23" i="1"/>
  <c r="U23" i="1"/>
  <c r="V23" i="1"/>
  <c r="P23" i="1"/>
  <c r="M23" i="1"/>
  <c r="S23" i="1"/>
  <c r="C14" i="1"/>
  <c r="N27" i="4"/>
  <c r="L27" i="1" s="1"/>
  <c r="M27" i="4"/>
  <c r="K27" i="1" s="1"/>
  <c r="L27" i="4"/>
  <c r="J27" i="1" s="1"/>
  <c r="K27" i="4"/>
  <c r="O27" i="1" l="1"/>
  <c r="R27" i="1"/>
  <c r="U27" i="1"/>
  <c r="N27" i="1"/>
  <c r="Q27" i="1"/>
  <c r="T27" i="1"/>
  <c r="M27" i="1"/>
  <c r="V27" i="1"/>
  <c r="P27" i="1"/>
  <c r="S27" i="1"/>
  <c r="Y23" i="1"/>
  <c r="W23" i="1"/>
  <c r="X23" i="1"/>
  <c r="K34" i="4"/>
  <c r="C6" i="1"/>
  <c r="C7" i="1"/>
  <c r="C8" i="1"/>
  <c r="C9" i="1"/>
  <c r="C10" i="1"/>
  <c r="C11" i="1"/>
  <c r="C26" i="1"/>
  <c r="C28" i="1"/>
  <c r="C29" i="1"/>
  <c r="C31" i="1"/>
  <c r="C33" i="1"/>
  <c r="C34" i="1"/>
  <c r="C35" i="1"/>
  <c r="C36" i="1"/>
  <c r="C37" i="1"/>
  <c r="C38" i="1"/>
  <c r="C39" i="1"/>
  <c r="C40" i="1"/>
  <c r="C41" i="1"/>
  <c r="C43" i="1"/>
  <c r="C44" i="1"/>
  <c r="C45" i="1"/>
  <c r="C46" i="1"/>
  <c r="C48" i="1"/>
  <c r="C49" i="1"/>
  <c r="C50" i="1"/>
  <c r="C51" i="1"/>
  <c r="C54" i="1"/>
  <c r="C55" i="1"/>
  <c r="C56" i="1"/>
  <c r="C57" i="1"/>
  <c r="C58" i="1"/>
  <c r="C59" i="1"/>
  <c r="C60" i="1"/>
  <c r="C61" i="1"/>
  <c r="C62" i="1"/>
  <c r="C63" i="1"/>
  <c r="C64" i="1"/>
  <c r="C67" i="1"/>
  <c r="F63" i="4"/>
  <c r="D63" i="1" s="1"/>
  <c r="N62" i="4"/>
  <c r="L62" i="1" s="1"/>
  <c r="M62" i="4"/>
  <c r="K62" i="1" s="1"/>
  <c r="L62" i="4"/>
  <c r="J62" i="1" s="1"/>
  <c r="K62" i="4"/>
  <c r="F34" i="4"/>
  <c r="D34" i="1" s="1"/>
  <c r="G34" i="4"/>
  <c r="X27" i="1" l="1"/>
  <c r="Y27" i="1"/>
  <c r="W27" i="1"/>
  <c r="V62" i="1"/>
  <c r="S62" i="1"/>
  <c r="M62" i="1"/>
  <c r="P62" i="1"/>
  <c r="N62" i="1"/>
  <c r="Q62" i="1"/>
  <c r="T62" i="1"/>
  <c r="O62" i="1"/>
  <c r="U62" i="1"/>
  <c r="R62" i="1"/>
  <c r="H34" i="1"/>
  <c r="G34" i="1"/>
  <c r="G63" i="1"/>
  <c r="H63" i="1"/>
  <c r="N34" i="4"/>
  <c r="L34" i="1" s="1"/>
  <c r="M34" i="4"/>
  <c r="K34" i="1" s="1"/>
  <c r="L34" i="4"/>
  <c r="J34" i="1" s="1"/>
  <c r="Y62" i="1" l="1"/>
  <c r="X62" i="1"/>
  <c r="W62" i="1"/>
  <c r="M34" i="1"/>
  <c r="V34" i="1"/>
  <c r="S34" i="1"/>
  <c r="P34" i="1"/>
  <c r="N34" i="1"/>
  <c r="T34" i="1"/>
  <c r="Q34" i="1"/>
  <c r="O34" i="1"/>
  <c r="U34" i="1"/>
  <c r="R34" i="1"/>
  <c r="K54" i="4"/>
  <c r="G54" i="4"/>
  <c r="N54" i="4" s="1"/>
  <c r="L54" i="1" s="1"/>
  <c r="D53" i="4"/>
  <c r="K50" i="4"/>
  <c r="K11" i="4"/>
  <c r="B15" i="2"/>
  <c r="B16" i="2"/>
  <c r="E53" i="1" l="1"/>
  <c r="H53" i="1" s="1"/>
  <c r="X34" i="1"/>
  <c r="O54" i="1"/>
  <c r="U54" i="1"/>
  <c r="R54" i="1"/>
  <c r="W34" i="1"/>
  <c r="Y34" i="1"/>
  <c r="M54" i="4"/>
  <c r="K54" i="1" s="1"/>
  <c r="L54" i="4"/>
  <c r="J54" i="1" s="1"/>
  <c r="G53" i="1" l="1"/>
  <c r="P54" i="1"/>
  <c r="V54" i="1"/>
  <c r="Y54" i="1" s="1"/>
  <c r="M54" i="1"/>
  <c r="S54" i="1"/>
  <c r="N54" i="1"/>
  <c r="T54" i="1"/>
  <c r="Q54" i="1"/>
  <c r="C5" i="1"/>
  <c r="L35" i="4"/>
  <c r="J35" i="1" s="1"/>
  <c r="M35" i="4"/>
  <c r="K35" i="1" s="1"/>
  <c r="N35" i="4"/>
  <c r="L35" i="1" s="1"/>
  <c r="L36" i="4"/>
  <c r="J36" i="1" s="1"/>
  <c r="M36" i="4"/>
  <c r="K36" i="1" s="1"/>
  <c r="N36" i="4"/>
  <c r="L36" i="1" s="1"/>
  <c r="N33" i="4"/>
  <c r="L33" i="1" s="1"/>
  <c r="M33" i="4"/>
  <c r="K33" i="1" s="1"/>
  <c r="L33" i="4"/>
  <c r="J33" i="1" s="1"/>
  <c r="K35" i="4"/>
  <c r="X54" i="1" l="1"/>
  <c r="W54" i="1"/>
  <c r="R36" i="1"/>
  <c r="O36" i="1"/>
  <c r="U36" i="1"/>
  <c r="N36" i="1"/>
  <c r="Q36" i="1"/>
  <c r="T36" i="1"/>
  <c r="M36" i="1"/>
  <c r="V36" i="1"/>
  <c r="P36" i="1"/>
  <c r="S36" i="1"/>
  <c r="U35" i="1"/>
  <c r="O35" i="1"/>
  <c r="R35" i="1"/>
  <c r="T35" i="1"/>
  <c r="N35" i="1"/>
  <c r="Q35" i="1"/>
  <c r="S35" i="1"/>
  <c r="V35" i="1"/>
  <c r="M35" i="1"/>
  <c r="P35" i="1"/>
  <c r="V33" i="1"/>
  <c r="M33" i="1"/>
  <c r="P33" i="1"/>
  <c r="S33" i="1"/>
  <c r="O33" i="1"/>
  <c r="R33" i="1"/>
  <c r="U33" i="1"/>
  <c r="N33" i="1"/>
  <c r="Q33" i="1"/>
  <c r="T33" i="1"/>
  <c r="K61" i="4"/>
  <c r="K6" i="4"/>
  <c r="K7" i="4"/>
  <c r="K8" i="4"/>
  <c r="K9" i="4"/>
  <c r="K10" i="4"/>
  <c r="K14" i="4"/>
  <c r="K15" i="4"/>
  <c r="K16" i="4"/>
  <c r="K17" i="4"/>
  <c r="K18" i="4"/>
  <c r="K19" i="4"/>
  <c r="K20" i="4"/>
  <c r="K21" i="4"/>
  <c r="K26" i="4"/>
  <c r="K28" i="4"/>
  <c r="K29" i="4"/>
  <c r="K31" i="4"/>
  <c r="K33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1" i="4"/>
  <c r="K53" i="4"/>
  <c r="K55" i="4"/>
  <c r="K56" i="4"/>
  <c r="K57" i="4"/>
  <c r="K58" i="4"/>
  <c r="K59" i="4"/>
  <c r="K60" i="4"/>
  <c r="K63" i="4"/>
  <c r="K5" i="4"/>
  <c r="W33" i="1" l="1"/>
  <c r="X33" i="1"/>
  <c r="Y33" i="1"/>
  <c r="W35" i="1"/>
  <c r="Y35" i="1"/>
  <c r="X36" i="1"/>
  <c r="Y36" i="1"/>
  <c r="W36" i="1"/>
  <c r="X35" i="1"/>
  <c r="L11" i="4" l="1"/>
  <c r="J11" i="1" s="1"/>
  <c r="I3" i="7" s="1"/>
  <c r="M11" i="4"/>
  <c r="K11" i="1" s="1"/>
  <c r="J3" i="7" s="1"/>
  <c r="N11" i="4"/>
  <c r="L11" i="1" s="1"/>
  <c r="K3" i="7" s="1"/>
  <c r="L22" i="4"/>
  <c r="J22" i="1" s="1"/>
  <c r="M22" i="4"/>
  <c r="K22" i="1" s="1"/>
  <c r="N22" i="4"/>
  <c r="L22" i="1" s="1"/>
  <c r="X5" i="4"/>
  <c r="F19" i="4" s="1"/>
  <c r="D19" i="1" s="1"/>
  <c r="G16" i="4"/>
  <c r="G64" i="4"/>
  <c r="AA5" i="4"/>
  <c r="D19" i="4" s="1"/>
  <c r="G19" i="4"/>
  <c r="N55" i="4"/>
  <c r="L55" i="1" s="1"/>
  <c r="M55" i="4"/>
  <c r="K55" i="1" s="1"/>
  <c r="L55" i="4"/>
  <c r="J55" i="1" s="1"/>
  <c r="N53" i="4"/>
  <c r="L53" i="1" s="1"/>
  <c r="M53" i="4"/>
  <c r="K53" i="1" s="1"/>
  <c r="L53" i="4"/>
  <c r="J53" i="1" s="1"/>
  <c r="F5" i="1"/>
  <c r="E19" i="1" l="1"/>
  <c r="G19" i="1" s="1"/>
  <c r="N53" i="1"/>
  <c r="T53" i="1"/>
  <c r="Q53" i="1"/>
  <c r="O53" i="1"/>
  <c r="U53" i="1"/>
  <c r="R53" i="1"/>
  <c r="M55" i="1"/>
  <c r="V55" i="1"/>
  <c r="S55" i="1"/>
  <c r="P55" i="1"/>
  <c r="Q55" i="1"/>
  <c r="N55" i="1"/>
  <c r="T55" i="1"/>
  <c r="V53" i="1"/>
  <c r="S53" i="1"/>
  <c r="M53" i="1"/>
  <c r="P53" i="1"/>
  <c r="O55" i="1"/>
  <c r="R55" i="1"/>
  <c r="U55" i="1"/>
  <c r="N22" i="1"/>
  <c r="Q22" i="1"/>
  <c r="T22" i="1"/>
  <c r="M22" i="1"/>
  <c r="P22" i="1"/>
  <c r="V22" i="1"/>
  <c r="S22" i="1"/>
  <c r="O22" i="1"/>
  <c r="R22" i="1"/>
  <c r="U22" i="1"/>
  <c r="O11" i="1"/>
  <c r="R11" i="1"/>
  <c r="U11" i="1"/>
  <c r="N11" i="1"/>
  <c r="T11" i="1"/>
  <c r="Q11" i="1"/>
  <c r="M11" i="1"/>
  <c r="V11" i="1"/>
  <c r="P11" i="1"/>
  <c r="S11" i="1"/>
  <c r="L61" i="4"/>
  <c r="J61" i="1" s="1"/>
  <c r="M61" i="4"/>
  <c r="K61" i="1" s="1"/>
  <c r="N61" i="4"/>
  <c r="L61" i="1" s="1"/>
  <c r="N19" i="4"/>
  <c r="L19" i="1" s="1"/>
  <c r="M19" i="4"/>
  <c r="K19" i="1" s="1"/>
  <c r="L19" i="4"/>
  <c r="J19" i="1" s="1"/>
  <c r="V19" i="1" s="1"/>
  <c r="L56" i="4"/>
  <c r="J56" i="1" s="1"/>
  <c r="M56" i="4"/>
  <c r="K56" i="1" s="1"/>
  <c r="N56" i="4"/>
  <c r="L56" i="1" s="1"/>
  <c r="L57" i="4"/>
  <c r="J57" i="1" s="1"/>
  <c r="M57" i="4"/>
  <c r="K57" i="1" s="1"/>
  <c r="N57" i="4"/>
  <c r="L57" i="1" s="1"/>
  <c r="L58" i="4"/>
  <c r="J58" i="1" s="1"/>
  <c r="M58" i="4"/>
  <c r="K58" i="1" s="1"/>
  <c r="N58" i="4"/>
  <c r="L58" i="1" s="1"/>
  <c r="L59" i="4"/>
  <c r="J59" i="1" s="1"/>
  <c r="M59" i="4"/>
  <c r="K59" i="1" s="1"/>
  <c r="N59" i="1" s="1"/>
  <c r="N59" i="4"/>
  <c r="L59" i="1" s="1"/>
  <c r="L60" i="4"/>
  <c r="J60" i="1" s="1"/>
  <c r="M60" i="4"/>
  <c r="K60" i="1" s="1"/>
  <c r="N60" i="4"/>
  <c r="L60" i="1" s="1"/>
  <c r="L63" i="4"/>
  <c r="J63" i="1" s="1"/>
  <c r="M63" i="4"/>
  <c r="K63" i="1" s="1"/>
  <c r="N63" i="4"/>
  <c r="L63" i="1" s="1"/>
  <c r="L64" i="4"/>
  <c r="J64" i="1" s="1"/>
  <c r="M64" i="4"/>
  <c r="K64" i="1" s="1"/>
  <c r="N64" i="4"/>
  <c r="L64" i="1" s="1"/>
  <c r="L47" i="4"/>
  <c r="J47" i="1" s="1"/>
  <c r="M47" i="4"/>
  <c r="K47" i="1" s="1"/>
  <c r="N47" i="4"/>
  <c r="L47" i="1" s="1"/>
  <c r="L43" i="4"/>
  <c r="J43" i="1" s="1"/>
  <c r="M43" i="4"/>
  <c r="K43" i="1" s="1"/>
  <c r="N43" i="4"/>
  <c r="L43" i="1" s="1"/>
  <c r="L44" i="4"/>
  <c r="J44" i="1" s="1"/>
  <c r="M44" i="4"/>
  <c r="K44" i="1" s="1"/>
  <c r="N44" i="4"/>
  <c r="L44" i="1" s="1"/>
  <c r="L45" i="4"/>
  <c r="J45" i="1" s="1"/>
  <c r="M45" i="4"/>
  <c r="K45" i="1" s="1"/>
  <c r="N45" i="4"/>
  <c r="L45" i="1" s="1"/>
  <c r="L40" i="4"/>
  <c r="J40" i="1" s="1"/>
  <c r="M40" i="4"/>
  <c r="K40" i="1" s="1"/>
  <c r="N40" i="4"/>
  <c r="L40" i="1" s="1"/>
  <c r="L26" i="4"/>
  <c r="J26" i="1" s="1"/>
  <c r="M26" i="4"/>
  <c r="K26" i="1" s="1"/>
  <c r="N26" i="4"/>
  <c r="L26" i="1" s="1"/>
  <c r="L28" i="4"/>
  <c r="J28" i="1" s="1"/>
  <c r="M28" i="4"/>
  <c r="K28" i="1" s="1"/>
  <c r="N28" i="4"/>
  <c r="L28" i="1" s="1"/>
  <c r="J31" i="1"/>
  <c r="M31" i="4"/>
  <c r="K31" i="1" s="1"/>
  <c r="N31" i="4"/>
  <c r="L31" i="1" s="1"/>
  <c r="L17" i="4"/>
  <c r="J17" i="1" s="1"/>
  <c r="M17" i="4"/>
  <c r="K17" i="1" s="1"/>
  <c r="N17" i="4"/>
  <c r="L17" i="1" s="1"/>
  <c r="L18" i="4"/>
  <c r="J18" i="1" s="1"/>
  <c r="M18" i="4"/>
  <c r="K18" i="1" s="1"/>
  <c r="N18" i="4"/>
  <c r="L18" i="1" s="1"/>
  <c r="L14" i="4"/>
  <c r="J14" i="1" s="1"/>
  <c r="M14" i="4"/>
  <c r="K14" i="1" s="1"/>
  <c r="N14" i="4"/>
  <c r="L14" i="1" s="1"/>
  <c r="L16" i="4"/>
  <c r="J16" i="1" s="1"/>
  <c r="M16" i="4"/>
  <c r="K16" i="1" s="1"/>
  <c r="N16" i="4"/>
  <c r="L16" i="1" s="1"/>
  <c r="L9" i="4"/>
  <c r="J9" i="1" s="1"/>
  <c r="M9" i="4"/>
  <c r="K9" i="1" s="1"/>
  <c r="N9" i="4"/>
  <c r="L9" i="1" s="1"/>
  <c r="L10" i="4"/>
  <c r="J10" i="1" s="1"/>
  <c r="M10" i="4"/>
  <c r="K10" i="1" s="1"/>
  <c r="N10" i="4"/>
  <c r="L10" i="1" s="1"/>
  <c r="J5" i="1"/>
  <c r="M5" i="4"/>
  <c r="N5" i="4"/>
  <c r="N4" i="7" l="1"/>
  <c r="Q4" i="7"/>
  <c r="T4" i="7"/>
  <c r="P3" i="7"/>
  <c r="M3" i="7"/>
  <c r="S3" i="7"/>
  <c r="U4" i="7"/>
  <c r="R4" i="7"/>
  <c r="O4" i="7"/>
  <c r="L4" i="7"/>
  <c r="M9" i="1"/>
  <c r="M4" i="7"/>
  <c r="S4" i="7"/>
  <c r="P4" i="7"/>
  <c r="N3" i="7"/>
  <c r="Q3" i="7"/>
  <c r="T3" i="7"/>
  <c r="J52" i="1"/>
  <c r="H19" i="1"/>
  <c r="T19" i="1" s="1"/>
  <c r="X19" i="1" s="1"/>
  <c r="X55" i="1"/>
  <c r="N9" i="1"/>
  <c r="T9" i="1"/>
  <c r="Q9" i="1"/>
  <c r="N58" i="1"/>
  <c r="O58" i="1"/>
  <c r="O10" i="1"/>
  <c r="R10" i="1"/>
  <c r="U10" i="1"/>
  <c r="O26" i="1"/>
  <c r="R26" i="1"/>
  <c r="U26" i="1"/>
  <c r="V58" i="1"/>
  <c r="M58" i="1"/>
  <c r="V59" i="1"/>
  <c r="M59" i="1"/>
  <c r="N10" i="1"/>
  <c r="T10" i="1"/>
  <c r="Q10" i="1"/>
  <c r="O57" i="1"/>
  <c r="P9" i="1"/>
  <c r="V9" i="1"/>
  <c r="S9" i="1"/>
  <c r="N26" i="1"/>
  <c r="T26" i="1"/>
  <c r="Q26" i="1"/>
  <c r="V26" i="1"/>
  <c r="M26" i="1"/>
  <c r="P26" i="1"/>
  <c r="S26" i="1"/>
  <c r="N57" i="1"/>
  <c r="V10" i="1"/>
  <c r="M10" i="1"/>
  <c r="S10" i="1"/>
  <c r="P10" i="1"/>
  <c r="O9" i="1"/>
  <c r="U9" i="1"/>
  <c r="R9" i="1"/>
  <c r="O59" i="1"/>
  <c r="V57" i="1"/>
  <c r="M57" i="1"/>
  <c r="Y55" i="1"/>
  <c r="V5" i="1"/>
  <c r="O63" i="1"/>
  <c r="R63" i="1"/>
  <c r="U63" i="1"/>
  <c r="V63" i="1"/>
  <c r="M63" i="1"/>
  <c r="S63" i="1"/>
  <c r="P63" i="1"/>
  <c r="N63" i="1"/>
  <c r="T63" i="1"/>
  <c r="Q63" i="1"/>
  <c r="R19" i="1"/>
  <c r="W55" i="1"/>
  <c r="Q19" i="1"/>
  <c r="Y53" i="1"/>
  <c r="X53" i="1"/>
  <c r="W53" i="1"/>
  <c r="X11" i="1"/>
  <c r="N17" i="1"/>
  <c r="D30" i="5" s="1"/>
  <c r="H14" i="2" s="1"/>
  <c r="Q17" i="1"/>
  <c r="T17" i="1"/>
  <c r="O17" i="1"/>
  <c r="E30" i="5" s="1"/>
  <c r="I14" i="2" s="1"/>
  <c r="R17" i="1"/>
  <c r="U17" i="1"/>
  <c r="V17" i="1"/>
  <c r="M17" i="1"/>
  <c r="C30" i="5" s="1"/>
  <c r="G14" i="2" s="1"/>
  <c r="P17" i="1"/>
  <c r="S17" i="1"/>
  <c r="O16" i="1"/>
  <c r="R16" i="1"/>
  <c r="U16" i="1"/>
  <c r="M16" i="1"/>
  <c r="V16" i="1"/>
  <c r="P16" i="1"/>
  <c r="S16" i="1"/>
  <c r="P19" i="1"/>
  <c r="N16" i="1"/>
  <c r="T16" i="1"/>
  <c r="Q16" i="1"/>
  <c r="D25" i="5"/>
  <c r="H9" i="2" s="1"/>
  <c r="N14" i="1"/>
  <c r="D21" i="5"/>
  <c r="H5" i="2" s="1"/>
  <c r="C25" i="5"/>
  <c r="G9" i="2" s="1"/>
  <c r="M14" i="1"/>
  <c r="V14" i="1"/>
  <c r="C21" i="5"/>
  <c r="G5" i="2" s="1"/>
  <c r="M19" i="1"/>
  <c r="N19" i="1"/>
  <c r="O14" i="1"/>
  <c r="E25" i="5"/>
  <c r="I9" i="2" s="1"/>
  <c r="E21" i="5"/>
  <c r="I5" i="2" s="1"/>
  <c r="O19" i="1"/>
  <c r="N64" i="1"/>
  <c r="Q64" i="1"/>
  <c r="T64" i="1"/>
  <c r="N60" i="1"/>
  <c r="Q60" i="1"/>
  <c r="T60" i="1"/>
  <c r="M60" i="1"/>
  <c r="S60" i="1"/>
  <c r="V60" i="1"/>
  <c r="P60" i="1"/>
  <c r="V64" i="1"/>
  <c r="M64" i="1"/>
  <c r="P64" i="1"/>
  <c r="S64" i="1"/>
  <c r="R64" i="1"/>
  <c r="O64" i="1"/>
  <c r="U64" i="1"/>
  <c r="O60" i="1"/>
  <c r="R60" i="1"/>
  <c r="U60" i="1"/>
  <c r="M28" i="1"/>
  <c r="V28" i="1"/>
  <c r="O28" i="1"/>
  <c r="N28" i="1"/>
  <c r="N18" i="1"/>
  <c r="Q18" i="1"/>
  <c r="T18" i="1"/>
  <c r="M18" i="1"/>
  <c r="V18" i="1"/>
  <c r="P18" i="1"/>
  <c r="S18" i="1"/>
  <c r="O18" i="1"/>
  <c r="U18" i="1"/>
  <c r="R18" i="1"/>
  <c r="W22" i="1"/>
  <c r="Y11" i="1"/>
  <c r="W11" i="1"/>
  <c r="X22" i="1"/>
  <c r="Y22" i="1"/>
  <c r="O61" i="1"/>
  <c r="R61" i="1"/>
  <c r="U61" i="1"/>
  <c r="N61" i="1"/>
  <c r="Q61" i="1"/>
  <c r="T61" i="1"/>
  <c r="M61" i="1"/>
  <c r="V61" i="1"/>
  <c r="P61" i="1"/>
  <c r="S61" i="1"/>
  <c r="R31" i="1"/>
  <c r="O31" i="1"/>
  <c r="U31" i="1"/>
  <c r="Q31" i="1"/>
  <c r="N31" i="1"/>
  <c r="T31" i="1"/>
  <c r="S31" i="1"/>
  <c r="M31" i="1"/>
  <c r="P31" i="1"/>
  <c r="V31" i="1"/>
  <c r="N56" i="1"/>
  <c r="T56" i="1"/>
  <c r="Q56" i="1"/>
  <c r="M56" i="1"/>
  <c r="V56" i="1"/>
  <c r="P56" i="1"/>
  <c r="S56" i="1"/>
  <c r="O56" i="1"/>
  <c r="U56" i="1"/>
  <c r="R56" i="1"/>
  <c r="U47" i="1"/>
  <c r="O47" i="1"/>
  <c r="R47" i="1"/>
  <c r="V47" i="1"/>
  <c r="S47" i="1"/>
  <c r="M47" i="1"/>
  <c r="P47" i="1"/>
  <c r="N47" i="1"/>
  <c r="T47" i="1"/>
  <c r="Q47" i="1"/>
  <c r="N43" i="1"/>
  <c r="Q43" i="1"/>
  <c r="T43" i="1"/>
  <c r="O45" i="1"/>
  <c r="R45" i="1"/>
  <c r="U45" i="1"/>
  <c r="V43" i="1"/>
  <c r="P43" i="1"/>
  <c r="M43" i="1"/>
  <c r="S43" i="1"/>
  <c r="N45" i="1"/>
  <c r="Q45" i="1"/>
  <c r="T45" i="1"/>
  <c r="R44" i="1"/>
  <c r="O44" i="1"/>
  <c r="U44" i="1"/>
  <c r="Q44" i="1"/>
  <c r="N44" i="1"/>
  <c r="T44" i="1"/>
  <c r="M45" i="1"/>
  <c r="V45" i="1"/>
  <c r="P45" i="1"/>
  <c r="S45" i="1"/>
  <c r="V44" i="1"/>
  <c r="M44" i="1"/>
  <c r="P44" i="1"/>
  <c r="S44" i="1"/>
  <c r="O43" i="1"/>
  <c r="U43" i="1"/>
  <c r="R43" i="1"/>
  <c r="P40" i="1"/>
  <c r="S40" i="1"/>
  <c r="M40" i="1"/>
  <c r="V40" i="1"/>
  <c r="U40" i="1"/>
  <c r="O40" i="1"/>
  <c r="R40" i="1"/>
  <c r="T40" i="1"/>
  <c r="N40" i="1"/>
  <c r="Q40" i="1"/>
  <c r="L52" i="1"/>
  <c r="K52" i="1"/>
  <c r="L5" i="1"/>
  <c r="K5" i="1"/>
  <c r="V4" i="7" l="1"/>
  <c r="W4" i="7"/>
  <c r="L3" i="7"/>
  <c r="U3" i="7"/>
  <c r="W3" i="7" s="1"/>
  <c r="W8" i="7" s="1"/>
  <c r="D27" i="8" s="1"/>
  <c r="D26" i="8" s="1"/>
  <c r="O3" i="7"/>
  <c r="R3" i="7"/>
  <c r="X4" i="7"/>
  <c r="U19" i="1"/>
  <c r="Y19" i="1" s="1"/>
  <c r="S19" i="1"/>
  <c r="W19" i="1" s="1"/>
  <c r="X16" i="1"/>
  <c r="W26" i="1"/>
  <c r="W9" i="1"/>
  <c r="Y10" i="1"/>
  <c r="W10" i="1"/>
  <c r="N52" i="1"/>
  <c r="Q52" i="1"/>
  <c r="T52" i="1"/>
  <c r="O52" i="1"/>
  <c r="R52" i="1"/>
  <c r="U52" i="1"/>
  <c r="V52" i="1"/>
  <c r="M52" i="1"/>
  <c r="P52" i="1"/>
  <c r="S52" i="1"/>
  <c r="X26" i="1"/>
  <c r="X10" i="1"/>
  <c r="X9" i="1"/>
  <c r="Y9" i="1"/>
  <c r="Y26" i="1"/>
  <c r="W63" i="1"/>
  <c r="Y63" i="1"/>
  <c r="X63" i="1"/>
  <c r="W31" i="1"/>
  <c r="X31" i="1"/>
  <c r="Y64" i="1"/>
  <c r="W64" i="1"/>
  <c r="W45" i="1"/>
  <c r="Y16" i="1"/>
  <c r="X17" i="1"/>
  <c r="W17" i="1"/>
  <c r="W16" i="1"/>
  <c r="W47" i="1"/>
  <c r="Y45" i="1"/>
  <c r="J14" i="2"/>
  <c r="N14" i="2"/>
  <c r="Y17" i="1"/>
  <c r="L14" i="2"/>
  <c r="K14" i="2"/>
  <c r="O14" i="2"/>
  <c r="L5" i="2"/>
  <c r="P5" i="2"/>
  <c r="L9" i="2"/>
  <c r="P9" i="2"/>
  <c r="J9" i="2"/>
  <c r="N9" i="2"/>
  <c r="K5" i="2"/>
  <c r="O5" i="2"/>
  <c r="K9" i="2"/>
  <c r="O9" i="2"/>
  <c r="J5" i="2"/>
  <c r="N5" i="2"/>
  <c r="W60" i="1"/>
  <c r="X60" i="1"/>
  <c r="Y60" i="1"/>
  <c r="X64" i="1"/>
  <c r="X40" i="1"/>
  <c r="Y40" i="1"/>
  <c r="W18" i="1"/>
  <c r="X45" i="1"/>
  <c r="Y31" i="1"/>
  <c r="W56" i="1"/>
  <c r="X18" i="1"/>
  <c r="Y18" i="1"/>
  <c r="X61" i="1"/>
  <c r="Y61" i="1"/>
  <c r="W61" i="1"/>
  <c r="X56" i="1"/>
  <c r="Y56" i="1"/>
  <c r="X47" i="1"/>
  <c r="Y47" i="1"/>
  <c r="Y44" i="1"/>
  <c r="W44" i="1"/>
  <c r="X43" i="1"/>
  <c r="X44" i="1"/>
  <c r="W43" i="1"/>
  <c r="Y43" i="1"/>
  <c r="W40" i="1"/>
  <c r="X3" i="7" l="1"/>
  <c r="X8" i="7" s="1"/>
  <c r="E27" i="8" s="1"/>
  <c r="E26" i="8" s="1"/>
  <c r="V3" i="7"/>
  <c r="Y52" i="1"/>
  <c r="W52" i="1"/>
  <c r="X52" i="1"/>
  <c r="D28" i="4"/>
  <c r="G29" i="4"/>
  <c r="D14" i="4"/>
  <c r="D6" i="4"/>
  <c r="E14" i="1" l="1"/>
  <c r="G14" i="1" s="1"/>
  <c r="E28" i="1"/>
  <c r="H28" i="1" s="1"/>
  <c r="E6" i="1"/>
  <c r="H6" i="1" s="1"/>
  <c r="L29" i="4"/>
  <c r="J29" i="1" s="1"/>
  <c r="N29" i="4"/>
  <c r="L29" i="1" s="1"/>
  <c r="M29" i="4"/>
  <c r="K29" i="1" s="1"/>
  <c r="M15" i="4"/>
  <c r="K15" i="1" s="1"/>
  <c r="N15" i="4"/>
  <c r="L15" i="1" s="1"/>
  <c r="L15" i="4"/>
  <c r="J15" i="1" s="1"/>
  <c r="G28" i="1" l="1"/>
  <c r="P28" i="1" s="1"/>
  <c r="G6" i="1"/>
  <c r="R6" i="1" s="1"/>
  <c r="H14" i="1"/>
  <c r="S14" i="1" s="1"/>
  <c r="W14" i="1" s="1"/>
  <c r="T6" i="1"/>
  <c r="X6" i="1" s="1"/>
  <c r="U6" i="1"/>
  <c r="Y6" i="1" s="1"/>
  <c r="S6" i="1"/>
  <c r="W6" i="1" s="1"/>
  <c r="U28" i="1"/>
  <c r="Y28" i="1" s="1"/>
  <c r="T28" i="1"/>
  <c r="X28" i="1" s="1"/>
  <c r="S28" i="1"/>
  <c r="W28" i="1" s="1"/>
  <c r="R14" i="1"/>
  <c r="P14" i="1"/>
  <c r="Q14" i="1"/>
  <c r="R15" i="1"/>
  <c r="O15" i="1"/>
  <c r="U15" i="1"/>
  <c r="N15" i="1"/>
  <c r="Q15" i="1"/>
  <c r="T15" i="1"/>
  <c r="P15" i="1"/>
  <c r="M15" i="1"/>
  <c r="V15" i="1"/>
  <c r="S15" i="1"/>
  <c r="N29" i="1"/>
  <c r="Q29" i="1"/>
  <c r="T29" i="1"/>
  <c r="O29" i="1"/>
  <c r="U29" i="1"/>
  <c r="R29" i="1"/>
  <c r="V29" i="1"/>
  <c r="M29" i="1"/>
  <c r="P29" i="1"/>
  <c r="S29" i="1"/>
  <c r="D5" i="1"/>
  <c r="D59" i="4"/>
  <c r="D58" i="4"/>
  <c r="D57" i="4"/>
  <c r="G21" i="4"/>
  <c r="G20" i="4"/>
  <c r="F20" i="4"/>
  <c r="D20" i="1" s="1"/>
  <c r="P6" i="1" l="1"/>
  <c r="Q6" i="1"/>
  <c r="T14" i="1"/>
  <c r="X14" i="1" s="1"/>
  <c r="W15" i="1"/>
  <c r="U14" i="1"/>
  <c r="Y14" i="1" s="1"/>
  <c r="Q28" i="1"/>
  <c r="R28" i="1"/>
  <c r="E59" i="1"/>
  <c r="G59" i="1" s="1"/>
  <c r="E57" i="1"/>
  <c r="H57" i="1" s="1"/>
  <c r="E58" i="1"/>
  <c r="G58" i="1" s="1"/>
  <c r="X15" i="1"/>
  <c r="O5" i="1"/>
  <c r="M5" i="1"/>
  <c r="N5" i="1"/>
  <c r="Y15" i="1"/>
  <c r="X29" i="1"/>
  <c r="Y29" i="1"/>
  <c r="W29" i="1"/>
  <c r="H20" i="1"/>
  <c r="G20" i="1"/>
  <c r="M21" i="4"/>
  <c r="K21" i="1" s="1"/>
  <c r="N21" i="4"/>
  <c r="L21" i="1" s="1"/>
  <c r="L21" i="4"/>
  <c r="J21" i="1" s="1"/>
  <c r="L20" i="4"/>
  <c r="J20" i="1" s="1"/>
  <c r="M20" i="4"/>
  <c r="K20" i="1" s="1"/>
  <c r="N20" i="4"/>
  <c r="L20" i="1" s="1"/>
  <c r="H58" i="1" l="1"/>
  <c r="T58" i="1" s="1"/>
  <c r="X58" i="1" s="1"/>
  <c r="G57" i="1"/>
  <c r="P57" i="1" s="1"/>
  <c r="H59" i="1"/>
  <c r="S59" i="1" s="1"/>
  <c r="W59" i="1" s="1"/>
  <c r="T57" i="1"/>
  <c r="X57" i="1" s="1"/>
  <c r="U57" i="1"/>
  <c r="Y57" i="1" s="1"/>
  <c r="S57" i="1"/>
  <c r="W57" i="1" s="1"/>
  <c r="Q59" i="1"/>
  <c r="R59" i="1"/>
  <c r="P59" i="1"/>
  <c r="P58" i="1"/>
  <c r="R58" i="1"/>
  <c r="Q58" i="1"/>
  <c r="O21" i="1"/>
  <c r="R21" i="1"/>
  <c r="U21" i="1"/>
  <c r="Q21" i="1"/>
  <c r="N21" i="1"/>
  <c r="T21" i="1"/>
  <c r="M21" i="1"/>
  <c r="V21" i="1"/>
  <c r="S21" i="1"/>
  <c r="P21" i="1"/>
  <c r="O20" i="1"/>
  <c r="U20" i="1"/>
  <c r="R20" i="1"/>
  <c r="N20" i="1"/>
  <c r="Q20" i="1"/>
  <c r="T20" i="1"/>
  <c r="P20" i="1"/>
  <c r="M20" i="1"/>
  <c r="V20" i="1"/>
  <c r="S20" i="1"/>
  <c r="E23" i="5"/>
  <c r="I7" i="2" s="1"/>
  <c r="L7" i="2" s="1"/>
  <c r="D23" i="5"/>
  <c r="H7" i="2" s="1"/>
  <c r="K7" i="2" s="1"/>
  <c r="C24" i="5"/>
  <c r="G8" i="2" s="1"/>
  <c r="J8" i="2" s="1"/>
  <c r="C23" i="5"/>
  <c r="G7" i="2" s="1"/>
  <c r="J7" i="2" s="1"/>
  <c r="S58" i="1" l="1"/>
  <c r="W58" i="1" s="1"/>
  <c r="R57" i="1"/>
  <c r="U58" i="1"/>
  <c r="Y58" i="1" s="1"/>
  <c r="Q57" i="1"/>
  <c r="T59" i="1"/>
  <c r="X59" i="1" s="1"/>
  <c r="U59" i="1"/>
  <c r="Y59" i="1" s="1"/>
  <c r="X20" i="1"/>
  <c r="W20" i="1"/>
  <c r="Y20" i="1"/>
  <c r="X21" i="1"/>
  <c r="Y21" i="1"/>
  <c r="W21" i="1"/>
  <c r="N8" i="2"/>
  <c r="N7" i="2"/>
  <c r="O7" i="2"/>
  <c r="P7" i="2"/>
  <c r="L41" i="4"/>
  <c r="J41" i="1" s="1"/>
  <c r="M41" i="4"/>
  <c r="K41" i="1" s="1"/>
  <c r="N41" i="4"/>
  <c r="L41" i="1" s="1"/>
  <c r="E5" i="1"/>
  <c r="H5" i="1" s="1"/>
  <c r="V41" i="1" l="1"/>
  <c r="M41" i="1"/>
  <c r="P41" i="1"/>
  <c r="S41" i="1"/>
  <c r="R41" i="1"/>
  <c r="O41" i="1"/>
  <c r="U41" i="1"/>
  <c r="Q41" i="1"/>
  <c r="N41" i="1"/>
  <c r="T41" i="1"/>
  <c r="G50" i="4"/>
  <c r="G5" i="1"/>
  <c r="L49" i="4"/>
  <c r="J49" i="1" s="1"/>
  <c r="M49" i="4"/>
  <c r="K49" i="1" s="1"/>
  <c r="N49" i="4"/>
  <c r="L49" i="1" s="1"/>
  <c r="G51" i="4"/>
  <c r="P5" i="1" l="1"/>
  <c r="Q5" i="1"/>
  <c r="R5" i="1"/>
  <c r="X41" i="1"/>
  <c r="Y41" i="1"/>
  <c r="W41" i="1"/>
  <c r="S5" i="1"/>
  <c r="T5" i="1"/>
  <c r="U5" i="1"/>
  <c r="O49" i="1"/>
  <c r="R49" i="1"/>
  <c r="U49" i="1"/>
  <c r="V49" i="1"/>
  <c r="M49" i="1"/>
  <c r="P49" i="1"/>
  <c r="S49" i="1"/>
  <c r="N49" i="1"/>
  <c r="Q49" i="1"/>
  <c r="T49" i="1"/>
  <c r="N50" i="4"/>
  <c r="L50" i="1" s="1"/>
  <c r="L50" i="4"/>
  <c r="J50" i="1" s="1"/>
  <c r="M50" i="4"/>
  <c r="K50" i="1" s="1"/>
  <c r="L51" i="4"/>
  <c r="J51" i="1" s="1"/>
  <c r="M51" i="4"/>
  <c r="K51" i="1" s="1"/>
  <c r="N51" i="4"/>
  <c r="L51" i="1" s="1"/>
  <c r="M67" i="4"/>
  <c r="K67" i="1" s="1"/>
  <c r="N67" i="4"/>
  <c r="L67" i="1" s="1"/>
  <c r="L67" i="4"/>
  <c r="J67" i="1" s="1"/>
  <c r="S67" i="1" s="1"/>
  <c r="D24" i="5"/>
  <c r="H8" i="2" s="1"/>
  <c r="K8" i="2" s="1"/>
  <c r="W5" i="1" l="1"/>
  <c r="W49" i="1"/>
  <c r="O8" i="2"/>
  <c r="U51" i="1"/>
  <c r="R51" i="1"/>
  <c r="O51" i="1"/>
  <c r="Y49" i="1"/>
  <c r="N51" i="1"/>
  <c r="T51" i="1"/>
  <c r="Q51" i="1"/>
  <c r="N50" i="1"/>
  <c r="T50" i="1"/>
  <c r="Q50" i="1"/>
  <c r="O50" i="1"/>
  <c r="R50" i="1"/>
  <c r="AE16" i="1" s="1"/>
  <c r="U50" i="1"/>
  <c r="X49" i="1"/>
  <c r="M51" i="1"/>
  <c r="V51" i="1"/>
  <c r="S51" i="1"/>
  <c r="P51" i="1"/>
  <c r="V50" i="1"/>
  <c r="M50" i="1"/>
  <c r="P50" i="1"/>
  <c r="P68" i="1" s="1"/>
  <c r="S50" i="1"/>
  <c r="O67" i="1"/>
  <c r="R67" i="1"/>
  <c r="U67" i="1"/>
  <c r="P67" i="1"/>
  <c r="AC17" i="1" s="1"/>
  <c r="V67" i="1"/>
  <c r="M67" i="1"/>
  <c r="M68" i="1" s="1"/>
  <c r="AC5" i="1" s="1"/>
  <c r="Q67" i="1"/>
  <c r="N67" i="1"/>
  <c r="T67" i="1"/>
  <c r="E24" i="5"/>
  <c r="I8" i="2" s="1"/>
  <c r="L8" i="2" s="1"/>
  <c r="Q68" i="1" l="1"/>
  <c r="O68" i="1"/>
  <c r="N68" i="1"/>
  <c r="R68" i="1"/>
  <c r="P70" i="1" s="1"/>
  <c r="T68" i="1"/>
  <c r="S68" i="1"/>
  <c r="U68" i="1"/>
  <c r="V68" i="1"/>
  <c r="AD17" i="1"/>
  <c r="AD16" i="1"/>
  <c r="AE17" i="1"/>
  <c r="AC16" i="1"/>
  <c r="Y50" i="1"/>
  <c r="W50" i="1"/>
  <c r="X50" i="1"/>
  <c r="X67" i="1"/>
  <c r="Y67" i="1"/>
  <c r="W67" i="1"/>
  <c r="P8" i="2"/>
  <c r="X51" i="1"/>
  <c r="W51" i="1"/>
  <c r="Y51" i="1"/>
  <c r="D26" i="5"/>
  <c r="H10" i="2" s="1"/>
  <c r="K10" i="2" s="1"/>
  <c r="E22" i="5"/>
  <c r="I6" i="2" s="1"/>
  <c r="L6" i="2" s="1"/>
  <c r="D22" i="5"/>
  <c r="H6" i="2" s="1"/>
  <c r="K6" i="2" s="1"/>
  <c r="E26" i="5"/>
  <c r="I10" i="2" s="1"/>
  <c r="L10" i="2" s="1"/>
  <c r="C22" i="5"/>
  <c r="G6" i="2" s="1"/>
  <c r="J6" i="2" s="1"/>
  <c r="C26" i="5"/>
  <c r="G10" i="2" s="1"/>
  <c r="J10" i="2" s="1"/>
  <c r="D28" i="5"/>
  <c r="H12" i="2" s="1"/>
  <c r="K12" i="2" s="1"/>
  <c r="E28" i="5"/>
  <c r="I12" i="2" s="1"/>
  <c r="L12" i="2" s="1"/>
  <c r="D29" i="5"/>
  <c r="H13" i="2" s="1"/>
  <c r="K13" i="2" s="1"/>
  <c r="E29" i="5"/>
  <c r="I13" i="2" s="1"/>
  <c r="L13" i="2" s="1"/>
  <c r="D32" i="5"/>
  <c r="H16" i="2" s="1"/>
  <c r="K16" i="2" s="1"/>
  <c r="E32" i="5"/>
  <c r="I16" i="2" s="1"/>
  <c r="L16" i="2" s="1"/>
  <c r="E27" i="5"/>
  <c r="I11" i="2" s="1"/>
  <c r="L11" i="2" s="1"/>
  <c r="D27" i="5"/>
  <c r="H11" i="2" s="1"/>
  <c r="K11" i="2" s="1"/>
  <c r="W68" i="1" l="1"/>
  <c r="AF17" i="1"/>
  <c r="AF16" i="1"/>
  <c r="AE5" i="2"/>
  <c r="O12" i="2"/>
  <c r="Y12" i="2"/>
  <c r="O11" i="2"/>
  <c r="P11" i="2"/>
  <c r="X16" i="2"/>
  <c r="O16" i="2"/>
  <c r="O13" i="2"/>
  <c r="O6" i="2"/>
  <c r="N10" i="2"/>
  <c r="Y10" i="2"/>
  <c r="P6" i="2"/>
  <c r="O10" i="2"/>
  <c r="N6" i="2"/>
  <c r="N18" i="2" s="1"/>
  <c r="W6" i="2"/>
  <c r="AF5" i="1"/>
  <c r="Y11" i="2"/>
  <c r="O18" i="2" l="1"/>
  <c r="P18" i="2"/>
  <c r="AF6" i="1"/>
  <c r="F12" i="8"/>
  <c r="F20" i="8" s="1"/>
  <c r="X13" i="2"/>
  <c r="X10" i="2"/>
  <c r="W10" i="2"/>
  <c r="W13" i="2"/>
  <c r="W11" i="2"/>
  <c r="X15" i="2"/>
  <c r="W9" i="2"/>
  <c r="W15" i="2"/>
  <c r="Y9" i="2"/>
  <c r="W16" i="2"/>
  <c r="X9" i="2"/>
  <c r="W12" i="2"/>
  <c r="Y15" i="2"/>
  <c r="X14" i="2"/>
  <c r="Y14" i="2"/>
  <c r="W14" i="2"/>
  <c r="X5" i="2"/>
  <c r="Y5" i="2"/>
  <c r="W5" i="2"/>
  <c r="W8" i="2"/>
  <c r="Y7" i="2"/>
  <c r="W7" i="2"/>
  <c r="X7" i="2"/>
  <c r="X8" i="2"/>
  <c r="Y8" i="2"/>
  <c r="Y16" i="2"/>
  <c r="Y13" i="2"/>
  <c r="Y6" i="2"/>
  <c r="X6" i="2"/>
  <c r="X11" i="2"/>
  <c r="X12" i="2"/>
  <c r="AC7" i="1"/>
  <c r="C14" i="8" s="1"/>
  <c r="C22" i="8" s="1"/>
  <c r="AC6" i="1"/>
  <c r="C12" i="8"/>
  <c r="C20" i="8" s="1"/>
  <c r="V69" i="1"/>
  <c r="V70" i="1"/>
  <c r="AE7" i="2"/>
  <c r="AE6" i="2"/>
  <c r="F25" i="2"/>
  <c r="F24" i="2"/>
  <c r="U17" i="2" l="1"/>
  <c r="V17" i="2"/>
  <c r="T17" i="2"/>
  <c r="Q17" i="2"/>
  <c r="Q9" i="2"/>
  <c r="Q11" i="2"/>
  <c r="R17" i="2"/>
  <c r="AA17" i="2" s="1"/>
  <c r="S17" i="2"/>
  <c r="AB17" i="2" s="1"/>
  <c r="C13" i="8"/>
  <c r="C21" i="8" s="1"/>
  <c r="AC8" i="1"/>
  <c r="AE8" i="2"/>
  <c r="AF7" i="1"/>
  <c r="F13" i="8"/>
  <c r="F21" i="8" s="1"/>
  <c r="V11" i="2"/>
  <c r="T15" i="2"/>
  <c r="V16" i="2"/>
  <c r="V12" i="2"/>
  <c r="U15" i="2"/>
  <c r="T16" i="2"/>
  <c r="T13" i="2"/>
  <c r="V15" i="2"/>
  <c r="T11" i="2"/>
  <c r="U13" i="2"/>
  <c r="U12" i="2"/>
  <c r="T12" i="2"/>
  <c r="V13" i="2"/>
  <c r="U11" i="2"/>
  <c r="U16" i="2"/>
  <c r="V9" i="2"/>
  <c r="U9" i="2"/>
  <c r="T9" i="2"/>
  <c r="T14" i="2"/>
  <c r="U14" i="2"/>
  <c r="V14" i="2"/>
  <c r="T5" i="2"/>
  <c r="T18" i="2" s="1"/>
  <c r="V5" i="2"/>
  <c r="V18" i="2" s="1"/>
  <c r="U5" i="2"/>
  <c r="T8" i="2"/>
  <c r="T7" i="2"/>
  <c r="U7" i="2"/>
  <c r="V7" i="2"/>
  <c r="U8" i="2"/>
  <c r="V8" i="2"/>
  <c r="U6" i="2"/>
  <c r="U10" i="2"/>
  <c r="T10" i="2"/>
  <c r="V6" i="2"/>
  <c r="T6" i="2"/>
  <c r="V10" i="2"/>
  <c r="S15" i="2"/>
  <c r="R11" i="2"/>
  <c r="Q12" i="2"/>
  <c r="R16" i="2"/>
  <c r="S11" i="2"/>
  <c r="R12" i="2"/>
  <c r="Q13" i="2"/>
  <c r="S12" i="2"/>
  <c r="R13" i="2"/>
  <c r="Q15" i="2"/>
  <c r="S13" i="2"/>
  <c r="R15" i="2"/>
  <c r="Q16" i="2"/>
  <c r="S16" i="2"/>
  <c r="S9" i="2"/>
  <c r="R9" i="2"/>
  <c r="Q14" i="2"/>
  <c r="S14" i="2"/>
  <c r="R14" i="2"/>
  <c r="Q5" i="2"/>
  <c r="S5" i="2"/>
  <c r="R5" i="2"/>
  <c r="S7" i="2"/>
  <c r="Q8" i="2"/>
  <c r="R7" i="2"/>
  <c r="Q7" i="2"/>
  <c r="R8" i="2"/>
  <c r="S8" i="2"/>
  <c r="R10" i="2"/>
  <c r="Q6" i="2"/>
  <c r="S10" i="2"/>
  <c r="Q10" i="2"/>
  <c r="S6" i="2"/>
  <c r="R6" i="2"/>
  <c r="AD5" i="1"/>
  <c r="AD6" i="1"/>
  <c r="D13" i="8" s="1"/>
  <c r="D21" i="8" s="1"/>
  <c r="M69" i="1"/>
  <c r="M70" i="1"/>
  <c r="Z17" i="2" l="1"/>
  <c r="U18" i="2"/>
  <c r="R18" i="2"/>
  <c r="Q18" i="2"/>
  <c r="S18" i="2"/>
  <c r="C15" i="8"/>
  <c r="D12" i="8"/>
  <c r="D20" i="8" s="1"/>
  <c r="AF8" i="1"/>
  <c r="F14" i="8"/>
  <c r="F22" i="8" s="1"/>
  <c r="AA14" i="2"/>
  <c r="AB6" i="2"/>
  <c r="Z7" i="2"/>
  <c r="Z10" i="2"/>
  <c r="Z8" i="2"/>
  <c r="AB15" i="2"/>
  <c r="Z13" i="2"/>
  <c r="Z16" i="2"/>
  <c r="AB9" i="2"/>
  <c r="AB8" i="2"/>
  <c r="Z5" i="2"/>
  <c r="AB11" i="2"/>
  <c r="Z15" i="2"/>
  <c r="AA11" i="2"/>
  <c r="AA5" i="2"/>
  <c r="AA16" i="2"/>
  <c r="AA6" i="2"/>
  <c r="AA13" i="2"/>
  <c r="AA9" i="2"/>
  <c r="AB12" i="2"/>
  <c r="Z9" i="2"/>
  <c r="Z11" i="2"/>
  <c r="AA8" i="2"/>
  <c r="Z12" i="2"/>
  <c r="AB13" i="2"/>
  <c r="Z14" i="2"/>
  <c r="AA15" i="2"/>
  <c r="AB14" i="2"/>
  <c r="AA7" i="2"/>
  <c r="AB10" i="2"/>
  <c r="AB7" i="2"/>
  <c r="Z6" i="2"/>
  <c r="AA10" i="2"/>
  <c r="AB5" i="2"/>
  <c r="AB16" i="2"/>
  <c r="AA12" i="2"/>
  <c r="P69" i="1"/>
  <c r="AD7" i="1"/>
  <c r="AD8" i="1" s="1"/>
  <c r="Z18" i="2" l="1"/>
  <c r="AF5" i="2" s="1"/>
  <c r="AA18" i="2"/>
  <c r="AF6" i="2" s="1"/>
  <c r="AB18" i="2"/>
  <c r="AF7" i="2" s="1"/>
  <c r="F15" i="8"/>
  <c r="AF9" i="1"/>
  <c r="AD9" i="1"/>
  <c r="D14" i="8"/>
  <c r="D22" i="8" s="1"/>
  <c r="AE7" i="1"/>
  <c r="E14" i="8" s="1"/>
  <c r="E22" i="8" s="1"/>
  <c r="AE5" i="1"/>
  <c r="E12" i="8" s="1"/>
  <c r="E20" i="8" s="1"/>
  <c r="AE6" i="1"/>
  <c r="E13" i="8" s="1"/>
  <c r="E21" i="8" s="1"/>
  <c r="Y5" i="1"/>
  <c r="Y68" i="1" s="1"/>
  <c r="X5" i="1"/>
  <c r="X68" i="1" s="1"/>
  <c r="D15" i="8" l="1"/>
  <c r="AF8" i="2"/>
  <c r="AG5" i="1"/>
  <c r="AE8" i="1"/>
  <c r="E15" i="8" s="1"/>
  <c r="Z19" i="2"/>
  <c r="S69" i="1"/>
  <c r="S70" i="1"/>
  <c r="G12" i="8" l="1"/>
  <c r="G20" i="8" s="1"/>
  <c r="AG7" i="1"/>
  <c r="G14" i="8" s="1"/>
  <c r="G22" i="8" s="1"/>
  <c r="W69" i="1"/>
  <c r="AG6" i="1"/>
  <c r="W70" i="1"/>
  <c r="AE9" i="1"/>
  <c r="T19" i="2"/>
  <c r="W19" i="2"/>
  <c r="J20" i="2"/>
  <c r="Q19" i="2"/>
  <c r="AG8" i="1" l="1"/>
  <c r="AG9" i="1" s="1"/>
  <c r="G13" i="8"/>
  <c r="G21" i="8" s="1"/>
  <c r="Q20" i="2"/>
  <c r="J19" i="2"/>
  <c r="W20" i="2"/>
  <c r="T20" i="2"/>
  <c r="N19" i="2"/>
  <c r="Z20" i="2"/>
  <c r="N20" i="2"/>
  <c r="AF10" i="2" l="1"/>
  <c r="G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Garfinkel, Johanna</author>
    <author>Golla, Emily</author>
  </authors>
  <commentList>
    <comment ref="Q5" authorId="0" shapeId="0" xr:uid="{A314851D-EA69-4D5A-A2F7-614D0A3F16C9}">
      <text>
        <r>
          <rPr>
            <b/>
            <sz val="9"/>
            <color indexed="81"/>
            <rFont val="Tahoma"/>
            <family val="2"/>
          </rPr>
          <t>$37.50</t>
        </r>
        <r>
          <rPr>
            <sz val="9"/>
            <color indexed="81"/>
            <rFont val="Tahoma"/>
            <family val="2"/>
          </rPr>
          <t xml:space="preserve"> is the hourly wage rate for professional and related persons, derived from Bureau of Labor Statistics Occupational Outlook Handbook, September, 2023.
https://www.bls.gov/ooh/business-and-financial/accountants-and-auditors.htm
The rate was then increase by 110% for fringe and benefit.</t>
        </r>
      </text>
    </comment>
    <comment ref="R5" authorId="1" shapeId="0" xr:uid="{3F389D51-A62B-4636-8F6F-5D4186F92145}">
      <text>
        <r>
          <rPr>
            <b/>
            <sz val="9"/>
            <color indexed="81"/>
            <rFont val="Tahoma"/>
            <family val="2"/>
          </rPr>
          <t>ICF:</t>
        </r>
        <r>
          <rPr>
            <sz val="9"/>
            <color indexed="81"/>
            <rFont val="Tahoma"/>
            <family val="2"/>
          </rPr>
          <t xml:space="preserve">
National Refrigerants estimated that an audit would require a total of 160 hours for the auditors. Assuming this is on the higher end, we estimate that an audit would take, on average, 80 hours. </t>
        </r>
      </text>
    </comment>
    <comment ref="V5" authorId="0" shapeId="0" xr:uid="{EAC17E5B-368F-49EA-9A4F-5B8DCA1D4734}">
      <text>
        <r>
          <rPr>
            <b/>
            <sz val="9"/>
            <color indexed="81"/>
            <rFont val="Tahoma"/>
            <family val="2"/>
          </rPr>
          <t>ICF:</t>
        </r>
        <r>
          <rPr>
            <sz val="9"/>
            <color indexed="81"/>
            <rFont val="Tahoma"/>
            <family val="2"/>
          </rPr>
          <t xml:space="preserve">
Provided by EPA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Emily Golla</author>
  </authors>
  <commentList>
    <comment ref="B73" authorId="0" shapeId="0" xr:uid="{3CDCB16F-DA31-4FEE-922F-55DF233D3D7C}">
      <text>
        <r>
          <rPr>
            <b/>
            <sz val="9"/>
            <color indexed="81"/>
            <rFont val="Tahoma"/>
            <family val="2"/>
          </rPr>
          <t xml:space="preserve">$69.52 </t>
        </r>
        <r>
          <rPr>
            <sz val="9"/>
            <color indexed="81"/>
            <rFont val="Tahoma"/>
            <family val="2"/>
          </rPr>
          <t>is the hourly wage rate for professional and related persons, derived from Bureau of Labor Statistics Employer Cost and Employee Compensation Table 2 (“Civilian workers by occupational and industry group”), September, 2024.
https://www.bls.gov/news.release/pdf/ecec.pdf
The rate was then increase by 110% for fringe and benefit.</t>
        </r>
      </text>
    </comment>
    <comment ref="B74" authorId="0" shapeId="0" xr:uid="{21543C01-7E99-4728-AD60-0AFDEBD51617}">
      <text>
        <r>
          <rPr>
            <b/>
            <sz val="9"/>
            <color indexed="81"/>
            <rFont val="Tahoma"/>
            <family val="2"/>
          </rPr>
          <t xml:space="preserve">$50.44 </t>
        </r>
        <r>
          <rPr>
            <sz val="9"/>
            <color indexed="81"/>
            <rFont val="Tahoma"/>
            <family val="2"/>
          </rPr>
          <t>is the hourly wage rate for administrative services and facilities managers, derived from Bureau of Labor Statistics Occupational Outlook Handbook, August, 2024.
https://www.bls.gov/ooh/management/administrative-services-managers.htm
The rate was then increase by 110% for fringe and benefit.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Emily Golla</author>
  </authors>
  <commentList>
    <comment ref="A11" authorId="0" shapeId="0" xr:uid="{7976CFA3-A1A0-4F7F-80CF-A070592220B0}">
      <text>
        <r>
          <rPr>
            <b/>
            <sz val="9"/>
            <color indexed="81"/>
            <rFont val="Tahoma"/>
            <family val="2"/>
          </rPr>
          <t>$69.52</t>
        </r>
        <r>
          <rPr>
            <sz val="9"/>
            <color indexed="81"/>
            <rFont val="Tahoma"/>
            <family val="2"/>
          </rPr>
          <t xml:space="preserve"> is the hourly wage rate for professional and related persons, derived from Bureau of Labor Statistics Employer Cost and Employee Compensation Table 2 (“Civilian workers by occupational and industry group”), September, 2024.
https://www.bls.gov/news.release/pdf/ecec.pdf
The rate was then increase by 110% for fringe and benefit.</t>
        </r>
      </text>
    </comment>
    <comment ref="A12" authorId="0" shapeId="0" xr:uid="{DEA49BA0-44B0-41D7-92B0-6772BE743F21}">
      <text>
        <r>
          <rPr>
            <b/>
            <sz val="9"/>
            <color indexed="81"/>
            <rFont val="Tahoma"/>
            <family val="2"/>
          </rPr>
          <t xml:space="preserve">$50.44 </t>
        </r>
        <r>
          <rPr>
            <sz val="9"/>
            <color indexed="81"/>
            <rFont val="Tahoma"/>
            <family val="2"/>
          </rPr>
          <t>is the hourly wage rate for administrative services and facilities managers, derived from Bureau of Labor Statistics Occupational Outlook Handbook, August, 2024.
https://www.bls.gov/ooh/management/administrative-services-managers.htm
The rate was then increase by 110% for fringe and benefit.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ICF</author>
    <author>Lauren Flinn</author>
    <author>Bremner, Cecilia</author>
    <author>Christine Wrublesky</author>
  </authors>
  <commentList>
    <comment ref="C23" authorId="0" shapeId="0" xr:uid="{DAEEA31C-515C-403A-941C-53E803D29A87}">
      <text>
        <r>
          <rPr>
            <sz val="9"/>
            <color indexed="81"/>
            <rFont val="Tahoma"/>
            <family val="2"/>
          </rPr>
          <t>From 2025 OPM hourly base pay table for DC region: 
https://www.opm.gov/policy-data-oversight/pay-leave/salaries-wages/salary-tables/25Tables/html/DCB_h.aspx</t>
        </r>
      </text>
    </comment>
    <comment ref="E23" authorId="1" shapeId="0" xr:uid="{502EBCA6-99A2-4228-8D41-EFB7BBEC0875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C24" authorId="0" shapeId="0" xr:uid="{EB7BCC4D-9D18-41A3-9773-4BFAC10EAC94}">
      <text>
        <r>
          <rPr>
            <sz val="9"/>
            <color indexed="81"/>
            <rFont val="Tahoma"/>
            <family val="2"/>
          </rPr>
          <t>From 2025 OPM hourly base pay table for DC region: 
https://www.opm.gov/policy-data-oversight/pay-leave/salaries-wages/salary-tables/25Tables/html/DCB_h.aspx</t>
        </r>
      </text>
    </comment>
    <comment ref="E24" authorId="1" shapeId="0" xr:uid="{74E9DA73-832D-4A95-BF5F-286FA0F1E942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C25" authorId="2" shapeId="0" xr:uid="{83827669-47DF-4DFC-A7FE-5B237FDED326}">
      <text>
        <r>
          <rPr>
            <sz val="9"/>
            <color indexed="81"/>
            <rFont val="Tahoma"/>
            <family val="2"/>
          </rPr>
          <t>From 2025 OPM hourly base pay table for DC region: 
https://www.opm.gov/policy-data-oversight/pay-leave/salaries-wages/salary-tables/25Tables/html/DCB_h.aspx</t>
        </r>
      </text>
    </comment>
    <comment ref="E25" authorId="1" shapeId="0" xr:uid="{84861048-8077-4E6F-A36B-92FF6C02F6D2}">
      <text>
        <r>
          <rPr>
            <sz val="8"/>
            <color indexed="81"/>
            <rFont val="Tahoma"/>
            <family val="2"/>
          </rPr>
          <t>Standard Government Benefits Multiplier</t>
        </r>
      </text>
    </comment>
    <comment ref="F26" authorId="3" shapeId="0" xr:uid="{5A0EF5FF-CEC9-42A0-A380-1D6A9ABA82D6}">
      <text>
        <r>
          <rPr>
            <sz val="10"/>
            <color indexed="81"/>
            <rFont val="Tahoma"/>
            <family val="2"/>
          </rPr>
          <t>Source: Based on average hourly rate for Senior Technical Analyst III and Consultant I under EPA contract 68HERH19D0029 (contract period 5)</t>
        </r>
      </text>
    </comment>
  </commentList>
</comments>
</file>

<file path=xl/sharedStrings.xml><?xml version="1.0" encoding="utf-8"?>
<sst xmlns="http://schemas.openxmlformats.org/spreadsheetml/2006/main" count="466" uniqueCount="255">
  <si>
    <t>Quarterly Reports</t>
  </si>
  <si>
    <t>Number of unique facilities/companies</t>
  </si>
  <si>
    <t>Producer</t>
  </si>
  <si>
    <t>Imports</t>
  </si>
  <si>
    <t>Exports</t>
  </si>
  <si>
    <t>Exports (non-Importers)</t>
  </si>
  <si>
    <t>Reclamation</t>
  </si>
  <si>
    <t>Fire Suppression</t>
  </si>
  <si>
    <t>Biannual Reports</t>
  </si>
  <si>
    <t>App-specific Allowance Holder</t>
  </si>
  <si>
    <t>One-Time Reports</t>
  </si>
  <si>
    <t>Destruction</t>
  </si>
  <si>
    <t>Transformation</t>
  </si>
  <si>
    <t>Process Agent</t>
  </si>
  <si>
    <t>Production</t>
  </si>
  <si>
    <t>As Needed Reports</t>
  </si>
  <si>
    <t>Number of Reports</t>
  </si>
  <si>
    <t>Months of Activity</t>
  </si>
  <si>
    <t>Average Reports/Company/Year</t>
  </si>
  <si>
    <t>Transfers</t>
  </si>
  <si>
    <t>Conferrals (Suppliers)</t>
  </si>
  <si>
    <t>Conferrals (App-specific Allowance Holders)</t>
  </si>
  <si>
    <t>RACA</t>
  </si>
  <si>
    <t>Petitions</t>
  </si>
  <si>
    <t>Transhipments</t>
  </si>
  <si>
    <t>Source: HFC Submission Summary Report (2.14.23)</t>
  </si>
  <si>
    <t>Respondent Burden Assumptions</t>
  </si>
  <si>
    <t>Respondents per Year</t>
  </si>
  <si>
    <t>Audit Costs</t>
  </si>
  <si>
    <t>ACE Report Burden Assumptions</t>
  </si>
  <si>
    <t>Respondent Type</t>
  </si>
  <si>
    <t>Acitvity</t>
  </si>
  <si>
    <t>Technical Hours per Response</t>
  </si>
  <si>
    <t>Clerical Hours per Response</t>
  </si>
  <si>
    <t>Responses per Year</t>
  </si>
  <si>
    <t>Maximum Respondents per Acitvity</t>
  </si>
  <si>
    <t>Basis for Assumptions</t>
  </si>
  <si>
    <r>
      <t>Y1 (202</t>
    </r>
    <r>
      <rPr>
        <b/>
        <sz val="9"/>
        <color rgb="FFFF0000"/>
        <rFont val="Times New Roman"/>
        <family val="1"/>
      </rPr>
      <t>6</t>
    </r>
    <r>
      <rPr>
        <b/>
        <sz val="9"/>
        <color theme="1"/>
        <rFont val="Times New Roman"/>
        <family val="1"/>
      </rPr>
      <t>)</t>
    </r>
  </si>
  <si>
    <r>
      <t>Y2 (202</t>
    </r>
    <r>
      <rPr>
        <b/>
        <sz val="9"/>
        <color rgb="FFFF0000"/>
        <rFont val="Times New Roman"/>
        <family val="1"/>
      </rPr>
      <t>7</t>
    </r>
    <r>
      <rPr>
        <b/>
        <sz val="9"/>
        <color theme="1"/>
        <rFont val="Times New Roman"/>
        <family val="1"/>
      </rPr>
      <t>)</t>
    </r>
  </si>
  <si>
    <r>
      <t>Y3 (202</t>
    </r>
    <r>
      <rPr>
        <b/>
        <sz val="9"/>
        <color rgb="FFFF0000"/>
        <rFont val="Times New Roman"/>
        <family val="1"/>
      </rPr>
      <t>8</t>
    </r>
    <r>
      <rPr>
        <b/>
        <sz val="9"/>
        <color theme="1"/>
        <rFont val="Times New Roman"/>
        <family val="1"/>
      </rPr>
      <t>)</t>
    </r>
  </si>
  <si>
    <t>Auditor Labor Rate ($)</t>
  </si>
  <si>
    <t>Auditor Time (hours)</t>
  </si>
  <si>
    <t>Total Cost to Respondent ($)</t>
  </si>
  <si>
    <t>Respondent</t>
  </si>
  <si>
    <t>Total Annual Shipments</t>
  </si>
  <si>
    <t>Total Respondents</t>
  </si>
  <si>
    <t>Responses/Respondent</t>
  </si>
  <si>
    <t>Time per Response</t>
  </si>
  <si>
    <t>Unit of Response Time</t>
  </si>
  <si>
    <t>Time per Response (hours)</t>
  </si>
  <si>
    <t>HFC Producer</t>
  </si>
  <si>
    <t>Submit one-time producer report</t>
  </si>
  <si>
    <t>Assumes up to one response per year to account for revisions or new production facilities.</t>
  </si>
  <si>
    <t>Importer</t>
  </si>
  <si>
    <t>Minutes</t>
  </si>
  <si>
    <t>Submit quarterly report</t>
  </si>
  <si>
    <t>Number of facilities based on HFC 2022 report submissions</t>
  </si>
  <si>
    <t>Submit annual inventory report (part of quarterly report)</t>
  </si>
  <si>
    <t>Maintain records</t>
  </si>
  <si>
    <t>Submit annual HFC-23 emissions report</t>
  </si>
  <si>
    <t>Burden estimate for reporting to eGGRT under subpart O from GHGRP ICR 2019 renewal; Respndents based on eGGRT subpart O reporting</t>
  </si>
  <si>
    <t>Submit HFC-23 proof of destruction</t>
  </si>
  <si>
    <t>Provide certification to third party (conferrer)</t>
  </si>
  <si>
    <t>Based on second party transformation and destruction verification assumption</t>
  </si>
  <si>
    <t>Submit quarterly production for export report</t>
  </si>
  <si>
    <t>Provided by EPA</t>
  </si>
  <si>
    <t>Submit annual production for export certification</t>
  </si>
  <si>
    <t>HFC Importer</t>
  </si>
  <si>
    <t>Number of companies based on HFC 2022 report submissions</t>
  </si>
  <si>
    <t>Submit annual inventory report</t>
  </si>
  <si>
    <t>Petition to import HFCs for transformation/destruction</t>
  </si>
  <si>
    <t>Activity based on HFC 2022 report submissions from mid-March</t>
  </si>
  <si>
    <t>Petition to import used HFCs for destruction</t>
  </si>
  <si>
    <t>Activity based on 2022 DPETI submissions</t>
  </si>
  <si>
    <t>Submit ACE report</t>
  </si>
  <si>
    <t>7500 unique shipments based on historical ACE data; Number of companies based on HFC 2022 report submissions</t>
  </si>
  <si>
    <t>Submit proof of destruction of used imports</t>
  </si>
  <si>
    <t>Maintain records on used imports for destruction</t>
  </si>
  <si>
    <t>Submit Importer of Record annual report</t>
  </si>
  <si>
    <t xml:space="preserve">Submit notification of transhipments </t>
  </si>
  <si>
    <t>Based on 2022 HSHIP submissions</t>
  </si>
  <si>
    <t>Maintain records on HFCs purchased at government auction</t>
  </si>
  <si>
    <t>HFC Aggregator</t>
  </si>
  <si>
    <t>Vessel Owner</t>
  </si>
  <si>
    <t>HFC Exporter</t>
  </si>
  <si>
    <t>Number of companies based on HFC 2022 report submissions; reflects companies that only export (i.e., non-importers)</t>
  </si>
  <si>
    <t>Submit request for additional consumption allowances</t>
  </si>
  <si>
    <t>Activity based on 2022 HRACA submissions</t>
  </si>
  <si>
    <t>HFC Suppliers</t>
  </si>
  <si>
    <t>Submit conferral request</t>
  </si>
  <si>
    <t>Based on 2022 HCONF submissions</t>
  </si>
  <si>
    <t>HFC Supplies</t>
  </si>
  <si>
    <t>Provide certification to third party (conferee)</t>
  </si>
  <si>
    <t>HFC Destoyer</t>
  </si>
  <si>
    <t>Submit one-time report</t>
  </si>
  <si>
    <t>Assumes up to one response per year to account for revisions or new destruction facilities.</t>
  </si>
  <si>
    <t>Submit annual second party report</t>
  </si>
  <si>
    <t>Number of facilities based on HFC 2022 one-time report submissions</t>
  </si>
  <si>
    <t>Provide destruction verification to third party</t>
  </si>
  <si>
    <t>Provide proof of destruction to third party</t>
  </si>
  <si>
    <t>Number of petitions to import HFCs for destruction</t>
  </si>
  <si>
    <t>HFC Transformer</t>
  </si>
  <si>
    <t>Assumes up to one response per year to account for revisions or new transformation facilities.</t>
  </si>
  <si>
    <t>Provide transformation verification to third party</t>
  </si>
  <si>
    <t>HFC Process Agent Use</t>
  </si>
  <si>
    <t>Assumes up to one response per year to account for revisions or new process agent end-users</t>
  </si>
  <si>
    <t>Submit annual report</t>
  </si>
  <si>
    <t>HFC Reclaimers</t>
  </si>
  <si>
    <t>Assumes up to one response per year to account for revisions.</t>
  </si>
  <si>
    <t>Burden for annual activity report from Section 608 ICR, number of companies based on HFC 2022 report submissions</t>
  </si>
  <si>
    <t>HFC Fillers and Packagers</t>
  </si>
  <si>
    <t>HFC Fire Suppression Agent Recyclers</t>
  </si>
  <si>
    <t>Burden for annual activity report from Section 608 ICR, number of respondents based on HFC 2022 report submissions</t>
  </si>
  <si>
    <t>Number of respondents based on HFC 2022 report submissions</t>
  </si>
  <si>
    <t>HFC Transfers</t>
  </si>
  <si>
    <t>Submit inter-company transfer request</t>
  </si>
  <si>
    <t>Activity based on 2022 HTRAN submissions</t>
  </si>
  <si>
    <t>Submit request to transfer from a person in a foreign country</t>
  </si>
  <si>
    <t>ICF estimate</t>
  </si>
  <si>
    <t>Submit request to transfer to a person in a foreign country</t>
  </si>
  <si>
    <t>Submit request to sell/transfer HFCs produced/imported with application-specific allowances</t>
  </si>
  <si>
    <t>Application-Specific Allowance Holders</t>
  </si>
  <si>
    <t>Submit biannual report</t>
  </si>
  <si>
    <t>Based on 2023 allowance recipients</t>
  </si>
  <si>
    <t>Submit annual report (part of biannual report)</t>
  </si>
  <si>
    <t>Based on 2023 allowance recipients plus 8 to account for new applicants</t>
  </si>
  <si>
    <t>Based on application-specific allowance holders minus companies with consumption allowances; based on HCONF submissions</t>
  </si>
  <si>
    <t>Submit mid-year request for additional consumption allowances in the event of a public health emergency (MDIs)</t>
  </si>
  <si>
    <t>Based on 2024 MDI allowance recipients</t>
  </si>
  <si>
    <t>Potential Application-Specific Allowance Holders</t>
  </si>
  <si>
    <t>Submit new application petition</t>
  </si>
  <si>
    <t>Provided by EPA (assume 1 petition during 5-year rule period)</t>
  </si>
  <si>
    <t>Entities Petitioning for New Application</t>
  </si>
  <si>
    <t>Third Party Audits</t>
  </si>
  <si>
    <t>Submit annual audit report</t>
  </si>
  <si>
    <t>Importers + producers + reclaimers + application specific allowance holders</t>
  </si>
  <si>
    <t>Unique number of Respondents</t>
  </si>
  <si>
    <t>aggregators + producers + importers + suppliers + reclaimers+ destroyers + transformers + fillers/packagers + vessel owners + application-specific allowance holders + potential application-specific allowance holders (assumes other respondents overlap with these activities)</t>
  </si>
  <si>
    <t>Responent Burden</t>
  </si>
  <si>
    <t> </t>
  </si>
  <si>
    <t>Activity</t>
  </si>
  <si>
    <t>Responses per Respondent per Year</t>
  </si>
  <si>
    <t>Total Hours per Respondent per Year</t>
  </si>
  <si>
    <t>Labor Cost per Respondent per Year</t>
  </si>
  <si>
    <t>O&amp;M Costs per Respondent per Year</t>
  </si>
  <si>
    <t>Respondents per Activity per Year</t>
  </si>
  <si>
    <t>Total Responses per Year</t>
  </si>
  <si>
    <t>Total Hours per Year</t>
  </si>
  <si>
    <t>Total Labor Cost per Year</t>
  </si>
  <si>
    <t>Total O&amp;M Costs per Year</t>
  </si>
  <si>
    <t>Total Cost per Year</t>
  </si>
  <si>
    <t>Year</t>
  </si>
  <si>
    <t>Total Responses</t>
  </si>
  <si>
    <t>Total Hours</t>
  </si>
  <si>
    <t>Total Labor Costs</t>
  </si>
  <si>
    <t>Total O&amp;M Costs</t>
  </si>
  <si>
    <t>Total Costs</t>
  </si>
  <si>
    <t>Y1</t>
  </si>
  <si>
    <t>Y2</t>
  </si>
  <si>
    <t>Y3</t>
  </si>
  <si>
    <t>Year 1</t>
  </si>
  <si>
    <t>Year 2</t>
  </si>
  <si>
    <t>Year 3</t>
  </si>
  <si>
    <t>Annual Average</t>
  </si>
  <si>
    <t>Total Hours/Year</t>
  </si>
  <si>
    <t>Average</t>
  </si>
  <si>
    <t>Reporting</t>
  </si>
  <si>
    <t>Recordkeeping</t>
  </si>
  <si>
    <t>HFC Destroyer</t>
  </si>
  <si>
    <t>Annual Total</t>
  </si>
  <si>
    <t>3 Year Total</t>
  </si>
  <si>
    <t>Respondent Burden</t>
  </si>
  <si>
    <t>Hourly Labor Rate - Technical Staff</t>
  </si>
  <si>
    <t>Hourly Labor Rate - Clerical Staff</t>
  </si>
  <si>
    <r>
      <rPr>
        <b/>
        <sz val="9"/>
        <color rgb="FFFF0000"/>
        <rFont val="Times New Roman"/>
        <family val="1"/>
      </rPr>
      <t>Incremental</t>
    </r>
    <r>
      <rPr>
        <b/>
        <sz val="9"/>
        <color theme="1"/>
        <rFont val="Times New Roman"/>
        <family val="1"/>
      </rPr>
      <t xml:space="preserve"> Technical Hours per Response</t>
    </r>
  </si>
  <si>
    <r>
      <rPr>
        <b/>
        <sz val="9"/>
        <color rgb="FFFF0000"/>
        <rFont val="Times New Roman"/>
        <family val="1"/>
      </rPr>
      <t>Incremental</t>
    </r>
    <r>
      <rPr>
        <b/>
        <sz val="9"/>
        <color theme="1"/>
        <rFont val="Times New Roman"/>
        <family val="1"/>
      </rPr>
      <t xml:space="preserve"> Clerical Hours per Response</t>
    </r>
  </si>
  <si>
    <r>
      <t xml:space="preserve">Total </t>
    </r>
    <r>
      <rPr>
        <b/>
        <sz val="9"/>
        <color rgb="FFFF0000"/>
        <rFont val="Times New Roman"/>
        <family val="1"/>
      </rPr>
      <t>Incremental</t>
    </r>
    <r>
      <rPr>
        <b/>
        <sz val="9"/>
        <color theme="1"/>
        <rFont val="Times New Roman"/>
        <family val="1"/>
      </rPr>
      <t xml:space="preserve"> Hours per Respondent per Year</t>
    </r>
  </si>
  <si>
    <t>Incremental Labor Cost per Respondent per Year</t>
  </si>
  <si>
    <t>Incremental O&amp;M Costs per Respondent per Year</t>
  </si>
  <si>
    <t>Total Incremental Hours per Year</t>
  </si>
  <si>
    <t>Total Incremental Labor Cost per Year</t>
  </si>
  <si>
    <t>Total Incremental O&amp;M Costs per Year</t>
  </si>
  <si>
    <t>Total Incremental Costs per Year</t>
  </si>
  <si>
    <t>Respondent Burden - Prior ICR Rates</t>
  </si>
  <si>
    <t>Prior ICR (2024 Allocation Rule)</t>
  </si>
  <si>
    <t>This ICR (2025 Application-specific Allowances Rule)</t>
  </si>
  <si>
    <t>Difference relative to Adjusted Prior ICR</t>
  </si>
  <si>
    <t>Change in Total Responses</t>
  </si>
  <si>
    <t>Change in Total Hours</t>
  </si>
  <si>
    <t>Change in Total Labor Costs</t>
  </si>
  <si>
    <t>Change in Total O&amp;M Costs</t>
  </si>
  <si>
    <t>Change in Total Costs</t>
  </si>
  <si>
    <t>Change in Burden Breakout</t>
  </si>
  <si>
    <t>Change Type</t>
  </si>
  <si>
    <t>Assumption*</t>
  </si>
  <si>
    <t>Rulemaking**</t>
  </si>
  <si>
    <t>* Updates to labor rates used for both labor and O&amp;M costs</t>
  </si>
  <si>
    <t>** See Question 15 of the Supporting Statement for additional details</t>
  </si>
  <si>
    <t>Agency Assumptions</t>
  </si>
  <si>
    <t>Managerial Hours per activity</t>
  </si>
  <si>
    <t>Technical Hours per activity</t>
  </si>
  <si>
    <t>Clerical Hours per activity</t>
  </si>
  <si>
    <t>Contractor Hours per activity</t>
  </si>
  <si>
    <t>Source</t>
  </si>
  <si>
    <t>Notify Submitters of Baseline Allowances</t>
  </si>
  <si>
    <t>Based on ODS ICR and input from EPA</t>
  </si>
  <si>
    <t>Review Data for Reporting Completeness and Compliance</t>
  </si>
  <si>
    <t>Based on ODS ICR, input from EPA, and HFC reporting experience</t>
  </si>
  <si>
    <t>Process Transfer Reports</t>
  </si>
  <si>
    <t>Based on ODS ICR</t>
  </si>
  <si>
    <t>Review Petitions to Import HFCs</t>
  </si>
  <si>
    <t>Review Importer of Record Reports</t>
  </si>
  <si>
    <t>Review Third-Party Audits</t>
  </si>
  <si>
    <t>Based on input from EPA</t>
  </si>
  <si>
    <t>Provide Reporting Guidance</t>
  </si>
  <si>
    <t>Based on ODS ICR plus an increase since new program</t>
  </si>
  <si>
    <t>Conduct Stakeholder Outreach Efforts</t>
  </si>
  <si>
    <t>Maintain the Data Tracking System</t>
  </si>
  <si>
    <t>Review Import Data Submitted in ACE</t>
  </si>
  <si>
    <t>Conduct Compliance Monitoring Activities</t>
  </si>
  <si>
    <t>Ensure Non-Exceedance of AIM Act Limits</t>
  </si>
  <si>
    <t>Review Application-specific Allowance Petitions</t>
  </si>
  <si>
    <t>Number of Activities</t>
  </si>
  <si>
    <t>Equals the number of producers + importers</t>
  </si>
  <si>
    <t>Equals the number of one-time reports, producer, importer, exporter, transformation, destruction, process agent, RACA, and application-specific allowance holder reports received per year</t>
  </si>
  <si>
    <t>Equals the number of trade reports received per year</t>
  </si>
  <si>
    <t>Equals the number of petitions to import for destruction received per year</t>
  </si>
  <si>
    <t>Equals the maximum number of importers</t>
  </si>
  <si>
    <t>Based on current import level and EPA estimated effort</t>
  </si>
  <si>
    <t>imports and exports</t>
  </si>
  <si>
    <t>Based on estimate of receiving one petition over five-year period</t>
  </si>
  <si>
    <t>Agency Burden</t>
  </si>
  <si>
    <t>Managerial Hours per Activity</t>
  </si>
  <si>
    <t>Technical Hours per Activity</t>
  </si>
  <si>
    <t>Clerical Hours per Activity</t>
  </si>
  <si>
    <t>Contractor Hours per Activity</t>
  </si>
  <si>
    <t xml:space="preserve">Number of Activities </t>
  </si>
  <si>
    <t xml:space="preserve">Total Hours </t>
  </si>
  <si>
    <t xml:space="preserve">Managerial Cost </t>
  </si>
  <si>
    <t xml:space="preserve">Technical Cost </t>
  </si>
  <si>
    <t xml:space="preserve">Clerical Cost </t>
  </si>
  <si>
    <t xml:space="preserve">Contractor Cost </t>
  </si>
  <si>
    <t xml:space="preserve">Total Cost </t>
  </si>
  <si>
    <t>Respondent + EPA Avg</t>
  </si>
  <si>
    <t>TOTAL</t>
  </si>
  <si>
    <t>Hourly Rates</t>
  </si>
  <si>
    <t>Managerial Rate</t>
  </si>
  <si>
    <t>GS 15 Step 1</t>
  </si>
  <si>
    <t>Technical Rate</t>
  </si>
  <si>
    <t>GS 13 Step 1</t>
  </si>
  <si>
    <t>Clerical Rate</t>
  </si>
  <si>
    <t>GS 11 Step 1</t>
  </si>
  <si>
    <t>Extramural Rate</t>
  </si>
  <si>
    <t>Third-Party Disclosure</t>
  </si>
  <si>
    <t>Total Non-Labor Cost/Year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</si>
</sst>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&quot;$&quot;#,##0.00"/>
    <numFmt numFmtId="167" formatCode="&quot;$&quot;#,##0"/>
    <numFmt numFmtId="168" formatCode="_(* #,##0_);_(* \(#,##0\);_(* &quot;-&quot;??_);_(@_)"/>
    <numFmt numFmtId="169" formatCode="#,##0.0"/>
    <numFmt numFmtId="170" formatCode="0.0000"/>
    <numFmt numFmtId="171" formatCode="0.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9"/>
      <color rgb="FF808080"/>
      <name val="Calibri"/>
      <family val="2"/>
    </font>
    <font>
      <sz val="9"/>
      <color rgb="FF808080"/>
      <name val="Calibri"/>
      <family val="2"/>
    </font>
    <font>
      <sz val="9"/>
      <color theme="1"/>
      <name val="Calibri"/>
      <family val="2"/>
      <scheme val="minor"/>
    </font>
    <font>
      <b/>
      <sz val="9"/>
      <color rgb="FFFF0000"/>
      <name val="Times New Roman"/>
      <family val="1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02">
    <xf numFmtId="0" fontId="0" fillId="0" borderId="0" xfId="0"/>
    <xf numFmtId="0" fontId="2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1" xfId="0" applyFont="1" applyBorder="1"/>
    <xf numFmtId="166" fontId="6" fillId="0" borderId="1" xfId="2" applyNumberFormat="1" applyFont="1" applyFill="1" applyBorder="1" applyAlignment="1"/>
    <xf numFmtId="7" fontId="6" fillId="0" borderId="1" xfId="0" applyNumberFormat="1" applyFont="1" applyBorder="1"/>
    <xf numFmtId="166" fontId="6" fillId="0" borderId="1" xfId="1" applyNumberFormat="1" applyFont="1" applyFill="1" applyBorder="1" applyAlignment="1"/>
    <xf numFmtId="0" fontId="0" fillId="0" borderId="0" xfId="0" applyAlignment="1">
      <alignment wrapText="1"/>
    </xf>
    <xf numFmtId="167" fontId="6" fillId="0" borderId="1" xfId="1" applyNumberFormat="1" applyFont="1" applyBorder="1" applyAlignment="1">
      <alignment horizontal="right" vertical="center" wrapText="1"/>
    </xf>
    <xf numFmtId="167" fontId="6" fillId="0" borderId="1" xfId="1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horizontal="right" vertical="center" wrapText="1"/>
    </xf>
    <xf numFmtId="168" fontId="6" fillId="0" borderId="1" xfId="1" applyNumberFormat="1" applyFont="1" applyBorder="1" applyAlignment="1">
      <alignment horizontal="right" vertical="center" wrapText="1"/>
    </xf>
    <xf numFmtId="0" fontId="12" fillId="4" borderId="0" xfId="0" applyFont="1" applyFill="1"/>
    <xf numFmtId="0" fontId="12" fillId="5" borderId="0" xfId="0" applyFont="1" applyFill="1"/>
    <xf numFmtId="0" fontId="13" fillId="0" borderId="0" xfId="0" applyFont="1"/>
    <xf numFmtId="1" fontId="6" fillId="0" borderId="1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8" fontId="3" fillId="6" borderId="1" xfId="1" applyNumberFormat="1" applyFont="1" applyFill="1" applyBorder="1" applyAlignment="1">
      <alignment vertical="center"/>
    </xf>
    <xf numFmtId="8" fontId="6" fillId="0" borderId="1" xfId="0" applyNumberFormat="1" applyFont="1" applyBorder="1"/>
    <xf numFmtId="166" fontId="6" fillId="0" borderId="1" xfId="0" applyNumberFormat="1" applyFont="1" applyBorder="1" applyAlignment="1">
      <alignment horizontal="right" vertical="center"/>
    </xf>
    <xf numFmtId="168" fontId="6" fillId="0" borderId="1" xfId="1" applyNumberFormat="1" applyFont="1" applyFill="1" applyBorder="1" applyAlignment="1">
      <alignment horizontal="right" vertical="center" wrapText="1"/>
    </xf>
    <xf numFmtId="3" fontId="3" fillId="3" borderId="4" xfId="1" applyNumberFormat="1" applyFont="1" applyFill="1" applyBorder="1" applyAlignment="1">
      <alignment horizontal="left" vertical="center"/>
    </xf>
    <xf numFmtId="1" fontId="6" fillId="7" borderId="4" xfId="1" applyNumberFormat="1" applyFont="1" applyFill="1" applyBorder="1" applyAlignment="1">
      <alignment horizontal="right" vertical="center" wrapText="1"/>
    </xf>
    <xf numFmtId="164" fontId="6" fillId="7" borderId="1" xfId="1" applyNumberFormat="1" applyFont="1" applyFill="1" applyBorder="1" applyAlignment="1">
      <alignment horizontal="right" vertical="center" wrapText="1"/>
    </xf>
    <xf numFmtId="164" fontId="6" fillId="7" borderId="1" xfId="1" applyNumberFormat="1" applyFont="1" applyFill="1" applyBorder="1" applyAlignment="1">
      <alignment horizontal="right"/>
    </xf>
    <xf numFmtId="1" fontId="6" fillId="7" borderId="1" xfId="1" applyNumberFormat="1" applyFont="1" applyFill="1" applyBorder="1" applyAlignment="1">
      <alignment horizontal="right" vertical="center" wrapText="1"/>
    </xf>
    <xf numFmtId="168" fontId="6" fillId="7" borderId="1" xfId="1" applyNumberFormat="1" applyFont="1" applyFill="1" applyBorder="1" applyAlignment="1">
      <alignment horizontal="right" vertical="center" wrapText="1"/>
    </xf>
    <xf numFmtId="1" fontId="2" fillId="7" borderId="1" xfId="0" applyNumberFormat="1" applyFont="1" applyFill="1" applyBorder="1" applyAlignment="1">
      <alignment vertical="center" wrapText="1"/>
    </xf>
    <xf numFmtId="1" fontId="6" fillId="0" borderId="1" xfId="1" applyNumberFormat="1" applyFont="1" applyBorder="1" applyAlignment="1">
      <alignment vertical="center" wrapText="1"/>
    </xf>
    <xf numFmtId="164" fontId="4" fillId="6" borderId="2" xfId="0" applyNumberFormat="1" applyFont="1" applyFill="1" applyBorder="1" applyAlignment="1">
      <alignment horizontal="left" vertical="center"/>
    </xf>
    <xf numFmtId="164" fontId="4" fillId="6" borderId="3" xfId="0" applyNumberFormat="1" applyFont="1" applyFill="1" applyBorder="1" applyAlignment="1">
      <alignment horizontal="left" vertical="center"/>
    </xf>
    <xf numFmtId="164" fontId="4" fillId="6" borderId="4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right" vertical="center" wrapText="1"/>
    </xf>
    <xf numFmtId="2" fontId="6" fillId="0" borderId="1" xfId="1" applyNumberFormat="1" applyFont="1" applyFill="1" applyBorder="1" applyAlignment="1">
      <alignment horizontal="right" vertical="center" wrapText="1"/>
    </xf>
    <xf numFmtId="168" fontId="5" fillId="6" borderId="1" xfId="1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vertical="center"/>
    </xf>
    <xf numFmtId="164" fontId="4" fillId="3" borderId="3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" fontId="6" fillId="6" borderId="1" xfId="1" applyNumberFormat="1" applyFont="1" applyFill="1" applyBorder="1" applyAlignment="1">
      <alignment vertical="center" wrapText="1"/>
    </xf>
    <xf numFmtId="1" fontId="6" fillId="0" borderId="1" xfId="1" applyNumberFormat="1" applyFont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/>
    </xf>
    <xf numFmtId="0" fontId="14" fillId="0" borderId="0" xfId="0" applyFont="1"/>
    <xf numFmtId="167" fontId="0" fillId="0" borderId="0" xfId="0" applyNumberFormat="1"/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/>
    </xf>
    <xf numFmtId="43" fontId="17" fillId="0" borderId="0" xfId="1" applyFont="1" applyAlignment="1">
      <alignment wrapText="1"/>
    </xf>
    <xf numFmtId="3" fontId="6" fillId="7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left" vertical="center" wrapText="1"/>
    </xf>
    <xf numFmtId="0" fontId="18" fillId="9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6" fillId="7" borderId="4" xfId="1" applyNumberFormat="1" applyFont="1" applyFill="1" applyBorder="1" applyAlignment="1">
      <alignment horizontal="right" vertical="center" wrapText="1"/>
    </xf>
    <xf numFmtId="164" fontId="6" fillId="7" borderId="4" xfId="1" applyNumberFormat="1" applyFont="1" applyFill="1" applyBorder="1" applyAlignment="1">
      <alignment horizontal="right" vertical="center" wrapText="1"/>
    </xf>
    <xf numFmtId="44" fontId="6" fillId="7" borderId="1" xfId="2" applyFont="1" applyFill="1" applyBorder="1" applyAlignment="1">
      <alignment horizontal="right" vertical="center" wrapText="1"/>
    </xf>
    <xf numFmtId="1" fontId="6" fillId="0" borderId="12" xfId="1" applyNumberFormat="1" applyFont="1" applyFill="1" applyBorder="1" applyAlignment="1">
      <alignment horizontal="right" vertical="center" wrapText="1"/>
    </xf>
    <xf numFmtId="0" fontId="22" fillId="0" borderId="0" xfId="0" applyFont="1"/>
    <xf numFmtId="169" fontId="6" fillId="7" borderId="4" xfId="1" applyNumberFormat="1" applyFont="1" applyFill="1" applyBorder="1" applyAlignment="1">
      <alignment horizontal="right" vertical="center" wrapText="1"/>
    </xf>
    <xf numFmtId="1" fontId="6" fillId="0" borderId="1" xfId="1" applyNumberFormat="1" applyFont="1" applyBorder="1" applyAlignment="1">
      <alignment horizontal="left" vertical="center" wrapText="1"/>
    </xf>
    <xf numFmtId="169" fontId="6" fillId="0" borderId="1" xfId="1" applyNumberFormat="1" applyFont="1" applyBorder="1" applyAlignment="1">
      <alignment horizontal="right" vertical="center" wrapText="1"/>
    </xf>
    <xf numFmtId="1" fontId="6" fillId="0" borderId="5" xfId="1" applyNumberFormat="1" applyFont="1" applyFill="1" applyBorder="1" applyAlignment="1">
      <alignment vertical="center" wrapText="1"/>
    </xf>
    <xf numFmtId="164" fontId="6" fillId="7" borderId="0" xfId="0" applyNumberFormat="1" applyFont="1" applyFill="1"/>
    <xf numFmtId="3" fontId="3" fillId="3" borderId="3" xfId="1" applyNumberFormat="1" applyFont="1" applyFill="1" applyBorder="1" applyAlignment="1">
      <alignment horizontal="left" vertical="center"/>
    </xf>
    <xf numFmtId="1" fontId="6" fillId="0" borderId="4" xfId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13" fillId="0" borderId="1" xfId="0" applyFont="1" applyBorder="1"/>
    <xf numFmtId="168" fontId="3" fillId="6" borderId="4" xfId="1" applyNumberFormat="1" applyFont="1" applyFill="1" applyBorder="1" applyAlignment="1">
      <alignment vertical="center"/>
    </xf>
    <xf numFmtId="3" fontId="6" fillId="7" borderId="5" xfId="1" applyNumberFormat="1" applyFont="1" applyFill="1" applyBorder="1" applyAlignment="1">
      <alignment horizontal="right" vertical="center" wrapText="1"/>
    </xf>
    <xf numFmtId="3" fontId="6" fillId="7" borderId="7" xfId="1" applyNumberFormat="1" applyFont="1" applyFill="1" applyBorder="1" applyAlignment="1">
      <alignment horizontal="right" vertical="center" wrapText="1"/>
    </xf>
    <xf numFmtId="169" fontId="6" fillId="7" borderId="7" xfId="1" applyNumberFormat="1" applyFont="1" applyFill="1" applyBorder="1" applyAlignment="1">
      <alignment horizontal="righ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168" fontId="0" fillId="0" borderId="1" xfId="1" applyNumberFormat="1" applyFont="1" applyFill="1" applyBorder="1"/>
    <xf numFmtId="170" fontId="6" fillId="0" borderId="4" xfId="1" applyNumberFormat="1" applyFont="1" applyFill="1" applyBorder="1" applyAlignment="1">
      <alignment horizontal="right" vertical="center" wrapText="1"/>
    </xf>
    <xf numFmtId="171" fontId="6" fillId="0" borderId="1" xfId="1" applyNumberFormat="1" applyFont="1" applyFill="1" applyBorder="1" applyAlignment="1">
      <alignment horizontal="right" vertical="center" wrapText="1"/>
    </xf>
    <xf numFmtId="167" fontId="24" fillId="5" borderId="1" xfId="0" applyNumberFormat="1" applyFont="1" applyFill="1" applyBorder="1"/>
    <xf numFmtId="164" fontId="6" fillId="10" borderId="1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6" fillId="0" borderId="0" xfId="0" applyFont="1" applyAlignment="1">
      <alignment vertical="center"/>
    </xf>
    <xf numFmtId="2" fontId="6" fillId="0" borderId="12" xfId="1" applyNumberFormat="1" applyFont="1" applyFill="1" applyBorder="1" applyAlignment="1">
      <alignment horizontal="right" vertical="center" wrapText="1"/>
    </xf>
    <xf numFmtId="2" fontId="0" fillId="0" borderId="0" xfId="0" applyNumberFormat="1" applyAlignment="1">
      <alignment wrapText="1"/>
    </xf>
    <xf numFmtId="6" fontId="2" fillId="0" borderId="0" xfId="0" applyNumberFormat="1" applyFont="1" applyAlignment="1">
      <alignment horizontal="right" vertical="center" wrapText="1"/>
    </xf>
    <xf numFmtId="6" fontId="0" fillId="0" borderId="0" xfId="0" applyNumberFormat="1"/>
    <xf numFmtId="43" fontId="0" fillId="0" borderId="0" xfId="1" applyFont="1" applyAlignment="1">
      <alignment vertical="center"/>
    </xf>
    <xf numFmtId="1" fontId="6" fillId="12" borderId="1" xfId="1" applyNumberFormat="1" applyFont="1" applyFill="1" applyBorder="1" applyAlignment="1">
      <alignment horizontal="left" vertical="center" wrapText="1"/>
    </xf>
    <xf numFmtId="1" fontId="6" fillId="12" borderId="1" xfId="1" applyNumberFormat="1" applyFont="1" applyFill="1" applyBorder="1" applyAlignment="1">
      <alignment horizontal="right" vertical="center" wrapText="1"/>
    </xf>
    <xf numFmtId="1" fontId="6" fillId="12" borderId="12" xfId="1" applyNumberFormat="1" applyFont="1" applyFill="1" applyBorder="1" applyAlignment="1">
      <alignment horizontal="right" vertical="center" wrapText="1"/>
    </xf>
    <xf numFmtId="2" fontId="6" fillId="12" borderId="12" xfId="1" applyNumberFormat="1" applyFont="1" applyFill="1" applyBorder="1" applyAlignment="1">
      <alignment horizontal="right" vertical="center" wrapText="1"/>
    </xf>
    <xf numFmtId="1" fontId="6" fillId="12" borderId="1" xfId="1" applyNumberFormat="1" applyFont="1" applyFill="1" applyBorder="1" applyAlignment="1">
      <alignment vertical="center" wrapText="1"/>
    </xf>
    <xf numFmtId="3" fontId="6" fillId="12" borderId="1" xfId="1" applyNumberFormat="1" applyFont="1" applyFill="1" applyBorder="1" applyAlignment="1">
      <alignment horizontal="right" vertical="center" wrapText="1"/>
    </xf>
    <xf numFmtId="2" fontId="6" fillId="12" borderId="1" xfId="1" applyNumberFormat="1" applyFont="1" applyFill="1" applyBorder="1" applyAlignment="1">
      <alignment horizontal="right" vertical="center" wrapText="1"/>
    </xf>
    <xf numFmtId="166" fontId="3" fillId="6" borderId="1" xfId="2" applyNumberFormat="1" applyFont="1" applyFill="1" applyBorder="1" applyAlignment="1">
      <alignment vertical="center"/>
    </xf>
    <xf numFmtId="166" fontId="3" fillId="6" borderId="1" xfId="1" applyNumberFormat="1" applyFont="1" applyFill="1" applyBorder="1" applyAlignment="1">
      <alignment vertical="center"/>
    </xf>
    <xf numFmtId="164" fontId="2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9" fontId="6" fillId="0" borderId="5" xfId="1" applyNumberFormat="1" applyFont="1" applyBorder="1" applyAlignment="1">
      <alignment horizontal="right" vertical="center" wrapText="1"/>
    </xf>
    <xf numFmtId="168" fontId="6" fillId="0" borderId="5" xfId="1" applyNumberFormat="1" applyFont="1" applyBorder="1" applyAlignment="1">
      <alignment horizontal="right" vertical="center" wrapText="1"/>
    </xf>
    <xf numFmtId="167" fontId="6" fillId="0" borderId="5" xfId="1" applyNumberFormat="1" applyFont="1" applyBorder="1" applyAlignment="1">
      <alignment horizontal="right" vertical="center" wrapText="1"/>
    </xf>
    <xf numFmtId="168" fontId="5" fillId="6" borderId="6" xfId="1" applyNumberFormat="1" applyFont="1" applyFill="1" applyBorder="1" applyAlignment="1">
      <alignment horizontal="right" vertical="center" wrapText="1"/>
    </xf>
    <xf numFmtId="167" fontId="5" fillId="6" borderId="6" xfId="2" applyNumberFormat="1" applyFont="1" applyFill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right" vertical="center" wrapText="1"/>
    </xf>
    <xf numFmtId="0" fontId="25" fillId="0" borderId="0" xfId="0" applyFont="1"/>
    <xf numFmtId="0" fontId="26" fillId="0" borderId="0" xfId="0" applyFont="1"/>
    <xf numFmtId="0" fontId="28" fillId="0" borderId="1" xfId="0" applyFont="1" applyBorder="1" applyAlignment="1">
      <alignment vertical="center"/>
    </xf>
    <xf numFmtId="3" fontId="28" fillId="0" borderId="1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7" fillId="11" borderId="1" xfId="0" applyFont="1" applyFill="1" applyBorder="1" applyAlignment="1">
      <alignment vertical="center"/>
    </xf>
    <xf numFmtId="3" fontId="27" fillId="11" borderId="1" xfId="0" applyNumberFormat="1" applyFont="1" applyFill="1" applyBorder="1" applyAlignment="1">
      <alignment horizontal="center" vertical="center" wrapText="1"/>
    </xf>
    <xf numFmtId="167" fontId="27" fillId="11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3" fontId="26" fillId="0" borderId="0" xfId="1" applyFont="1"/>
    <xf numFmtId="0" fontId="28" fillId="0" borderId="0" xfId="0" applyFont="1" applyFill="1" applyBorder="1" applyAlignment="1">
      <alignment vertical="center"/>
    </xf>
    <xf numFmtId="0" fontId="27" fillId="13" borderId="1" xfId="0" applyFont="1" applyFill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1" fontId="6" fillId="0" borderId="5" xfId="1" applyNumberFormat="1" applyFont="1" applyFill="1" applyBorder="1" applyAlignment="1">
      <alignment horizontal="left" vertical="center" wrapText="1"/>
    </xf>
    <xf numFmtId="1" fontId="6" fillId="0" borderId="6" xfId="1" applyNumberFormat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Border="1" applyAlignment="1">
      <alignment vertical="center" wrapText="1"/>
    </xf>
    <xf numFmtId="167" fontId="3" fillId="3" borderId="2" xfId="2" applyNumberFormat="1" applyFont="1" applyFill="1" applyBorder="1" applyAlignment="1">
      <alignment horizontal="center" vertical="center"/>
    </xf>
    <xf numFmtId="167" fontId="3" fillId="3" borderId="3" xfId="2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 wrapText="1"/>
    </xf>
    <xf numFmtId="166" fontId="26" fillId="0" borderId="0" xfId="0" applyNumberFormat="1" applyFont="1"/>
    <xf numFmtId="1" fontId="6" fillId="0" borderId="5" xfId="1" applyNumberFormat="1" applyFont="1" applyFill="1" applyBorder="1" applyAlignment="1">
      <alignment horizontal="left" vertical="center" wrapText="1"/>
    </xf>
    <xf numFmtId="1" fontId="6" fillId="0" borderId="12" xfId="1" applyNumberFormat="1" applyFont="1" applyFill="1" applyBorder="1" applyAlignment="1">
      <alignment horizontal="left" vertical="center" wrapText="1"/>
    </xf>
    <xf numFmtId="1" fontId="6" fillId="0" borderId="6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Border="1" applyAlignment="1">
      <alignment horizontal="left" vertical="center" wrapText="1"/>
    </xf>
    <xf numFmtId="1" fontId="6" fillId="0" borderId="12" xfId="1" applyNumberFormat="1" applyFont="1" applyBorder="1" applyAlignment="1">
      <alignment horizontal="left" vertical="center" wrapText="1"/>
    </xf>
    <xf numFmtId="1" fontId="6" fillId="0" borderId="6" xfId="1" applyNumberFormat="1" applyFont="1" applyBorder="1" applyAlignment="1">
      <alignment horizontal="left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>
      <alignment horizontal="center" vertical="center" wrapText="1"/>
    </xf>
    <xf numFmtId="1" fontId="5" fillId="6" borderId="1" xfId="1" applyNumberFormat="1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167" fontId="3" fillId="3" borderId="2" xfId="2" applyNumberFormat="1" applyFont="1" applyFill="1" applyBorder="1" applyAlignment="1">
      <alignment horizontal="center" vertical="center"/>
    </xf>
    <xf numFmtId="167" fontId="3" fillId="3" borderId="3" xfId="2" applyNumberFormat="1" applyFont="1" applyFill="1" applyBorder="1" applyAlignment="1">
      <alignment horizontal="center" vertical="center"/>
    </xf>
    <xf numFmtId="167" fontId="3" fillId="3" borderId="4" xfId="2" applyNumberFormat="1" applyFont="1" applyFill="1" applyBorder="1" applyAlignment="1">
      <alignment horizontal="center" vertical="center"/>
    </xf>
    <xf numFmtId="167" fontId="3" fillId="3" borderId="1" xfId="2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3" fontId="3" fillId="3" borderId="3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6" fillId="0" borderId="12" xfId="1" applyNumberFormat="1" applyFont="1" applyBorder="1" applyAlignment="1">
      <alignment vertical="center" wrapText="1"/>
    </xf>
    <xf numFmtId="1" fontId="6" fillId="0" borderId="6" xfId="1" applyNumberFormat="1" applyFont="1" applyBorder="1" applyAlignment="1">
      <alignment vertical="center" wrapText="1"/>
    </xf>
    <xf numFmtId="1" fontId="6" fillId="0" borderId="5" xfId="1" applyNumberFormat="1" applyFont="1" applyBorder="1" applyAlignment="1">
      <alignment vertical="center" wrapText="1"/>
    </xf>
    <xf numFmtId="165" fontId="3" fillId="2" borderId="5" xfId="1" applyNumberFormat="1" applyFont="1" applyFill="1" applyBorder="1" applyAlignment="1">
      <alignment horizontal="left" vertical="center" wrapText="1"/>
    </xf>
    <xf numFmtId="165" fontId="3" fillId="2" borderId="6" xfId="1" applyNumberFormat="1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168" fontId="27" fillId="8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9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165" fontId="3" fillId="2" borderId="10" xfId="1" applyNumberFormat="1" applyFont="1" applyFill="1" applyBorder="1" applyAlignment="1">
      <alignment horizontal="center" vertical="center" wrapText="1"/>
    </xf>
    <xf numFmtId="165" fontId="3" fillId="2" borderId="1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3" fillId="2" borderId="8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left"/>
    </xf>
    <xf numFmtId="167" fontId="5" fillId="3" borderId="1" xfId="1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Currency 2" xfId="4" xr:uid="{C8921A53-D3BF-4C37-9A1F-4B6E6105BD39}"/>
    <cellStyle name="Normal" xfId="0" builtinId="0"/>
    <cellStyle name="Normal 2" xfId="3" xr:uid="{4DFC4194-A011-40B5-8DE2-6CC8082FB70C}"/>
  </cellStyles>
  <dxfs count="0"/>
  <tableStyles count="0" defaultTableStyle="TableStyleMedium2" defaultPivotStyle="PivotStyleLight16"/>
  <colors>
    <mruColors>
      <color rgb="FFFFF2CC"/>
      <color rgb="FFC6E0B4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cfonline.sharepoint.com/sites/TrackingSystem/Shared%20Documents/General/6_Regulatory%20Support/ICRs/HFC%202024%20Allocation%20Rule%20ICR/Nov%202023/2024%20HFC%20Allocation%20Final%20Rule%20ICR%20Burden%20and%20Cost%20Tables%2011.21.2023_no%20cylinders.xlsx" TargetMode="External"/><Relationship Id="rId2" Type="http://schemas.microsoft.com/office/2019/04/relationships/externalLinkLongPath" Target="https://usepa.sharepoint.com/sites/TrackingSystem/Shared%20Documents/General/6_Regulatory%20Support/ICRs/HFC%202024%20Allocation%20Rule%20ICR/Nov%202023/2024%20HFC%20Allocation%20Final%20Rule%20ICR%20Burden%20and%20Cost%20Tables%2011.21.2023_no%20cylinders.xlsx?9849B624" TargetMode="External"/><Relationship Id="rId1" Type="http://schemas.openxmlformats.org/officeDocument/2006/relationships/externalLinkPath" Target="file:///\\9849B624\2024%20HFC%20Allocation%20Final%20Rule%20ICR%20Burden%20and%20Cost%20Tables%2011.21.2023_no%20cylind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ing Activity"/>
      <sheetName val="Respondent Assumptions"/>
      <sheetName val="Respondent Burden - ICR"/>
      <sheetName val="Incremental Costs"/>
      <sheetName val="Summary"/>
      <sheetName val="Agency Assumptions"/>
      <sheetName val="Agency Burden"/>
    </sheetNames>
    <sheetDataSet>
      <sheetData sheetId="0"/>
      <sheetData sheetId="1"/>
      <sheetData sheetId="2">
        <row r="5">
          <cell r="AC5">
            <v>9637</v>
          </cell>
          <cell r="AD5">
            <v>36085.5</v>
          </cell>
          <cell r="AE5">
            <v>4110343.6149999993</v>
          </cell>
          <cell r="AF5">
            <v>1028100.4</v>
          </cell>
          <cell r="AG5">
            <v>5138444.0149999997</v>
          </cell>
        </row>
        <row r="6">
          <cell r="AC6">
            <v>9637</v>
          </cell>
          <cell r="AD6">
            <v>36085.5</v>
          </cell>
          <cell r="AE6">
            <v>4110343.6149999993</v>
          </cell>
          <cell r="AF6">
            <v>1028100.4</v>
          </cell>
          <cell r="AG6">
            <v>5138444.0149999997</v>
          </cell>
        </row>
        <row r="7">
          <cell r="AC7">
            <v>9637</v>
          </cell>
          <cell r="AD7">
            <v>36085.5</v>
          </cell>
          <cell r="AE7">
            <v>4110343.6149999993</v>
          </cell>
          <cell r="AF7">
            <v>1028100.4</v>
          </cell>
          <cell r="AG7">
            <v>5138444.0149999997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0BFB-92DD-498C-9CC7-AA64B42C8279}">
  <sheetPr>
    <tabColor theme="8"/>
  </sheetPr>
  <dimension ref="B2:F28"/>
  <sheetViews>
    <sheetView topLeftCell="A13" workbookViewId="0">
      <selection activeCell="D12" sqref="D12"/>
    </sheetView>
  </sheetViews>
  <sheetFormatPr defaultRowHeight="15" x14ac:dyDescent="0.25"/>
  <cols>
    <col min="2" max="2" width="28.5703125" customWidth="1"/>
    <col min="3" max="3" width="36.5703125" bestFit="1" customWidth="1"/>
    <col min="4" max="4" width="18.140625" bestFit="1" customWidth="1"/>
    <col min="5" max="5" width="17.42578125" bestFit="1" customWidth="1"/>
    <col min="6" max="6" width="30.28515625" bestFit="1" customWidth="1"/>
  </cols>
  <sheetData>
    <row r="2" spans="2:3" x14ac:dyDescent="0.25">
      <c r="B2" s="79" t="s">
        <v>0</v>
      </c>
      <c r="C2" s="79" t="s">
        <v>1</v>
      </c>
    </row>
    <row r="3" spans="2:3" x14ac:dyDescent="0.25">
      <c r="B3" s="78" t="s">
        <v>2</v>
      </c>
      <c r="C3" s="78">
        <v>10</v>
      </c>
    </row>
    <row r="4" spans="2:3" x14ac:dyDescent="0.25">
      <c r="B4" s="78" t="s">
        <v>3</v>
      </c>
      <c r="C4" s="78">
        <v>75</v>
      </c>
    </row>
    <row r="5" spans="2:3" x14ac:dyDescent="0.25">
      <c r="B5" s="78" t="s">
        <v>4</v>
      </c>
      <c r="C5" s="78">
        <v>26</v>
      </c>
    </row>
    <row r="6" spans="2:3" x14ac:dyDescent="0.25">
      <c r="B6" s="78" t="s">
        <v>5</v>
      </c>
      <c r="C6" s="78">
        <v>4</v>
      </c>
    </row>
    <row r="7" spans="2:3" x14ac:dyDescent="0.25">
      <c r="B7" s="78" t="s">
        <v>6</v>
      </c>
      <c r="C7" s="78">
        <v>31</v>
      </c>
    </row>
    <row r="8" spans="2:3" x14ac:dyDescent="0.25">
      <c r="B8" s="78" t="s">
        <v>7</v>
      </c>
      <c r="C8" s="78">
        <v>4</v>
      </c>
    </row>
    <row r="10" spans="2:3" x14ac:dyDescent="0.25">
      <c r="B10" s="79" t="s">
        <v>8</v>
      </c>
      <c r="C10" s="79" t="s">
        <v>1</v>
      </c>
    </row>
    <row r="11" spans="2:3" x14ac:dyDescent="0.25">
      <c r="B11" s="78" t="s">
        <v>9</v>
      </c>
      <c r="C11" s="78">
        <v>54</v>
      </c>
    </row>
    <row r="13" spans="2:3" x14ac:dyDescent="0.25">
      <c r="B13" s="79" t="s">
        <v>10</v>
      </c>
      <c r="C13" s="79" t="s">
        <v>1</v>
      </c>
    </row>
    <row r="14" spans="2:3" x14ac:dyDescent="0.25">
      <c r="B14" s="78" t="s">
        <v>11</v>
      </c>
      <c r="C14" s="78">
        <v>10</v>
      </c>
    </row>
    <row r="15" spans="2:3" x14ac:dyDescent="0.25">
      <c r="B15" s="78" t="s">
        <v>12</v>
      </c>
      <c r="C15" s="78">
        <v>3</v>
      </c>
    </row>
    <row r="16" spans="2:3" x14ac:dyDescent="0.25">
      <c r="B16" s="78" t="s">
        <v>13</v>
      </c>
      <c r="C16" s="78">
        <v>4</v>
      </c>
    </row>
    <row r="17" spans="2:6" x14ac:dyDescent="0.25">
      <c r="B17" s="78" t="s">
        <v>14</v>
      </c>
      <c r="C17" s="78">
        <v>7</v>
      </c>
    </row>
    <row r="18" spans="2:6" x14ac:dyDescent="0.25">
      <c r="B18" s="78" t="s">
        <v>6</v>
      </c>
      <c r="C18" s="78"/>
    </row>
    <row r="20" spans="2:6" x14ac:dyDescent="0.25">
      <c r="B20" s="79" t="s">
        <v>15</v>
      </c>
      <c r="C20" s="79" t="s">
        <v>1</v>
      </c>
      <c r="D20" s="79" t="s">
        <v>16</v>
      </c>
      <c r="E20" s="79" t="s">
        <v>17</v>
      </c>
      <c r="F20" s="79" t="s">
        <v>18</v>
      </c>
    </row>
    <row r="21" spans="2:6" x14ac:dyDescent="0.25">
      <c r="B21" s="78" t="s">
        <v>19</v>
      </c>
      <c r="C21" s="78">
        <v>11</v>
      </c>
      <c r="D21" s="78">
        <v>34</v>
      </c>
      <c r="E21" s="78">
        <v>12</v>
      </c>
      <c r="F21" s="86">
        <f>D21/C21*12/E21</f>
        <v>3.0909090909090913</v>
      </c>
    </row>
    <row r="22" spans="2:6" x14ac:dyDescent="0.25">
      <c r="B22" s="78" t="s">
        <v>20</v>
      </c>
      <c r="C22" s="78">
        <v>3</v>
      </c>
      <c r="D22" s="78">
        <v>8</v>
      </c>
      <c r="E22" s="78">
        <v>12</v>
      </c>
      <c r="F22" s="86">
        <f t="shared" ref="F22:F25" si="0">D22/C22*12/E22</f>
        <v>2.6666666666666665</v>
      </c>
    </row>
    <row r="23" spans="2:6" x14ac:dyDescent="0.25">
      <c r="B23" s="78" t="s">
        <v>21</v>
      </c>
      <c r="C23" s="78">
        <v>25</v>
      </c>
      <c r="D23" s="78">
        <v>93</v>
      </c>
      <c r="E23" s="78">
        <v>13</v>
      </c>
      <c r="F23" s="86">
        <f t="shared" ref="F23" si="1">D23/C23*12/E23</f>
        <v>3.433846153846154</v>
      </c>
    </row>
    <row r="24" spans="2:6" x14ac:dyDescent="0.25">
      <c r="B24" s="78" t="s">
        <v>22</v>
      </c>
      <c r="C24" s="78">
        <v>16</v>
      </c>
      <c r="D24" s="78">
        <v>249</v>
      </c>
      <c r="E24" s="78">
        <v>12</v>
      </c>
      <c r="F24" s="86">
        <f>D24/C24*12/E24</f>
        <v>15.5625</v>
      </c>
    </row>
    <row r="25" spans="2:6" x14ac:dyDescent="0.25">
      <c r="B25" s="78" t="s">
        <v>23</v>
      </c>
      <c r="C25" s="78">
        <v>2</v>
      </c>
      <c r="D25" s="78">
        <v>63</v>
      </c>
      <c r="E25" s="78">
        <v>9</v>
      </c>
      <c r="F25" s="86">
        <f t="shared" si="0"/>
        <v>42</v>
      </c>
    </row>
    <row r="26" spans="2:6" x14ac:dyDescent="0.25">
      <c r="B26" s="78" t="s">
        <v>24</v>
      </c>
      <c r="C26" s="78">
        <v>1</v>
      </c>
      <c r="D26" s="78">
        <v>2</v>
      </c>
      <c r="E26" s="78">
        <v>12</v>
      </c>
      <c r="F26" s="86">
        <f>D26/C26*12/E26</f>
        <v>2</v>
      </c>
    </row>
    <row r="28" spans="2:6" x14ac:dyDescent="0.25">
      <c r="B28" t="s">
        <v>25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5FC9D-FC5B-4906-A09C-7FF1B5F9DF46}">
  <sheetPr codeName="Sheet1">
    <tabColor theme="8"/>
  </sheetPr>
  <dimension ref="A1:AA78"/>
  <sheetViews>
    <sheetView zoomScaleNormal="100" workbookViewId="0">
      <selection activeCell="E9" sqref="E9"/>
    </sheetView>
  </sheetViews>
  <sheetFormatPr defaultRowHeight="15" x14ac:dyDescent="0.25"/>
  <cols>
    <col min="1" max="1" width="4.140625" customWidth="1"/>
    <col min="2" max="2" width="20.42578125" customWidth="1"/>
    <col min="3" max="3" width="53.85546875" customWidth="1"/>
    <col min="4" max="5" width="9.140625" customWidth="1"/>
    <col min="6" max="6" width="10.42578125" customWidth="1"/>
    <col min="7" max="7" width="12.5703125" customWidth="1"/>
    <col min="8" max="8" width="105.85546875" customWidth="1"/>
    <col min="10" max="10" width="20.7109375" customWidth="1"/>
    <col min="11" max="11" width="68.140625" customWidth="1"/>
    <col min="12" max="14" width="9.28515625" customWidth="1"/>
    <col min="15" max="15" width="8.140625" customWidth="1"/>
    <col min="16" max="16" width="5.85546875" customWidth="1"/>
    <col min="17" max="17" width="12.28515625" customWidth="1"/>
    <col min="18" max="18" width="11.28515625" customWidth="1"/>
    <col min="19" max="19" width="14.28515625" customWidth="1"/>
    <col min="21" max="23" width="14.28515625" customWidth="1"/>
    <col min="24" max="24" width="18.42578125" customWidth="1"/>
    <col min="25" max="25" width="12.42578125" customWidth="1"/>
    <col min="26" max="26" width="12.85546875" customWidth="1"/>
    <col min="27" max="27" width="11" customWidth="1"/>
  </cols>
  <sheetData>
    <row r="1" spans="1:27" s="19" customFormat="1" ht="18.75" x14ac:dyDescent="0.3">
      <c r="A1" s="19" t="s">
        <v>26</v>
      </c>
    </row>
    <row r="2" spans="1:27" s="21" customFormat="1" x14ac:dyDescent="0.25"/>
    <row r="3" spans="1:27" x14ac:dyDescent="0.25">
      <c r="J3" s="21" t="s">
        <v>27</v>
      </c>
      <c r="Q3" s="21" t="s">
        <v>28</v>
      </c>
      <c r="U3" s="21" t="s">
        <v>29</v>
      </c>
      <c r="V3" s="21"/>
      <c r="W3" s="21"/>
      <c r="X3" s="21"/>
    </row>
    <row r="4" spans="1:27" ht="36" x14ac:dyDescent="0.25">
      <c r="B4" s="135" t="s">
        <v>30</v>
      </c>
      <c r="C4" s="135" t="s">
        <v>31</v>
      </c>
      <c r="D4" s="135" t="s">
        <v>32</v>
      </c>
      <c r="E4" s="135" t="s">
        <v>33</v>
      </c>
      <c r="F4" s="64" t="s">
        <v>34</v>
      </c>
      <c r="G4" s="135" t="s">
        <v>35</v>
      </c>
      <c r="H4" s="135" t="s">
        <v>36</v>
      </c>
      <c r="J4" s="135" t="s">
        <v>30</v>
      </c>
      <c r="K4" s="135" t="s">
        <v>31</v>
      </c>
      <c r="L4" s="135" t="s">
        <v>37</v>
      </c>
      <c r="M4" s="135" t="s">
        <v>38</v>
      </c>
      <c r="N4" s="135" t="s">
        <v>39</v>
      </c>
      <c r="Q4" s="135" t="s">
        <v>40</v>
      </c>
      <c r="R4" s="135" t="s">
        <v>41</v>
      </c>
      <c r="S4" s="135" t="s">
        <v>42</v>
      </c>
      <c r="U4" s="135" t="s">
        <v>43</v>
      </c>
      <c r="V4" s="135" t="s">
        <v>44</v>
      </c>
      <c r="W4" s="135" t="s">
        <v>45</v>
      </c>
      <c r="X4" s="135" t="s">
        <v>46</v>
      </c>
      <c r="Y4" s="135" t="s">
        <v>47</v>
      </c>
      <c r="Z4" s="135" t="s">
        <v>48</v>
      </c>
      <c r="AA4" s="135" t="s">
        <v>49</v>
      </c>
    </row>
    <row r="5" spans="1:27" x14ac:dyDescent="0.25">
      <c r="B5" s="145" t="s">
        <v>50</v>
      </c>
      <c r="C5" s="130" t="s">
        <v>51</v>
      </c>
      <c r="D5" s="41">
        <v>100</v>
      </c>
      <c r="E5" s="41">
        <v>0</v>
      </c>
      <c r="F5" s="65">
        <v>1</v>
      </c>
      <c r="G5" s="42">
        <v>1</v>
      </c>
      <c r="H5" s="72" t="s">
        <v>52</v>
      </c>
      <c r="I5" s="91"/>
      <c r="J5" s="148" t="s">
        <v>50</v>
      </c>
      <c r="K5" s="130" t="str">
        <f t="shared" ref="K5:K8" si="0">C5</f>
        <v>Submit one-time producer report</v>
      </c>
      <c r="L5" s="41">
        <f>1/$G$5*$G$5</f>
        <v>1</v>
      </c>
      <c r="M5" s="41">
        <f t="shared" ref="M5:N5" si="1">1/$G$5*$G$5</f>
        <v>1</v>
      </c>
      <c r="N5" s="41">
        <f t="shared" si="1"/>
        <v>1</v>
      </c>
      <c r="Q5" s="26">
        <f>ROUND(38.41*2.1,2)</f>
        <v>80.66</v>
      </c>
      <c r="R5" s="65">
        <v>80</v>
      </c>
      <c r="S5" s="68">
        <f>Q5*R5</f>
        <v>6452.7999999999993</v>
      </c>
      <c r="U5" s="130" t="s">
        <v>53</v>
      </c>
      <c r="V5" s="65">
        <v>7500</v>
      </c>
      <c r="W5" s="65">
        <f>G14</f>
        <v>75</v>
      </c>
      <c r="X5" s="29">
        <f>V5/W5</f>
        <v>100</v>
      </c>
      <c r="Y5" s="65">
        <v>15</v>
      </c>
      <c r="Z5" s="130" t="s">
        <v>54</v>
      </c>
      <c r="AA5" s="67">
        <f>IF(Z5="Hours",Y5,IF(Z5="Minutes",Y5/60,Y5/3600))</f>
        <v>0.25</v>
      </c>
    </row>
    <row r="6" spans="1:27" x14ac:dyDescent="0.25">
      <c r="B6" s="146"/>
      <c r="C6" s="130" t="s">
        <v>55</v>
      </c>
      <c r="D6" s="41">
        <f>6</f>
        <v>6</v>
      </c>
      <c r="E6" s="41">
        <v>0</v>
      </c>
      <c r="F6" s="65">
        <v>4</v>
      </c>
      <c r="G6" s="42">
        <f>'Reporting Activity'!C3</f>
        <v>10</v>
      </c>
      <c r="H6" s="130" t="s">
        <v>56</v>
      </c>
      <c r="I6" s="91"/>
      <c r="J6" s="149"/>
      <c r="K6" s="130" t="str">
        <f t="shared" si="0"/>
        <v>Submit quarterly report</v>
      </c>
      <c r="L6" s="41">
        <f t="shared" ref="L6:L51" si="2">$G6</f>
        <v>10</v>
      </c>
      <c r="M6" s="41">
        <f t="shared" ref="M6:N8" si="3">$G6</f>
        <v>10</v>
      </c>
      <c r="N6" s="41">
        <f t="shared" si="3"/>
        <v>10</v>
      </c>
    </row>
    <row r="7" spans="1:27" x14ac:dyDescent="0.25">
      <c r="B7" s="146"/>
      <c r="C7" s="130" t="s">
        <v>57</v>
      </c>
      <c r="D7" s="41">
        <v>20</v>
      </c>
      <c r="E7" s="41">
        <v>0</v>
      </c>
      <c r="F7" s="65">
        <v>1</v>
      </c>
      <c r="G7" s="42">
        <f>G6</f>
        <v>10</v>
      </c>
      <c r="H7" s="130" t="s">
        <v>56</v>
      </c>
      <c r="I7" s="91"/>
      <c r="J7" s="149"/>
      <c r="K7" s="130" t="str">
        <f t="shared" si="0"/>
        <v>Submit annual inventory report (part of quarterly report)</v>
      </c>
      <c r="L7" s="41">
        <f t="shared" si="2"/>
        <v>10</v>
      </c>
      <c r="M7" s="41">
        <f t="shared" si="3"/>
        <v>10</v>
      </c>
      <c r="N7" s="41">
        <f t="shared" si="3"/>
        <v>10</v>
      </c>
    </row>
    <row r="8" spans="1:27" x14ac:dyDescent="0.25">
      <c r="B8" s="146"/>
      <c r="C8" s="130" t="s">
        <v>58</v>
      </c>
      <c r="D8" s="41">
        <v>0</v>
      </c>
      <c r="E8" s="41">
        <v>100</v>
      </c>
      <c r="F8" s="65">
        <v>1</v>
      </c>
      <c r="G8" s="42">
        <f>G6</f>
        <v>10</v>
      </c>
      <c r="H8" s="130" t="s">
        <v>56</v>
      </c>
      <c r="I8" s="91"/>
      <c r="J8" s="149"/>
      <c r="K8" s="130" t="str">
        <f t="shared" si="0"/>
        <v>Maintain records</v>
      </c>
      <c r="L8" s="41">
        <f t="shared" si="2"/>
        <v>10</v>
      </c>
      <c r="M8" s="41">
        <f t="shared" si="3"/>
        <v>10</v>
      </c>
      <c r="N8" s="41">
        <f t="shared" si="3"/>
        <v>10</v>
      </c>
    </row>
    <row r="9" spans="1:27" ht="15.75" customHeight="1" x14ac:dyDescent="0.25">
      <c r="B9" s="146"/>
      <c r="C9" s="130" t="s">
        <v>59</v>
      </c>
      <c r="D9" s="41">
        <v>12</v>
      </c>
      <c r="E9" s="41">
        <v>0</v>
      </c>
      <c r="F9" s="65">
        <v>1</v>
      </c>
      <c r="G9" s="42">
        <v>4</v>
      </c>
      <c r="H9" s="130" t="s">
        <v>60</v>
      </c>
      <c r="I9" s="91"/>
      <c r="J9" s="149"/>
      <c r="K9" s="130" t="str">
        <f t="shared" ref="K9:K29" si="4">C9</f>
        <v>Submit annual HFC-23 emissions report</v>
      </c>
      <c r="L9" s="41">
        <f t="shared" si="2"/>
        <v>4</v>
      </c>
      <c r="M9" s="41">
        <f t="shared" ref="M9:N31" si="5">$G9</f>
        <v>4</v>
      </c>
      <c r="N9" s="41">
        <f t="shared" si="5"/>
        <v>4</v>
      </c>
    </row>
    <row r="10" spans="1:27" x14ac:dyDescent="0.25">
      <c r="B10" s="146"/>
      <c r="C10" s="130" t="s">
        <v>61</v>
      </c>
      <c r="D10" s="42">
        <v>0.25</v>
      </c>
      <c r="E10" s="41">
        <v>0</v>
      </c>
      <c r="F10" s="65">
        <v>2</v>
      </c>
      <c r="G10" s="42">
        <v>4</v>
      </c>
      <c r="H10" s="130"/>
      <c r="I10" s="91"/>
      <c r="J10" s="149"/>
      <c r="K10" s="130" t="str">
        <f t="shared" si="4"/>
        <v>Submit HFC-23 proof of destruction</v>
      </c>
      <c r="L10" s="41">
        <f t="shared" si="2"/>
        <v>4</v>
      </c>
      <c r="M10" s="41">
        <f t="shared" si="5"/>
        <v>4</v>
      </c>
      <c r="N10" s="41">
        <f t="shared" si="5"/>
        <v>4</v>
      </c>
    </row>
    <row r="11" spans="1:27" x14ac:dyDescent="0.25">
      <c r="B11" s="146"/>
      <c r="C11" s="130" t="s">
        <v>62</v>
      </c>
      <c r="D11" s="41">
        <v>2</v>
      </c>
      <c r="E11" s="41">
        <v>0</v>
      </c>
      <c r="F11" s="65">
        <v>1</v>
      </c>
      <c r="G11" s="42">
        <f>G33-G22</f>
        <v>1</v>
      </c>
      <c r="H11" s="130" t="s">
        <v>63</v>
      </c>
      <c r="I11" s="91"/>
      <c r="J11" s="149"/>
      <c r="K11" s="130" t="str">
        <f t="shared" si="4"/>
        <v>Provide certification to third party (conferrer)</v>
      </c>
      <c r="L11" s="48">
        <f t="shared" si="2"/>
        <v>1</v>
      </c>
      <c r="M11" s="48">
        <f t="shared" si="5"/>
        <v>1</v>
      </c>
      <c r="N11" s="48">
        <f t="shared" si="5"/>
        <v>1</v>
      </c>
    </row>
    <row r="12" spans="1:27" x14ac:dyDescent="0.25">
      <c r="B12" s="146"/>
      <c r="C12" s="98" t="s">
        <v>64</v>
      </c>
      <c r="D12" s="99">
        <v>3</v>
      </c>
      <c r="E12" s="99">
        <v>0</v>
      </c>
      <c r="F12" s="99">
        <v>4</v>
      </c>
      <c r="G12" s="99">
        <v>1</v>
      </c>
      <c r="H12" s="98" t="s">
        <v>65</v>
      </c>
      <c r="I12" s="91"/>
      <c r="J12" s="149"/>
      <c r="K12" s="98" t="str">
        <f t="shared" si="4"/>
        <v>Submit quarterly production for export report</v>
      </c>
      <c r="L12" s="99">
        <f t="shared" si="2"/>
        <v>1</v>
      </c>
      <c r="M12" s="99">
        <f t="shared" si="5"/>
        <v>1</v>
      </c>
      <c r="N12" s="99">
        <f t="shared" si="5"/>
        <v>1</v>
      </c>
    </row>
    <row r="13" spans="1:27" x14ac:dyDescent="0.25">
      <c r="B13" s="147"/>
      <c r="C13" s="98" t="s">
        <v>66</v>
      </c>
      <c r="D13" s="99">
        <v>2</v>
      </c>
      <c r="E13" s="99">
        <v>0</v>
      </c>
      <c r="F13" s="99">
        <v>1</v>
      </c>
      <c r="G13" s="99">
        <v>1</v>
      </c>
      <c r="H13" s="98" t="s">
        <v>65</v>
      </c>
      <c r="I13" s="91"/>
      <c r="J13" s="150"/>
      <c r="K13" s="98" t="str">
        <f t="shared" si="4"/>
        <v>Submit annual production for export certification</v>
      </c>
      <c r="L13" s="99">
        <f t="shared" si="2"/>
        <v>1</v>
      </c>
      <c r="M13" s="99">
        <f t="shared" si="5"/>
        <v>1</v>
      </c>
      <c r="N13" s="99">
        <f t="shared" si="5"/>
        <v>1</v>
      </c>
    </row>
    <row r="14" spans="1:27" x14ac:dyDescent="0.25">
      <c r="B14" s="142" t="s">
        <v>67</v>
      </c>
      <c r="C14" s="130" t="s">
        <v>55</v>
      </c>
      <c r="D14" s="41">
        <f>6</f>
        <v>6</v>
      </c>
      <c r="E14" s="41">
        <v>0</v>
      </c>
      <c r="F14" s="65">
        <v>4</v>
      </c>
      <c r="G14" s="42">
        <f>'Reporting Activity'!C4</f>
        <v>75</v>
      </c>
      <c r="H14" s="130" t="s">
        <v>68</v>
      </c>
      <c r="I14" s="91"/>
      <c r="J14" s="142" t="s">
        <v>67</v>
      </c>
      <c r="K14" s="130" t="str">
        <f t="shared" si="4"/>
        <v>Submit quarterly report</v>
      </c>
      <c r="L14" s="48">
        <f t="shared" si="2"/>
        <v>75</v>
      </c>
      <c r="M14" s="48">
        <f t="shared" si="5"/>
        <v>75</v>
      </c>
      <c r="N14" s="48">
        <f t="shared" si="5"/>
        <v>75</v>
      </c>
    </row>
    <row r="15" spans="1:27" x14ac:dyDescent="0.25">
      <c r="B15" s="143"/>
      <c r="C15" s="130" t="s">
        <v>69</v>
      </c>
      <c r="D15" s="41">
        <v>10</v>
      </c>
      <c r="E15" s="41">
        <v>0</v>
      </c>
      <c r="F15" s="65">
        <v>1</v>
      </c>
      <c r="G15" s="42">
        <f>G14</f>
        <v>75</v>
      </c>
      <c r="H15" s="130" t="s">
        <v>68</v>
      </c>
      <c r="I15" s="91"/>
      <c r="J15" s="143"/>
      <c r="K15" s="130" t="str">
        <f t="shared" si="4"/>
        <v>Submit annual inventory report</v>
      </c>
      <c r="L15" s="48">
        <f t="shared" si="2"/>
        <v>75</v>
      </c>
      <c r="M15" s="48">
        <f t="shared" si="5"/>
        <v>75</v>
      </c>
      <c r="N15" s="48">
        <f t="shared" si="5"/>
        <v>75</v>
      </c>
    </row>
    <row r="16" spans="1:27" x14ac:dyDescent="0.25">
      <c r="B16" s="143"/>
      <c r="C16" s="130" t="s">
        <v>58</v>
      </c>
      <c r="D16" s="69">
        <v>0</v>
      </c>
      <c r="E16" s="41">
        <v>100</v>
      </c>
      <c r="F16" s="65">
        <v>1</v>
      </c>
      <c r="G16" s="42">
        <f>G14</f>
        <v>75</v>
      </c>
      <c r="H16" s="130" t="s">
        <v>68</v>
      </c>
      <c r="I16" s="91"/>
      <c r="J16" s="143"/>
      <c r="K16" s="130" t="str">
        <f t="shared" si="4"/>
        <v>Maintain records</v>
      </c>
      <c r="L16" s="48">
        <f t="shared" si="2"/>
        <v>75</v>
      </c>
      <c r="M16" s="48">
        <f t="shared" si="5"/>
        <v>75</v>
      </c>
      <c r="N16" s="48">
        <f t="shared" si="5"/>
        <v>75</v>
      </c>
    </row>
    <row r="17" spans="2:14" x14ac:dyDescent="0.25">
      <c r="B17" s="143"/>
      <c r="C17" s="130" t="s">
        <v>70</v>
      </c>
      <c r="D17" s="41">
        <v>2</v>
      </c>
      <c r="E17" s="41">
        <v>0</v>
      </c>
      <c r="F17" s="65">
        <f>ROUND('Reporting Activity'!F25,0)</f>
        <v>42</v>
      </c>
      <c r="G17" s="42">
        <f>'Reporting Activity'!C25</f>
        <v>2</v>
      </c>
      <c r="H17" s="130" t="s">
        <v>71</v>
      </c>
      <c r="I17" s="91"/>
      <c r="J17" s="143"/>
      <c r="K17" s="130" t="str">
        <f t="shared" si="4"/>
        <v>Petition to import HFCs for transformation/destruction</v>
      </c>
      <c r="L17" s="48">
        <f t="shared" si="2"/>
        <v>2</v>
      </c>
      <c r="M17" s="48">
        <f t="shared" si="5"/>
        <v>2</v>
      </c>
      <c r="N17" s="48">
        <f t="shared" si="5"/>
        <v>2</v>
      </c>
    </row>
    <row r="18" spans="2:14" x14ac:dyDescent="0.25">
      <c r="B18" s="143"/>
      <c r="C18" s="130" t="s">
        <v>72</v>
      </c>
      <c r="D18" s="41">
        <v>6</v>
      </c>
      <c r="E18" s="41">
        <v>0</v>
      </c>
      <c r="F18" s="65">
        <f>ROUND(10/G18,0)</f>
        <v>5</v>
      </c>
      <c r="G18" s="42">
        <v>2</v>
      </c>
      <c r="H18" s="130" t="s">
        <v>73</v>
      </c>
      <c r="I18" s="91"/>
      <c r="J18" s="143"/>
      <c r="K18" s="130" t="str">
        <f t="shared" si="4"/>
        <v>Petition to import used HFCs for destruction</v>
      </c>
      <c r="L18" s="48">
        <f t="shared" si="2"/>
        <v>2</v>
      </c>
      <c r="M18" s="48">
        <f t="shared" si="5"/>
        <v>2</v>
      </c>
      <c r="N18" s="48">
        <f t="shared" si="5"/>
        <v>2</v>
      </c>
    </row>
    <row r="19" spans="2:14" ht="14.45" customHeight="1" x14ac:dyDescent="0.25">
      <c r="B19" s="143"/>
      <c r="C19" s="130" t="s">
        <v>74</v>
      </c>
      <c r="D19" s="88">
        <f>AA5</f>
        <v>0.25</v>
      </c>
      <c r="E19" s="41">
        <v>0</v>
      </c>
      <c r="F19" s="65">
        <f>X5</f>
        <v>100</v>
      </c>
      <c r="G19" s="42">
        <f>G14</f>
        <v>75</v>
      </c>
      <c r="H19" s="22" t="s">
        <v>75</v>
      </c>
      <c r="I19" s="91"/>
      <c r="J19" s="143"/>
      <c r="K19" s="130" t="str">
        <f t="shared" si="4"/>
        <v>Submit ACE report</v>
      </c>
      <c r="L19" s="48">
        <f t="shared" si="2"/>
        <v>75</v>
      </c>
      <c r="M19" s="48">
        <f t="shared" si="5"/>
        <v>75</v>
      </c>
      <c r="N19" s="48">
        <f t="shared" si="5"/>
        <v>75</v>
      </c>
    </row>
    <row r="20" spans="2:14" x14ac:dyDescent="0.25">
      <c r="B20" s="143"/>
      <c r="C20" s="130" t="s">
        <v>76</v>
      </c>
      <c r="D20" s="42">
        <v>0.25</v>
      </c>
      <c r="E20" s="41">
        <v>0</v>
      </c>
      <c r="F20" s="65">
        <f>F18</f>
        <v>5</v>
      </c>
      <c r="G20" s="42">
        <f>G18</f>
        <v>2</v>
      </c>
      <c r="H20" s="22"/>
      <c r="I20" s="91"/>
      <c r="J20" s="143"/>
      <c r="K20" s="130" t="str">
        <f t="shared" si="4"/>
        <v>Submit proof of destruction of used imports</v>
      </c>
      <c r="L20" s="48">
        <f t="shared" si="2"/>
        <v>2</v>
      </c>
      <c r="M20" s="48">
        <f t="shared" si="5"/>
        <v>2</v>
      </c>
      <c r="N20" s="48">
        <f t="shared" si="5"/>
        <v>2</v>
      </c>
    </row>
    <row r="21" spans="2:14" ht="14.45" customHeight="1" x14ac:dyDescent="0.25">
      <c r="B21" s="143"/>
      <c r="C21" s="130" t="s">
        <v>77</v>
      </c>
      <c r="D21" s="41">
        <v>0</v>
      </c>
      <c r="E21" s="41">
        <v>20</v>
      </c>
      <c r="F21" s="65">
        <v>1</v>
      </c>
      <c r="G21" s="42">
        <f>G18</f>
        <v>2</v>
      </c>
      <c r="H21" s="22"/>
      <c r="I21" s="91"/>
      <c r="J21" s="143"/>
      <c r="K21" s="130" t="str">
        <f t="shared" si="4"/>
        <v>Maintain records on used imports for destruction</v>
      </c>
      <c r="L21" s="48">
        <f t="shared" si="2"/>
        <v>2</v>
      </c>
      <c r="M21" s="48">
        <f t="shared" si="5"/>
        <v>2</v>
      </c>
      <c r="N21" s="48">
        <f t="shared" si="5"/>
        <v>2</v>
      </c>
    </row>
    <row r="22" spans="2:14" ht="15" customHeight="1" x14ac:dyDescent="0.25">
      <c r="B22" s="143"/>
      <c r="C22" s="130" t="s">
        <v>62</v>
      </c>
      <c r="D22" s="41">
        <v>2</v>
      </c>
      <c r="E22" s="41">
        <v>0</v>
      </c>
      <c r="F22" s="65">
        <v>1</v>
      </c>
      <c r="G22" s="42">
        <f>ROUND(G33/2,0)</f>
        <v>2</v>
      </c>
      <c r="H22" s="130" t="s">
        <v>63</v>
      </c>
      <c r="I22" s="91"/>
      <c r="J22" s="143"/>
      <c r="K22" s="130" t="str">
        <f t="shared" si="4"/>
        <v>Provide certification to third party (conferrer)</v>
      </c>
      <c r="L22" s="48">
        <f t="shared" si="2"/>
        <v>2</v>
      </c>
      <c r="M22" s="48">
        <f t="shared" si="5"/>
        <v>2</v>
      </c>
      <c r="N22" s="48">
        <f t="shared" si="5"/>
        <v>2</v>
      </c>
    </row>
    <row r="23" spans="2:14" x14ac:dyDescent="0.25">
      <c r="B23" s="143"/>
      <c r="C23" s="130" t="s">
        <v>78</v>
      </c>
      <c r="D23" s="41">
        <v>2</v>
      </c>
      <c r="E23" s="41">
        <v>0</v>
      </c>
      <c r="F23" s="65">
        <v>1</v>
      </c>
      <c r="G23" s="42">
        <f>G14</f>
        <v>75</v>
      </c>
      <c r="H23" s="130" t="s">
        <v>68</v>
      </c>
      <c r="I23" s="91"/>
      <c r="J23" s="143"/>
      <c r="K23" s="130" t="str">
        <f t="shared" si="4"/>
        <v>Submit Importer of Record annual report</v>
      </c>
      <c r="L23" s="48">
        <f t="shared" si="2"/>
        <v>75</v>
      </c>
      <c r="M23" s="48">
        <f t="shared" si="5"/>
        <v>75</v>
      </c>
      <c r="N23" s="48">
        <f t="shared" si="5"/>
        <v>75</v>
      </c>
    </row>
    <row r="24" spans="2:14" x14ac:dyDescent="0.25">
      <c r="B24" s="143"/>
      <c r="C24" s="130" t="s">
        <v>79</v>
      </c>
      <c r="D24" s="41">
        <v>1</v>
      </c>
      <c r="E24" s="41">
        <v>0</v>
      </c>
      <c r="F24" s="65">
        <v>4</v>
      </c>
      <c r="G24" s="42">
        <f>'Reporting Activity'!C26</f>
        <v>1</v>
      </c>
      <c r="H24" s="130" t="s">
        <v>80</v>
      </c>
      <c r="I24" s="91"/>
      <c r="J24" s="143"/>
      <c r="K24" s="130" t="str">
        <f t="shared" si="4"/>
        <v xml:space="preserve">Submit notification of transhipments </v>
      </c>
      <c r="L24" s="48">
        <f t="shared" si="2"/>
        <v>1</v>
      </c>
      <c r="M24" s="48">
        <f t="shared" si="5"/>
        <v>1</v>
      </c>
      <c r="N24" s="48">
        <f t="shared" si="5"/>
        <v>1</v>
      </c>
    </row>
    <row r="25" spans="2:14" x14ac:dyDescent="0.25">
      <c r="B25" s="144"/>
      <c r="C25" s="98" t="s">
        <v>81</v>
      </c>
      <c r="D25" s="99">
        <v>0</v>
      </c>
      <c r="E25" s="99">
        <v>1</v>
      </c>
      <c r="F25" s="103">
        <v>1</v>
      </c>
      <c r="G25" s="104">
        <v>10</v>
      </c>
      <c r="H25" s="98" t="s">
        <v>65</v>
      </c>
      <c r="I25" s="91"/>
      <c r="J25" s="144"/>
      <c r="K25" s="98" t="str">
        <f t="shared" si="4"/>
        <v>Maintain records on HFCs purchased at government auction</v>
      </c>
      <c r="L25" s="99">
        <f t="shared" si="2"/>
        <v>10</v>
      </c>
      <c r="M25" s="99">
        <f t="shared" si="5"/>
        <v>10</v>
      </c>
      <c r="N25" s="99">
        <f t="shared" si="5"/>
        <v>10</v>
      </c>
    </row>
    <row r="26" spans="2:14" x14ac:dyDescent="0.25">
      <c r="B26" s="22" t="s">
        <v>82</v>
      </c>
      <c r="C26" s="130" t="s">
        <v>58</v>
      </c>
      <c r="D26" s="41">
        <v>0</v>
      </c>
      <c r="E26" s="41">
        <v>20</v>
      </c>
      <c r="F26" s="65">
        <v>1</v>
      </c>
      <c r="G26" s="42">
        <v>5</v>
      </c>
      <c r="H26" s="130" t="s">
        <v>65</v>
      </c>
      <c r="I26" s="91"/>
      <c r="J26" s="22" t="s">
        <v>82</v>
      </c>
      <c r="K26" s="130" t="str">
        <f t="shared" si="4"/>
        <v>Maintain records</v>
      </c>
      <c r="L26" s="48">
        <f t="shared" si="2"/>
        <v>5</v>
      </c>
      <c r="M26" s="48">
        <f t="shared" si="5"/>
        <v>5</v>
      </c>
      <c r="N26" s="48">
        <f t="shared" si="5"/>
        <v>5</v>
      </c>
    </row>
    <row r="27" spans="2:14" x14ac:dyDescent="0.25">
      <c r="B27" s="74" t="s">
        <v>83</v>
      </c>
      <c r="C27" s="130" t="s">
        <v>58</v>
      </c>
      <c r="D27" s="41">
        <v>0</v>
      </c>
      <c r="E27" s="41">
        <v>20</v>
      </c>
      <c r="F27" s="65">
        <v>1</v>
      </c>
      <c r="G27" s="42">
        <v>100</v>
      </c>
      <c r="H27" s="130" t="s">
        <v>65</v>
      </c>
      <c r="I27" s="91"/>
      <c r="J27" s="74" t="s">
        <v>83</v>
      </c>
      <c r="K27" s="130" t="str">
        <f t="shared" si="4"/>
        <v>Maintain records</v>
      </c>
      <c r="L27" s="48">
        <f t="shared" si="2"/>
        <v>100</v>
      </c>
      <c r="M27" s="48">
        <f t="shared" si="5"/>
        <v>100</v>
      </c>
      <c r="N27" s="48">
        <f t="shared" si="5"/>
        <v>100</v>
      </c>
    </row>
    <row r="28" spans="2:14" x14ac:dyDescent="0.25">
      <c r="B28" s="142" t="s">
        <v>84</v>
      </c>
      <c r="C28" s="130" t="s">
        <v>55</v>
      </c>
      <c r="D28" s="41">
        <f>6</f>
        <v>6</v>
      </c>
      <c r="E28" s="41">
        <v>0</v>
      </c>
      <c r="F28" s="65">
        <v>4</v>
      </c>
      <c r="G28" s="42">
        <f>'Reporting Activity'!C5</f>
        <v>26</v>
      </c>
      <c r="H28" s="130" t="s">
        <v>68</v>
      </c>
      <c r="I28" s="91"/>
      <c r="J28" s="142" t="s">
        <v>84</v>
      </c>
      <c r="K28" s="130" t="str">
        <f t="shared" si="4"/>
        <v>Submit quarterly report</v>
      </c>
      <c r="L28" s="48">
        <f t="shared" si="2"/>
        <v>26</v>
      </c>
      <c r="M28" s="48">
        <f t="shared" si="5"/>
        <v>26</v>
      </c>
      <c r="N28" s="48">
        <f t="shared" si="5"/>
        <v>26</v>
      </c>
    </row>
    <row r="29" spans="2:14" x14ac:dyDescent="0.25">
      <c r="B29" s="143"/>
      <c r="C29" s="130" t="s">
        <v>69</v>
      </c>
      <c r="D29" s="41">
        <v>10</v>
      </c>
      <c r="E29" s="41">
        <v>0</v>
      </c>
      <c r="F29" s="65">
        <v>1</v>
      </c>
      <c r="G29" s="42">
        <f>G28</f>
        <v>26</v>
      </c>
      <c r="H29" s="130" t="s">
        <v>68</v>
      </c>
      <c r="I29" s="91"/>
      <c r="J29" s="143"/>
      <c r="K29" s="130" t="str">
        <f t="shared" si="4"/>
        <v>Submit annual inventory report</v>
      </c>
      <c r="L29" s="48">
        <f t="shared" si="2"/>
        <v>26</v>
      </c>
      <c r="M29" s="48">
        <f t="shared" si="5"/>
        <v>26</v>
      </c>
      <c r="N29" s="48">
        <f t="shared" si="5"/>
        <v>26</v>
      </c>
    </row>
    <row r="30" spans="2:14" x14ac:dyDescent="0.25">
      <c r="B30" s="143"/>
      <c r="C30" s="130" t="s">
        <v>58</v>
      </c>
      <c r="D30" s="41">
        <v>0</v>
      </c>
      <c r="E30" s="41">
        <v>20</v>
      </c>
      <c r="F30" s="65">
        <v>1</v>
      </c>
      <c r="G30" s="42">
        <f>'Reporting Activity'!C6</f>
        <v>4</v>
      </c>
      <c r="H30" s="130" t="s">
        <v>85</v>
      </c>
      <c r="I30" s="91"/>
      <c r="J30" s="143"/>
      <c r="K30" s="130" t="s">
        <v>58</v>
      </c>
      <c r="L30" s="48">
        <f t="shared" si="2"/>
        <v>4</v>
      </c>
      <c r="M30" s="48">
        <f t="shared" si="5"/>
        <v>4</v>
      </c>
      <c r="N30" s="48">
        <f t="shared" si="5"/>
        <v>4</v>
      </c>
    </row>
    <row r="31" spans="2:14" x14ac:dyDescent="0.25">
      <c r="B31" s="143"/>
      <c r="C31" s="130" t="s">
        <v>86</v>
      </c>
      <c r="D31" s="41">
        <v>6</v>
      </c>
      <c r="E31" s="41">
        <v>0</v>
      </c>
      <c r="F31" s="65">
        <f>ROUND('Reporting Activity'!F24,0)</f>
        <v>16</v>
      </c>
      <c r="G31" s="42">
        <f>'Reporting Activity'!C24</f>
        <v>16</v>
      </c>
      <c r="H31" s="130" t="s">
        <v>87</v>
      </c>
      <c r="I31" s="91"/>
      <c r="J31" s="143"/>
      <c r="K31" s="130" t="str">
        <f t="shared" ref="K31:K61" si="6">C31</f>
        <v>Submit request for additional consumption allowances</v>
      </c>
      <c r="L31" s="48">
        <f>$G31</f>
        <v>16</v>
      </c>
      <c r="M31" s="48">
        <f t="shared" si="5"/>
        <v>16</v>
      </c>
      <c r="N31" s="48">
        <f t="shared" si="5"/>
        <v>16</v>
      </c>
    </row>
    <row r="32" spans="2:14" x14ac:dyDescent="0.25">
      <c r="B32" s="144"/>
      <c r="C32" s="130" t="s">
        <v>79</v>
      </c>
      <c r="D32" s="41">
        <v>1</v>
      </c>
      <c r="E32" s="41">
        <v>0</v>
      </c>
      <c r="F32" s="65">
        <v>4</v>
      </c>
      <c r="G32" s="42">
        <f>G24</f>
        <v>1</v>
      </c>
      <c r="H32" s="130" t="s">
        <v>80</v>
      </c>
      <c r="I32" s="91"/>
      <c r="J32" s="144"/>
      <c r="K32" s="130" t="str">
        <f t="shared" si="6"/>
        <v xml:space="preserve">Submit notification of transhipments </v>
      </c>
      <c r="L32" s="48">
        <f t="shared" si="2"/>
        <v>1</v>
      </c>
      <c r="M32" s="48">
        <f t="shared" ref="M32:N51" si="7">$G32</f>
        <v>1</v>
      </c>
      <c r="N32" s="48">
        <f t="shared" si="7"/>
        <v>1</v>
      </c>
    </row>
    <row r="33" spans="2:15" s="70" customFormat="1" x14ac:dyDescent="0.25">
      <c r="B33" s="146" t="s">
        <v>88</v>
      </c>
      <c r="C33" s="130" t="s">
        <v>89</v>
      </c>
      <c r="D33" s="41">
        <v>6</v>
      </c>
      <c r="E33" s="41">
        <v>0</v>
      </c>
      <c r="F33" s="65">
        <f>ROUND('Reporting Activity'!F22,0)</f>
        <v>3</v>
      </c>
      <c r="G33" s="42">
        <f>'Reporting Activity'!C22</f>
        <v>3</v>
      </c>
      <c r="H33" s="22" t="s">
        <v>90</v>
      </c>
      <c r="I33" s="91"/>
      <c r="J33" s="146" t="s">
        <v>91</v>
      </c>
      <c r="K33" s="130" t="str">
        <f t="shared" si="6"/>
        <v>Submit conferral request</v>
      </c>
      <c r="L33" s="48">
        <f t="shared" si="2"/>
        <v>3</v>
      </c>
      <c r="M33" s="48">
        <f t="shared" si="7"/>
        <v>3</v>
      </c>
      <c r="N33" s="48">
        <f t="shared" si="7"/>
        <v>3</v>
      </c>
      <c r="O33"/>
    </row>
    <row r="34" spans="2:15" x14ac:dyDescent="0.25">
      <c r="B34" s="146"/>
      <c r="C34" s="130" t="s">
        <v>92</v>
      </c>
      <c r="D34" s="42">
        <v>2</v>
      </c>
      <c r="E34" s="41">
        <v>0</v>
      </c>
      <c r="F34" s="65">
        <f>F33</f>
        <v>3</v>
      </c>
      <c r="G34" s="42">
        <f>G33</f>
        <v>3</v>
      </c>
      <c r="H34" s="22" t="s">
        <v>90</v>
      </c>
      <c r="I34" s="91"/>
      <c r="J34" s="146"/>
      <c r="K34" s="130" t="str">
        <f t="shared" si="6"/>
        <v>Provide certification to third party (conferee)</v>
      </c>
      <c r="L34" s="48">
        <f t="shared" si="2"/>
        <v>3</v>
      </c>
      <c r="M34" s="48">
        <f t="shared" si="7"/>
        <v>3</v>
      </c>
      <c r="N34" s="48">
        <f t="shared" si="7"/>
        <v>3</v>
      </c>
    </row>
    <row r="35" spans="2:15" x14ac:dyDescent="0.25">
      <c r="B35" s="146"/>
      <c r="C35" s="130" t="s">
        <v>62</v>
      </c>
      <c r="D35" s="41">
        <v>2</v>
      </c>
      <c r="E35" s="41">
        <v>0</v>
      </c>
      <c r="F35" s="65">
        <v>4</v>
      </c>
      <c r="G35" s="42">
        <f>G33</f>
        <v>3</v>
      </c>
      <c r="H35" s="22" t="s">
        <v>90</v>
      </c>
      <c r="I35" s="91"/>
      <c r="J35" s="146"/>
      <c r="K35" s="130" t="str">
        <f t="shared" si="6"/>
        <v>Provide certification to third party (conferrer)</v>
      </c>
      <c r="L35" s="48">
        <f t="shared" si="2"/>
        <v>3</v>
      </c>
      <c r="M35" s="48">
        <f t="shared" si="7"/>
        <v>3</v>
      </c>
      <c r="N35" s="48">
        <f t="shared" si="7"/>
        <v>3</v>
      </c>
    </row>
    <row r="36" spans="2:15" x14ac:dyDescent="0.25">
      <c r="B36" s="147"/>
      <c r="C36" s="130" t="s">
        <v>58</v>
      </c>
      <c r="D36" s="41">
        <v>0</v>
      </c>
      <c r="E36" s="41">
        <v>20</v>
      </c>
      <c r="F36" s="65">
        <v>1</v>
      </c>
      <c r="G36" s="42">
        <f>G33</f>
        <v>3</v>
      </c>
      <c r="H36" s="22" t="s">
        <v>90</v>
      </c>
      <c r="I36" s="91"/>
      <c r="J36" s="147"/>
      <c r="K36" s="130" t="str">
        <f t="shared" si="6"/>
        <v>Maintain records</v>
      </c>
      <c r="L36" s="48">
        <f t="shared" si="2"/>
        <v>3</v>
      </c>
      <c r="M36" s="48">
        <f t="shared" si="7"/>
        <v>3</v>
      </c>
      <c r="N36" s="48">
        <f t="shared" si="7"/>
        <v>3</v>
      </c>
    </row>
    <row r="37" spans="2:15" x14ac:dyDescent="0.25">
      <c r="B37" s="151" t="s">
        <v>93</v>
      </c>
      <c r="C37" s="130" t="s">
        <v>94</v>
      </c>
      <c r="D37" s="41">
        <v>100</v>
      </c>
      <c r="E37" s="41">
        <v>0</v>
      </c>
      <c r="F37" s="65">
        <v>1</v>
      </c>
      <c r="G37" s="93">
        <v>1</v>
      </c>
      <c r="H37" s="130" t="s">
        <v>95</v>
      </c>
      <c r="I37" s="91"/>
      <c r="J37" s="151" t="s">
        <v>93</v>
      </c>
      <c r="K37" s="130" t="str">
        <f t="shared" si="6"/>
        <v>Submit one-time report</v>
      </c>
      <c r="L37" s="48">
        <f t="shared" si="2"/>
        <v>1</v>
      </c>
      <c r="M37" s="48">
        <f t="shared" si="7"/>
        <v>1</v>
      </c>
      <c r="N37" s="48">
        <f t="shared" si="7"/>
        <v>1</v>
      </c>
    </row>
    <row r="38" spans="2:15" x14ac:dyDescent="0.25">
      <c r="B38" s="151"/>
      <c r="C38" s="130" t="s">
        <v>96</v>
      </c>
      <c r="D38" s="41">
        <v>4</v>
      </c>
      <c r="E38" s="41">
        <v>0</v>
      </c>
      <c r="F38" s="65">
        <v>1</v>
      </c>
      <c r="G38" s="42">
        <f>'Reporting Activity'!C14</f>
        <v>10</v>
      </c>
      <c r="H38" s="130" t="s">
        <v>97</v>
      </c>
      <c r="I38" s="91"/>
      <c r="J38" s="151"/>
      <c r="K38" s="130" t="str">
        <f t="shared" si="6"/>
        <v>Submit annual second party report</v>
      </c>
      <c r="L38" s="48">
        <f t="shared" si="2"/>
        <v>10</v>
      </c>
      <c r="M38" s="48">
        <f t="shared" si="7"/>
        <v>10</v>
      </c>
      <c r="N38" s="48">
        <f t="shared" si="7"/>
        <v>10</v>
      </c>
    </row>
    <row r="39" spans="2:15" x14ac:dyDescent="0.25">
      <c r="B39" s="151"/>
      <c r="C39" s="130" t="s">
        <v>58</v>
      </c>
      <c r="D39" s="69">
        <v>0</v>
      </c>
      <c r="E39" s="41">
        <v>20</v>
      </c>
      <c r="F39" s="65">
        <v>1</v>
      </c>
      <c r="G39" s="42">
        <f>G38</f>
        <v>10</v>
      </c>
      <c r="H39" s="130" t="s">
        <v>97</v>
      </c>
      <c r="I39" s="91"/>
      <c r="J39" s="151"/>
      <c r="K39" s="130" t="str">
        <f t="shared" si="6"/>
        <v>Maintain records</v>
      </c>
      <c r="L39" s="48">
        <f t="shared" si="2"/>
        <v>10</v>
      </c>
      <c r="M39" s="48">
        <f t="shared" si="7"/>
        <v>10</v>
      </c>
      <c r="N39" s="48">
        <f t="shared" si="7"/>
        <v>10</v>
      </c>
    </row>
    <row r="40" spans="2:15" x14ac:dyDescent="0.25">
      <c r="B40" s="151"/>
      <c r="C40" s="130" t="s">
        <v>98</v>
      </c>
      <c r="D40" s="41">
        <v>2</v>
      </c>
      <c r="E40" s="41">
        <v>0</v>
      </c>
      <c r="F40" s="65">
        <v>1</v>
      </c>
      <c r="G40" s="42">
        <f>G38</f>
        <v>10</v>
      </c>
      <c r="H40" s="130" t="s">
        <v>97</v>
      </c>
      <c r="I40" s="91"/>
      <c r="J40" s="151"/>
      <c r="K40" s="130" t="str">
        <f t="shared" si="6"/>
        <v>Provide destruction verification to third party</v>
      </c>
      <c r="L40" s="48">
        <f t="shared" si="2"/>
        <v>10</v>
      </c>
      <c r="M40" s="48">
        <f t="shared" si="7"/>
        <v>10</v>
      </c>
      <c r="N40" s="48">
        <f t="shared" si="7"/>
        <v>10</v>
      </c>
    </row>
    <row r="41" spans="2:15" x14ac:dyDescent="0.25">
      <c r="B41" s="151"/>
      <c r="C41" s="130" t="s">
        <v>99</v>
      </c>
      <c r="D41" s="41">
        <v>2</v>
      </c>
      <c r="E41" s="41">
        <v>0</v>
      </c>
      <c r="F41" s="65">
        <v>1</v>
      </c>
      <c r="G41" s="42">
        <f>G18*F18</f>
        <v>10</v>
      </c>
      <c r="H41" s="22" t="s">
        <v>100</v>
      </c>
      <c r="I41" s="91"/>
      <c r="J41" s="151"/>
      <c r="K41" s="130" t="str">
        <f t="shared" si="6"/>
        <v>Provide proof of destruction to third party</v>
      </c>
      <c r="L41" s="48">
        <f t="shared" si="2"/>
        <v>10</v>
      </c>
      <c r="M41" s="48">
        <f t="shared" si="7"/>
        <v>10</v>
      </c>
      <c r="N41" s="48">
        <f t="shared" si="7"/>
        <v>10</v>
      </c>
    </row>
    <row r="42" spans="2:15" x14ac:dyDescent="0.25">
      <c r="B42" s="151" t="s">
        <v>101</v>
      </c>
      <c r="C42" s="130" t="s">
        <v>94</v>
      </c>
      <c r="D42" s="41">
        <v>100</v>
      </c>
      <c r="E42" s="41">
        <v>0</v>
      </c>
      <c r="F42" s="65">
        <v>1</v>
      </c>
      <c r="G42" s="42">
        <v>1</v>
      </c>
      <c r="H42" s="130" t="s">
        <v>102</v>
      </c>
      <c r="I42" s="91"/>
      <c r="J42" s="151" t="s">
        <v>101</v>
      </c>
      <c r="K42" s="130" t="str">
        <f t="shared" si="6"/>
        <v>Submit one-time report</v>
      </c>
      <c r="L42" s="48">
        <f t="shared" si="2"/>
        <v>1</v>
      </c>
      <c r="M42" s="48">
        <f t="shared" si="7"/>
        <v>1</v>
      </c>
      <c r="N42" s="48">
        <f t="shared" si="7"/>
        <v>1</v>
      </c>
    </row>
    <row r="43" spans="2:15" x14ac:dyDescent="0.25">
      <c r="B43" s="151"/>
      <c r="C43" s="130" t="s">
        <v>96</v>
      </c>
      <c r="D43" s="41">
        <v>4</v>
      </c>
      <c r="E43" s="41">
        <v>0</v>
      </c>
      <c r="F43" s="65">
        <v>1</v>
      </c>
      <c r="G43" s="42">
        <f>'Reporting Activity'!C15</f>
        <v>3</v>
      </c>
      <c r="H43" s="130" t="s">
        <v>97</v>
      </c>
      <c r="I43" s="91"/>
      <c r="J43" s="151"/>
      <c r="K43" s="130" t="str">
        <f t="shared" si="6"/>
        <v>Submit annual second party report</v>
      </c>
      <c r="L43" s="48">
        <f t="shared" si="2"/>
        <v>3</v>
      </c>
      <c r="M43" s="48">
        <f t="shared" si="7"/>
        <v>3</v>
      </c>
      <c r="N43" s="48">
        <f t="shared" si="7"/>
        <v>3</v>
      </c>
    </row>
    <row r="44" spans="2:15" x14ac:dyDescent="0.25">
      <c r="B44" s="151"/>
      <c r="C44" s="130" t="s">
        <v>58</v>
      </c>
      <c r="D44" s="69">
        <v>0</v>
      </c>
      <c r="E44" s="41">
        <v>20</v>
      </c>
      <c r="F44" s="65">
        <v>1</v>
      </c>
      <c r="G44" s="42">
        <f>G43</f>
        <v>3</v>
      </c>
      <c r="H44" s="130" t="s">
        <v>97</v>
      </c>
      <c r="I44" s="91"/>
      <c r="J44" s="151"/>
      <c r="K44" s="130" t="str">
        <f t="shared" si="6"/>
        <v>Maintain records</v>
      </c>
      <c r="L44" s="48">
        <f t="shared" si="2"/>
        <v>3</v>
      </c>
      <c r="M44" s="48">
        <f t="shared" si="7"/>
        <v>3</v>
      </c>
      <c r="N44" s="48">
        <f t="shared" si="7"/>
        <v>3</v>
      </c>
    </row>
    <row r="45" spans="2:15" x14ac:dyDescent="0.25">
      <c r="B45" s="151"/>
      <c r="C45" s="130" t="s">
        <v>103</v>
      </c>
      <c r="D45" s="41">
        <v>2</v>
      </c>
      <c r="E45" s="41">
        <v>0</v>
      </c>
      <c r="F45" s="65">
        <v>1</v>
      </c>
      <c r="G45" s="42">
        <f>G43</f>
        <v>3</v>
      </c>
      <c r="H45" s="130" t="s">
        <v>97</v>
      </c>
      <c r="I45" s="91"/>
      <c r="J45" s="151"/>
      <c r="K45" s="130" t="str">
        <f t="shared" si="6"/>
        <v>Provide transformation verification to third party</v>
      </c>
      <c r="L45" s="48">
        <f t="shared" si="2"/>
        <v>3</v>
      </c>
      <c r="M45" s="48">
        <f t="shared" si="7"/>
        <v>3</v>
      </c>
      <c r="N45" s="48">
        <f t="shared" si="7"/>
        <v>3</v>
      </c>
    </row>
    <row r="46" spans="2:15" x14ac:dyDescent="0.25">
      <c r="B46" s="151" t="s">
        <v>104</v>
      </c>
      <c r="C46" s="130" t="s">
        <v>94</v>
      </c>
      <c r="D46" s="41">
        <v>100</v>
      </c>
      <c r="E46" s="41">
        <v>0</v>
      </c>
      <c r="F46" s="65">
        <v>1</v>
      </c>
      <c r="G46" s="42">
        <v>1</v>
      </c>
      <c r="H46" s="130" t="s">
        <v>105</v>
      </c>
      <c r="I46" s="91"/>
      <c r="J46" s="151" t="s">
        <v>104</v>
      </c>
      <c r="K46" s="130" t="str">
        <f t="shared" si="6"/>
        <v>Submit one-time report</v>
      </c>
      <c r="L46" s="48">
        <f t="shared" si="2"/>
        <v>1</v>
      </c>
      <c r="M46" s="48">
        <f t="shared" si="7"/>
        <v>1</v>
      </c>
      <c r="N46" s="48">
        <f t="shared" si="7"/>
        <v>1</v>
      </c>
    </row>
    <row r="47" spans="2:15" x14ac:dyDescent="0.25">
      <c r="B47" s="151"/>
      <c r="C47" s="130" t="s">
        <v>106</v>
      </c>
      <c r="D47" s="41">
        <v>6</v>
      </c>
      <c r="E47" s="41">
        <v>0</v>
      </c>
      <c r="F47" s="65">
        <v>1</v>
      </c>
      <c r="G47" s="42">
        <f>'Reporting Activity'!C16</f>
        <v>4</v>
      </c>
      <c r="H47" s="130" t="s">
        <v>97</v>
      </c>
      <c r="I47" s="91"/>
      <c r="J47" s="151"/>
      <c r="K47" s="130" t="str">
        <f t="shared" si="6"/>
        <v>Submit annual report</v>
      </c>
      <c r="L47" s="48">
        <f t="shared" si="2"/>
        <v>4</v>
      </c>
      <c r="M47" s="48">
        <f t="shared" si="7"/>
        <v>4</v>
      </c>
      <c r="N47" s="48">
        <f t="shared" si="7"/>
        <v>4</v>
      </c>
    </row>
    <row r="48" spans="2:15" x14ac:dyDescent="0.25">
      <c r="B48" s="145" t="s">
        <v>107</v>
      </c>
      <c r="C48" s="130" t="s">
        <v>94</v>
      </c>
      <c r="D48" s="41">
        <v>40</v>
      </c>
      <c r="E48" s="41">
        <v>0</v>
      </c>
      <c r="F48" s="65">
        <v>1</v>
      </c>
      <c r="G48" s="42">
        <v>0</v>
      </c>
      <c r="H48" s="130" t="s">
        <v>108</v>
      </c>
      <c r="I48" s="91"/>
      <c r="J48" s="145" t="s">
        <v>107</v>
      </c>
      <c r="K48" s="130" t="str">
        <f t="shared" si="6"/>
        <v>Submit one-time report</v>
      </c>
      <c r="L48" s="41">
        <f t="shared" si="2"/>
        <v>0</v>
      </c>
      <c r="M48" s="41">
        <f t="shared" si="7"/>
        <v>0</v>
      </c>
      <c r="N48" s="41">
        <f t="shared" si="7"/>
        <v>0</v>
      </c>
    </row>
    <row r="49" spans="2:14" x14ac:dyDescent="0.25">
      <c r="B49" s="146"/>
      <c r="C49" s="130" t="s">
        <v>55</v>
      </c>
      <c r="D49" s="5">
        <v>9.4</v>
      </c>
      <c r="E49" s="41">
        <v>0</v>
      </c>
      <c r="F49" s="65">
        <v>4</v>
      </c>
      <c r="G49" s="42">
        <f>'Reporting Activity'!C7</f>
        <v>31</v>
      </c>
      <c r="H49" s="130" t="s">
        <v>109</v>
      </c>
      <c r="I49" s="91"/>
      <c r="J49" s="146"/>
      <c r="K49" s="130" t="str">
        <f t="shared" si="6"/>
        <v>Submit quarterly report</v>
      </c>
      <c r="L49" s="48">
        <f t="shared" si="2"/>
        <v>31</v>
      </c>
      <c r="M49" s="48">
        <f t="shared" si="7"/>
        <v>31</v>
      </c>
      <c r="N49" s="48">
        <f t="shared" si="7"/>
        <v>31</v>
      </c>
    </row>
    <row r="50" spans="2:14" x14ac:dyDescent="0.25">
      <c r="B50" s="146"/>
      <c r="C50" s="130" t="s">
        <v>69</v>
      </c>
      <c r="D50" s="41">
        <v>10</v>
      </c>
      <c r="E50" s="41">
        <v>0</v>
      </c>
      <c r="F50" s="65">
        <v>1</v>
      </c>
      <c r="G50" s="42">
        <f>G49</f>
        <v>31</v>
      </c>
      <c r="H50" s="130" t="s">
        <v>68</v>
      </c>
      <c r="I50" s="91"/>
      <c r="J50" s="146"/>
      <c r="K50" s="130" t="str">
        <f t="shared" si="6"/>
        <v>Submit annual inventory report</v>
      </c>
      <c r="L50" s="48">
        <f t="shared" si="2"/>
        <v>31</v>
      </c>
      <c r="M50" s="48">
        <f t="shared" si="7"/>
        <v>31</v>
      </c>
      <c r="N50" s="48">
        <f t="shared" si="7"/>
        <v>31</v>
      </c>
    </row>
    <row r="51" spans="2:14" x14ac:dyDescent="0.25">
      <c r="B51" s="146"/>
      <c r="C51" s="130" t="s">
        <v>58</v>
      </c>
      <c r="D51" s="69">
        <v>0</v>
      </c>
      <c r="E51" s="41">
        <v>60</v>
      </c>
      <c r="F51" s="65">
        <v>1</v>
      </c>
      <c r="G51" s="42">
        <f>G49</f>
        <v>31</v>
      </c>
      <c r="H51" s="130" t="s">
        <v>68</v>
      </c>
      <c r="I51" s="91"/>
      <c r="J51" s="146"/>
      <c r="K51" s="130" t="str">
        <f t="shared" si="6"/>
        <v>Maintain records</v>
      </c>
      <c r="L51" s="48">
        <f t="shared" si="2"/>
        <v>31</v>
      </c>
      <c r="M51" s="48">
        <f t="shared" si="7"/>
        <v>31</v>
      </c>
      <c r="N51" s="48">
        <f t="shared" si="7"/>
        <v>31</v>
      </c>
    </row>
    <row r="52" spans="2:14" x14ac:dyDescent="0.25">
      <c r="B52" s="72" t="s">
        <v>110</v>
      </c>
      <c r="C52" s="130" t="s">
        <v>58</v>
      </c>
      <c r="D52" s="41">
        <v>0</v>
      </c>
      <c r="E52" s="41">
        <v>20</v>
      </c>
      <c r="F52" s="65">
        <v>1</v>
      </c>
      <c r="G52" s="42">
        <v>50</v>
      </c>
      <c r="H52" s="130"/>
      <c r="I52" s="91"/>
      <c r="J52" s="72" t="s">
        <v>110</v>
      </c>
      <c r="K52" s="130" t="str">
        <f t="shared" si="6"/>
        <v>Maintain records</v>
      </c>
      <c r="L52" s="48">
        <f>$G52</f>
        <v>50</v>
      </c>
      <c r="M52" s="48">
        <f t="shared" ref="M52:N52" si="8">$G52</f>
        <v>50</v>
      </c>
      <c r="N52" s="48">
        <f t="shared" si="8"/>
        <v>50</v>
      </c>
    </row>
    <row r="53" spans="2:14" x14ac:dyDescent="0.25">
      <c r="B53" s="145" t="s">
        <v>111</v>
      </c>
      <c r="C53" s="130" t="s">
        <v>55</v>
      </c>
      <c r="D53" s="5">
        <f>D49</f>
        <v>9.4</v>
      </c>
      <c r="E53" s="41">
        <v>0</v>
      </c>
      <c r="F53" s="65">
        <v>4</v>
      </c>
      <c r="G53" s="42">
        <f>'Reporting Activity'!C8</f>
        <v>4</v>
      </c>
      <c r="H53" s="130" t="s">
        <v>112</v>
      </c>
      <c r="I53" s="91"/>
      <c r="J53" s="145" t="s">
        <v>111</v>
      </c>
      <c r="K53" s="130" t="str">
        <f t="shared" si="6"/>
        <v>Submit quarterly report</v>
      </c>
      <c r="L53" s="48">
        <f t="shared" ref="L53:N55" si="9">$G53</f>
        <v>4</v>
      </c>
      <c r="M53" s="48">
        <f t="shared" si="9"/>
        <v>4</v>
      </c>
      <c r="N53" s="48">
        <f t="shared" si="9"/>
        <v>4</v>
      </c>
    </row>
    <row r="54" spans="2:14" x14ac:dyDescent="0.25">
      <c r="B54" s="146"/>
      <c r="C54" s="130" t="s">
        <v>69</v>
      </c>
      <c r="D54" s="5">
        <f>D50</f>
        <v>10</v>
      </c>
      <c r="E54" s="41">
        <v>0</v>
      </c>
      <c r="F54" s="65">
        <v>1</v>
      </c>
      <c r="G54" s="42">
        <f>G53</f>
        <v>4</v>
      </c>
      <c r="H54" s="130" t="s">
        <v>113</v>
      </c>
      <c r="I54" s="91"/>
      <c r="J54" s="146"/>
      <c r="K54" s="130" t="str">
        <f t="shared" si="6"/>
        <v>Submit annual inventory report</v>
      </c>
      <c r="L54" s="48">
        <f t="shared" si="9"/>
        <v>4</v>
      </c>
      <c r="M54" s="48">
        <f t="shared" si="9"/>
        <v>4</v>
      </c>
      <c r="N54" s="48">
        <f t="shared" si="9"/>
        <v>4</v>
      </c>
    </row>
    <row r="55" spans="2:14" x14ac:dyDescent="0.25">
      <c r="B55" s="146"/>
      <c r="C55" s="130" t="s">
        <v>58</v>
      </c>
      <c r="D55" s="69">
        <v>0</v>
      </c>
      <c r="E55" s="41">
        <v>40</v>
      </c>
      <c r="F55" s="65">
        <v>1</v>
      </c>
      <c r="G55" s="42">
        <f>G53</f>
        <v>4</v>
      </c>
      <c r="H55" s="130" t="s">
        <v>113</v>
      </c>
      <c r="I55" s="91"/>
      <c r="J55" s="146"/>
      <c r="K55" s="130" t="str">
        <f t="shared" si="6"/>
        <v>Maintain records</v>
      </c>
      <c r="L55" s="48">
        <f t="shared" si="9"/>
        <v>4</v>
      </c>
      <c r="M55" s="48">
        <f t="shared" si="9"/>
        <v>4</v>
      </c>
      <c r="N55" s="48">
        <f t="shared" si="9"/>
        <v>4</v>
      </c>
    </row>
    <row r="56" spans="2:14" x14ac:dyDescent="0.25">
      <c r="B56" s="145" t="s">
        <v>114</v>
      </c>
      <c r="C56" s="130" t="s">
        <v>115</v>
      </c>
      <c r="D56" s="41">
        <v>6</v>
      </c>
      <c r="E56" s="41">
        <v>0</v>
      </c>
      <c r="F56" s="65">
        <f>ROUND('Reporting Activity'!F21,0)</f>
        <v>3</v>
      </c>
      <c r="G56" s="42">
        <f>'Reporting Activity'!C21</f>
        <v>11</v>
      </c>
      <c r="H56" s="130" t="s">
        <v>116</v>
      </c>
      <c r="I56" s="91"/>
      <c r="J56" s="145" t="s">
        <v>114</v>
      </c>
      <c r="K56" s="130" t="str">
        <f t="shared" si="6"/>
        <v>Submit inter-company transfer request</v>
      </c>
      <c r="L56" s="48">
        <f t="shared" ref="L56:N67" si="10">$G56</f>
        <v>11</v>
      </c>
      <c r="M56" s="48">
        <f t="shared" si="10"/>
        <v>11</v>
      </c>
      <c r="N56" s="48">
        <f t="shared" si="10"/>
        <v>11</v>
      </c>
    </row>
    <row r="57" spans="2:14" x14ac:dyDescent="0.25">
      <c r="B57" s="146"/>
      <c r="C57" s="130" t="s">
        <v>117</v>
      </c>
      <c r="D57" s="41">
        <f>D56</f>
        <v>6</v>
      </c>
      <c r="E57" s="41">
        <v>0</v>
      </c>
      <c r="F57" s="65">
        <v>1</v>
      </c>
      <c r="G57" s="42">
        <v>1</v>
      </c>
      <c r="H57" s="22" t="s">
        <v>118</v>
      </c>
      <c r="I57" s="91"/>
      <c r="J57" s="146"/>
      <c r="K57" s="130" t="str">
        <f t="shared" si="6"/>
        <v>Submit request to transfer from a person in a foreign country</v>
      </c>
      <c r="L57" s="48">
        <f t="shared" si="10"/>
        <v>1</v>
      </c>
      <c r="M57" s="48">
        <f t="shared" si="10"/>
        <v>1</v>
      </c>
      <c r="N57" s="48">
        <f t="shared" si="10"/>
        <v>1</v>
      </c>
    </row>
    <row r="58" spans="2:14" x14ac:dyDescent="0.25">
      <c r="B58" s="146"/>
      <c r="C58" s="130" t="s">
        <v>119</v>
      </c>
      <c r="D58" s="41">
        <f>D56</f>
        <v>6</v>
      </c>
      <c r="E58" s="41">
        <v>0</v>
      </c>
      <c r="F58" s="65">
        <v>1</v>
      </c>
      <c r="G58" s="42">
        <v>1</v>
      </c>
      <c r="H58" s="22" t="s">
        <v>118</v>
      </c>
      <c r="I58" s="91"/>
      <c r="J58" s="146"/>
      <c r="K58" s="130" t="str">
        <f t="shared" si="6"/>
        <v>Submit request to transfer to a person in a foreign country</v>
      </c>
      <c r="L58" s="48">
        <f t="shared" si="10"/>
        <v>1</v>
      </c>
      <c r="M58" s="48">
        <f t="shared" si="10"/>
        <v>1</v>
      </c>
      <c r="N58" s="48">
        <f t="shared" si="10"/>
        <v>1</v>
      </c>
    </row>
    <row r="59" spans="2:14" ht="24" x14ac:dyDescent="0.25">
      <c r="B59" s="147"/>
      <c r="C59" s="130" t="s">
        <v>120</v>
      </c>
      <c r="D59" s="41">
        <f>D56</f>
        <v>6</v>
      </c>
      <c r="E59" s="41">
        <v>0</v>
      </c>
      <c r="F59" s="65">
        <v>1</v>
      </c>
      <c r="G59" s="42">
        <v>5</v>
      </c>
      <c r="H59" s="22" t="s">
        <v>118</v>
      </c>
      <c r="I59" s="91"/>
      <c r="J59" s="147"/>
      <c r="K59" s="130" t="str">
        <f t="shared" si="6"/>
        <v>Submit request to sell/transfer HFCs produced/imported with application-specific allowances</v>
      </c>
      <c r="L59" s="48">
        <f t="shared" si="10"/>
        <v>5</v>
      </c>
      <c r="M59" s="48">
        <f t="shared" si="10"/>
        <v>5</v>
      </c>
      <c r="N59" s="48">
        <f t="shared" si="10"/>
        <v>5</v>
      </c>
    </row>
    <row r="60" spans="2:14" ht="14.45" customHeight="1" x14ac:dyDescent="0.25">
      <c r="B60" s="142" t="s">
        <v>121</v>
      </c>
      <c r="C60" s="130" t="s">
        <v>122</v>
      </c>
      <c r="D60" s="41">
        <v>6</v>
      </c>
      <c r="E60" s="41">
        <v>0</v>
      </c>
      <c r="F60" s="65">
        <v>2</v>
      </c>
      <c r="G60" s="42">
        <v>46</v>
      </c>
      <c r="H60" s="22" t="s">
        <v>123</v>
      </c>
      <c r="I60" s="91"/>
      <c r="J60" s="152" t="s">
        <v>121</v>
      </c>
      <c r="K60" s="130" t="str">
        <f t="shared" si="6"/>
        <v>Submit biannual report</v>
      </c>
      <c r="L60" s="48">
        <f t="shared" si="10"/>
        <v>46</v>
      </c>
      <c r="M60" s="48">
        <f t="shared" si="10"/>
        <v>46</v>
      </c>
      <c r="N60" s="48">
        <f t="shared" si="10"/>
        <v>46</v>
      </c>
    </row>
    <row r="61" spans="2:14" x14ac:dyDescent="0.25">
      <c r="B61" s="143"/>
      <c r="C61" s="130" t="s">
        <v>124</v>
      </c>
      <c r="D61" s="41">
        <v>6</v>
      </c>
      <c r="E61" s="41">
        <v>0</v>
      </c>
      <c r="F61" s="65">
        <v>1</v>
      </c>
      <c r="G61" s="42">
        <f>G60+8</f>
        <v>54</v>
      </c>
      <c r="H61" s="22" t="s">
        <v>125</v>
      </c>
      <c r="I61" s="91"/>
      <c r="J61" s="153"/>
      <c r="K61" s="130" t="str">
        <f t="shared" si="6"/>
        <v>Submit annual report (part of biannual report)</v>
      </c>
      <c r="L61" s="48">
        <f t="shared" ref="L61:N61" si="11">$G61</f>
        <v>54</v>
      </c>
      <c r="M61" s="48">
        <f t="shared" si="11"/>
        <v>54</v>
      </c>
      <c r="N61" s="48">
        <f t="shared" si="11"/>
        <v>54</v>
      </c>
    </row>
    <row r="62" spans="2:14" ht="14.45" customHeight="1" x14ac:dyDescent="0.25">
      <c r="B62" s="143"/>
      <c r="C62" s="130" t="s">
        <v>89</v>
      </c>
      <c r="D62" s="41">
        <v>6</v>
      </c>
      <c r="E62" s="41">
        <v>0</v>
      </c>
      <c r="F62" s="65">
        <f>ROUND('Reporting Activity'!D23/'Respondent Assumptions'!G62,0)</f>
        <v>2</v>
      </c>
      <c r="G62" s="42">
        <f>G60</f>
        <v>46</v>
      </c>
      <c r="H62" s="22" t="s">
        <v>126</v>
      </c>
      <c r="I62" s="91"/>
      <c r="J62" s="153"/>
      <c r="K62" s="130" t="str">
        <f t="shared" ref="K62" si="12">C62</f>
        <v>Submit conferral request</v>
      </c>
      <c r="L62" s="48">
        <f t="shared" si="10"/>
        <v>46</v>
      </c>
      <c r="M62" s="48">
        <f t="shared" si="10"/>
        <v>46</v>
      </c>
      <c r="N62" s="48">
        <f t="shared" si="10"/>
        <v>46</v>
      </c>
    </row>
    <row r="63" spans="2:14" ht="14.45" customHeight="1" x14ac:dyDescent="0.25">
      <c r="B63" s="143"/>
      <c r="C63" s="130" t="s">
        <v>92</v>
      </c>
      <c r="D63" s="41">
        <v>2</v>
      </c>
      <c r="E63" s="41">
        <v>0</v>
      </c>
      <c r="F63" s="65">
        <f>F62</f>
        <v>2</v>
      </c>
      <c r="G63" s="42">
        <f>G62</f>
        <v>46</v>
      </c>
      <c r="H63" s="22"/>
      <c r="I63" s="91"/>
      <c r="J63" s="153"/>
      <c r="K63" s="130" t="str">
        <f>C63</f>
        <v>Provide certification to third party (conferee)</v>
      </c>
      <c r="L63" s="48">
        <f t="shared" si="10"/>
        <v>46</v>
      </c>
      <c r="M63" s="48">
        <f t="shared" si="10"/>
        <v>46</v>
      </c>
      <c r="N63" s="48">
        <f t="shared" si="10"/>
        <v>46</v>
      </c>
    </row>
    <row r="64" spans="2:14" x14ac:dyDescent="0.25">
      <c r="B64" s="143"/>
      <c r="C64" s="130" t="s">
        <v>58</v>
      </c>
      <c r="D64" s="69">
        <v>0</v>
      </c>
      <c r="E64" s="41">
        <v>80</v>
      </c>
      <c r="F64" s="65">
        <v>1</v>
      </c>
      <c r="G64" s="42">
        <f>G60</f>
        <v>46</v>
      </c>
      <c r="H64" s="22" t="s">
        <v>123</v>
      </c>
      <c r="I64" s="91"/>
      <c r="J64" s="153"/>
      <c r="K64" s="130" t="str">
        <f t="shared" ref="K64:K67" si="13">C64</f>
        <v>Maintain records</v>
      </c>
      <c r="L64" s="48">
        <f t="shared" si="10"/>
        <v>46</v>
      </c>
      <c r="M64" s="48">
        <f t="shared" si="10"/>
        <v>46</v>
      </c>
      <c r="N64" s="48">
        <f t="shared" si="10"/>
        <v>46</v>
      </c>
    </row>
    <row r="65" spans="2:14" ht="24" x14ac:dyDescent="0.25">
      <c r="B65" s="144"/>
      <c r="C65" s="98" t="s">
        <v>127</v>
      </c>
      <c r="D65" s="99">
        <f>D61</f>
        <v>6</v>
      </c>
      <c r="E65" s="99">
        <v>0</v>
      </c>
      <c r="F65" s="103">
        <v>1</v>
      </c>
      <c r="G65" s="104">
        <v>8</v>
      </c>
      <c r="H65" s="102" t="s">
        <v>128</v>
      </c>
      <c r="I65" s="91"/>
      <c r="J65" s="154"/>
      <c r="K65" s="98" t="str">
        <f t="shared" si="13"/>
        <v>Submit mid-year request for additional consumption allowances in the event of a public health emergency (MDIs)</v>
      </c>
      <c r="L65" s="99">
        <f t="shared" si="10"/>
        <v>8</v>
      </c>
      <c r="M65" s="99">
        <f t="shared" si="10"/>
        <v>8</v>
      </c>
      <c r="N65" s="99">
        <f t="shared" si="10"/>
        <v>8</v>
      </c>
    </row>
    <row r="66" spans="2:14" ht="24" x14ac:dyDescent="0.25">
      <c r="B66" s="98" t="s">
        <v>129</v>
      </c>
      <c r="C66" s="98" t="s">
        <v>130</v>
      </c>
      <c r="D66" s="99">
        <v>90</v>
      </c>
      <c r="E66" s="100">
        <v>0</v>
      </c>
      <c r="F66" s="101">
        <f>1/5</f>
        <v>0.2</v>
      </c>
      <c r="G66" s="101">
        <v>5</v>
      </c>
      <c r="H66" s="102" t="s">
        <v>131</v>
      </c>
      <c r="I66" s="91"/>
      <c r="J66" s="98" t="s">
        <v>132</v>
      </c>
      <c r="K66" s="98" t="str">
        <f t="shared" si="13"/>
        <v>Submit new application petition</v>
      </c>
      <c r="L66" s="99">
        <f t="shared" si="10"/>
        <v>5</v>
      </c>
      <c r="M66" s="99">
        <f t="shared" si="10"/>
        <v>5</v>
      </c>
      <c r="N66" s="99">
        <f t="shared" si="10"/>
        <v>5</v>
      </c>
    </row>
    <row r="67" spans="2:14" x14ac:dyDescent="0.25">
      <c r="B67" s="72" t="s">
        <v>133</v>
      </c>
      <c r="C67" s="130" t="s">
        <v>134</v>
      </c>
      <c r="D67" s="41">
        <v>40</v>
      </c>
      <c r="E67" s="41">
        <v>0</v>
      </c>
      <c r="F67" s="65">
        <v>1</v>
      </c>
      <c r="G67" s="42">
        <f>G6+G14+G49+G60</f>
        <v>162</v>
      </c>
      <c r="H67" s="22" t="s">
        <v>135</v>
      </c>
      <c r="I67" s="91"/>
      <c r="J67" s="72" t="s">
        <v>133</v>
      </c>
      <c r="K67" s="130" t="str">
        <f t="shared" si="13"/>
        <v>Submit annual audit report</v>
      </c>
      <c r="L67" s="48">
        <f t="shared" si="10"/>
        <v>162</v>
      </c>
      <c r="M67" s="48">
        <f t="shared" si="10"/>
        <v>162</v>
      </c>
      <c r="N67" s="48">
        <f t="shared" si="10"/>
        <v>162</v>
      </c>
    </row>
    <row r="68" spans="2:14" ht="24" x14ac:dyDescent="0.25">
      <c r="B68" s="155" t="s">
        <v>136</v>
      </c>
      <c r="C68" s="155"/>
      <c r="D68" s="155"/>
      <c r="E68" s="155"/>
      <c r="F68" s="155"/>
      <c r="G68" s="43">
        <f>G6+G14+G49+G26+G27+G38+G43+G53+G60+G33+G52+G66</f>
        <v>342</v>
      </c>
      <c r="H68" s="47" t="s">
        <v>137</v>
      </c>
    </row>
    <row r="71" spans="2:14" x14ac:dyDescent="0.25">
      <c r="D71" s="91"/>
      <c r="E71" s="91"/>
      <c r="F71" s="91"/>
      <c r="G71" s="91"/>
    </row>
    <row r="78" spans="2:14" ht="15" customHeight="1" x14ac:dyDescent="0.25"/>
  </sheetData>
  <autoFilter ref="B4:H68" xr:uid="{3285FC9D-FC5B-4906-A09C-7FF1B5F9DF46}"/>
  <mergeCells count="23">
    <mergeCell ref="B60:B65"/>
    <mergeCell ref="J60:J65"/>
    <mergeCell ref="B68:F68"/>
    <mergeCell ref="B37:B41"/>
    <mergeCell ref="B42:B45"/>
    <mergeCell ref="B46:B47"/>
    <mergeCell ref="B56:B59"/>
    <mergeCell ref="B48:B51"/>
    <mergeCell ref="J56:J59"/>
    <mergeCell ref="J53:J55"/>
    <mergeCell ref="B53:B55"/>
    <mergeCell ref="B33:B36"/>
    <mergeCell ref="J33:J36"/>
    <mergeCell ref="J48:J51"/>
    <mergeCell ref="J37:J41"/>
    <mergeCell ref="J42:J45"/>
    <mergeCell ref="J46:J47"/>
    <mergeCell ref="J28:J32"/>
    <mergeCell ref="B28:B32"/>
    <mergeCell ref="B5:B13"/>
    <mergeCell ref="J5:J13"/>
    <mergeCell ref="B14:B25"/>
    <mergeCell ref="J14:J2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5DF7-DF29-41B6-B480-6F886A83F319}">
  <sheetPr codeName="Sheet2">
    <tabColor theme="8"/>
  </sheetPr>
  <dimension ref="A1:AG131"/>
  <sheetViews>
    <sheetView zoomScale="90" zoomScaleNormal="90" workbookViewId="0">
      <pane xSplit="3" ySplit="4" topLeftCell="P17" activePane="bottomRight" state="frozen"/>
      <selection pane="topRight" activeCell="D1" sqref="D1"/>
      <selection pane="bottomLeft" activeCell="A5" sqref="A5"/>
      <selection pane="bottomRight" activeCell="AC23" sqref="AC23"/>
    </sheetView>
  </sheetViews>
  <sheetFormatPr defaultRowHeight="15" x14ac:dyDescent="0.25"/>
  <cols>
    <col min="1" max="1" width="3.7109375" customWidth="1"/>
    <col min="2" max="2" width="20" customWidth="1"/>
    <col min="3" max="3" width="44.28515625" customWidth="1"/>
    <col min="4" max="4" width="18.42578125" customWidth="1"/>
    <col min="5" max="5" width="10.28515625" customWidth="1"/>
    <col min="6" max="6" width="10" customWidth="1"/>
    <col min="7" max="7" width="11.85546875" customWidth="1"/>
    <col min="8" max="8" width="12.5703125" customWidth="1"/>
    <col min="9" max="9" width="12.42578125" customWidth="1"/>
    <col min="10" max="12" width="7.140625" customWidth="1"/>
    <col min="13" max="13" width="8.85546875" customWidth="1"/>
    <col min="14" max="15" width="12.28515625" customWidth="1"/>
    <col min="16" max="17" width="9.42578125" bestFit="1" customWidth="1"/>
    <col min="18" max="18" width="9.140625" bestFit="1" customWidth="1"/>
    <col min="19" max="19" width="12.5703125" customWidth="1"/>
    <col min="20" max="20" width="12.28515625" customWidth="1"/>
    <col min="21" max="21" width="13.42578125" customWidth="1"/>
    <col min="22" max="22" width="15.42578125" customWidth="1"/>
    <col min="23" max="24" width="12.5703125" bestFit="1" customWidth="1"/>
    <col min="25" max="25" width="13" bestFit="1" customWidth="1"/>
    <col min="26" max="26" width="5.28515625" style="63" customWidth="1"/>
    <col min="27" max="27" width="7.140625" style="63" customWidth="1"/>
    <col min="28" max="28" width="18" customWidth="1"/>
    <col min="29" max="29" width="9.7109375" customWidth="1"/>
    <col min="30" max="30" width="11.42578125" bestFit="1" customWidth="1"/>
    <col min="31" max="31" width="12.140625" customWidth="1"/>
    <col min="32" max="32" width="10.7109375" customWidth="1"/>
    <col min="33" max="33" width="12.28515625" customWidth="1"/>
  </cols>
  <sheetData>
    <row r="1" spans="1:33" s="19" customFormat="1" ht="18.75" x14ac:dyDescent="0.3">
      <c r="A1" s="19" t="s">
        <v>138</v>
      </c>
      <c r="Z1" s="61" t="s">
        <v>139</v>
      </c>
      <c r="AA1" s="61"/>
    </row>
    <row r="2" spans="1:33" x14ac:dyDescent="0.25">
      <c r="Z2" s="62"/>
      <c r="AA2" s="62"/>
    </row>
    <row r="3" spans="1:33" s="14" customFormat="1" ht="33" customHeight="1" x14ac:dyDescent="0.25">
      <c r="B3" s="162" t="s">
        <v>30</v>
      </c>
      <c r="C3" s="162" t="s">
        <v>140</v>
      </c>
      <c r="D3" s="172" t="s">
        <v>141</v>
      </c>
      <c r="E3" s="162" t="s">
        <v>32</v>
      </c>
      <c r="F3" s="162" t="s">
        <v>33</v>
      </c>
      <c r="G3" s="162" t="s">
        <v>142</v>
      </c>
      <c r="H3" s="162" t="s">
        <v>143</v>
      </c>
      <c r="I3" s="162" t="s">
        <v>144</v>
      </c>
      <c r="J3" s="164" t="s">
        <v>145</v>
      </c>
      <c r="K3" s="165"/>
      <c r="L3" s="165"/>
      <c r="M3" s="164" t="s">
        <v>146</v>
      </c>
      <c r="N3" s="165"/>
      <c r="O3" s="166"/>
      <c r="P3" s="164" t="s">
        <v>147</v>
      </c>
      <c r="Q3" s="165"/>
      <c r="R3" s="166"/>
      <c r="S3" s="164" t="s">
        <v>148</v>
      </c>
      <c r="T3" s="165"/>
      <c r="U3" s="166"/>
      <c r="V3" s="162" t="s">
        <v>149</v>
      </c>
      <c r="W3" s="164" t="s">
        <v>150</v>
      </c>
      <c r="X3" s="165"/>
      <c r="Y3" s="166"/>
      <c r="Z3" s="62"/>
      <c r="AA3" s="62"/>
      <c r="AB3" s="156" t="s">
        <v>151</v>
      </c>
      <c r="AC3" s="156" t="s">
        <v>152</v>
      </c>
      <c r="AD3" s="156" t="s">
        <v>153</v>
      </c>
      <c r="AE3" s="157" t="s">
        <v>154</v>
      </c>
      <c r="AF3" s="156" t="s">
        <v>155</v>
      </c>
      <c r="AG3" s="156" t="s">
        <v>156</v>
      </c>
    </row>
    <row r="4" spans="1:33" s="14" customFormat="1" x14ac:dyDescent="0.25">
      <c r="B4" s="163"/>
      <c r="C4" s="163"/>
      <c r="D4" s="173"/>
      <c r="E4" s="163"/>
      <c r="F4" s="163"/>
      <c r="G4" s="163"/>
      <c r="H4" s="163"/>
      <c r="I4" s="163"/>
      <c r="J4" s="135" t="s">
        <v>157</v>
      </c>
      <c r="K4" s="135" t="s">
        <v>158</v>
      </c>
      <c r="L4" s="135" t="s">
        <v>159</v>
      </c>
      <c r="M4" s="135" t="s">
        <v>157</v>
      </c>
      <c r="N4" s="135" t="s">
        <v>158</v>
      </c>
      <c r="O4" s="135" t="s">
        <v>159</v>
      </c>
      <c r="P4" s="135" t="s">
        <v>157</v>
      </c>
      <c r="Q4" s="135" t="s">
        <v>158</v>
      </c>
      <c r="R4" s="135" t="s">
        <v>159</v>
      </c>
      <c r="S4" s="135" t="s">
        <v>157</v>
      </c>
      <c r="T4" s="135" t="s">
        <v>158</v>
      </c>
      <c r="U4" s="135" t="s">
        <v>159</v>
      </c>
      <c r="V4" s="163"/>
      <c r="W4" s="135" t="s">
        <v>157</v>
      </c>
      <c r="X4" s="135" t="s">
        <v>158</v>
      </c>
      <c r="Y4" s="135" t="s">
        <v>159</v>
      </c>
      <c r="Z4" s="62"/>
      <c r="AA4" s="62"/>
      <c r="AB4" s="156"/>
      <c r="AC4" s="156"/>
      <c r="AD4" s="156"/>
      <c r="AE4" s="156"/>
      <c r="AF4" s="156"/>
      <c r="AG4" s="156"/>
    </row>
    <row r="5" spans="1:33" s="14" customFormat="1" x14ac:dyDescent="0.25">
      <c r="A5" s="49">
        <v>1</v>
      </c>
      <c r="B5" s="145" t="s">
        <v>50</v>
      </c>
      <c r="C5" s="130" t="str">
        <f>'Respondent Assumptions'!C5</f>
        <v>Submit one-time producer report</v>
      </c>
      <c r="D5" s="66">
        <f>'Respondent Assumptions'!F5</f>
        <v>1</v>
      </c>
      <c r="E5" s="71">
        <f>'Respondent Assumptions'!D5</f>
        <v>100</v>
      </c>
      <c r="F5" s="66">
        <f>'Respondent Assumptions'!E5</f>
        <v>0</v>
      </c>
      <c r="G5" s="17">
        <f t="shared" ref="G5:G32" si="0">D5*(E5+F5)</f>
        <v>100</v>
      </c>
      <c r="H5" s="16">
        <f t="shared" ref="H5:H37" si="1">(D5*E5*$B$73)+(D5*F5*$B$74)</f>
        <v>14599</v>
      </c>
      <c r="I5" s="15">
        <v>0</v>
      </c>
      <c r="J5" s="58">
        <f>'Respondent Assumptions'!L5</f>
        <v>1</v>
      </c>
      <c r="K5" s="58">
        <f>'Respondent Assumptions'!M5</f>
        <v>1</v>
      </c>
      <c r="L5" s="58">
        <f>'Respondent Assumptions'!N5</f>
        <v>1</v>
      </c>
      <c r="M5" s="27">
        <f t="shared" ref="M5:M32" si="2">$D5*J5</f>
        <v>1</v>
      </c>
      <c r="N5" s="27">
        <f t="shared" ref="N5:N32" si="3">$D5*K5</f>
        <v>1</v>
      </c>
      <c r="O5" s="27">
        <f t="shared" ref="O5:O32" si="4">$D5*L5</f>
        <v>1</v>
      </c>
      <c r="P5" s="59">
        <f t="shared" ref="P5:P32" si="5">J5*$G5</f>
        <v>100</v>
      </c>
      <c r="Q5" s="59">
        <f t="shared" ref="Q5:Q32" si="6">K5*$G5</f>
        <v>100</v>
      </c>
      <c r="R5" s="59">
        <f t="shared" ref="R5:R32" si="7">L5*$G5</f>
        <v>100</v>
      </c>
      <c r="S5" s="15">
        <f t="shared" ref="S5:S32" si="8">$H5*J5</f>
        <v>14599</v>
      </c>
      <c r="T5" s="15">
        <f t="shared" ref="T5:T32" si="9">$H5*K5</f>
        <v>14599</v>
      </c>
      <c r="U5" s="15">
        <f t="shared" ref="U5:U32" si="10">$H5*L5</f>
        <v>14599</v>
      </c>
      <c r="V5" s="15">
        <f t="shared" ref="V5:V32" si="11">I5*J5</f>
        <v>0</v>
      </c>
      <c r="W5" s="15">
        <f t="shared" ref="W5" si="12">S5+$V5</f>
        <v>14599</v>
      </c>
      <c r="X5" s="15">
        <f t="shared" ref="X5" si="13">T5+$V5</f>
        <v>14599</v>
      </c>
      <c r="Y5" s="15">
        <f t="shared" ref="Y5" si="14">U5+$V5</f>
        <v>14599</v>
      </c>
      <c r="Z5" s="62">
        <v>1</v>
      </c>
      <c r="AA5" s="62"/>
      <c r="AB5" s="53" t="s">
        <v>160</v>
      </c>
      <c r="AC5" s="54">
        <f>M68</f>
        <v>9661</v>
      </c>
      <c r="AD5" s="54">
        <f>P68</f>
        <v>36247.5</v>
      </c>
      <c r="AE5" s="56">
        <f>S68</f>
        <v>4580530.0250000004</v>
      </c>
      <c r="AF5" s="55">
        <f>V68</f>
        <v>1063203.5999999999</v>
      </c>
      <c r="AG5" s="55">
        <f>W68</f>
        <v>5643733.625</v>
      </c>
    </row>
    <row r="6" spans="1:33" s="14" customFormat="1" x14ac:dyDescent="0.25">
      <c r="A6" s="49">
        <v>1</v>
      </c>
      <c r="B6" s="146"/>
      <c r="C6" s="130" t="str">
        <f>'Respondent Assumptions'!C6</f>
        <v>Submit quarterly report</v>
      </c>
      <c r="D6" s="66">
        <f>'Respondent Assumptions'!F6</f>
        <v>4</v>
      </c>
      <c r="E6" s="71">
        <f>'Respondent Assumptions'!D6</f>
        <v>6</v>
      </c>
      <c r="F6" s="66">
        <f>'Respondent Assumptions'!E6</f>
        <v>0</v>
      </c>
      <c r="G6" s="17">
        <f t="shared" si="0"/>
        <v>24</v>
      </c>
      <c r="H6" s="16">
        <f t="shared" si="1"/>
        <v>3503.76</v>
      </c>
      <c r="I6" s="15">
        <v>0</v>
      </c>
      <c r="J6" s="58">
        <f>'Respondent Assumptions'!L6</f>
        <v>10</v>
      </c>
      <c r="K6" s="58">
        <f>'Respondent Assumptions'!M6</f>
        <v>10</v>
      </c>
      <c r="L6" s="58">
        <f>'Respondent Assumptions'!N6</f>
        <v>10</v>
      </c>
      <c r="M6" s="27">
        <f t="shared" si="2"/>
        <v>40</v>
      </c>
      <c r="N6" s="27">
        <f t="shared" si="3"/>
        <v>40</v>
      </c>
      <c r="O6" s="27">
        <f t="shared" si="4"/>
        <v>40</v>
      </c>
      <c r="P6" s="59">
        <f t="shared" si="5"/>
        <v>240</v>
      </c>
      <c r="Q6" s="59">
        <f t="shared" si="6"/>
        <v>240</v>
      </c>
      <c r="R6" s="59">
        <f t="shared" si="7"/>
        <v>240</v>
      </c>
      <c r="S6" s="15">
        <f t="shared" si="8"/>
        <v>35037.600000000006</v>
      </c>
      <c r="T6" s="15">
        <f t="shared" si="9"/>
        <v>35037.600000000006</v>
      </c>
      <c r="U6" s="15">
        <f t="shared" si="10"/>
        <v>35037.600000000006</v>
      </c>
      <c r="V6" s="15">
        <f t="shared" si="11"/>
        <v>0</v>
      </c>
      <c r="W6" s="15">
        <f t="shared" ref="W6:W32" si="15">S6+$V6</f>
        <v>35037.600000000006</v>
      </c>
      <c r="X6" s="15">
        <f t="shared" ref="X6:X32" si="16">T6+$V6</f>
        <v>35037.600000000006</v>
      </c>
      <c r="Y6" s="15">
        <f t="shared" ref="Y6:Y32" si="17">U6+$V6</f>
        <v>35037.600000000006</v>
      </c>
      <c r="Z6" s="62">
        <v>1</v>
      </c>
      <c r="AA6" s="62"/>
      <c r="AB6" s="53" t="s">
        <v>161</v>
      </c>
      <c r="AC6" s="54">
        <f>N68</f>
        <v>9661</v>
      </c>
      <c r="AD6" s="54">
        <f>Q68</f>
        <v>36247.5</v>
      </c>
      <c r="AE6" s="56">
        <f>T68</f>
        <v>4580530.0250000004</v>
      </c>
      <c r="AF6" s="55">
        <f>AF5</f>
        <v>1063203.5999999999</v>
      </c>
      <c r="AG6" s="55">
        <f>X68</f>
        <v>5643733.625</v>
      </c>
    </row>
    <row r="7" spans="1:33" s="14" customFormat="1" x14ac:dyDescent="0.25">
      <c r="A7" s="49"/>
      <c r="B7" s="146"/>
      <c r="C7" s="130" t="str">
        <f>'Respondent Assumptions'!C7</f>
        <v>Submit annual inventory report (part of quarterly report)</v>
      </c>
      <c r="D7" s="66">
        <f>'Respondent Assumptions'!F7</f>
        <v>1</v>
      </c>
      <c r="E7" s="71">
        <f>'Respondent Assumptions'!D7</f>
        <v>20</v>
      </c>
      <c r="F7" s="66">
        <f>'Respondent Assumptions'!E7</f>
        <v>0</v>
      </c>
      <c r="G7" s="17">
        <f t="shared" si="0"/>
        <v>20</v>
      </c>
      <c r="H7" s="16">
        <f t="shared" si="1"/>
        <v>2919.8</v>
      </c>
      <c r="I7" s="15">
        <v>0</v>
      </c>
      <c r="J7" s="58">
        <f>'Respondent Assumptions'!L7</f>
        <v>10</v>
      </c>
      <c r="K7" s="58">
        <f>'Respondent Assumptions'!M7</f>
        <v>10</v>
      </c>
      <c r="L7" s="58">
        <f>'Respondent Assumptions'!N7</f>
        <v>10</v>
      </c>
      <c r="M7" s="27">
        <f t="shared" si="2"/>
        <v>10</v>
      </c>
      <c r="N7" s="27">
        <f t="shared" si="3"/>
        <v>10</v>
      </c>
      <c r="O7" s="27">
        <f t="shared" si="4"/>
        <v>10</v>
      </c>
      <c r="P7" s="59">
        <f t="shared" si="5"/>
        <v>200</v>
      </c>
      <c r="Q7" s="59">
        <f t="shared" si="6"/>
        <v>200</v>
      </c>
      <c r="R7" s="59">
        <f t="shared" si="7"/>
        <v>200</v>
      </c>
      <c r="S7" s="15">
        <f t="shared" si="8"/>
        <v>29198</v>
      </c>
      <c r="T7" s="15">
        <f t="shared" si="9"/>
        <v>29198</v>
      </c>
      <c r="U7" s="15">
        <f t="shared" si="10"/>
        <v>29198</v>
      </c>
      <c r="V7" s="15">
        <f t="shared" si="11"/>
        <v>0</v>
      </c>
      <c r="W7" s="15">
        <f t="shared" si="15"/>
        <v>29198</v>
      </c>
      <c r="X7" s="15">
        <f t="shared" si="16"/>
        <v>29198</v>
      </c>
      <c r="Y7" s="15">
        <f t="shared" si="17"/>
        <v>29198</v>
      </c>
      <c r="Z7" s="62">
        <v>1</v>
      </c>
      <c r="AA7" s="62"/>
      <c r="AB7" s="53" t="s">
        <v>162</v>
      </c>
      <c r="AC7" s="54">
        <f>O68</f>
        <v>9661</v>
      </c>
      <c r="AD7" s="54">
        <f>R68</f>
        <v>36247.5</v>
      </c>
      <c r="AE7" s="56">
        <f>U68</f>
        <v>4580530.0250000004</v>
      </c>
      <c r="AF7" s="55">
        <f>AF6</f>
        <v>1063203.5999999999</v>
      </c>
      <c r="AG7" s="55">
        <f>Y68</f>
        <v>5643733.625</v>
      </c>
    </row>
    <row r="8" spans="1:33" s="14" customFormat="1" x14ac:dyDescent="0.25">
      <c r="A8" s="50"/>
      <c r="B8" s="146"/>
      <c r="C8" s="130" t="str">
        <f>'Respondent Assumptions'!C8</f>
        <v>Maintain records</v>
      </c>
      <c r="D8" s="66">
        <f>'Respondent Assumptions'!F8</f>
        <v>1</v>
      </c>
      <c r="E8" s="71">
        <f>'Respondent Assumptions'!D8</f>
        <v>0</v>
      </c>
      <c r="F8" s="66">
        <f>'Respondent Assumptions'!E8</f>
        <v>100</v>
      </c>
      <c r="G8" s="17">
        <f t="shared" si="0"/>
        <v>100</v>
      </c>
      <c r="H8" s="16">
        <f t="shared" si="1"/>
        <v>10592</v>
      </c>
      <c r="I8" s="15">
        <v>50</v>
      </c>
      <c r="J8" s="58">
        <f>'Respondent Assumptions'!L8</f>
        <v>10</v>
      </c>
      <c r="K8" s="58">
        <f>'Respondent Assumptions'!M8</f>
        <v>10</v>
      </c>
      <c r="L8" s="58">
        <f>'Respondent Assumptions'!N8</f>
        <v>10</v>
      </c>
      <c r="M8" s="27">
        <f t="shared" si="2"/>
        <v>10</v>
      </c>
      <c r="N8" s="27">
        <f t="shared" si="3"/>
        <v>10</v>
      </c>
      <c r="O8" s="27">
        <f t="shared" si="4"/>
        <v>10</v>
      </c>
      <c r="P8" s="59">
        <f t="shared" si="5"/>
        <v>1000</v>
      </c>
      <c r="Q8" s="59">
        <f t="shared" si="6"/>
        <v>1000</v>
      </c>
      <c r="R8" s="59">
        <f t="shared" si="7"/>
        <v>1000</v>
      </c>
      <c r="S8" s="15">
        <f t="shared" si="8"/>
        <v>105920</v>
      </c>
      <c r="T8" s="15">
        <f t="shared" si="9"/>
        <v>105920</v>
      </c>
      <c r="U8" s="15">
        <f t="shared" si="10"/>
        <v>105920</v>
      </c>
      <c r="V8" s="15">
        <f t="shared" si="11"/>
        <v>500</v>
      </c>
      <c r="W8" s="15">
        <f t="shared" si="15"/>
        <v>106420</v>
      </c>
      <c r="X8" s="15">
        <f t="shared" si="16"/>
        <v>106420</v>
      </c>
      <c r="Y8" s="15">
        <f t="shared" si="17"/>
        <v>106420</v>
      </c>
      <c r="Z8" s="62">
        <v>2</v>
      </c>
      <c r="AA8" s="62"/>
      <c r="AB8" s="53" t="s">
        <v>163</v>
      </c>
      <c r="AC8" s="54">
        <f>AVERAGE(AC5:AC7)</f>
        <v>9661</v>
      </c>
      <c r="AD8" s="54">
        <f>AVERAGE(AD5:AD7)</f>
        <v>36247.5</v>
      </c>
      <c r="AE8" s="56">
        <f>AVERAGE(AE5:AE7)</f>
        <v>4580530.0250000004</v>
      </c>
      <c r="AF8" s="55">
        <f>AVERAGE(AF5:AF7)</f>
        <v>1063203.5999999999</v>
      </c>
      <c r="AG8" s="55">
        <f>AVERAGE(AG5:AG7)</f>
        <v>5643733.625</v>
      </c>
    </row>
    <row r="9" spans="1:33" s="14" customFormat="1" x14ac:dyDescent="0.25">
      <c r="A9" s="50">
        <v>1</v>
      </c>
      <c r="B9" s="146"/>
      <c r="C9" s="130" t="str">
        <f>'Respondent Assumptions'!C9</f>
        <v>Submit annual HFC-23 emissions report</v>
      </c>
      <c r="D9" s="66">
        <f>'Respondent Assumptions'!F9</f>
        <v>1</v>
      </c>
      <c r="E9" s="71">
        <f>'Respondent Assumptions'!D9</f>
        <v>12</v>
      </c>
      <c r="F9" s="66">
        <f>'Respondent Assumptions'!E9</f>
        <v>0</v>
      </c>
      <c r="G9" s="17">
        <f t="shared" si="0"/>
        <v>12</v>
      </c>
      <c r="H9" s="16">
        <f t="shared" si="1"/>
        <v>1751.88</v>
      </c>
      <c r="I9" s="15">
        <v>50</v>
      </c>
      <c r="J9" s="58">
        <f>'Respondent Assumptions'!L9</f>
        <v>4</v>
      </c>
      <c r="K9" s="58">
        <f>'Respondent Assumptions'!M9</f>
        <v>4</v>
      </c>
      <c r="L9" s="58">
        <f>'Respondent Assumptions'!N9</f>
        <v>4</v>
      </c>
      <c r="M9" s="27">
        <f>$D9*J9</f>
        <v>4</v>
      </c>
      <c r="N9" s="27">
        <f t="shared" si="3"/>
        <v>4</v>
      </c>
      <c r="O9" s="27">
        <f t="shared" si="4"/>
        <v>4</v>
      </c>
      <c r="P9" s="59">
        <f t="shared" si="5"/>
        <v>48</v>
      </c>
      <c r="Q9" s="59">
        <f t="shared" si="6"/>
        <v>48</v>
      </c>
      <c r="R9" s="59">
        <f t="shared" si="7"/>
        <v>48</v>
      </c>
      <c r="S9" s="15">
        <f t="shared" si="8"/>
        <v>7007.52</v>
      </c>
      <c r="T9" s="15">
        <f t="shared" si="9"/>
        <v>7007.52</v>
      </c>
      <c r="U9" s="15">
        <f t="shared" si="10"/>
        <v>7007.52</v>
      </c>
      <c r="V9" s="15">
        <f t="shared" si="11"/>
        <v>200</v>
      </c>
      <c r="W9" s="15">
        <f t="shared" si="15"/>
        <v>7207.52</v>
      </c>
      <c r="X9" s="15">
        <f t="shared" si="16"/>
        <v>7207.52</v>
      </c>
      <c r="Y9" s="15">
        <f t="shared" si="17"/>
        <v>7207.52</v>
      </c>
      <c r="Z9" s="62">
        <v>1</v>
      </c>
      <c r="AA9" s="62"/>
      <c r="AC9" s="57">
        <f>AC8-M70</f>
        <v>0</v>
      </c>
      <c r="AD9" s="57">
        <f>AD8-P70</f>
        <v>0</v>
      </c>
      <c r="AE9" s="57">
        <f>AE8-S70</f>
        <v>0</v>
      </c>
      <c r="AF9" s="57">
        <f>AF8-V70</f>
        <v>0</v>
      </c>
      <c r="AG9" s="57">
        <f>AG8-W70</f>
        <v>0</v>
      </c>
    </row>
    <row r="10" spans="1:33" s="14" customFormat="1" x14ac:dyDescent="0.25">
      <c r="A10" s="50">
        <v>1</v>
      </c>
      <c r="B10" s="146"/>
      <c r="C10" s="130" t="str">
        <f>'Respondent Assumptions'!C10</f>
        <v>Submit HFC-23 proof of destruction</v>
      </c>
      <c r="D10" s="66">
        <f>'Respondent Assumptions'!F10</f>
        <v>2</v>
      </c>
      <c r="E10" s="71">
        <f>'Respondent Assumptions'!D10</f>
        <v>0.25</v>
      </c>
      <c r="F10" s="66">
        <f>'Respondent Assumptions'!E10</f>
        <v>0</v>
      </c>
      <c r="G10" s="17">
        <f t="shared" si="0"/>
        <v>0.5</v>
      </c>
      <c r="H10" s="16">
        <f t="shared" si="1"/>
        <v>72.995000000000005</v>
      </c>
      <c r="I10" s="15">
        <v>0</v>
      </c>
      <c r="J10" s="58">
        <f>'Respondent Assumptions'!L10</f>
        <v>4</v>
      </c>
      <c r="K10" s="58">
        <f>'Respondent Assumptions'!M10</f>
        <v>4</v>
      </c>
      <c r="L10" s="58">
        <f>'Respondent Assumptions'!N10</f>
        <v>4</v>
      </c>
      <c r="M10" s="27">
        <f t="shared" si="2"/>
        <v>8</v>
      </c>
      <c r="N10" s="27">
        <f t="shared" si="3"/>
        <v>8</v>
      </c>
      <c r="O10" s="27">
        <f t="shared" si="4"/>
        <v>8</v>
      </c>
      <c r="P10" s="59">
        <f t="shared" si="5"/>
        <v>2</v>
      </c>
      <c r="Q10" s="59">
        <f t="shared" si="6"/>
        <v>2</v>
      </c>
      <c r="R10" s="59">
        <f t="shared" si="7"/>
        <v>2</v>
      </c>
      <c r="S10" s="15">
        <f t="shared" si="8"/>
        <v>291.98</v>
      </c>
      <c r="T10" s="15">
        <f t="shared" si="9"/>
        <v>291.98</v>
      </c>
      <c r="U10" s="15">
        <f t="shared" si="10"/>
        <v>291.98</v>
      </c>
      <c r="V10" s="15">
        <f t="shared" si="11"/>
        <v>0</v>
      </c>
      <c r="W10" s="15">
        <f t="shared" si="15"/>
        <v>291.98</v>
      </c>
      <c r="X10" s="15">
        <f t="shared" si="16"/>
        <v>291.98</v>
      </c>
      <c r="Y10" s="15">
        <f t="shared" si="17"/>
        <v>291.98</v>
      </c>
      <c r="Z10" s="62">
        <v>1</v>
      </c>
      <c r="AA10" s="62"/>
      <c r="AD10" s="94">
        <f>AD8/AC8</f>
        <v>3.751940792878584</v>
      </c>
    </row>
    <row r="11" spans="1:33" s="14" customFormat="1" x14ac:dyDescent="0.25">
      <c r="B11" s="146"/>
      <c r="C11" s="130" t="str">
        <f>'Respondent Assumptions'!C11</f>
        <v>Provide certification to third party (conferrer)</v>
      </c>
      <c r="D11" s="66">
        <f>'Respondent Assumptions'!F11</f>
        <v>1</v>
      </c>
      <c r="E11" s="71">
        <f>'Respondent Assumptions'!D11</f>
        <v>2</v>
      </c>
      <c r="F11" s="66">
        <f>'Respondent Assumptions'!E11</f>
        <v>0</v>
      </c>
      <c r="G11" s="17">
        <f t="shared" si="0"/>
        <v>2</v>
      </c>
      <c r="H11" s="16">
        <f t="shared" si="1"/>
        <v>291.98</v>
      </c>
      <c r="I11" s="15">
        <v>0</v>
      </c>
      <c r="J11" s="58">
        <f>'Respondent Assumptions'!L11</f>
        <v>1</v>
      </c>
      <c r="K11" s="58">
        <f>'Respondent Assumptions'!M11</f>
        <v>1</v>
      </c>
      <c r="L11" s="58">
        <f>'Respondent Assumptions'!N11</f>
        <v>1</v>
      </c>
      <c r="M11" s="27">
        <f t="shared" si="2"/>
        <v>1</v>
      </c>
      <c r="N11" s="27">
        <f t="shared" si="3"/>
        <v>1</v>
      </c>
      <c r="O11" s="27">
        <f t="shared" si="4"/>
        <v>1</v>
      </c>
      <c r="P11" s="59">
        <f t="shared" si="5"/>
        <v>2</v>
      </c>
      <c r="Q11" s="59">
        <f t="shared" si="6"/>
        <v>2</v>
      </c>
      <c r="R11" s="59">
        <f t="shared" si="7"/>
        <v>2</v>
      </c>
      <c r="S11" s="15">
        <f t="shared" si="8"/>
        <v>291.98</v>
      </c>
      <c r="T11" s="15">
        <f t="shared" si="9"/>
        <v>291.98</v>
      </c>
      <c r="U11" s="15">
        <f t="shared" si="10"/>
        <v>291.98</v>
      </c>
      <c r="V11" s="15">
        <f t="shared" si="11"/>
        <v>0</v>
      </c>
      <c r="W11" s="15">
        <f t="shared" si="15"/>
        <v>291.98</v>
      </c>
      <c r="X11" s="15">
        <f t="shared" si="16"/>
        <v>291.98</v>
      </c>
      <c r="Y11" s="15">
        <f t="shared" si="17"/>
        <v>291.98</v>
      </c>
      <c r="Z11" s="62">
        <v>3</v>
      </c>
      <c r="AA11" s="62"/>
    </row>
    <row r="12" spans="1:33" s="14" customFormat="1" x14ac:dyDescent="0.25">
      <c r="B12" s="146"/>
      <c r="C12" s="130" t="str">
        <f>'Respondent Assumptions'!C12</f>
        <v>Submit quarterly production for export report</v>
      </c>
      <c r="D12" s="66">
        <f>'Respondent Assumptions'!F12</f>
        <v>4</v>
      </c>
      <c r="E12" s="71">
        <f>'Respondent Assumptions'!D12</f>
        <v>3</v>
      </c>
      <c r="F12" s="66">
        <f>'Respondent Assumptions'!E12</f>
        <v>0</v>
      </c>
      <c r="G12" s="17">
        <f t="shared" ref="G12:G13" si="18">D12*(E12+F12)</f>
        <v>12</v>
      </c>
      <c r="H12" s="16">
        <f t="shared" si="1"/>
        <v>1751.88</v>
      </c>
      <c r="I12" s="15">
        <v>0</v>
      </c>
      <c r="J12" s="58">
        <f>'Respondent Assumptions'!L12</f>
        <v>1</v>
      </c>
      <c r="K12" s="58">
        <f>'Respondent Assumptions'!M12</f>
        <v>1</v>
      </c>
      <c r="L12" s="58">
        <f>'Respondent Assumptions'!N12</f>
        <v>1</v>
      </c>
      <c r="M12" s="27">
        <f t="shared" ref="M12:M13" si="19">$D12*J12</f>
        <v>4</v>
      </c>
      <c r="N12" s="27">
        <f t="shared" ref="N12:N13" si="20">$D12*K12</f>
        <v>4</v>
      </c>
      <c r="O12" s="27">
        <f t="shared" ref="O12:O13" si="21">$D12*L12</f>
        <v>4</v>
      </c>
      <c r="P12" s="59">
        <f t="shared" ref="P12:P13" si="22">J12*$G12</f>
        <v>12</v>
      </c>
      <c r="Q12" s="59">
        <f t="shared" ref="Q12:Q13" si="23">K12*$G12</f>
        <v>12</v>
      </c>
      <c r="R12" s="59">
        <f t="shared" ref="R12:R13" si="24">L12*$G12</f>
        <v>12</v>
      </c>
      <c r="S12" s="15">
        <f t="shared" ref="S12:S13" si="25">$H12*J12</f>
        <v>1751.88</v>
      </c>
      <c r="T12" s="15">
        <f t="shared" ref="T12:T13" si="26">$H12*K12</f>
        <v>1751.88</v>
      </c>
      <c r="U12" s="15">
        <f t="shared" ref="U12:U13" si="27">$H12*L12</f>
        <v>1751.88</v>
      </c>
      <c r="V12" s="15">
        <f t="shared" ref="V12:V13" si="28">I12*J12</f>
        <v>0</v>
      </c>
      <c r="W12" s="15">
        <f t="shared" ref="W12:W13" si="29">S12+$V12</f>
        <v>1751.88</v>
      </c>
      <c r="X12" s="15">
        <f t="shared" ref="X12:X13" si="30">T12+$V12</f>
        <v>1751.88</v>
      </c>
      <c r="Y12" s="15">
        <f t="shared" ref="Y12:Y13" si="31">U12+$V12</f>
        <v>1751.88</v>
      </c>
      <c r="Z12" s="62">
        <v>1</v>
      </c>
      <c r="AA12" s="62"/>
    </row>
    <row r="13" spans="1:33" s="14" customFormat="1" x14ac:dyDescent="0.25">
      <c r="A13" s="50">
        <v>1</v>
      </c>
      <c r="B13" s="147"/>
      <c r="C13" s="130" t="str">
        <f>'Respondent Assumptions'!C13</f>
        <v>Submit annual production for export certification</v>
      </c>
      <c r="D13" s="66">
        <f>'Respondent Assumptions'!F13</f>
        <v>1</v>
      </c>
      <c r="E13" s="71">
        <f>'Respondent Assumptions'!D13</f>
        <v>2</v>
      </c>
      <c r="F13" s="66">
        <f>'Respondent Assumptions'!E13</f>
        <v>0</v>
      </c>
      <c r="G13" s="17">
        <f t="shared" si="18"/>
        <v>2</v>
      </c>
      <c r="H13" s="16">
        <f t="shared" si="1"/>
        <v>291.98</v>
      </c>
      <c r="I13" s="15">
        <v>0</v>
      </c>
      <c r="J13" s="58">
        <f>'Respondent Assumptions'!L13</f>
        <v>1</v>
      </c>
      <c r="K13" s="58">
        <f>'Respondent Assumptions'!M13</f>
        <v>1</v>
      </c>
      <c r="L13" s="58">
        <f>'Respondent Assumptions'!N13</f>
        <v>1</v>
      </c>
      <c r="M13" s="27">
        <f t="shared" si="19"/>
        <v>1</v>
      </c>
      <c r="N13" s="27">
        <f t="shared" si="20"/>
        <v>1</v>
      </c>
      <c r="O13" s="27">
        <f t="shared" si="21"/>
        <v>1</v>
      </c>
      <c r="P13" s="59">
        <f t="shared" si="22"/>
        <v>2</v>
      </c>
      <c r="Q13" s="59">
        <f t="shared" si="23"/>
        <v>2</v>
      </c>
      <c r="R13" s="59">
        <f t="shared" si="24"/>
        <v>2</v>
      </c>
      <c r="S13" s="15">
        <f t="shared" si="25"/>
        <v>291.98</v>
      </c>
      <c r="T13" s="15">
        <f t="shared" si="26"/>
        <v>291.98</v>
      </c>
      <c r="U13" s="15">
        <f t="shared" si="27"/>
        <v>291.98</v>
      </c>
      <c r="V13" s="15">
        <f t="shared" si="28"/>
        <v>0</v>
      </c>
      <c r="W13" s="15">
        <f t="shared" si="29"/>
        <v>291.98</v>
      </c>
      <c r="X13" s="15">
        <f t="shared" si="30"/>
        <v>291.98</v>
      </c>
      <c r="Y13" s="15">
        <f t="shared" si="31"/>
        <v>291.98</v>
      </c>
      <c r="Z13" s="62">
        <v>1</v>
      </c>
      <c r="AA13" s="62"/>
    </row>
    <row r="14" spans="1:33" s="14" customFormat="1" x14ac:dyDescent="0.25">
      <c r="A14" s="50">
        <v>1</v>
      </c>
      <c r="B14" s="145" t="s">
        <v>67</v>
      </c>
      <c r="C14" s="130" t="str">
        <f>'Respondent Assumptions'!C14</f>
        <v>Submit quarterly report</v>
      </c>
      <c r="D14" s="66">
        <f>'Respondent Assumptions'!F14</f>
        <v>4</v>
      </c>
      <c r="E14" s="71">
        <f>'Respondent Assumptions'!D14</f>
        <v>6</v>
      </c>
      <c r="F14" s="66">
        <f>'Respondent Assumptions'!E14</f>
        <v>0</v>
      </c>
      <c r="G14" s="17">
        <f t="shared" si="0"/>
        <v>24</v>
      </c>
      <c r="H14" s="16">
        <f t="shared" si="1"/>
        <v>3503.76</v>
      </c>
      <c r="I14" s="15">
        <v>0</v>
      </c>
      <c r="J14" s="58">
        <f>'Respondent Assumptions'!L14</f>
        <v>75</v>
      </c>
      <c r="K14" s="58">
        <f>'Respondent Assumptions'!M14</f>
        <v>75</v>
      </c>
      <c r="L14" s="58">
        <f>'Respondent Assumptions'!N14</f>
        <v>75</v>
      </c>
      <c r="M14" s="27">
        <f t="shared" si="2"/>
        <v>300</v>
      </c>
      <c r="N14" s="27">
        <f t="shared" si="3"/>
        <v>300</v>
      </c>
      <c r="O14" s="27">
        <f t="shared" si="4"/>
        <v>300</v>
      </c>
      <c r="P14" s="59">
        <f t="shared" si="5"/>
        <v>1800</v>
      </c>
      <c r="Q14" s="59">
        <f t="shared" si="6"/>
        <v>1800</v>
      </c>
      <c r="R14" s="59">
        <f t="shared" si="7"/>
        <v>1800</v>
      </c>
      <c r="S14" s="15">
        <f t="shared" si="8"/>
        <v>262782</v>
      </c>
      <c r="T14" s="15">
        <f t="shared" si="9"/>
        <v>262782</v>
      </c>
      <c r="U14" s="15">
        <f t="shared" si="10"/>
        <v>262782</v>
      </c>
      <c r="V14" s="15">
        <f t="shared" si="11"/>
        <v>0</v>
      </c>
      <c r="W14" s="15">
        <f t="shared" si="15"/>
        <v>262782</v>
      </c>
      <c r="X14" s="15">
        <f t="shared" si="16"/>
        <v>262782</v>
      </c>
      <c r="Y14" s="15">
        <f t="shared" si="17"/>
        <v>262782</v>
      </c>
      <c r="Z14" s="62">
        <v>1</v>
      </c>
      <c r="AA14" s="62"/>
    </row>
    <row r="15" spans="1:33" s="14" customFormat="1" x14ac:dyDescent="0.25">
      <c r="A15" s="50"/>
      <c r="B15" s="146"/>
      <c r="C15" s="72" t="str">
        <f>'Respondent Assumptions'!C15</f>
        <v>Submit annual inventory report</v>
      </c>
      <c r="D15" s="66">
        <f>'Respondent Assumptions'!F15</f>
        <v>1</v>
      </c>
      <c r="E15" s="71">
        <f>'Respondent Assumptions'!D15</f>
        <v>10</v>
      </c>
      <c r="F15" s="66">
        <f>'Respondent Assumptions'!E15</f>
        <v>0</v>
      </c>
      <c r="G15" s="17">
        <f t="shared" si="0"/>
        <v>10</v>
      </c>
      <c r="H15" s="16">
        <f t="shared" si="1"/>
        <v>1459.9</v>
      </c>
      <c r="I15" s="15">
        <v>0</v>
      </c>
      <c r="J15" s="58">
        <f>'Respondent Assumptions'!L15</f>
        <v>75</v>
      </c>
      <c r="K15" s="58">
        <f>'Respondent Assumptions'!M15</f>
        <v>75</v>
      </c>
      <c r="L15" s="58">
        <f>'Respondent Assumptions'!N15</f>
        <v>75</v>
      </c>
      <c r="M15" s="27">
        <f t="shared" si="2"/>
        <v>75</v>
      </c>
      <c r="N15" s="27">
        <f t="shared" si="3"/>
        <v>75</v>
      </c>
      <c r="O15" s="27">
        <f t="shared" si="4"/>
        <v>75</v>
      </c>
      <c r="P15" s="59">
        <f t="shared" si="5"/>
        <v>750</v>
      </c>
      <c r="Q15" s="59">
        <f t="shared" si="6"/>
        <v>750</v>
      </c>
      <c r="R15" s="59">
        <f t="shared" si="7"/>
        <v>750</v>
      </c>
      <c r="S15" s="15">
        <f t="shared" si="8"/>
        <v>109492.5</v>
      </c>
      <c r="T15" s="15">
        <f t="shared" si="9"/>
        <v>109492.5</v>
      </c>
      <c r="U15" s="15">
        <f t="shared" si="10"/>
        <v>109492.5</v>
      </c>
      <c r="V15" s="15">
        <f t="shared" si="11"/>
        <v>0</v>
      </c>
      <c r="W15" s="15">
        <f>S15+$V15</f>
        <v>109492.5</v>
      </c>
      <c r="X15" s="15">
        <f t="shared" si="16"/>
        <v>109492.5</v>
      </c>
      <c r="Y15" s="15">
        <f t="shared" si="17"/>
        <v>109492.5</v>
      </c>
      <c r="Z15" s="62">
        <v>1</v>
      </c>
      <c r="AA15" s="62"/>
      <c r="AB15" s="134" t="s">
        <v>164</v>
      </c>
      <c r="AC15" s="134" t="s">
        <v>160</v>
      </c>
      <c r="AD15" s="134" t="s">
        <v>161</v>
      </c>
      <c r="AE15" s="134" t="s">
        <v>162</v>
      </c>
      <c r="AF15" s="134" t="s">
        <v>165</v>
      </c>
    </row>
    <row r="16" spans="1:33" s="14" customFormat="1" x14ac:dyDescent="0.25">
      <c r="A16" s="50"/>
      <c r="B16" s="146"/>
      <c r="C16" s="72" t="str">
        <f>'Respondent Assumptions'!C16</f>
        <v>Maintain records</v>
      </c>
      <c r="D16" s="66">
        <f>'Respondent Assumptions'!F16</f>
        <v>1</v>
      </c>
      <c r="E16" s="71">
        <f>'Respondent Assumptions'!D16</f>
        <v>0</v>
      </c>
      <c r="F16" s="66">
        <f>'Respondent Assumptions'!E16</f>
        <v>100</v>
      </c>
      <c r="G16" s="17">
        <f t="shared" si="0"/>
        <v>100</v>
      </c>
      <c r="H16" s="16">
        <f t="shared" si="1"/>
        <v>10592</v>
      </c>
      <c r="I16" s="15">
        <v>50</v>
      </c>
      <c r="J16" s="58">
        <f>'Respondent Assumptions'!L16</f>
        <v>75</v>
      </c>
      <c r="K16" s="58">
        <f>'Respondent Assumptions'!M16</f>
        <v>75</v>
      </c>
      <c r="L16" s="58">
        <f>'Respondent Assumptions'!N16</f>
        <v>75</v>
      </c>
      <c r="M16" s="27">
        <f t="shared" si="2"/>
        <v>75</v>
      </c>
      <c r="N16" s="27">
        <f t="shared" si="3"/>
        <v>75</v>
      </c>
      <c r="O16" s="27">
        <f t="shared" si="4"/>
        <v>75</v>
      </c>
      <c r="P16" s="59">
        <f t="shared" si="5"/>
        <v>7500</v>
      </c>
      <c r="Q16" s="59">
        <f t="shared" si="6"/>
        <v>7500</v>
      </c>
      <c r="R16" s="59">
        <f t="shared" si="7"/>
        <v>7500</v>
      </c>
      <c r="S16" s="15">
        <f t="shared" si="8"/>
        <v>794400</v>
      </c>
      <c r="T16" s="15">
        <f t="shared" si="9"/>
        <v>794400</v>
      </c>
      <c r="U16" s="15">
        <f t="shared" si="10"/>
        <v>794400</v>
      </c>
      <c r="V16" s="15">
        <f t="shared" si="11"/>
        <v>3750</v>
      </c>
      <c r="W16" s="15">
        <f t="shared" si="15"/>
        <v>798150</v>
      </c>
      <c r="X16" s="15">
        <f t="shared" si="16"/>
        <v>798150</v>
      </c>
      <c r="Y16" s="15">
        <f t="shared" si="17"/>
        <v>798150</v>
      </c>
      <c r="Z16" s="62">
        <v>2</v>
      </c>
      <c r="AA16" s="62"/>
      <c r="AB16" s="60" t="s">
        <v>166</v>
      </c>
      <c r="AC16" s="54">
        <f>SUMIF($Z$5:$Z$67,"1",P$5:P$67)</f>
        <v>18219.5</v>
      </c>
      <c r="AD16" s="54">
        <f>SUMIF($Z$5:$Z$67,"1",Q$5:Q$67)</f>
        <v>18219.5</v>
      </c>
      <c r="AE16" s="54">
        <f>SUMIF($Z$5:$Z$67,"1",R$5:R$67)</f>
        <v>18219.5</v>
      </c>
      <c r="AF16" s="54">
        <f>AVERAGE(AC16:AE16)</f>
        <v>18219.5</v>
      </c>
    </row>
    <row r="17" spans="1:33" s="23" customFormat="1" x14ac:dyDescent="0.25">
      <c r="A17" s="50"/>
      <c r="B17" s="146"/>
      <c r="C17" s="72" t="str">
        <f>'Respondent Assumptions'!C17</f>
        <v>Petition to import HFCs for transformation/destruction</v>
      </c>
      <c r="D17" s="66">
        <f>'Respondent Assumptions'!F17</f>
        <v>42</v>
      </c>
      <c r="E17" s="71">
        <f>'Respondent Assumptions'!D17</f>
        <v>2</v>
      </c>
      <c r="F17" s="66">
        <f>'Respondent Assumptions'!E17</f>
        <v>0</v>
      </c>
      <c r="G17" s="17">
        <f t="shared" si="0"/>
        <v>84</v>
      </c>
      <c r="H17" s="16">
        <f t="shared" si="1"/>
        <v>12263.16</v>
      </c>
      <c r="I17" s="15">
        <v>0</v>
      </c>
      <c r="J17" s="58">
        <f>'Respondent Assumptions'!L17</f>
        <v>2</v>
      </c>
      <c r="K17" s="58">
        <f>'Respondent Assumptions'!M17</f>
        <v>2</v>
      </c>
      <c r="L17" s="58">
        <f>'Respondent Assumptions'!N17</f>
        <v>2</v>
      </c>
      <c r="M17" s="27">
        <f t="shared" si="2"/>
        <v>84</v>
      </c>
      <c r="N17" s="27">
        <f t="shared" si="3"/>
        <v>84</v>
      </c>
      <c r="O17" s="27">
        <f t="shared" si="4"/>
        <v>84</v>
      </c>
      <c r="P17" s="59">
        <f t="shared" si="5"/>
        <v>168</v>
      </c>
      <c r="Q17" s="59">
        <f t="shared" si="6"/>
        <v>168</v>
      </c>
      <c r="R17" s="59">
        <f t="shared" si="7"/>
        <v>168</v>
      </c>
      <c r="S17" s="15">
        <f t="shared" si="8"/>
        <v>24526.32</v>
      </c>
      <c r="T17" s="15">
        <f t="shared" si="9"/>
        <v>24526.32</v>
      </c>
      <c r="U17" s="15">
        <f t="shared" si="10"/>
        <v>24526.32</v>
      </c>
      <c r="V17" s="15">
        <f t="shared" si="11"/>
        <v>0</v>
      </c>
      <c r="W17" s="15">
        <f t="shared" si="15"/>
        <v>24526.32</v>
      </c>
      <c r="X17" s="15">
        <f t="shared" si="16"/>
        <v>24526.32</v>
      </c>
      <c r="Y17" s="15">
        <f t="shared" si="17"/>
        <v>24526.32</v>
      </c>
      <c r="Z17" s="62">
        <v>1</v>
      </c>
      <c r="AA17" s="62"/>
      <c r="AB17" s="60" t="s">
        <v>167</v>
      </c>
      <c r="AC17" s="54">
        <f>SUMIF($Z$5:$Z$67,"2",P$5:P$67)</f>
        <v>17750</v>
      </c>
      <c r="AD17" s="54">
        <f>SUMIF($Z$5:$Z$67,"2",Q$5:Q$67)</f>
        <v>17750</v>
      </c>
      <c r="AE17" s="54">
        <f>SUMIF($Z$5:$Z$67,"2",R$5:R$67)</f>
        <v>17750</v>
      </c>
      <c r="AF17" s="54">
        <f>AVERAGE(AC17:AE17)</f>
        <v>17750</v>
      </c>
      <c r="AG17" s="14"/>
    </row>
    <row r="18" spans="1:33" s="23" customFormat="1" ht="25.5" x14ac:dyDescent="0.25">
      <c r="A18" s="50"/>
      <c r="B18" s="146"/>
      <c r="C18" s="72" t="str">
        <f>'Respondent Assumptions'!C18</f>
        <v>Petition to import used HFCs for destruction</v>
      </c>
      <c r="D18" s="66">
        <f>'Respondent Assumptions'!F18</f>
        <v>5</v>
      </c>
      <c r="E18" s="71">
        <f>'Respondent Assumptions'!D18</f>
        <v>6</v>
      </c>
      <c r="F18" s="66">
        <f>'Respondent Assumptions'!E18</f>
        <v>0</v>
      </c>
      <c r="G18" s="17">
        <f t="shared" si="0"/>
        <v>30</v>
      </c>
      <c r="H18" s="16">
        <f t="shared" si="1"/>
        <v>4379.7000000000007</v>
      </c>
      <c r="I18" s="15">
        <v>0</v>
      </c>
      <c r="J18" s="58">
        <f>'Respondent Assumptions'!L18</f>
        <v>2</v>
      </c>
      <c r="K18" s="58">
        <f>'Respondent Assumptions'!M18</f>
        <v>2</v>
      </c>
      <c r="L18" s="58">
        <f>'Respondent Assumptions'!N18</f>
        <v>2</v>
      </c>
      <c r="M18" s="27">
        <f t="shared" si="2"/>
        <v>10</v>
      </c>
      <c r="N18" s="27">
        <f t="shared" si="3"/>
        <v>10</v>
      </c>
      <c r="O18" s="27">
        <f t="shared" si="4"/>
        <v>10</v>
      </c>
      <c r="P18" s="59">
        <f t="shared" si="5"/>
        <v>60</v>
      </c>
      <c r="Q18" s="59">
        <f t="shared" si="6"/>
        <v>60</v>
      </c>
      <c r="R18" s="59">
        <f t="shared" si="7"/>
        <v>60</v>
      </c>
      <c r="S18" s="15">
        <f t="shared" si="8"/>
        <v>8759.4000000000015</v>
      </c>
      <c r="T18" s="15">
        <f t="shared" si="9"/>
        <v>8759.4000000000015</v>
      </c>
      <c r="U18" s="15">
        <f t="shared" si="10"/>
        <v>8759.4000000000015</v>
      </c>
      <c r="V18" s="15">
        <f t="shared" si="11"/>
        <v>0</v>
      </c>
      <c r="W18" s="15">
        <f t="shared" si="15"/>
        <v>8759.4000000000015</v>
      </c>
      <c r="X18" s="15">
        <f t="shared" si="16"/>
        <v>8759.4000000000015</v>
      </c>
      <c r="Y18" s="15">
        <f t="shared" si="17"/>
        <v>8759.4000000000015</v>
      </c>
      <c r="Z18" s="62">
        <v>1</v>
      </c>
      <c r="AA18" s="62"/>
      <c r="AB18" s="60" t="s">
        <v>253</v>
      </c>
      <c r="AC18" s="54">
        <f>SUMIF($Z$5:$Z$67,"3",P$5:P$67)</f>
        <v>278</v>
      </c>
      <c r="AD18" s="54">
        <f t="shared" ref="AD18:AE18" si="32">SUMIF($Z$5:$Z$67,"3",Q$5:Q$67)</f>
        <v>278</v>
      </c>
      <c r="AE18" s="54">
        <f t="shared" si="32"/>
        <v>278</v>
      </c>
      <c r="AF18" s="54">
        <f>AVERAGE(AC18:AE18)</f>
        <v>278</v>
      </c>
    </row>
    <row r="19" spans="1:33" s="23" customFormat="1" x14ac:dyDescent="0.25">
      <c r="A19" s="50"/>
      <c r="B19" s="146"/>
      <c r="C19" s="72" t="str">
        <f>'Respondent Assumptions'!C19</f>
        <v>Submit ACE report</v>
      </c>
      <c r="D19" s="66">
        <f>'Respondent Assumptions'!F19</f>
        <v>100</v>
      </c>
      <c r="E19" s="71">
        <f>'Respondent Assumptions'!D19</f>
        <v>0.25</v>
      </c>
      <c r="F19" s="66">
        <f>'Respondent Assumptions'!E19</f>
        <v>0</v>
      </c>
      <c r="G19" s="17">
        <f t="shared" si="0"/>
        <v>25</v>
      </c>
      <c r="H19" s="16">
        <f t="shared" si="1"/>
        <v>3649.75</v>
      </c>
      <c r="I19" s="15">
        <v>0</v>
      </c>
      <c r="J19" s="58">
        <f>'Respondent Assumptions'!L19</f>
        <v>75</v>
      </c>
      <c r="K19" s="58">
        <f>'Respondent Assumptions'!M19</f>
        <v>75</v>
      </c>
      <c r="L19" s="58">
        <f>'Respondent Assumptions'!N19</f>
        <v>75</v>
      </c>
      <c r="M19" s="27">
        <f t="shared" si="2"/>
        <v>7500</v>
      </c>
      <c r="N19" s="27">
        <f t="shared" si="3"/>
        <v>7500</v>
      </c>
      <c r="O19" s="27">
        <f t="shared" si="4"/>
        <v>7500</v>
      </c>
      <c r="P19" s="59">
        <f t="shared" si="5"/>
        <v>1875</v>
      </c>
      <c r="Q19" s="59">
        <f t="shared" si="6"/>
        <v>1875</v>
      </c>
      <c r="R19" s="59">
        <f t="shared" si="7"/>
        <v>1875</v>
      </c>
      <c r="S19" s="15">
        <f t="shared" si="8"/>
        <v>273731.25</v>
      </c>
      <c r="T19" s="15">
        <f t="shared" si="9"/>
        <v>273731.25</v>
      </c>
      <c r="U19" s="15">
        <f t="shared" si="10"/>
        <v>273731.25</v>
      </c>
      <c r="V19" s="15">
        <f t="shared" si="11"/>
        <v>0</v>
      </c>
      <c r="W19" s="15">
        <f t="shared" si="15"/>
        <v>273731.25</v>
      </c>
      <c r="X19" s="15">
        <f t="shared" si="16"/>
        <v>273731.25</v>
      </c>
      <c r="Y19" s="15">
        <f t="shared" si="17"/>
        <v>273731.25</v>
      </c>
      <c r="Z19" s="62">
        <v>1</v>
      </c>
      <c r="AA19" s="62"/>
      <c r="AC19" s="140"/>
    </row>
    <row r="20" spans="1:33" s="23" customFormat="1" x14ac:dyDescent="0.25">
      <c r="A20" s="50">
        <v>1</v>
      </c>
      <c r="B20" s="146"/>
      <c r="C20" s="72" t="str">
        <f>'Respondent Assumptions'!C20</f>
        <v>Submit proof of destruction of used imports</v>
      </c>
      <c r="D20" s="66">
        <f>'Respondent Assumptions'!F20</f>
        <v>5</v>
      </c>
      <c r="E20" s="71">
        <f>'Respondent Assumptions'!D20</f>
        <v>0.25</v>
      </c>
      <c r="F20" s="66">
        <f>'Respondent Assumptions'!E20</f>
        <v>0</v>
      </c>
      <c r="G20" s="17">
        <f t="shared" si="0"/>
        <v>1.25</v>
      </c>
      <c r="H20" s="16">
        <f t="shared" si="1"/>
        <v>182.48750000000001</v>
      </c>
      <c r="I20" s="15">
        <v>0</v>
      </c>
      <c r="J20" s="58">
        <f>'Respondent Assumptions'!L20</f>
        <v>2</v>
      </c>
      <c r="K20" s="58">
        <f>'Respondent Assumptions'!M20</f>
        <v>2</v>
      </c>
      <c r="L20" s="58">
        <f>'Respondent Assumptions'!N20</f>
        <v>2</v>
      </c>
      <c r="M20" s="27">
        <f t="shared" si="2"/>
        <v>10</v>
      </c>
      <c r="N20" s="27">
        <f t="shared" si="3"/>
        <v>10</v>
      </c>
      <c r="O20" s="27">
        <f t="shared" si="4"/>
        <v>10</v>
      </c>
      <c r="P20" s="59">
        <f t="shared" si="5"/>
        <v>2.5</v>
      </c>
      <c r="Q20" s="59">
        <f t="shared" si="6"/>
        <v>2.5</v>
      </c>
      <c r="R20" s="59">
        <f t="shared" si="7"/>
        <v>2.5</v>
      </c>
      <c r="S20" s="15">
        <f t="shared" si="8"/>
        <v>364.97500000000002</v>
      </c>
      <c r="T20" s="15">
        <f t="shared" si="9"/>
        <v>364.97500000000002</v>
      </c>
      <c r="U20" s="15">
        <f t="shared" si="10"/>
        <v>364.97500000000002</v>
      </c>
      <c r="V20" s="15">
        <f t="shared" si="11"/>
        <v>0</v>
      </c>
      <c r="W20" s="15">
        <f t="shared" si="15"/>
        <v>364.97500000000002</v>
      </c>
      <c r="X20" s="15">
        <f t="shared" si="16"/>
        <v>364.97500000000002</v>
      </c>
      <c r="Y20" s="15">
        <f t="shared" si="17"/>
        <v>364.97500000000002</v>
      </c>
      <c r="Z20" s="62">
        <v>1</v>
      </c>
      <c r="AA20" s="62"/>
    </row>
    <row r="21" spans="1:33" s="23" customFormat="1" x14ac:dyDescent="0.25">
      <c r="A21" s="50"/>
      <c r="B21" s="146"/>
      <c r="C21" s="72" t="str">
        <f>'Respondent Assumptions'!C21</f>
        <v>Maintain records on used imports for destruction</v>
      </c>
      <c r="D21" s="66">
        <f>'Respondent Assumptions'!F21</f>
        <v>1</v>
      </c>
      <c r="E21" s="71">
        <f>'Respondent Assumptions'!D21</f>
        <v>0</v>
      </c>
      <c r="F21" s="66">
        <f>'Respondent Assumptions'!E21</f>
        <v>20</v>
      </c>
      <c r="G21" s="17">
        <f t="shared" si="0"/>
        <v>20</v>
      </c>
      <c r="H21" s="16">
        <f t="shared" si="1"/>
        <v>2118.4</v>
      </c>
      <c r="I21" s="15">
        <v>50</v>
      </c>
      <c r="J21" s="58">
        <f>'Respondent Assumptions'!L21</f>
        <v>2</v>
      </c>
      <c r="K21" s="58">
        <f>'Respondent Assumptions'!M21</f>
        <v>2</v>
      </c>
      <c r="L21" s="58">
        <f>'Respondent Assumptions'!N21</f>
        <v>2</v>
      </c>
      <c r="M21" s="27">
        <f t="shared" si="2"/>
        <v>2</v>
      </c>
      <c r="N21" s="27">
        <f t="shared" si="3"/>
        <v>2</v>
      </c>
      <c r="O21" s="27">
        <f t="shared" si="4"/>
        <v>2</v>
      </c>
      <c r="P21" s="59">
        <f t="shared" si="5"/>
        <v>40</v>
      </c>
      <c r="Q21" s="59">
        <f t="shared" si="6"/>
        <v>40</v>
      </c>
      <c r="R21" s="59">
        <f t="shared" si="7"/>
        <v>40</v>
      </c>
      <c r="S21" s="15">
        <f t="shared" si="8"/>
        <v>4236.8</v>
      </c>
      <c r="T21" s="15">
        <f t="shared" si="9"/>
        <v>4236.8</v>
      </c>
      <c r="U21" s="15">
        <f t="shared" si="10"/>
        <v>4236.8</v>
      </c>
      <c r="V21" s="15">
        <f t="shared" si="11"/>
        <v>100</v>
      </c>
      <c r="W21" s="15">
        <f t="shared" si="15"/>
        <v>4336.8</v>
      </c>
      <c r="X21" s="15">
        <f t="shared" si="16"/>
        <v>4336.8</v>
      </c>
      <c r="Y21" s="15">
        <f t="shared" si="17"/>
        <v>4336.8</v>
      </c>
      <c r="Z21" s="62">
        <v>2</v>
      </c>
      <c r="AA21" s="62"/>
    </row>
    <row r="22" spans="1:33" s="23" customFormat="1" ht="25.5" x14ac:dyDescent="0.25">
      <c r="A22" s="50"/>
      <c r="B22" s="146"/>
      <c r="C22" s="130" t="str">
        <f>'Respondent Assumptions'!C22</f>
        <v>Provide certification to third party (conferrer)</v>
      </c>
      <c r="D22" s="66">
        <f>'Respondent Assumptions'!F22</f>
        <v>1</v>
      </c>
      <c r="E22" s="71">
        <f>'Respondent Assumptions'!D22</f>
        <v>2</v>
      </c>
      <c r="F22" s="66">
        <f>'Respondent Assumptions'!E22</f>
        <v>0</v>
      </c>
      <c r="G22" s="17">
        <f t="shared" si="0"/>
        <v>2</v>
      </c>
      <c r="H22" s="16">
        <f t="shared" si="1"/>
        <v>291.98</v>
      </c>
      <c r="I22" s="15">
        <v>0</v>
      </c>
      <c r="J22" s="58">
        <f>'Respondent Assumptions'!L22</f>
        <v>2</v>
      </c>
      <c r="K22" s="58">
        <f>'Respondent Assumptions'!M22</f>
        <v>2</v>
      </c>
      <c r="L22" s="58">
        <f>'Respondent Assumptions'!N22</f>
        <v>2</v>
      </c>
      <c r="M22" s="27">
        <f t="shared" si="2"/>
        <v>2</v>
      </c>
      <c r="N22" s="27">
        <f t="shared" si="3"/>
        <v>2</v>
      </c>
      <c r="O22" s="27">
        <f t="shared" si="4"/>
        <v>2</v>
      </c>
      <c r="P22" s="59">
        <f t="shared" si="5"/>
        <v>4</v>
      </c>
      <c r="Q22" s="59">
        <f t="shared" si="6"/>
        <v>4</v>
      </c>
      <c r="R22" s="59">
        <f t="shared" si="7"/>
        <v>4</v>
      </c>
      <c r="S22" s="15">
        <f t="shared" si="8"/>
        <v>583.96</v>
      </c>
      <c r="T22" s="15">
        <f t="shared" si="9"/>
        <v>583.96</v>
      </c>
      <c r="U22" s="15">
        <f t="shared" si="10"/>
        <v>583.96</v>
      </c>
      <c r="V22" s="15">
        <f t="shared" si="11"/>
        <v>0</v>
      </c>
      <c r="W22" s="15">
        <f t="shared" si="15"/>
        <v>583.96</v>
      </c>
      <c r="X22" s="15">
        <f t="shared" si="16"/>
        <v>583.96</v>
      </c>
      <c r="Y22" s="15">
        <f t="shared" si="17"/>
        <v>583.96</v>
      </c>
      <c r="Z22" s="62">
        <v>3</v>
      </c>
      <c r="AA22" s="62"/>
      <c r="AB22" s="139" t="s">
        <v>254</v>
      </c>
      <c r="AC22" s="139" t="s">
        <v>160</v>
      </c>
      <c r="AD22" s="139" t="s">
        <v>161</v>
      </c>
      <c r="AE22" s="139" t="s">
        <v>162</v>
      </c>
      <c r="AF22" s="139" t="s">
        <v>165</v>
      </c>
    </row>
    <row r="23" spans="1:33" s="23" customFormat="1" x14ac:dyDescent="0.25">
      <c r="A23" s="85">
        <v>1</v>
      </c>
      <c r="B23" s="146"/>
      <c r="C23" s="130" t="str">
        <f>'Respondent Assumptions'!C23</f>
        <v>Submit Importer of Record annual report</v>
      </c>
      <c r="D23" s="66">
        <f>'Respondent Assumptions'!F23</f>
        <v>1</v>
      </c>
      <c r="E23" s="71">
        <f>'Respondent Assumptions'!D23</f>
        <v>2</v>
      </c>
      <c r="F23" s="66">
        <f>'Respondent Assumptions'!E23</f>
        <v>0</v>
      </c>
      <c r="G23" s="17">
        <f t="shared" si="0"/>
        <v>2</v>
      </c>
      <c r="H23" s="16">
        <f t="shared" si="1"/>
        <v>291.98</v>
      </c>
      <c r="I23" s="15">
        <v>0</v>
      </c>
      <c r="J23" s="58">
        <f>'Respondent Assumptions'!L23</f>
        <v>75</v>
      </c>
      <c r="K23" s="58">
        <f>'Respondent Assumptions'!M23</f>
        <v>75</v>
      </c>
      <c r="L23" s="58">
        <f>'Respondent Assumptions'!N23</f>
        <v>75</v>
      </c>
      <c r="M23" s="27">
        <f t="shared" si="2"/>
        <v>75</v>
      </c>
      <c r="N23" s="27">
        <f t="shared" si="3"/>
        <v>75</v>
      </c>
      <c r="O23" s="27">
        <f t="shared" si="4"/>
        <v>75</v>
      </c>
      <c r="P23" s="59">
        <f t="shared" si="5"/>
        <v>150</v>
      </c>
      <c r="Q23" s="59">
        <f t="shared" si="6"/>
        <v>150</v>
      </c>
      <c r="R23" s="59">
        <f t="shared" si="7"/>
        <v>150</v>
      </c>
      <c r="S23" s="15">
        <f t="shared" si="8"/>
        <v>21898.5</v>
      </c>
      <c r="T23" s="15">
        <f t="shared" si="9"/>
        <v>21898.5</v>
      </c>
      <c r="U23" s="15">
        <f t="shared" si="10"/>
        <v>21898.5</v>
      </c>
      <c r="V23" s="15">
        <f t="shared" si="11"/>
        <v>0</v>
      </c>
      <c r="W23" s="15">
        <f t="shared" si="15"/>
        <v>21898.5</v>
      </c>
      <c r="X23" s="15">
        <f t="shared" si="16"/>
        <v>21898.5</v>
      </c>
      <c r="Y23" s="15">
        <f t="shared" si="17"/>
        <v>21898.5</v>
      </c>
      <c r="Z23" s="62">
        <v>1</v>
      </c>
      <c r="AA23" s="62"/>
      <c r="AB23" s="60" t="s">
        <v>166</v>
      </c>
      <c r="AC23" s="54">
        <f>SUMIF($Z$5:$Z$67,"1",V$5:V$67)</f>
        <v>1045553.5999999999</v>
      </c>
      <c r="AD23" s="54">
        <f>SUMIF($Z$5:$Z$67,"1",V$5:V$67)</f>
        <v>1045553.5999999999</v>
      </c>
      <c r="AE23" s="54">
        <f>SUMIF($Z$5:$Z$67,"1",V$5:V$67)</f>
        <v>1045553.5999999999</v>
      </c>
      <c r="AF23" s="54">
        <f>AVERAGE(AC23:AE23)</f>
        <v>1045553.6</v>
      </c>
    </row>
    <row r="24" spans="1:33" s="23" customFormat="1" x14ac:dyDescent="0.25">
      <c r="A24" s="50"/>
      <c r="B24" s="146"/>
      <c r="C24" s="130" t="str">
        <f>'Respondent Assumptions'!C24</f>
        <v xml:space="preserve">Submit notification of transhipments </v>
      </c>
      <c r="D24" s="66">
        <f>'Respondent Assumptions'!F24</f>
        <v>4</v>
      </c>
      <c r="E24" s="71">
        <f>'Respondent Assumptions'!D24</f>
        <v>1</v>
      </c>
      <c r="F24" s="66">
        <f>'Respondent Assumptions'!E24</f>
        <v>0</v>
      </c>
      <c r="G24" s="17">
        <f t="shared" si="0"/>
        <v>4</v>
      </c>
      <c r="H24" s="16">
        <f t="shared" si="1"/>
        <v>583.96</v>
      </c>
      <c r="I24" s="15">
        <v>0</v>
      </c>
      <c r="J24" s="58">
        <f>'Respondent Assumptions'!L24</f>
        <v>1</v>
      </c>
      <c r="K24" s="58">
        <f>'Respondent Assumptions'!M24</f>
        <v>1</v>
      </c>
      <c r="L24" s="58">
        <f>'Respondent Assumptions'!N24</f>
        <v>1</v>
      </c>
      <c r="M24" s="27">
        <f t="shared" si="2"/>
        <v>4</v>
      </c>
      <c r="N24" s="27">
        <f t="shared" si="3"/>
        <v>4</v>
      </c>
      <c r="O24" s="27">
        <f t="shared" si="4"/>
        <v>4</v>
      </c>
      <c r="P24" s="59">
        <f t="shared" si="5"/>
        <v>4</v>
      </c>
      <c r="Q24" s="59">
        <f t="shared" si="6"/>
        <v>4</v>
      </c>
      <c r="R24" s="59">
        <f t="shared" si="7"/>
        <v>4</v>
      </c>
      <c r="S24" s="15">
        <f t="shared" si="8"/>
        <v>583.96</v>
      </c>
      <c r="T24" s="15">
        <f t="shared" si="9"/>
        <v>583.96</v>
      </c>
      <c r="U24" s="15">
        <f t="shared" si="10"/>
        <v>583.96</v>
      </c>
      <c r="V24" s="15">
        <f t="shared" si="11"/>
        <v>0</v>
      </c>
      <c r="W24" s="15">
        <f t="shared" si="15"/>
        <v>583.96</v>
      </c>
      <c r="X24" s="15">
        <f t="shared" si="16"/>
        <v>583.96</v>
      </c>
      <c r="Y24" s="15">
        <f t="shared" si="17"/>
        <v>583.96</v>
      </c>
      <c r="Z24" s="62">
        <v>1</v>
      </c>
      <c r="AA24" s="62"/>
      <c r="AB24" s="60" t="s">
        <v>167</v>
      </c>
      <c r="AC24" s="54">
        <f>SUMIF($Z$5:$Z$67,"2",V$5:V$67)</f>
        <v>17650</v>
      </c>
      <c r="AD24" s="54">
        <f>SUMIF($Z$5:$Z$67,"2",V$5:V$67)</f>
        <v>17650</v>
      </c>
      <c r="AE24" s="54">
        <f>SUMIF($Z$5:$Z$67,"2",V$5:V$67)</f>
        <v>17650</v>
      </c>
      <c r="AF24" s="54">
        <f>AVERAGE(AC24:AE24)</f>
        <v>17650</v>
      </c>
    </row>
    <row r="25" spans="1:33" s="23" customFormat="1" ht="24.75" customHeight="1" x14ac:dyDescent="0.25">
      <c r="A25" s="50"/>
      <c r="B25" s="147"/>
      <c r="C25" s="130" t="str">
        <f>'Respondent Assumptions'!C25</f>
        <v>Maintain records on HFCs purchased at government auction</v>
      </c>
      <c r="D25" s="66">
        <f>'Respondent Assumptions'!F25</f>
        <v>1</v>
      </c>
      <c r="E25" s="71">
        <f>'Respondent Assumptions'!D25</f>
        <v>0</v>
      </c>
      <c r="F25" s="66">
        <f>'Respondent Assumptions'!E25</f>
        <v>1</v>
      </c>
      <c r="G25" s="17">
        <f t="shared" ref="G25" si="33">D25*(E25+F25)</f>
        <v>1</v>
      </c>
      <c r="H25" s="16">
        <f t="shared" si="1"/>
        <v>105.92</v>
      </c>
      <c r="I25" s="15">
        <v>50</v>
      </c>
      <c r="J25" s="58">
        <f>'Respondent Assumptions'!L25</f>
        <v>10</v>
      </c>
      <c r="K25" s="58">
        <f>'Respondent Assumptions'!M25</f>
        <v>10</v>
      </c>
      <c r="L25" s="58">
        <f>'Respondent Assumptions'!N25</f>
        <v>10</v>
      </c>
      <c r="M25" s="27">
        <f t="shared" ref="M25" si="34">$D25*J25</f>
        <v>10</v>
      </c>
      <c r="N25" s="27">
        <f t="shared" ref="N25" si="35">$D25*K25</f>
        <v>10</v>
      </c>
      <c r="O25" s="27">
        <f t="shared" ref="O25" si="36">$D25*L25</f>
        <v>10</v>
      </c>
      <c r="P25" s="59">
        <f t="shared" ref="P25" si="37">J25*$G25</f>
        <v>10</v>
      </c>
      <c r="Q25" s="59">
        <f t="shared" ref="Q25" si="38">K25*$G25</f>
        <v>10</v>
      </c>
      <c r="R25" s="59">
        <f t="shared" ref="R25" si="39">L25*$G25</f>
        <v>10</v>
      </c>
      <c r="S25" s="15">
        <f t="shared" ref="S25" si="40">$H25*J25</f>
        <v>1059.2</v>
      </c>
      <c r="T25" s="15">
        <f t="shared" ref="T25" si="41">$H25*K25</f>
        <v>1059.2</v>
      </c>
      <c r="U25" s="15">
        <f t="shared" ref="U25" si="42">$H25*L25</f>
        <v>1059.2</v>
      </c>
      <c r="V25" s="15">
        <f t="shared" ref="V25" si="43">I25*J25</f>
        <v>500</v>
      </c>
      <c r="W25" s="15">
        <f t="shared" ref="W25" si="44">S25+$V25</f>
        <v>1559.2</v>
      </c>
      <c r="X25" s="15">
        <f t="shared" ref="X25" si="45">T25+$V25</f>
        <v>1559.2</v>
      </c>
      <c r="Y25" s="15">
        <f t="shared" ref="Y25" si="46">U25+$V25</f>
        <v>1559.2</v>
      </c>
      <c r="Z25" s="62">
        <v>2</v>
      </c>
      <c r="AA25" s="62"/>
      <c r="AB25" s="60" t="s">
        <v>253</v>
      </c>
      <c r="AC25" s="54">
        <f>SUMIF($Z$5:$Z$67,"3",V$5:V$67)</f>
        <v>0</v>
      </c>
      <c r="AD25" s="54">
        <f>SUMIF($Z$5:$Z$67,"3",V$5:V$67)</f>
        <v>0</v>
      </c>
      <c r="AE25" s="54">
        <f>SUMIF($Z$5:$Z$67,"3",V$5:V$67)</f>
        <v>0</v>
      </c>
      <c r="AF25" s="54">
        <f>AVERAGE(AC25:AE25)</f>
        <v>0</v>
      </c>
    </row>
    <row r="26" spans="1:33" s="23" customFormat="1" x14ac:dyDescent="0.25">
      <c r="A26" s="50"/>
      <c r="B26" s="35" t="s">
        <v>82</v>
      </c>
      <c r="C26" s="130" t="str">
        <f>'Respondent Assumptions'!C26</f>
        <v>Maintain records</v>
      </c>
      <c r="D26" s="66">
        <f>'Respondent Assumptions'!F26</f>
        <v>1</v>
      </c>
      <c r="E26" s="71">
        <f>'Respondent Assumptions'!D26</f>
        <v>0</v>
      </c>
      <c r="F26" s="66">
        <f>'Respondent Assumptions'!E26</f>
        <v>20</v>
      </c>
      <c r="G26" s="17">
        <f t="shared" si="0"/>
        <v>20</v>
      </c>
      <c r="H26" s="16">
        <f t="shared" si="1"/>
        <v>2118.4</v>
      </c>
      <c r="I26" s="15">
        <v>50</v>
      </c>
      <c r="J26" s="58">
        <f>'Respondent Assumptions'!L26</f>
        <v>5</v>
      </c>
      <c r="K26" s="58">
        <f>'Respondent Assumptions'!M26</f>
        <v>5</v>
      </c>
      <c r="L26" s="58">
        <f>'Respondent Assumptions'!N26</f>
        <v>5</v>
      </c>
      <c r="M26" s="27">
        <f t="shared" si="2"/>
        <v>5</v>
      </c>
      <c r="N26" s="27">
        <f t="shared" si="3"/>
        <v>5</v>
      </c>
      <c r="O26" s="27">
        <f t="shared" si="4"/>
        <v>5</v>
      </c>
      <c r="P26" s="59">
        <f t="shared" si="5"/>
        <v>100</v>
      </c>
      <c r="Q26" s="59">
        <f t="shared" si="6"/>
        <v>100</v>
      </c>
      <c r="R26" s="59">
        <f t="shared" si="7"/>
        <v>100</v>
      </c>
      <c r="S26" s="15">
        <f t="shared" si="8"/>
        <v>10592</v>
      </c>
      <c r="T26" s="15">
        <f t="shared" si="9"/>
        <v>10592</v>
      </c>
      <c r="U26" s="15">
        <f t="shared" si="10"/>
        <v>10592</v>
      </c>
      <c r="V26" s="15">
        <f t="shared" si="11"/>
        <v>250</v>
      </c>
      <c r="W26" s="15">
        <f t="shared" si="15"/>
        <v>10842</v>
      </c>
      <c r="X26" s="15">
        <f t="shared" si="16"/>
        <v>10842</v>
      </c>
      <c r="Y26" s="15">
        <f t="shared" si="17"/>
        <v>10842</v>
      </c>
      <c r="Z26" s="62">
        <v>2</v>
      </c>
      <c r="AA26" s="62"/>
      <c r="AC26" s="140"/>
    </row>
    <row r="27" spans="1:33" s="23" customFormat="1" x14ac:dyDescent="0.25">
      <c r="A27" s="50"/>
      <c r="B27" s="131" t="s">
        <v>83</v>
      </c>
      <c r="C27" s="130" t="str">
        <f>'Respondent Assumptions'!C27</f>
        <v>Maintain records</v>
      </c>
      <c r="D27" s="66">
        <f>'Respondent Assumptions'!F27</f>
        <v>1</v>
      </c>
      <c r="E27" s="71">
        <f>'Respondent Assumptions'!D27</f>
        <v>0</v>
      </c>
      <c r="F27" s="66">
        <f>'Respondent Assumptions'!E27</f>
        <v>20</v>
      </c>
      <c r="G27" s="17">
        <f t="shared" si="0"/>
        <v>20</v>
      </c>
      <c r="H27" s="16">
        <f t="shared" si="1"/>
        <v>2118.4</v>
      </c>
      <c r="I27" s="15">
        <v>50</v>
      </c>
      <c r="J27" s="58">
        <f>'Respondent Assumptions'!L27</f>
        <v>100</v>
      </c>
      <c r="K27" s="58">
        <f>'Respondent Assumptions'!M27</f>
        <v>100</v>
      </c>
      <c r="L27" s="58">
        <f>'Respondent Assumptions'!N27</f>
        <v>100</v>
      </c>
      <c r="M27" s="27">
        <f t="shared" si="2"/>
        <v>100</v>
      </c>
      <c r="N27" s="27">
        <f t="shared" si="3"/>
        <v>100</v>
      </c>
      <c r="O27" s="27">
        <f t="shared" si="4"/>
        <v>100</v>
      </c>
      <c r="P27" s="59">
        <f t="shared" si="5"/>
        <v>2000</v>
      </c>
      <c r="Q27" s="59">
        <f t="shared" si="6"/>
        <v>2000</v>
      </c>
      <c r="R27" s="59">
        <f t="shared" si="7"/>
        <v>2000</v>
      </c>
      <c r="S27" s="15">
        <f t="shared" si="8"/>
        <v>211840</v>
      </c>
      <c r="T27" s="15">
        <f t="shared" si="9"/>
        <v>211840</v>
      </c>
      <c r="U27" s="15">
        <f t="shared" si="10"/>
        <v>211840</v>
      </c>
      <c r="V27" s="15">
        <f t="shared" si="11"/>
        <v>5000</v>
      </c>
      <c r="W27" s="15">
        <f t="shared" si="15"/>
        <v>216840</v>
      </c>
      <c r="X27" s="15">
        <f t="shared" si="16"/>
        <v>216840</v>
      </c>
      <c r="Y27" s="15">
        <f t="shared" si="17"/>
        <v>216840</v>
      </c>
      <c r="Z27" s="62">
        <v>2</v>
      </c>
      <c r="AA27" s="62"/>
      <c r="AB27" s="97"/>
    </row>
    <row r="28" spans="1:33" s="23" customFormat="1" x14ac:dyDescent="0.25">
      <c r="A28" s="50">
        <v>1</v>
      </c>
      <c r="B28" s="176" t="s">
        <v>84</v>
      </c>
      <c r="C28" s="130" t="str">
        <f>'Respondent Assumptions'!C28</f>
        <v>Submit quarterly report</v>
      </c>
      <c r="D28" s="66">
        <f>'Respondent Assumptions'!F28</f>
        <v>4</v>
      </c>
      <c r="E28" s="71">
        <f>'Respondent Assumptions'!D28</f>
        <v>6</v>
      </c>
      <c r="F28" s="66">
        <f>'Respondent Assumptions'!E28</f>
        <v>0</v>
      </c>
      <c r="G28" s="17">
        <f t="shared" si="0"/>
        <v>24</v>
      </c>
      <c r="H28" s="16">
        <f t="shared" si="1"/>
        <v>3503.76</v>
      </c>
      <c r="I28" s="15">
        <v>0</v>
      </c>
      <c r="J28" s="58">
        <f>'Respondent Assumptions'!L28</f>
        <v>26</v>
      </c>
      <c r="K28" s="58">
        <f>'Respondent Assumptions'!M28</f>
        <v>26</v>
      </c>
      <c r="L28" s="58">
        <f>'Respondent Assumptions'!N28</f>
        <v>26</v>
      </c>
      <c r="M28" s="27">
        <f t="shared" si="2"/>
        <v>104</v>
      </c>
      <c r="N28" s="27">
        <f t="shared" si="3"/>
        <v>104</v>
      </c>
      <c r="O28" s="27">
        <f t="shared" si="4"/>
        <v>104</v>
      </c>
      <c r="P28" s="59">
        <f t="shared" si="5"/>
        <v>624</v>
      </c>
      <c r="Q28" s="59">
        <f t="shared" si="6"/>
        <v>624</v>
      </c>
      <c r="R28" s="59">
        <f t="shared" si="7"/>
        <v>624</v>
      </c>
      <c r="S28" s="15">
        <f t="shared" si="8"/>
        <v>91097.760000000009</v>
      </c>
      <c r="T28" s="15">
        <f t="shared" si="9"/>
        <v>91097.760000000009</v>
      </c>
      <c r="U28" s="15">
        <f t="shared" si="10"/>
        <v>91097.760000000009</v>
      </c>
      <c r="V28" s="15">
        <f t="shared" si="11"/>
        <v>0</v>
      </c>
      <c r="W28" s="15">
        <f t="shared" si="15"/>
        <v>91097.760000000009</v>
      </c>
      <c r="X28" s="15">
        <f t="shared" si="16"/>
        <v>91097.760000000009</v>
      </c>
      <c r="Y28" s="15">
        <f t="shared" si="17"/>
        <v>91097.760000000009</v>
      </c>
      <c r="Z28" s="62">
        <v>1</v>
      </c>
      <c r="AA28" s="62"/>
    </row>
    <row r="29" spans="1:33" s="23" customFormat="1" x14ac:dyDescent="0.25">
      <c r="A29" s="50"/>
      <c r="B29" s="174"/>
      <c r="C29" s="130" t="str">
        <f>'Respondent Assumptions'!C29</f>
        <v>Submit annual inventory report</v>
      </c>
      <c r="D29" s="66">
        <f>'Respondent Assumptions'!F29</f>
        <v>1</v>
      </c>
      <c r="E29" s="71">
        <f>'Respondent Assumptions'!D29</f>
        <v>10</v>
      </c>
      <c r="F29" s="66">
        <f>'Respondent Assumptions'!E29</f>
        <v>0</v>
      </c>
      <c r="G29" s="17">
        <f t="shared" si="0"/>
        <v>10</v>
      </c>
      <c r="H29" s="16">
        <f t="shared" si="1"/>
        <v>1459.9</v>
      </c>
      <c r="I29" s="15">
        <v>0</v>
      </c>
      <c r="J29" s="58">
        <f>'Respondent Assumptions'!L29</f>
        <v>26</v>
      </c>
      <c r="K29" s="58">
        <f>'Respondent Assumptions'!M29</f>
        <v>26</v>
      </c>
      <c r="L29" s="58">
        <f>'Respondent Assumptions'!N29</f>
        <v>26</v>
      </c>
      <c r="M29" s="27">
        <f t="shared" si="2"/>
        <v>26</v>
      </c>
      <c r="N29" s="27">
        <f t="shared" si="3"/>
        <v>26</v>
      </c>
      <c r="O29" s="27">
        <f t="shared" si="4"/>
        <v>26</v>
      </c>
      <c r="P29" s="59">
        <f t="shared" si="5"/>
        <v>260</v>
      </c>
      <c r="Q29" s="59">
        <f t="shared" si="6"/>
        <v>260</v>
      </c>
      <c r="R29" s="59">
        <f t="shared" si="7"/>
        <v>260</v>
      </c>
      <c r="S29" s="15">
        <f t="shared" si="8"/>
        <v>37957.4</v>
      </c>
      <c r="T29" s="15">
        <f t="shared" si="9"/>
        <v>37957.4</v>
      </c>
      <c r="U29" s="15">
        <f t="shared" si="10"/>
        <v>37957.4</v>
      </c>
      <c r="V29" s="15">
        <f t="shared" si="11"/>
        <v>0</v>
      </c>
      <c r="W29" s="15">
        <f t="shared" si="15"/>
        <v>37957.4</v>
      </c>
      <c r="X29" s="15">
        <f t="shared" si="16"/>
        <v>37957.4</v>
      </c>
      <c r="Y29" s="15">
        <f t="shared" si="17"/>
        <v>37957.4</v>
      </c>
      <c r="Z29" s="62">
        <v>1</v>
      </c>
      <c r="AA29" s="62"/>
    </row>
    <row r="30" spans="1:33" s="23" customFormat="1" x14ac:dyDescent="0.25">
      <c r="A30" s="50"/>
      <c r="B30" s="174"/>
      <c r="C30" s="130" t="str">
        <f>'Respondent Assumptions'!C30</f>
        <v>Maintain records</v>
      </c>
      <c r="D30" s="66">
        <f>'Respondent Assumptions'!F30</f>
        <v>1</v>
      </c>
      <c r="E30" s="71">
        <f>'Respondent Assumptions'!D30</f>
        <v>0</v>
      </c>
      <c r="F30" s="66">
        <f>'Respondent Assumptions'!E30</f>
        <v>20</v>
      </c>
      <c r="G30" s="17">
        <f>D30*(E30+F30)</f>
        <v>20</v>
      </c>
      <c r="H30" s="16">
        <f t="shared" si="1"/>
        <v>2118.4</v>
      </c>
      <c r="I30" s="15">
        <v>50</v>
      </c>
      <c r="J30" s="58">
        <f>'Respondent Assumptions'!L30</f>
        <v>4</v>
      </c>
      <c r="K30" s="58">
        <f>'Respondent Assumptions'!M30</f>
        <v>4</v>
      </c>
      <c r="L30" s="58">
        <f>'Respondent Assumptions'!N30</f>
        <v>4</v>
      </c>
      <c r="M30" s="27">
        <f>$D30*J30</f>
        <v>4</v>
      </c>
      <c r="N30" s="27">
        <f>$D30*K30</f>
        <v>4</v>
      </c>
      <c r="O30" s="27">
        <f>$D30*L30</f>
        <v>4</v>
      </c>
      <c r="P30" s="59">
        <f>J30*$G30</f>
        <v>80</v>
      </c>
      <c r="Q30" s="59">
        <f>K30*$G30</f>
        <v>80</v>
      </c>
      <c r="R30" s="59">
        <f>L30*$G30</f>
        <v>80</v>
      </c>
      <c r="S30" s="15">
        <f>$H30*J30</f>
        <v>8473.6</v>
      </c>
      <c r="T30" s="15">
        <f>$H30*K30</f>
        <v>8473.6</v>
      </c>
      <c r="U30" s="15">
        <f>$H30*L30</f>
        <v>8473.6</v>
      </c>
      <c r="V30" s="15">
        <f>I30*J30</f>
        <v>200</v>
      </c>
      <c r="W30" s="15">
        <f>S30+$V30</f>
        <v>8673.6</v>
      </c>
      <c r="X30" s="15">
        <f>T30+$V30</f>
        <v>8673.6</v>
      </c>
      <c r="Y30" s="15">
        <f>U30+$V30</f>
        <v>8673.6</v>
      </c>
      <c r="Z30" s="62">
        <v>2</v>
      </c>
      <c r="AA30" s="62"/>
    </row>
    <row r="31" spans="1:33" s="23" customFormat="1" x14ac:dyDescent="0.25">
      <c r="A31" s="50">
        <v>1</v>
      </c>
      <c r="B31" s="174"/>
      <c r="C31" s="130" t="str">
        <f>'Respondent Assumptions'!C31</f>
        <v>Submit request for additional consumption allowances</v>
      </c>
      <c r="D31" s="66">
        <f>'Respondent Assumptions'!F31</f>
        <v>16</v>
      </c>
      <c r="E31" s="71">
        <f>'Respondent Assumptions'!D31</f>
        <v>6</v>
      </c>
      <c r="F31" s="66">
        <f>'Respondent Assumptions'!E31</f>
        <v>0</v>
      </c>
      <c r="G31" s="17">
        <f t="shared" si="0"/>
        <v>96</v>
      </c>
      <c r="H31" s="16">
        <f t="shared" si="1"/>
        <v>14015.04</v>
      </c>
      <c r="I31" s="15">
        <v>0</v>
      </c>
      <c r="J31" s="58">
        <f>'Respondent Assumptions'!L31</f>
        <v>16</v>
      </c>
      <c r="K31" s="58">
        <f>'Respondent Assumptions'!M31</f>
        <v>16</v>
      </c>
      <c r="L31" s="58">
        <f>'Respondent Assumptions'!N31</f>
        <v>16</v>
      </c>
      <c r="M31" s="27">
        <f t="shared" si="2"/>
        <v>256</v>
      </c>
      <c r="N31" s="27">
        <f t="shared" si="3"/>
        <v>256</v>
      </c>
      <c r="O31" s="27">
        <f t="shared" si="4"/>
        <v>256</v>
      </c>
      <c r="P31" s="59">
        <f t="shared" si="5"/>
        <v>1536</v>
      </c>
      <c r="Q31" s="59">
        <f t="shared" si="6"/>
        <v>1536</v>
      </c>
      <c r="R31" s="59">
        <f t="shared" si="7"/>
        <v>1536</v>
      </c>
      <c r="S31" s="15">
        <f t="shared" si="8"/>
        <v>224240.64000000001</v>
      </c>
      <c r="T31" s="15">
        <f t="shared" si="9"/>
        <v>224240.64000000001</v>
      </c>
      <c r="U31" s="15">
        <f t="shared" si="10"/>
        <v>224240.64000000001</v>
      </c>
      <c r="V31" s="15">
        <f t="shared" si="11"/>
        <v>0</v>
      </c>
      <c r="W31" s="15">
        <f t="shared" si="15"/>
        <v>224240.64000000001</v>
      </c>
      <c r="X31" s="15">
        <f t="shared" si="16"/>
        <v>224240.64000000001</v>
      </c>
      <c r="Y31" s="15">
        <f t="shared" si="17"/>
        <v>224240.64000000001</v>
      </c>
      <c r="Z31" s="62">
        <v>1</v>
      </c>
      <c r="AA31" s="62"/>
    </row>
    <row r="32" spans="1:33" s="23" customFormat="1" x14ac:dyDescent="0.25">
      <c r="A32" s="50"/>
      <c r="B32" s="175"/>
      <c r="C32" s="130" t="str">
        <f>'Respondent Assumptions'!C32</f>
        <v xml:space="preserve">Submit notification of transhipments </v>
      </c>
      <c r="D32" s="66">
        <f>'Respondent Assumptions'!F32</f>
        <v>4</v>
      </c>
      <c r="E32" s="71">
        <f>'Respondent Assumptions'!D32</f>
        <v>1</v>
      </c>
      <c r="F32" s="66">
        <f>'Respondent Assumptions'!E32</f>
        <v>0</v>
      </c>
      <c r="G32" s="17">
        <f t="shared" si="0"/>
        <v>4</v>
      </c>
      <c r="H32" s="16">
        <f t="shared" si="1"/>
        <v>583.96</v>
      </c>
      <c r="I32" s="15">
        <v>0</v>
      </c>
      <c r="J32" s="58">
        <f>'Respondent Assumptions'!L32</f>
        <v>1</v>
      </c>
      <c r="K32" s="58">
        <f>'Respondent Assumptions'!M32</f>
        <v>1</v>
      </c>
      <c r="L32" s="58">
        <f>'Respondent Assumptions'!N32</f>
        <v>1</v>
      </c>
      <c r="M32" s="27">
        <f t="shared" si="2"/>
        <v>4</v>
      </c>
      <c r="N32" s="27">
        <f t="shared" si="3"/>
        <v>4</v>
      </c>
      <c r="O32" s="27">
        <f t="shared" si="4"/>
        <v>4</v>
      </c>
      <c r="P32" s="59">
        <f t="shared" si="5"/>
        <v>4</v>
      </c>
      <c r="Q32" s="59">
        <f t="shared" si="6"/>
        <v>4</v>
      </c>
      <c r="R32" s="59">
        <f t="shared" si="7"/>
        <v>4</v>
      </c>
      <c r="S32" s="15">
        <f t="shared" si="8"/>
        <v>583.96</v>
      </c>
      <c r="T32" s="15">
        <f t="shared" si="9"/>
        <v>583.96</v>
      </c>
      <c r="U32" s="15">
        <f t="shared" si="10"/>
        <v>583.96</v>
      </c>
      <c r="V32" s="15">
        <f t="shared" si="11"/>
        <v>0</v>
      </c>
      <c r="W32" s="15">
        <f t="shared" si="15"/>
        <v>583.96</v>
      </c>
      <c r="X32" s="15">
        <f t="shared" si="16"/>
        <v>583.96</v>
      </c>
      <c r="Y32" s="15">
        <f t="shared" si="17"/>
        <v>583.96</v>
      </c>
      <c r="Z32" s="62">
        <v>1</v>
      </c>
      <c r="AA32" s="62"/>
    </row>
    <row r="33" spans="1:33" s="23" customFormat="1" x14ac:dyDescent="0.25">
      <c r="A33" s="50">
        <v>1</v>
      </c>
      <c r="B33" s="174" t="s">
        <v>88</v>
      </c>
      <c r="C33" s="130" t="str">
        <f>'Respondent Assumptions'!C33</f>
        <v>Submit conferral request</v>
      </c>
      <c r="D33" s="66">
        <f>'Respondent Assumptions'!F33</f>
        <v>3</v>
      </c>
      <c r="E33" s="71">
        <f>'Respondent Assumptions'!D33</f>
        <v>6</v>
      </c>
      <c r="F33" s="66">
        <f>'Respondent Assumptions'!E33</f>
        <v>0</v>
      </c>
      <c r="G33" s="17">
        <f t="shared" ref="G33:G56" si="47">D33*(E33+F33)</f>
        <v>18</v>
      </c>
      <c r="H33" s="16">
        <f t="shared" si="1"/>
        <v>2627.82</v>
      </c>
      <c r="I33" s="15">
        <v>0</v>
      </c>
      <c r="J33" s="58">
        <f>'Respondent Assumptions'!L33</f>
        <v>3</v>
      </c>
      <c r="K33" s="58">
        <f>'Respondent Assumptions'!M33</f>
        <v>3</v>
      </c>
      <c r="L33" s="58">
        <f>'Respondent Assumptions'!N33</f>
        <v>3</v>
      </c>
      <c r="M33" s="27">
        <f t="shared" ref="M33:M56" si="48">$D33*J33</f>
        <v>9</v>
      </c>
      <c r="N33" s="27">
        <f t="shared" ref="N33:N56" si="49">$D33*K33</f>
        <v>9</v>
      </c>
      <c r="O33" s="27">
        <f t="shared" ref="O33:O56" si="50">$D33*L33</f>
        <v>9</v>
      </c>
      <c r="P33" s="59">
        <f t="shared" ref="P33:P56" si="51">J33*$G33</f>
        <v>54</v>
      </c>
      <c r="Q33" s="59">
        <f t="shared" ref="Q33:Q56" si="52">K33*$G33</f>
        <v>54</v>
      </c>
      <c r="R33" s="59">
        <f t="shared" ref="R33:R56" si="53">L33*$G33</f>
        <v>54</v>
      </c>
      <c r="S33" s="15">
        <f t="shared" ref="S33:S56" si="54">$H33*J33</f>
        <v>7883.4600000000009</v>
      </c>
      <c r="T33" s="15">
        <f t="shared" ref="T33:T56" si="55">$H33*K33</f>
        <v>7883.4600000000009</v>
      </c>
      <c r="U33" s="15">
        <f t="shared" ref="U33:U56" si="56">$H33*L33</f>
        <v>7883.4600000000009</v>
      </c>
      <c r="V33" s="15">
        <f t="shared" ref="V33:V56" si="57">I33*J33</f>
        <v>0</v>
      </c>
      <c r="W33" s="15">
        <f t="shared" ref="W33:W57" si="58">S33+$V33</f>
        <v>7883.4600000000009</v>
      </c>
      <c r="X33" s="15">
        <f t="shared" ref="X33:X57" si="59">T33+$V33</f>
        <v>7883.4600000000009</v>
      </c>
      <c r="Y33" s="15">
        <f t="shared" ref="Y33:Y57" si="60">U33+$V33</f>
        <v>7883.4600000000009</v>
      </c>
      <c r="Z33" s="62">
        <v>1</v>
      </c>
      <c r="AA33" s="62"/>
    </row>
    <row r="34" spans="1:33" s="23" customFormat="1" x14ac:dyDescent="0.25">
      <c r="A34" s="50"/>
      <c r="B34" s="174"/>
      <c r="C34" s="130" t="str">
        <f>'Respondent Assumptions'!C34</f>
        <v>Provide certification to third party (conferee)</v>
      </c>
      <c r="D34" s="66">
        <f>'Respondent Assumptions'!F34</f>
        <v>3</v>
      </c>
      <c r="E34" s="71">
        <f>'Respondent Assumptions'!D34</f>
        <v>2</v>
      </c>
      <c r="F34" s="66">
        <f>'Respondent Assumptions'!E34</f>
        <v>0</v>
      </c>
      <c r="G34" s="17">
        <f t="shared" si="47"/>
        <v>6</v>
      </c>
      <c r="H34" s="16">
        <f t="shared" si="1"/>
        <v>875.94</v>
      </c>
      <c r="I34" s="15">
        <v>0</v>
      </c>
      <c r="J34" s="58">
        <f>'Respondent Assumptions'!L34</f>
        <v>3</v>
      </c>
      <c r="K34" s="58">
        <f>'Respondent Assumptions'!M34</f>
        <v>3</v>
      </c>
      <c r="L34" s="58">
        <f>'Respondent Assumptions'!N34</f>
        <v>3</v>
      </c>
      <c r="M34" s="27">
        <f t="shared" si="48"/>
        <v>9</v>
      </c>
      <c r="N34" s="27">
        <f t="shared" si="49"/>
        <v>9</v>
      </c>
      <c r="O34" s="27">
        <f t="shared" si="50"/>
        <v>9</v>
      </c>
      <c r="P34" s="59">
        <f t="shared" si="51"/>
        <v>18</v>
      </c>
      <c r="Q34" s="59">
        <f t="shared" si="52"/>
        <v>18</v>
      </c>
      <c r="R34" s="59">
        <f t="shared" si="53"/>
        <v>18</v>
      </c>
      <c r="S34" s="15">
        <f t="shared" si="54"/>
        <v>2627.82</v>
      </c>
      <c r="T34" s="15">
        <f t="shared" si="55"/>
        <v>2627.82</v>
      </c>
      <c r="U34" s="15">
        <f t="shared" si="56"/>
        <v>2627.82</v>
      </c>
      <c r="V34" s="15">
        <f t="shared" si="57"/>
        <v>0</v>
      </c>
      <c r="W34" s="15">
        <f t="shared" si="58"/>
        <v>2627.82</v>
      </c>
      <c r="X34" s="15">
        <f t="shared" si="59"/>
        <v>2627.82</v>
      </c>
      <c r="Y34" s="15">
        <f t="shared" si="60"/>
        <v>2627.82</v>
      </c>
      <c r="Z34" s="62">
        <v>3</v>
      </c>
      <c r="AA34" s="62"/>
    </row>
    <row r="35" spans="1:33" s="23" customFormat="1" x14ac:dyDescent="0.25">
      <c r="A35" s="50"/>
      <c r="B35" s="174"/>
      <c r="C35" s="130" t="str">
        <f>'Respondent Assumptions'!C35</f>
        <v>Provide certification to third party (conferrer)</v>
      </c>
      <c r="D35" s="66">
        <f>'Respondent Assumptions'!F35</f>
        <v>4</v>
      </c>
      <c r="E35" s="71">
        <f>'Respondent Assumptions'!D35</f>
        <v>2</v>
      </c>
      <c r="F35" s="66">
        <f>'Respondent Assumptions'!E35</f>
        <v>0</v>
      </c>
      <c r="G35" s="17">
        <f t="shared" si="47"/>
        <v>8</v>
      </c>
      <c r="H35" s="16">
        <f t="shared" si="1"/>
        <v>1167.92</v>
      </c>
      <c r="I35" s="15">
        <v>0</v>
      </c>
      <c r="J35" s="58">
        <f>'Respondent Assumptions'!L35</f>
        <v>3</v>
      </c>
      <c r="K35" s="58">
        <f>'Respondent Assumptions'!M35</f>
        <v>3</v>
      </c>
      <c r="L35" s="58">
        <f>'Respondent Assumptions'!N35</f>
        <v>3</v>
      </c>
      <c r="M35" s="27">
        <f t="shared" si="48"/>
        <v>12</v>
      </c>
      <c r="N35" s="27">
        <f t="shared" si="49"/>
        <v>12</v>
      </c>
      <c r="O35" s="27">
        <f t="shared" si="50"/>
        <v>12</v>
      </c>
      <c r="P35" s="59">
        <f t="shared" si="51"/>
        <v>24</v>
      </c>
      <c r="Q35" s="59">
        <f t="shared" si="52"/>
        <v>24</v>
      </c>
      <c r="R35" s="59">
        <f t="shared" si="53"/>
        <v>24</v>
      </c>
      <c r="S35" s="15">
        <f t="shared" si="54"/>
        <v>3503.76</v>
      </c>
      <c r="T35" s="15">
        <f t="shared" si="55"/>
        <v>3503.76</v>
      </c>
      <c r="U35" s="15">
        <f t="shared" si="56"/>
        <v>3503.76</v>
      </c>
      <c r="V35" s="15">
        <f t="shared" si="57"/>
        <v>0</v>
      </c>
      <c r="W35" s="15">
        <f t="shared" si="58"/>
        <v>3503.76</v>
      </c>
      <c r="X35" s="15">
        <f t="shared" si="59"/>
        <v>3503.76</v>
      </c>
      <c r="Y35" s="15">
        <f t="shared" si="60"/>
        <v>3503.76</v>
      </c>
      <c r="Z35" s="62">
        <v>3</v>
      </c>
      <c r="AA35" s="62"/>
    </row>
    <row r="36" spans="1:33" s="23" customFormat="1" x14ac:dyDescent="0.25">
      <c r="A36" s="50"/>
      <c r="B36" s="175"/>
      <c r="C36" s="130" t="str">
        <f>'Respondent Assumptions'!C36</f>
        <v>Maintain records</v>
      </c>
      <c r="D36" s="66">
        <f>'Respondent Assumptions'!F36</f>
        <v>1</v>
      </c>
      <c r="E36" s="71">
        <f>'Respondent Assumptions'!D36</f>
        <v>0</v>
      </c>
      <c r="F36" s="66">
        <f>'Respondent Assumptions'!E36</f>
        <v>20</v>
      </c>
      <c r="G36" s="17">
        <f t="shared" si="47"/>
        <v>20</v>
      </c>
      <c r="H36" s="16">
        <f t="shared" si="1"/>
        <v>2118.4</v>
      </c>
      <c r="I36" s="15">
        <v>50</v>
      </c>
      <c r="J36" s="58">
        <f>'Respondent Assumptions'!L36</f>
        <v>3</v>
      </c>
      <c r="K36" s="58">
        <f>'Respondent Assumptions'!M36</f>
        <v>3</v>
      </c>
      <c r="L36" s="58">
        <f>'Respondent Assumptions'!N36</f>
        <v>3</v>
      </c>
      <c r="M36" s="27">
        <f t="shared" si="48"/>
        <v>3</v>
      </c>
      <c r="N36" s="27">
        <f t="shared" si="49"/>
        <v>3</v>
      </c>
      <c r="O36" s="27">
        <f t="shared" si="50"/>
        <v>3</v>
      </c>
      <c r="P36" s="59">
        <f t="shared" si="51"/>
        <v>60</v>
      </c>
      <c r="Q36" s="59">
        <f t="shared" si="52"/>
        <v>60</v>
      </c>
      <c r="R36" s="59">
        <f t="shared" si="53"/>
        <v>60</v>
      </c>
      <c r="S36" s="15">
        <f t="shared" si="54"/>
        <v>6355.2000000000007</v>
      </c>
      <c r="T36" s="15">
        <f t="shared" si="55"/>
        <v>6355.2000000000007</v>
      </c>
      <c r="U36" s="15">
        <f t="shared" si="56"/>
        <v>6355.2000000000007</v>
      </c>
      <c r="V36" s="15">
        <f t="shared" si="57"/>
        <v>150</v>
      </c>
      <c r="W36" s="15">
        <f t="shared" si="58"/>
        <v>6505.2000000000007</v>
      </c>
      <c r="X36" s="15">
        <f t="shared" si="59"/>
        <v>6505.2000000000007</v>
      </c>
      <c r="Y36" s="15">
        <f t="shared" si="60"/>
        <v>6505.2000000000007</v>
      </c>
      <c r="Z36" s="62">
        <v>2</v>
      </c>
      <c r="AA36" s="62"/>
    </row>
    <row r="37" spans="1:33" s="23" customFormat="1" x14ac:dyDescent="0.25">
      <c r="A37" s="50">
        <v>1</v>
      </c>
      <c r="B37" s="176" t="s">
        <v>168</v>
      </c>
      <c r="C37" s="130" t="str">
        <f>'Respondent Assumptions'!C37</f>
        <v>Submit one-time report</v>
      </c>
      <c r="D37" s="66">
        <f>'Respondent Assumptions'!F37</f>
        <v>1</v>
      </c>
      <c r="E37" s="71">
        <f>'Respondent Assumptions'!D37</f>
        <v>100</v>
      </c>
      <c r="F37" s="66">
        <f>'Respondent Assumptions'!E37</f>
        <v>0</v>
      </c>
      <c r="G37" s="17">
        <f t="shared" si="47"/>
        <v>100</v>
      </c>
      <c r="H37" s="16">
        <f t="shared" si="1"/>
        <v>14599</v>
      </c>
      <c r="I37" s="15">
        <v>0</v>
      </c>
      <c r="J37" s="58">
        <f>'Respondent Assumptions'!L37</f>
        <v>1</v>
      </c>
      <c r="K37" s="58">
        <f>'Respondent Assumptions'!M37</f>
        <v>1</v>
      </c>
      <c r="L37" s="58">
        <f>'Respondent Assumptions'!N37</f>
        <v>1</v>
      </c>
      <c r="M37" s="27">
        <f t="shared" si="48"/>
        <v>1</v>
      </c>
      <c r="N37" s="27">
        <f t="shared" si="49"/>
        <v>1</v>
      </c>
      <c r="O37" s="27">
        <f t="shared" si="50"/>
        <v>1</v>
      </c>
      <c r="P37" s="59">
        <f t="shared" si="51"/>
        <v>100</v>
      </c>
      <c r="Q37" s="59">
        <f t="shared" si="52"/>
        <v>100</v>
      </c>
      <c r="R37" s="59">
        <f t="shared" si="53"/>
        <v>100</v>
      </c>
      <c r="S37" s="15">
        <f t="shared" si="54"/>
        <v>14599</v>
      </c>
      <c r="T37" s="15">
        <f t="shared" si="55"/>
        <v>14599</v>
      </c>
      <c r="U37" s="15">
        <f t="shared" si="56"/>
        <v>14599</v>
      </c>
      <c r="V37" s="15">
        <f t="shared" si="57"/>
        <v>0</v>
      </c>
      <c r="W37" s="15">
        <f t="shared" si="58"/>
        <v>14599</v>
      </c>
      <c r="X37" s="15">
        <f t="shared" si="59"/>
        <v>14599</v>
      </c>
      <c r="Y37" s="15">
        <f t="shared" si="60"/>
        <v>14599</v>
      </c>
      <c r="Z37" s="62">
        <v>1</v>
      </c>
      <c r="AA37" s="62"/>
    </row>
    <row r="38" spans="1:33" s="23" customFormat="1" x14ac:dyDescent="0.25">
      <c r="A38" s="50">
        <v>1</v>
      </c>
      <c r="B38" s="174"/>
      <c r="C38" s="130" t="str">
        <f>'Respondent Assumptions'!C38</f>
        <v>Submit annual second party report</v>
      </c>
      <c r="D38" s="66">
        <f>'Respondent Assumptions'!F38</f>
        <v>1</v>
      </c>
      <c r="E38" s="71">
        <f>'Respondent Assumptions'!D38</f>
        <v>4</v>
      </c>
      <c r="F38" s="66">
        <f>'Respondent Assumptions'!E38</f>
        <v>0</v>
      </c>
      <c r="G38" s="17">
        <f t="shared" si="47"/>
        <v>4</v>
      </c>
      <c r="H38" s="16">
        <f t="shared" ref="H38:H67" si="61">(D38*E38*$B$73)+(D38*F38*$B$74)</f>
        <v>583.96</v>
      </c>
      <c r="I38" s="15">
        <v>0</v>
      </c>
      <c r="J38" s="58">
        <f>'Respondent Assumptions'!L38</f>
        <v>10</v>
      </c>
      <c r="K38" s="58">
        <f>'Respondent Assumptions'!M38</f>
        <v>10</v>
      </c>
      <c r="L38" s="58">
        <f>'Respondent Assumptions'!N38</f>
        <v>10</v>
      </c>
      <c r="M38" s="27">
        <f t="shared" si="48"/>
        <v>10</v>
      </c>
      <c r="N38" s="27">
        <f t="shared" si="49"/>
        <v>10</v>
      </c>
      <c r="O38" s="27">
        <f t="shared" si="50"/>
        <v>10</v>
      </c>
      <c r="P38" s="59">
        <f t="shared" si="51"/>
        <v>40</v>
      </c>
      <c r="Q38" s="59">
        <f t="shared" si="52"/>
        <v>40</v>
      </c>
      <c r="R38" s="59">
        <f t="shared" si="53"/>
        <v>40</v>
      </c>
      <c r="S38" s="15">
        <f t="shared" si="54"/>
        <v>5839.6</v>
      </c>
      <c r="T38" s="15">
        <f t="shared" si="55"/>
        <v>5839.6</v>
      </c>
      <c r="U38" s="15">
        <f t="shared" si="56"/>
        <v>5839.6</v>
      </c>
      <c r="V38" s="15">
        <f t="shared" si="57"/>
        <v>0</v>
      </c>
      <c r="W38" s="15">
        <f t="shared" si="58"/>
        <v>5839.6</v>
      </c>
      <c r="X38" s="15">
        <f t="shared" si="59"/>
        <v>5839.6</v>
      </c>
      <c r="Y38" s="15">
        <f t="shared" si="60"/>
        <v>5839.6</v>
      </c>
      <c r="Z38" s="62">
        <v>1</v>
      </c>
      <c r="AA38" s="62"/>
    </row>
    <row r="39" spans="1:33" s="23" customFormat="1" x14ac:dyDescent="0.25">
      <c r="A39" s="50"/>
      <c r="B39" s="174"/>
      <c r="C39" s="130" t="str">
        <f>'Respondent Assumptions'!C39</f>
        <v>Maintain records</v>
      </c>
      <c r="D39" s="66">
        <f>'Respondent Assumptions'!F39</f>
        <v>1</v>
      </c>
      <c r="E39" s="71">
        <f>'Respondent Assumptions'!D39</f>
        <v>0</v>
      </c>
      <c r="F39" s="66">
        <f>'Respondent Assumptions'!E39</f>
        <v>20</v>
      </c>
      <c r="G39" s="17">
        <f t="shared" si="47"/>
        <v>20</v>
      </c>
      <c r="H39" s="16">
        <f t="shared" si="61"/>
        <v>2118.4</v>
      </c>
      <c r="I39" s="15">
        <v>50</v>
      </c>
      <c r="J39" s="58">
        <f>'Respondent Assumptions'!L39</f>
        <v>10</v>
      </c>
      <c r="K39" s="58">
        <f>'Respondent Assumptions'!M39</f>
        <v>10</v>
      </c>
      <c r="L39" s="58">
        <f>'Respondent Assumptions'!N39</f>
        <v>10</v>
      </c>
      <c r="M39" s="27">
        <f t="shared" si="48"/>
        <v>10</v>
      </c>
      <c r="N39" s="27">
        <f t="shared" si="49"/>
        <v>10</v>
      </c>
      <c r="O39" s="27">
        <f t="shared" si="50"/>
        <v>10</v>
      </c>
      <c r="P39" s="59">
        <f t="shared" si="51"/>
        <v>200</v>
      </c>
      <c r="Q39" s="59">
        <f t="shared" si="52"/>
        <v>200</v>
      </c>
      <c r="R39" s="59">
        <f t="shared" si="53"/>
        <v>200</v>
      </c>
      <c r="S39" s="15">
        <f t="shared" si="54"/>
        <v>21184</v>
      </c>
      <c r="T39" s="15">
        <f t="shared" si="55"/>
        <v>21184</v>
      </c>
      <c r="U39" s="15">
        <f t="shared" si="56"/>
        <v>21184</v>
      </c>
      <c r="V39" s="15">
        <f t="shared" si="57"/>
        <v>500</v>
      </c>
      <c r="W39" s="15">
        <f t="shared" si="58"/>
        <v>21684</v>
      </c>
      <c r="X39" s="15">
        <f t="shared" si="59"/>
        <v>21684</v>
      </c>
      <c r="Y39" s="15">
        <f t="shared" si="60"/>
        <v>21684</v>
      </c>
      <c r="Z39" s="62">
        <v>2</v>
      </c>
      <c r="AA39" s="62"/>
    </row>
    <row r="40" spans="1:33" s="23" customFormat="1" x14ac:dyDescent="0.25">
      <c r="A40" s="50"/>
      <c r="B40" s="174"/>
      <c r="C40" s="130" t="str">
        <f>'Respondent Assumptions'!C40</f>
        <v>Provide destruction verification to third party</v>
      </c>
      <c r="D40" s="66">
        <f>'Respondent Assumptions'!F40</f>
        <v>1</v>
      </c>
      <c r="E40" s="71">
        <f>'Respondent Assumptions'!D40</f>
        <v>2</v>
      </c>
      <c r="F40" s="66">
        <f>'Respondent Assumptions'!E40</f>
        <v>0</v>
      </c>
      <c r="G40" s="17">
        <f t="shared" si="47"/>
        <v>2</v>
      </c>
      <c r="H40" s="16">
        <f t="shared" si="61"/>
        <v>291.98</v>
      </c>
      <c r="I40" s="15">
        <v>0</v>
      </c>
      <c r="J40" s="58">
        <f>'Respondent Assumptions'!L40</f>
        <v>10</v>
      </c>
      <c r="K40" s="58">
        <f>'Respondent Assumptions'!M40</f>
        <v>10</v>
      </c>
      <c r="L40" s="58">
        <f>'Respondent Assumptions'!N40</f>
        <v>10</v>
      </c>
      <c r="M40" s="27">
        <f t="shared" si="48"/>
        <v>10</v>
      </c>
      <c r="N40" s="27">
        <f t="shared" si="49"/>
        <v>10</v>
      </c>
      <c r="O40" s="27">
        <f t="shared" si="50"/>
        <v>10</v>
      </c>
      <c r="P40" s="59">
        <f t="shared" si="51"/>
        <v>20</v>
      </c>
      <c r="Q40" s="59">
        <f t="shared" si="52"/>
        <v>20</v>
      </c>
      <c r="R40" s="59">
        <f t="shared" si="53"/>
        <v>20</v>
      </c>
      <c r="S40" s="15">
        <f t="shared" si="54"/>
        <v>2919.8</v>
      </c>
      <c r="T40" s="15">
        <f t="shared" si="55"/>
        <v>2919.8</v>
      </c>
      <c r="U40" s="15">
        <f t="shared" si="56"/>
        <v>2919.8</v>
      </c>
      <c r="V40" s="15">
        <f t="shared" si="57"/>
        <v>0</v>
      </c>
      <c r="W40" s="15">
        <f t="shared" si="58"/>
        <v>2919.8</v>
      </c>
      <c r="X40" s="15">
        <f t="shared" si="59"/>
        <v>2919.8</v>
      </c>
      <c r="Y40" s="15">
        <f t="shared" si="60"/>
        <v>2919.8</v>
      </c>
      <c r="Z40" s="62">
        <v>3</v>
      </c>
      <c r="AA40" s="62"/>
    </row>
    <row r="41" spans="1:33" s="23" customFormat="1" x14ac:dyDescent="0.25">
      <c r="A41" s="50"/>
      <c r="B41" s="175"/>
      <c r="C41" s="130" t="str">
        <f>'Respondent Assumptions'!C41</f>
        <v>Provide proof of destruction to third party</v>
      </c>
      <c r="D41" s="66">
        <f>'Respondent Assumptions'!F41</f>
        <v>1</v>
      </c>
      <c r="E41" s="71">
        <f>'Respondent Assumptions'!D41</f>
        <v>2</v>
      </c>
      <c r="F41" s="66">
        <f>'Respondent Assumptions'!E41</f>
        <v>0</v>
      </c>
      <c r="G41" s="17">
        <f t="shared" si="47"/>
        <v>2</v>
      </c>
      <c r="H41" s="16">
        <f t="shared" si="61"/>
        <v>291.98</v>
      </c>
      <c r="I41" s="15">
        <v>0</v>
      </c>
      <c r="J41" s="58">
        <f>'Respondent Assumptions'!L41</f>
        <v>10</v>
      </c>
      <c r="K41" s="58">
        <f>'Respondent Assumptions'!M41</f>
        <v>10</v>
      </c>
      <c r="L41" s="58">
        <f>'Respondent Assumptions'!N41</f>
        <v>10</v>
      </c>
      <c r="M41" s="27">
        <f t="shared" si="48"/>
        <v>10</v>
      </c>
      <c r="N41" s="27">
        <f t="shared" si="49"/>
        <v>10</v>
      </c>
      <c r="O41" s="27">
        <f t="shared" si="50"/>
        <v>10</v>
      </c>
      <c r="P41" s="59">
        <f t="shared" si="51"/>
        <v>20</v>
      </c>
      <c r="Q41" s="59">
        <f t="shared" si="52"/>
        <v>20</v>
      </c>
      <c r="R41" s="59">
        <f t="shared" si="53"/>
        <v>20</v>
      </c>
      <c r="S41" s="15">
        <f t="shared" si="54"/>
        <v>2919.8</v>
      </c>
      <c r="T41" s="15">
        <f t="shared" si="55"/>
        <v>2919.8</v>
      </c>
      <c r="U41" s="15">
        <f t="shared" si="56"/>
        <v>2919.8</v>
      </c>
      <c r="V41" s="15">
        <f t="shared" si="57"/>
        <v>0</v>
      </c>
      <c r="W41" s="15">
        <f t="shared" si="58"/>
        <v>2919.8</v>
      </c>
      <c r="X41" s="15">
        <f t="shared" si="59"/>
        <v>2919.8</v>
      </c>
      <c r="Y41" s="15">
        <f t="shared" si="60"/>
        <v>2919.8</v>
      </c>
      <c r="Z41" s="62">
        <v>3</v>
      </c>
      <c r="AA41" s="62"/>
    </row>
    <row r="42" spans="1:33" s="23" customFormat="1" x14ac:dyDescent="0.25">
      <c r="A42" s="50">
        <v>1</v>
      </c>
      <c r="B42" s="176" t="s">
        <v>101</v>
      </c>
      <c r="C42" s="130" t="str">
        <f>'Respondent Assumptions'!C42</f>
        <v>Submit one-time report</v>
      </c>
      <c r="D42" s="66">
        <f>'Respondent Assumptions'!F42</f>
        <v>1</v>
      </c>
      <c r="E42" s="71">
        <f>'Respondent Assumptions'!D42</f>
        <v>100</v>
      </c>
      <c r="F42" s="66">
        <f>'Respondent Assumptions'!E42</f>
        <v>0</v>
      </c>
      <c r="G42" s="17">
        <f t="shared" si="47"/>
        <v>100</v>
      </c>
      <c r="H42" s="16">
        <f t="shared" si="61"/>
        <v>14599</v>
      </c>
      <c r="I42" s="15">
        <v>0</v>
      </c>
      <c r="J42" s="58">
        <f>'Respondent Assumptions'!L42</f>
        <v>1</v>
      </c>
      <c r="K42" s="58">
        <f>'Respondent Assumptions'!M42</f>
        <v>1</v>
      </c>
      <c r="L42" s="58">
        <f>'Respondent Assumptions'!N42</f>
        <v>1</v>
      </c>
      <c r="M42" s="27">
        <f t="shared" si="48"/>
        <v>1</v>
      </c>
      <c r="N42" s="27">
        <f t="shared" si="49"/>
        <v>1</v>
      </c>
      <c r="O42" s="27">
        <f t="shared" si="50"/>
        <v>1</v>
      </c>
      <c r="P42" s="59">
        <f t="shared" si="51"/>
        <v>100</v>
      </c>
      <c r="Q42" s="59">
        <f t="shared" si="52"/>
        <v>100</v>
      </c>
      <c r="R42" s="59">
        <f t="shared" si="53"/>
        <v>100</v>
      </c>
      <c r="S42" s="15">
        <f t="shared" si="54"/>
        <v>14599</v>
      </c>
      <c r="T42" s="15">
        <f t="shared" si="55"/>
        <v>14599</v>
      </c>
      <c r="U42" s="15">
        <f t="shared" si="56"/>
        <v>14599</v>
      </c>
      <c r="V42" s="15">
        <f t="shared" si="57"/>
        <v>0</v>
      </c>
      <c r="W42" s="15">
        <f t="shared" si="58"/>
        <v>14599</v>
      </c>
      <c r="X42" s="15">
        <f t="shared" si="59"/>
        <v>14599</v>
      </c>
      <c r="Y42" s="15">
        <f t="shared" si="60"/>
        <v>14599</v>
      </c>
      <c r="Z42" s="62">
        <v>1</v>
      </c>
      <c r="AA42" s="62"/>
    </row>
    <row r="43" spans="1:33" s="23" customFormat="1" x14ac:dyDescent="0.25">
      <c r="A43" s="50">
        <v>1</v>
      </c>
      <c r="B43" s="174"/>
      <c r="C43" s="130" t="str">
        <f>'Respondent Assumptions'!C43</f>
        <v>Submit annual second party report</v>
      </c>
      <c r="D43" s="66">
        <f>'Respondent Assumptions'!F43</f>
        <v>1</v>
      </c>
      <c r="E43" s="71">
        <f>'Respondent Assumptions'!D43</f>
        <v>4</v>
      </c>
      <c r="F43" s="66">
        <f>'Respondent Assumptions'!E43</f>
        <v>0</v>
      </c>
      <c r="G43" s="17">
        <f t="shared" si="47"/>
        <v>4</v>
      </c>
      <c r="H43" s="16">
        <f t="shared" si="61"/>
        <v>583.96</v>
      </c>
      <c r="I43" s="15">
        <v>0</v>
      </c>
      <c r="J43" s="58">
        <f>'Respondent Assumptions'!L43</f>
        <v>3</v>
      </c>
      <c r="K43" s="58">
        <f>'Respondent Assumptions'!M43</f>
        <v>3</v>
      </c>
      <c r="L43" s="58">
        <f>'Respondent Assumptions'!N43</f>
        <v>3</v>
      </c>
      <c r="M43" s="27">
        <f t="shared" si="48"/>
        <v>3</v>
      </c>
      <c r="N43" s="27">
        <f t="shared" si="49"/>
        <v>3</v>
      </c>
      <c r="O43" s="27">
        <f t="shared" si="50"/>
        <v>3</v>
      </c>
      <c r="P43" s="59">
        <f t="shared" si="51"/>
        <v>12</v>
      </c>
      <c r="Q43" s="59">
        <f t="shared" si="52"/>
        <v>12</v>
      </c>
      <c r="R43" s="59">
        <f t="shared" si="53"/>
        <v>12</v>
      </c>
      <c r="S43" s="15">
        <f t="shared" si="54"/>
        <v>1751.88</v>
      </c>
      <c r="T43" s="15">
        <f t="shared" si="55"/>
        <v>1751.88</v>
      </c>
      <c r="U43" s="15">
        <f t="shared" si="56"/>
        <v>1751.88</v>
      </c>
      <c r="V43" s="15">
        <f t="shared" si="57"/>
        <v>0</v>
      </c>
      <c r="W43" s="15">
        <f t="shared" si="58"/>
        <v>1751.88</v>
      </c>
      <c r="X43" s="15">
        <f t="shared" si="59"/>
        <v>1751.88</v>
      </c>
      <c r="Y43" s="15">
        <f t="shared" si="60"/>
        <v>1751.88</v>
      </c>
      <c r="Z43" s="62">
        <v>1</v>
      </c>
      <c r="AA43" s="62"/>
    </row>
    <row r="44" spans="1:33" s="23" customFormat="1" x14ac:dyDescent="0.25">
      <c r="A44" s="50"/>
      <c r="B44" s="174"/>
      <c r="C44" s="130" t="str">
        <f>'Respondent Assumptions'!C44</f>
        <v>Maintain records</v>
      </c>
      <c r="D44" s="66">
        <f>'Respondent Assumptions'!F44</f>
        <v>1</v>
      </c>
      <c r="E44" s="71">
        <f>'Respondent Assumptions'!D44</f>
        <v>0</v>
      </c>
      <c r="F44" s="66">
        <f>'Respondent Assumptions'!E44</f>
        <v>20</v>
      </c>
      <c r="G44" s="17">
        <f t="shared" si="47"/>
        <v>20</v>
      </c>
      <c r="H44" s="16">
        <f t="shared" si="61"/>
        <v>2118.4</v>
      </c>
      <c r="I44" s="15">
        <v>50</v>
      </c>
      <c r="J44" s="58">
        <f>'Respondent Assumptions'!L44</f>
        <v>3</v>
      </c>
      <c r="K44" s="58">
        <f>'Respondent Assumptions'!M44</f>
        <v>3</v>
      </c>
      <c r="L44" s="58">
        <f>'Respondent Assumptions'!N44</f>
        <v>3</v>
      </c>
      <c r="M44" s="27">
        <f t="shared" si="48"/>
        <v>3</v>
      </c>
      <c r="N44" s="27">
        <f t="shared" si="49"/>
        <v>3</v>
      </c>
      <c r="O44" s="27">
        <f t="shared" si="50"/>
        <v>3</v>
      </c>
      <c r="P44" s="59">
        <f t="shared" si="51"/>
        <v>60</v>
      </c>
      <c r="Q44" s="59">
        <f t="shared" si="52"/>
        <v>60</v>
      </c>
      <c r="R44" s="59">
        <f t="shared" si="53"/>
        <v>60</v>
      </c>
      <c r="S44" s="15">
        <f t="shared" si="54"/>
        <v>6355.2000000000007</v>
      </c>
      <c r="T44" s="15">
        <f t="shared" si="55"/>
        <v>6355.2000000000007</v>
      </c>
      <c r="U44" s="15">
        <f t="shared" si="56"/>
        <v>6355.2000000000007</v>
      </c>
      <c r="V44" s="15">
        <f t="shared" si="57"/>
        <v>150</v>
      </c>
      <c r="W44" s="15">
        <f t="shared" si="58"/>
        <v>6505.2000000000007</v>
      </c>
      <c r="X44" s="15">
        <f t="shared" si="59"/>
        <v>6505.2000000000007</v>
      </c>
      <c r="Y44" s="15">
        <f t="shared" si="60"/>
        <v>6505.2000000000007</v>
      </c>
      <c r="Z44" s="62">
        <v>2</v>
      </c>
      <c r="AA44" s="62"/>
    </row>
    <row r="45" spans="1:33" s="23" customFormat="1" x14ac:dyDescent="0.25">
      <c r="A45" s="50"/>
      <c r="B45" s="175"/>
      <c r="C45" s="130" t="str">
        <f>'Respondent Assumptions'!C45</f>
        <v>Provide transformation verification to third party</v>
      </c>
      <c r="D45" s="66">
        <f>'Respondent Assumptions'!F45</f>
        <v>1</v>
      </c>
      <c r="E45" s="71">
        <f>'Respondent Assumptions'!D45</f>
        <v>2</v>
      </c>
      <c r="F45" s="66">
        <f>'Respondent Assumptions'!E45</f>
        <v>0</v>
      </c>
      <c r="G45" s="17">
        <f t="shared" si="47"/>
        <v>2</v>
      </c>
      <c r="H45" s="16">
        <f t="shared" si="61"/>
        <v>291.98</v>
      </c>
      <c r="I45" s="15">
        <v>0</v>
      </c>
      <c r="J45" s="58">
        <f>'Respondent Assumptions'!L45</f>
        <v>3</v>
      </c>
      <c r="K45" s="58">
        <f>'Respondent Assumptions'!M45</f>
        <v>3</v>
      </c>
      <c r="L45" s="58">
        <f>'Respondent Assumptions'!N45</f>
        <v>3</v>
      </c>
      <c r="M45" s="27">
        <f t="shared" si="48"/>
        <v>3</v>
      </c>
      <c r="N45" s="27">
        <f t="shared" si="49"/>
        <v>3</v>
      </c>
      <c r="O45" s="27">
        <f t="shared" si="50"/>
        <v>3</v>
      </c>
      <c r="P45" s="59">
        <f t="shared" si="51"/>
        <v>6</v>
      </c>
      <c r="Q45" s="59">
        <f t="shared" si="52"/>
        <v>6</v>
      </c>
      <c r="R45" s="59">
        <f t="shared" si="53"/>
        <v>6</v>
      </c>
      <c r="S45" s="15">
        <f t="shared" si="54"/>
        <v>875.94</v>
      </c>
      <c r="T45" s="15">
        <f t="shared" si="55"/>
        <v>875.94</v>
      </c>
      <c r="U45" s="15">
        <f t="shared" si="56"/>
        <v>875.94</v>
      </c>
      <c r="V45" s="15">
        <f t="shared" si="57"/>
        <v>0</v>
      </c>
      <c r="W45" s="15">
        <f t="shared" si="58"/>
        <v>875.94</v>
      </c>
      <c r="X45" s="15">
        <f t="shared" si="59"/>
        <v>875.94</v>
      </c>
      <c r="Y45" s="15">
        <f t="shared" si="60"/>
        <v>875.94</v>
      </c>
      <c r="Z45" s="62">
        <v>3</v>
      </c>
      <c r="AA45" s="62"/>
    </row>
    <row r="46" spans="1:33" s="14" customFormat="1" x14ac:dyDescent="0.25">
      <c r="A46" s="49">
        <v>1</v>
      </c>
      <c r="B46" s="176" t="s">
        <v>104</v>
      </c>
      <c r="C46" s="130" t="str">
        <f>'Respondent Assumptions'!C46</f>
        <v>Submit one-time report</v>
      </c>
      <c r="D46" s="66">
        <f>'Respondent Assumptions'!F46</f>
        <v>1</v>
      </c>
      <c r="E46" s="71">
        <f>'Respondent Assumptions'!D46</f>
        <v>100</v>
      </c>
      <c r="F46" s="66">
        <f>'Respondent Assumptions'!E46</f>
        <v>0</v>
      </c>
      <c r="G46" s="17">
        <f t="shared" si="47"/>
        <v>100</v>
      </c>
      <c r="H46" s="16">
        <f t="shared" si="61"/>
        <v>14599</v>
      </c>
      <c r="I46" s="15">
        <v>0</v>
      </c>
      <c r="J46" s="58">
        <f>'Respondent Assumptions'!L46</f>
        <v>1</v>
      </c>
      <c r="K46" s="58">
        <f>'Respondent Assumptions'!M46</f>
        <v>1</v>
      </c>
      <c r="L46" s="58">
        <f>'Respondent Assumptions'!N46</f>
        <v>1</v>
      </c>
      <c r="M46" s="27">
        <f t="shared" si="48"/>
        <v>1</v>
      </c>
      <c r="N46" s="27">
        <f t="shared" si="49"/>
        <v>1</v>
      </c>
      <c r="O46" s="27">
        <f t="shared" si="50"/>
        <v>1</v>
      </c>
      <c r="P46" s="59">
        <f t="shared" si="51"/>
        <v>100</v>
      </c>
      <c r="Q46" s="59">
        <f t="shared" si="52"/>
        <v>100</v>
      </c>
      <c r="R46" s="59">
        <f t="shared" si="53"/>
        <v>100</v>
      </c>
      <c r="S46" s="15">
        <f t="shared" si="54"/>
        <v>14599</v>
      </c>
      <c r="T46" s="15">
        <f t="shared" si="55"/>
        <v>14599</v>
      </c>
      <c r="U46" s="15">
        <f t="shared" si="56"/>
        <v>14599</v>
      </c>
      <c r="V46" s="15">
        <f t="shared" si="57"/>
        <v>0</v>
      </c>
      <c r="W46" s="15">
        <f t="shared" si="58"/>
        <v>14599</v>
      </c>
      <c r="X46" s="15">
        <f t="shared" si="59"/>
        <v>14599</v>
      </c>
      <c r="Y46" s="15">
        <f t="shared" si="60"/>
        <v>14599</v>
      </c>
      <c r="Z46" s="62">
        <v>1</v>
      </c>
      <c r="AA46" s="62"/>
      <c r="AB46" s="23"/>
      <c r="AC46" s="23"/>
      <c r="AD46" s="23"/>
      <c r="AE46" s="23"/>
      <c r="AF46" s="23"/>
      <c r="AG46" s="23"/>
    </row>
    <row r="47" spans="1:33" s="14" customFormat="1" x14ac:dyDescent="0.25">
      <c r="A47" s="49">
        <v>1</v>
      </c>
      <c r="B47" s="175"/>
      <c r="C47" s="130" t="str">
        <f>'Respondent Assumptions'!C47</f>
        <v>Submit annual report</v>
      </c>
      <c r="D47" s="66">
        <f>'Respondent Assumptions'!F47</f>
        <v>1</v>
      </c>
      <c r="E47" s="71">
        <f>'Respondent Assumptions'!D47</f>
        <v>6</v>
      </c>
      <c r="F47" s="66">
        <f>'Respondent Assumptions'!E47</f>
        <v>0</v>
      </c>
      <c r="G47" s="17">
        <f t="shared" si="47"/>
        <v>6</v>
      </c>
      <c r="H47" s="16">
        <f t="shared" si="61"/>
        <v>875.94</v>
      </c>
      <c r="I47" s="15">
        <v>0</v>
      </c>
      <c r="J47" s="58">
        <f>'Respondent Assumptions'!L47</f>
        <v>4</v>
      </c>
      <c r="K47" s="58">
        <f>'Respondent Assumptions'!M47</f>
        <v>4</v>
      </c>
      <c r="L47" s="58">
        <f>'Respondent Assumptions'!N47</f>
        <v>4</v>
      </c>
      <c r="M47" s="27">
        <f t="shared" si="48"/>
        <v>4</v>
      </c>
      <c r="N47" s="27">
        <f t="shared" si="49"/>
        <v>4</v>
      </c>
      <c r="O47" s="27">
        <f t="shared" si="50"/>
        <v>4</v>
      </c>
      <c r="P47" s="59">
        <f t="shared" si="51"/>
        <v>24</v>
      </c>
      <c r="Q47" s="59">
        <f t="shared" si="52"/>
        <v>24</v>
      </c>
      <c r="R47" s="59">
        <f t="shared" si="53"/>
        <v>24</v>
      </c>
      <c r="S47" s="15">
        <f t="shared" si="54"/>
        <v>3503.76</v>
      </c>
      <c r="T47" s="15">
        <f t="shared" si="55"/>
        <v>3503.76</v>
      </c>
      <c r="U47" s="15">
        <f t="shared" si="56"/>
        <v>3503.76</v>
      </c>
      <c r="V47" s="15">
        <f t="shared" si="57"/>
        <v>0</v>
      </c>
      <c r="W47" s="15">
        <f t="shared" si="58"/>
        <v>3503.76</v>
      </c>
      <c r="X47" s="15">
        <f t="shared" si="59"/>
        <v>3503.76</v>
      </c>
      <c r="Y47" s="15">
        <f t="shared" si="60"/>
        <v>3503.76</v>
      </c>
      <c r="Z47" s="62">
        <v>1</v>
      </c>
      <c r="AA47" s="62"/>
    </row>
    <row r="48" spans="1:33" s="23" customFormat="1" x14ac:dyDescent="0.25">
      <c r="A48" s="50">
        <v>1</v>
      </c>
      <c r="B48" s="176" t="s">
        <v>107</v>
      </c>
      <c r="C48" s="130" t="str">
        <f>'Respondent Assumptions'!C48</f>
        <v>Submit one-time report</v>
      </c>
      <c r="D48" s="66">
        <f>'Respondent Assumptions'!F48</f>
        <v>1</v>
      </c>
      <c r="E48" s="71">
        <f>'Respondent Assumptions'!D48</f>
        <v>40</v>
      </c>
      <c r="F48" s="66">
        <f>'Respondent Assumptions'!E48</f>
        <v>0</v>
      </c>
      <c r="G48" s="17">
        <f t="shared" si="47"/>
        <v>40</v>
      </c>
      <c r="H48" s="16">
        <f t="shared" si="61"/>
        <v>5839.6</v>
      </c>
      <c r="I48" s="15">
        <v>0</v>
      </c>
      <c r="J48" s="58">
        <f>'Respondent Assumptions'!L48</f>
        <v>0</v>
      </c>
      <c r="K48" s="58">
        <f>'Respondent Assumptions'!M48</f>
        <v>0</v>
      </c>
      <c r="L48" s="58">
        <f>'Respondent Assumptions'!N48</f>
        <v>0</v>
      </c>
      <c r="M48" s="27">
        <f t="shared" si="48"/>
        <v>0</v>
      </c>
      <c r="N48" s="27">
        <f t="shared" si="49"/>
        <v>0</v>
      </c>
      <c r="O48" s="27">
        <f t="shared" si="50"/>
        <v>0</v>
      </c>
      <c r="P48" s="59">
        <f t="shared" si="51"/>
        <v>0</v>
      </c>
      <c r="Q48" s="59">
        <f t="shared" si="52"/>
        <v>0</v>
      </c>
      <c r="R48" s="59">
        <f t="shared" si="53"/>
        <v>0</v>
      </c>
      <c r="S48" s="15">
        <f t="shared" si="54"/>
        <v>0</v>
      </c>
      <c r="T48" s="15">
        <f t="shared" si="55"/>
        <v>0</v>
      </c>
      <c r="U48" s="15">
        <f t="shared" si="56"/>
        <v>0</v>
      </c>
      <c r="V48" s="15">
        <f t="shared" si="57"/>
        <v>0</v>
      </c>
      <c r="W48" s="15">
        <f t="shared" si="58"/>
        <v>0</v>
      </c>
      <c r="X48" s="15">
        <f t="shared" si="59"/>
        <v>0</v>
      </c>
      <c r="Y48" s="15">
        <f t="shared" si="60"/>
        <v>0</v>
      </c>
      <c r="Z48" s="62">
        <v>1</v>
      </c>
      <c r="AA48" s="62"/>
      <c r="AB48" s="14"/>
      <c r="AC48" s="14"/>
      <c r="AD48" s="14"/>
      <c r="AE48" s="14"/>
      <c r="AF48" s="14"/>
      <c r="AG48" s="14"/>
    </row>
    <row r="49" spans="1:33" s="23" customFormat="1" x14ac:dyDescent="0.25">
      <c r="A49" s="50">
        <v>1</v>
      </c>
      <c r="B49" s="174"/>
      <c r="C49" s="130" t="str">
        <f>'Respondent Assumptions'!C49</f>
        <v>Submit quarterly report</v>
      </c>
      <c r="D49" s="66">
        <f>'Respondent Assumptions'!F49</f>
        <v>4</v>
      </c>
      <c r="E49" s="71">
        <f>'Respondent Assumptions'!D49</f>
        <v>9.4</v>
      </c>
      <c r="F49" s="66">
        <f>'Respondent Assumptions'!E49</f>
        <v>0</v>
      </c>
      <c r="G49" s="17">
        <f t="shared" si="47"/>
        <v>37.6</v>
      </c>
      <c r="H49" s="16">
        <f t="shared" si="61"/>
        <v>5489.2240000000002</v>
      </c>
      <c r="I49" s="15">
        <v>0</v>
      </c>
      <c r="J49" s="58">
        <f>'Respondent Assumptions'!L49</f>
        <v>31</v>
      </c>
      <c r="K49" s="58">
        <f>'Respondent Assumptions'!M49</f>
        <v>31</v>
      </c>
      <c r="L49" s="58">
        <f>'Respondent Assumptions'!N49</f>
        <v>31</v>
      </c>
      <c r="M49" s="27">
        <f t="shared" si="48"/>
        <v>124</v>
      </c>
      <c r="N49" s="27">
        <f t="shared" si="49"/>
        <v>124</v>
      </c>
      <c r="O49" s="27">
        <f t="shared" si="50"/>
        <v>124</v>
      </c>
      <c r="P49" s="59">
        <f t="shared" si="51"/>
        <v>1165.6000000000001</v>
      </c>
      <c r="Q49" s="59">
        <f t="shared" si="52"/>
        <v>1165.6000000000001</v>
      </c>
      <c r="R49" s="59">
        <f t="shared" si="53"/>
        <v>1165.6000000000001</v>
      </c>
      <c r="S49" s="15">
        <f t="shared" si="54"/>
        <v>170165.94400000002</v>
      </c>
      <c r="T49" s="15">
        <f t="shared" si="55"/>
        <v>170165.94400000002</v>
      </c>
      <c r="U49" s="15">
        <f t="shared" si="56"/>
        <v>170165.94400000002</v>
      </c>
      <c r="V49" s="15">
        <f t="shared" si="57"/>
        <v>0</v>
      </c>
      <c r="W49" s="15">
        <f t="shared" si="58"/>
        <v>170165.94400000002</v>
      </c>
      <c r="X49" s="15">
        <f t="shared" si="59"/>
        <v>170165.94400000002</v>
      </c>
      <c r="Y49" s="15">
        <f t="shared" si="60"/>
        <v>170165.94400000002</v>
      </c>
      <c r="Z49" s="62">
        <v>1</v>
      </c>
      <c r="AA49" s="62"/>
    </row>
    <row r="50" spans="1:33" s="23" customFormat="1" x14ac:dyDescent="0.25">
      <c r="A50" s="50"/>
      <c r="B50" s="174"/>
      <c r="C50" s="130" t="str">
        <f>'Respondent Assumptions'!C50</f>
        <v>Submit annual inventory report</v>
      </c>
      <c r="D50" s="66">
        <f>'Respondent Assumptions'!F50</f>
        <v>1</v>
      </c>
      <c r="E50" s="71">
        <f>'Respondent Assumptions'!D50</f>
        <v>10</v>
      </c>
      <c r="F50" s="66">
        <f>'Respondent Assumptions'!E50</f>
        <v>0</v>
      </c>
      <c r="G50" s="17">
        <f t="shared" si="47"/>
        <v>10</v>
      </c>
      <c r="H50" s="16">
        <f t="shared" si="61"/>
        <v>1459.9</v>
      </c>
      <c r="I50" s="15">
        <v>0</v>
      </c>
      <c r="J50" s="58">
        <f>'Respondent Assumptions'!L50</f>
        <v>31</v>
      </c>
      <c r="K50" s="58">
        <f>'Respondent Assumptions'!M50</f>
        <v>31</v>
      </c>
      <c r="L50" s="58">
        <f>'Respondent Assumptions'!N50</f>
        <v>31</v>
      </c>
      <c r="M50" s="27">
        <f t="shared" si="48"/>
        <v>31</v>
      </c>
      <c r="N50" s="27">
        <f t="shared" si="49"/>
        <v>31</v>
      </c>
      <c r="O50" s="27">
        <f t="shared" si="50"/>
        <v>31</v>
      </c>
      <c r="P50" s="59">
        <f t="shared" si="51"/>
        <v>310</v>
      </c>
      <c r="Q50" s="59">
        <f t="shared" si="52"/>
        <v>310</v>
      </c>
      <c r="R50" s="59">
        <f t="shared" si="53"/>
        <v>310</v>
      </c>
      <c r="S50" s="15">
        <f t="shared" si="54"/>
        <v>45256.9</v>
      </c>
      <c r="T50" s="15">
        <f t="shared" si="55"/>
        <v>45256.9</v>
      </c>
      <c r="U50" s="15">
        <f t="shared" si="56"/>
        <v>45256.9</v>
      </c>
      <c r="V50" s="15">
        <f t="shared" si="57"/>
        <v>0</v>
      </c>
      <c r="W50" s="15">
        <f t="shared" si="58"/>
        <v>45256.9</v>
      </c>
      <c r="X50" s="15">
        <f t="shared" si="59"/>
        <v>45256.9</v>
      </c>
      <c r="Y50" s="15">
        <f t="shared" si="60"/>
        <v>45256.9</v>
      </c>
      <c r="Z50" s="62">
        <v>1</v>
      </c>
      <c r="AA50" s="62"/>
      <c r="AB50"/>
      <c r="AC50"/>
      <c r="AD50"/>
      <c r="AE50"/>
      <c r="AF50"/>
      <c r="AG50"/>
    </row>
    <row r="51" spans="1:33" s="23" customFormat="1" x14ac:dyDescent="0.25">
      <c r="A51" s="50"/>
      <c r="B51" s="174"/>
      <c r="C51" s="130" t="str">
        <f>'Respondent Assumptions'!C51</f>
        <v>Maintain records</v>
      </c>
      <c r="D51" s="66">
        <f>'Respondent Assumptions'!F51</f>
        <v>1</v>
      </c>
      <c r="E51" s="71">
        <f>'Respondent Assumptions'!D51</f>
        <v>0</v>
      </c>
      <c r="F51" s="66">
        <f>'Respondent Assumptions'!E51</f>
        <v>60</v>
      </c>
      <c r="G51" s="17">
        <f t="shared" si="47"/>
        <v>60</v>
      </c>
      <c r="H51" s="16">
        <f t="shared" si="61"/>
        <v>6355.2</v>
      </c>
      <c r="I51" s="15">
        <v>50</v>
      </c>
      <c r="J51" s="58">
        <f>'Respondent Assumptions'!L51</f>
        <v>31</v>
      </c>
      <c r="K51" s="58">
        <f>'Respondent Assumptions'!M51</f>
        <v>31</v>
      </c>
      <c r="L51" s="58">
        <f>'Respondent Assumptions'!N51</f>
        <v>31</v>
      </c>
      <c r="M51" s="27">
        <f t="shared" si="48"/>
        <v>31</v>
      </c>
      <c r="N51" s="27">
        <f t="shared" si="49"/>
        <v>31</v>
      </c>
      <c r="O51" s="27">
        <f t="shared" si="50"/>
        <v>31</v>
      </c>
      <c r="P51" s="59">
        <f t="shared" si="51"/>
        <v>1860</v>
      </c>
      <c r="Q51" s="59">
        <f t="shared" si="52"/>
        <v>1860</v>
      </c>
      <c r="R51" s="59">
        <f t="shared" si="53"/>
        <v>1860</v>
      </c>
      <c r="S51" s="15">
        <f t="shared" si="54"/>
        <v>197011.19999999998</v>
      </c>
      <c r="T51" s="15">
        <f t="shared" si="55"/>
        <v>197011.19999999998</v>
      </c>
      <c r="U51" s="15">
        <f t="shared" si="56"/>
        <v>197011.19999999998</v>
      </c>
      <c r="V51" s="15">
        <f t="shared" si="57"/>
        <v>1550</v>
      </c>
      <c r="W51" s="15">
        <f t="shared" si="58"/>
        <v>198561.19999999998</v>
      </c>
      <c r="X51" s="15">
        <f t="shared" si="59"/>
        <v>198561.19999999998</v>
      </c>
      <c r="Y51" s="15">
        <f t="shared" si="60"/>
        <v>198561.19999999998</v>
      </c>
      <c r="Z51" s="62">
        <v>2</v>
      </c>
      <c r="AA51" s="62"/>
      <c r="AB51"/>
      <c r="AC51"/>
      <c r="AD51"/>
      <c r="AE51"/>
      <c r="AF51"/>
      <c r="AG51"/>
    </row>
    <row r="52" spans="1:33" x14ac:dyDescent="0.25">
      <c r="A52" s="51"/>
      <c r="B52" s="35" t="s">
        <v>110</v>
      </c>
      <c r="C52" s="130" t="str">
        <f>'Respondent Assumptions'!C52</f>
        <v>Maintain records</v>
      </c>
      <c r="D52" s="66">
        <f>'Respondent Assumptions'!F52</f>
        <v>1</v>
      </c>
      <c r="E52" s="71">
        <f>'Respondent Assumptions'!D52</f>
        <v>0</v>
      </c>
      <c r="F52" s="66">
        <f>'Respondent Assumptions'!E52</f>
        <v>20</v>
      </c>
      <c r="G52" s="17">
        <f t="shared" si="47"/>
        <v>20</v>
      </c>
      <c r="H52" s="16">
        <f t="shared" si="61"/>
        <v>2118.4</v>
      </c>
      <c r="I52" s="15">
        <v>50</v>
      </c>
      <c r="J52" s="58">
        <f>'Respondent Assumptions'!L52</f>
        <v>50</v>
      </c>
      <c r="K52" s="58">
        <f>'Respondent Assumptions'!M52</f>
        <v>50</v>
      </c>
      <c r="L52" s="58">
        <f>'Respondent Assumptions'!N52</f>
        <v>50</v>
      </c>
      <c r="M52" s="27">
        <f t="shared" si="48"/>
        <v>50</v>
      </c>
      <c r="N52" s="27">
        <f t="shared" si="49"/>
        <v>50</v>
      </c>
      <c r="O52" s="27">
        <f t="shared" si="50"/>
        <v>50</v>
      </c>
      <c r="P52" s="59">
        <f t="shared" si="51"/>
        <v>1000</v>
      </c>
      <c r="Q52" s="59">
        <f t="shared" si="52"/>
        <v>1000</v>
      </c>
      <c r="R52" s="59">
        <f t="shared" si="53"/>
        <v>1000</v>
      </c>
      <c r="S52" s="15">
        <f t="shared" si="54"/>
        <v>105920</v>
      </c>
      <c r="T52" s="15">
        <f t="shared" si="55"/>
        <v>105920</v>
      </c>
      <c r="U52" s="15">
        <f t="shared" si="56"/>
        <v>105920</v>
      </c>
      <c r="V52" s="15">
        <f t="shared" si="57"/>
        <v>2500</v>
      </c>
      <c r="W52" s="15">
        <f t="shared" si="58"/>
        <v>108420</v>
      </c>
      <c r="X52" s="15">
        <f t="shared" si="59"/>
        <v>108420</v>
      </c>
      <c r="Y52" s="15">
        <f t="shared" si="60"/>
        <v>108420</v>
      </c>
      <c r="Z52" s="62">
        <v>2</v>
      </c>
      <c r="AA52" s="62"/>
    </row>
    <row r="53" spans="1:33" s="23" customFormat="1" x14ac:dyDescent="0.25">
      <c r="A53" s="50">
        <v>1</v>
      </c>
      <c r="B53" s="176" t="s">
        <v>111</v>
      </c>
      <c r="C53" s="130" t="str">
        <f>'Respondent Assumptions'!C53</f>
        <v>Submit quarterly report</v>
      </c>
      <c r="D53" s="66">
        <f>'Respondent Assumptions'!F53</f>
        <v>4</v>
      </c>
      <c r="E53" s="71">
        <f>'Respondent Assumptions'!D53</f>
        <v>9.4</v>
      </c>
      <c r="F53" s="66">
        <f>'Respondent Assumptions'!E53</f>
        <v>0</v>
      </c>
      <c r="G53" s="17">
        <f t="shared" si="47"/>
        <v>37.6</v>
      </c>
      <c r="H53" s="16">
        <f t="shared" si="61"/>
        <v>5489.2240000000002</v>
      </c>
      <c r="I53" s="15">
        <v>0</v>
      </c>
      <c r="J53" s="58">
        <f>'Respondent Assumptions'!L53</f>
        <v>4</v>
      </c>
      <c r="K53" s="58">
        <f>'Respondent Assumptions'!M53</f>
        <v>4</v>
      </c>
      <c r="L53" s="58">
        <f>'Respondent Assumptions'!N53</f>
        <v>4</v>
      </c>
      <c r="M53" s="27">
        <f t="shared" si="48"/>
        <v>16</v>
      </c>
      <c r="N53" s="27">
        <f t="shared" si="49"/>
        <v>16</v>
      </c>
      <c r="O53" s="27">
        <f t="shared" si="50"/>
        <v>16</v>
      </c>
      <c r="P53" s="59">
        <f t="shared" si="51"/>
        <v>150.4</v>
      </c>
      <c r="Q53" s="59">
        <f t="shared" si="52"/>
        <v>150.4</v>
      </c>
      <c r="R53" s="59">
        <f t="shared" si="53"/>
        <v>150.4</v>
      </c>
      <c r="S53" s="15">
        <f t="shared" si="54"/>
        <v>21956.896000000001</v>
      </c>
      <c r="T53" s="15">
        <f t="shared" si="55"/>
        <v>21956.896000000001</v>
      </c>
      <c r="U53" s="15">
        <f t="shared" si="56"/>
        <v>21956.896000000001</v>
      </c>
      <c r="V53" s="15">
        <f t="shared" si="57"/>
        <v>0</v>
      </c>
      <c r="W53" s="15">
        <f t="shared" si="58"/>
        <v>21956.896000000001</v>
      </c>
      <c r="X53" s="15">
        <f t="shared" si="59"/>
        <v>21956.896000000001</v>
      </c>
      <c r="Y53" s="15">
        <f t="shared" si="60"/>
        <v>21956.896000000001</v>
      </c>
      <c r="Z53" s="62">
        <v>1</v>
      </c>
      <c r="AA53" s="62"/>
      <c r="AB53"/>
      <c r="AC53"/>
      <c r="AD53"/>
      <c r="AE53"/>
      <c r="AF53"/>
      <c r="AG53"/>
    </row>
    <row r="54" spans="1:33" s="23" customFormat="1" x14ac:dyDescent="0.25">
      <c r="A54" s="50"/>
      <c r="B54" s="174"/>
      <c r="C54" s="130" t="str">
        <f>'Respondent Assumptions'!C54</f>
        <v>Submit annual inventory report</v>
      </c>
      <c r="D54" s="66">
        <f>'Respondent Assumptions'!F54</f>
        <v>1</v>
      </c>
      <c r="E54" s="71">
        <f>'Respondent Assumptions'!D54</f>
        <v>10</v>
      </c>
      <c r="F54" s="66">
        <f>'Respondent Assumptions'!E54</f>
        <v>0</v>
      </c>
      <c r="G54" s="17">
        <f t="shared" si="47"/>
        <v>10</v>
      </c>
      <c r="H54" s="16">
        <f t="shared" si="61"/>
        <v>1459.9</v>
      </c>
      <c r="I54" s="15">
        <v>0</v>
      </c>
      <c r="J54" s="58">
        <f>'Respondent Assumptions'!L54</f>
        <v>4</v>
      </c>
      <c r="K54" s="58">
        <f>'Respondent Assumptions'!M54</f>
        <v>4</v>
      </c>
      <c r="L54" s="58">
        <f>'Respondent Assumptions'!N54</f>
        <v>4</v>
      </c>
      <c r="M54" s="27">
        <f t="shared" si="48"/>
        <v>4</v>
      </c>
      <c r="N54" s="27">
        <f t="shared" si="49"/>
        <v>4</v>
      </c>
      <c r="O54" s="27">
        <f t="shared" si="50"/>
        <v>4</v>
      </c>
      <c r="P54" s="59">
        <f t="shared" si="51"/>
        <v>40</v>
      </c>
      <c r="Q54" s="59">
        <f t="shared" si="52"/>
        <v>40</v>
      </c>
      <c r="R54" s="59">
        <f t="shared" si="53"/>
        <v>40</v>
      </c>
      <c r="S54" s="15">
        <f t="shared" si="54"/>
        <v>5839.6</v>
      </c>
      <c r="T54" s="15">
        <f t="shared" si="55"/>
        <v>5839.6</v>
      </c>
      <c r="U54" s="15">
        <f t="shared" si="56"/>
        <v>5839.6</v>
      </c>
      <c r="V54" s="15">
        <f t="shared" si="57"/>
        <v>0</v>
      </c>
      <c r="W54" s="15">
        <f t="shared" si="58"/>
        <v>5839.6</v>
      </c>
      <c r="X54" s="15">
        <f t="shared" si="59"/>
        <v>5839.6</v>
      </c>
      <c r="Y54" s="15">
        <f t="shared" si="60"/>
        <v>5839.6</v>
      </c>
      <c r="Z54" s="62">
        <v>1</v>
      </c>
      <c r="AA54" s="62"/>
    </row>
    <row r="55" spans="1:33" s="23" customFormat="1" x14ac:dyDescent="0.25">
      <c r="A55" s="50"/>
      <c r="B55" s="174"/>
      <c r="C55" s="130" t="str">
        <f>'Respondent Assumptions'!C55</f>
        <v>Maintain records</v>
      </c>
      <c r="D55" s="66">
        <f>'Respondent Assumptions'!F55</f>
        <v>1</v>
      </c>
      <c r="E55" s="71">
        <f>'Respondent Assumptions'!D55</f>
        <v>0</v>
      </c>
      <c r="F55" s="66">
        <f>'Respondent Assumptions'!E55</f>
        <v>40</v>
      </c>
      <c r="G55" s="17">
        <f t="shared" si="47"/>
        <v>40</v>
      </c>
      <c r="H55" s="16">
        <f t="shared" si="61"/>
        <v>4236.8</v>
      </c>
      <c r="I55" s="15">
        <v>50</v>
      </c>
      <c r="J55" s="58">
        <f>'Respondent Assumptions'!L55</f>
        <v>4</v>
      </c>
      <c r="K55" s="58">
        <f>'Respondent Assumptions'!M55</f>
        <v>4</v>
      </c>
      <c r="L55" s="58">
        <f>'Respondent Assumptions'!N55</f>
        <v>4</v>
      </c>
      <c r="M55" s="27">
        <f t="shared" si="48"/>
        <v>4</v>
      </c>
      <c r="N55" s="27">
        <f t="shared" si="49"/>
        <v>4</v>
      </c>
      <c r="O55" s="27">
        <f t="shared" si="50"/>
        <v>4</v>
      </c>
      <c r="P55" s="59">
        <f t="shared" si="51"/>
        <v>160</v>
      </c>
      <c r="Q55" s="59">
        <f t="shared" si="52"/>
        <v>160</v>
      </c>
      <c r="R55" s="59">
        <f t="shared" si="53"/>
        <v>160</v>
      </c>
      <c r="S55" s="15">
        <f t="shared" si="54"/>
        <v>16947.2</v>
      </c>
      <c r="T55" s="15">
        <f t="shared" si="55"/>
        <v>16947.2</v>
      </c>
      <c r="U55" s="15">
        <f t="shared" si="56"/>
        <v>16947.2</v>
      </c>
      <c r="V55" s="15">
        <f t="shared" si="57"/>
        <v>200</v>
      </c>
      <c r="W55" s="15">
        <f t="shared" si="58"/>
        <v>17147.2</v>
      </c>
      <c r="X55" s="15">
        <f t="shared" si="59"/>
        <v>17147.2</v>
      </c>
      <c r="Y55" s="15">
        <f t="shared" si="60"/>
        <v>17147.2</v>
      </c>
      <c r="Z55" s="62">
        <v>2</v>
      </c>
      <c r="AA55" s="62"/>
    </row>
    <row r="56" spans="1:33" x14ac:dyDescent="0.25">
      <c r="A56" s="51"/>
      <c r="B56" s="176" t="s">
        <v>114</v>
      </c>
      <c r="C56" s="130" t="str">
        <f>'Respondent Assumptions'!C56</f>
        <v>Submit inter-company transfer request</v>
      </c>
      <c r="D56" s="66">
        <f>'Respondent Assumptions'!F56</f>
        <v>3</v>
      </c>
      <c r="E56" s="71">
        <f>'Respondent Assumptions'!D56</f>
        <v>6</v>
      </c>
      <c r="F56" s="66">
        <f>'Respondent Assumptions'!E56</f>
        <v>0</v>
      </c>
      <c r="G56" s="17">
        <f t="shared" si="47"/>
        <v>18</v>
      </c>
      <c r="H56" s="16">
        <f t="shared" si="61"/>
        <v>2627.82</v>
      </c>
      <c r="I56" s="15">
        <v>0</v>
      </c>
      <c r="J56" s="58">
        <f>'Respondent Assumptions'!L56</f>
        <v>11</v>
      </c>
      <c r="K56" s="58">
        <f>'Respondent Assumptions'!M56</f>
        <v>11</v>
      </c>
      <c r="L56" s="58">
        <f>'Respondent Assumptions'!N56</f>
        <v>11</v>
      </c>
      <c r="M56" s="27">
        <f t="shared" si="48"/>
        <v>33</v>
      </c>
      <c r="N56" s="27">
        <f t="shared" si="49"/>
        <v>33</v>
      </c>
      <c r="O56" s="27">
        <f t="shared" si="50"/>
        <v>33</v>
      </c>
      <c r="P56" s="59">
        <f t="shared" si="51"/>
        <v>198</v>
      </c>
      <c r="Q56" s="59">
        <f t="shared" si="52"/>
        <v>198</v>
      </c>
      <c r="R56" s="59">
        <f t="shared" si="53"/>
        <v>198</v>
      </c>
      <c r="S56" s="15">
        <f t="shared" si="54"/>
        <v>28906.02</v>
      </c>
      <c r="T56" s="15">
        <f t="shared" si="55"/>
        <v>28906.02</v>
      </c>
      <c r="U56" s="15">
        <f t="shared" si="56"/>
        <v>28906.02</v>
      </c>
      <c r="V56" s="15">
        <f t="shared" si="57"/>
        <v>0</v>
      </c>
      <c r="W56" s="15">
        <f t="shared" si="58"/>
        <v>28906.02</v>
      </c>
      <c r="X56" s="15">
        <f t="shared" si="59"/>
        <v>28906.02</v>
      </c>
      <c r="Y56" s="15">
        <f t="shared" si="60"/>
        <v>28906.02</v>
      </c>
      <c r="Z56" s="62">
        <v>1</v>
      </c>
      <c r="AA56" s="62"/>
    </row>
    <row r="57" spans="1:33" ht="24" customHeight="1" x14ac:dyDescent="0.25">
      <c r="A57" s="51"/>
      <c r="B57" s="174"/>
      <c r="C57" s="130" t="str">
        <f>'Respondent Assumptions'!C57</f>
        <v>Submit request to transfer from a person in a foreign country</v>
      </c>
      <c r="D57" s="66">
        <f>'Respondent Assumptions'!F57</f>
        <v>1</v>
      </c>
      <c r="E57" s="71">
        <f>'Respondent Assumptions'!D57</f>
        <v>6</v>
      </c>
      <c r="F57" s="66">
        <f>'Respondent Assumptions'!E57</f>
        <v>0</v>
      </c>
      <c r="G57" s="17">
        <f t="shared" ref="G57:G64" si="62">D57*(E57+F57)</f>
        <v>6</v>
      </c>
      <c r="H57" s="16">
        <f t="shared" si="61"/>
        <v>875.94</v>
      </c>
      <c r="I57" s="15">
        <v>0</v>
      </c>
      <c r="J57" s="58">
        <f>'Respondent Assumptions'!L57</f>
        <v>1</v>
      </c>
      <c r="K57" s="58">
        <f>'Respondent Assumptions'!M57</f>
        <v>1</v>
      </c>
      <c r="L57" s="58">
        <f>'Respondent Assumptions'!N57</f>
        <v>1</v>
      </c>
      <c r="M57" s="27">
        <f t="shared" ref="M57:M67" si="63">$D57*J57</f>
        <v>1</v>
      </c>
      <c r="N57" s="27">
        <f t="shared" ref="N57:N67" si="64">$D57*K57</f>
        <v>1</v>
      </c>
      <c r="O57" s="27">
        <f t="shared" ref="O57:O67" si="65">$D57*L57</f>
        <v>1</v>
      </c>
      <c r="P57" s="59">
        <f t="shared" ref="P57:P67" si="66">J57*$G57</f>
        <v>6</v>
      </c>
      <c r="Q57" s="59">
        <f t="shared" ref="Q57:Q67" si="67">K57*$G57</f>
        <v>6</v>
      </c>
      <c r="R57" s="59">
        <f t="shared" ref="R57:R67" si="68">L57*$G57</f>
        <v>6</v>
      </c>
      <c r="S57" s="15">
        <f t="shared" ref="S57:S64" si="69">$H57*J57</f>
        <v>875.94</v>
      </c>
      <c r="T57" s="15">
        <f t="shared" ref="T57:T67" si="70">$H57*K57</f>
        <v>875.94</v>
      </c>
      <c r="U57" s="15">
        <f t="shared" ref="U57:U67" si="71">$H57*L57</f>
        <v>875.94</v>
      </c>
      <c r="V57" s="15">
        <f t="shared" ref="V57:V67" si="72">I57*J57</f>
        <v>0</v>
      </c>
      <c r="W57" s="15">
        <f t="shared" si="58"/>
        <v>875.94</v>
      </c>
      <c r="X57" s="15">
        <f t="shared" si="59"/>
        <v>875.94</v>
      </c>
      <c r="Y57" s="15">
        <f t="shared" si="60"/>
        <v>875.94</v>
      </c>
      <c r="Z57" s="62">
        <v>1</v>
      </c>
      <c r="AA57" s="62"/>
    </row>
    <row r="58" spans="1:33" x14ac:dyDescent="0.25">
      <c r="A58" s="51"/>
      <c r="B58" s="174"/>
      <c r="C58" s="130" t="str">
        <f>'Respondent Assumptions'!C58</f>
        <v>Submit request to transfer to a person in a foreign country</v>
      </c>
      <c r="D58" s="66">
        <f>'Respondent Assumptions'!F58</f>
        <v>1</v>
      </c>
      <c r="E58" s="71">
        <f>'Respondent Assumptions'!D58</f>
        <v>6</v>
      </c>
      <c r="F58" s="66">
        <f>'Respondent Assumptions'!E58</f>
        <v>0</v>
      </c>
      <c r="G58" s="17">
        <f t="shared" si="62"/>
        <v>6</v>
      </c>
      <c r="H58" s="16">
        <f t="shared" si="61"/>
        <v>875.94</v>
      </c>
      <c r="I58" s="15">
        <v>0</v>
      </c>
      <c r="J58" s="58">
        <f>'Respondent Assumptions'!L58</f>
        <v>1</v>
      </c>
      <c r="K58" s="58">
        <f>'Respondent Assumptions'!M58</f>
        <v>1</v>
      </c>
      <c r="L58" s="58">
        <f>'Respondent Assumptions'!N58</f>
        <v>1</v>
      </c>
      <c r="M58" s="27">
        <f t="shared" si="63"/>
        <v>1</v>
      </c>
      <c r="N58" s="27">
        <f t="shared" si="64"/>
        <v>1</v>
      </c>
      <c r="O58" s="27">
        <f t="shared" si="65"/>
        <v>1</v>
      </c>
      <c r="P58" s="59">
        <f t="shared" si="66"/>
        <v>6</v>
      </c>
      <c r="Q58" s="59">
        <f t="shared" si="67"/>
        <v>6</v>
      </c>
      <c r="R58" s="59">
        <f t="shared" si="68"/>
        <v>6</v>
      </c>
      <c r="S58" s="15">
        <f t="shared" si="69"/>
        <v>875.94</v>
      </c>
      <c r="T58" s="15">
        <f t="shared" si="70"/>
        <v>875.94</v>
      </c>
      <c r="U58" s="15">
        <f t="shared" si="71"/>
        <v>875.94</v>
      </c>
      <c r="V58" s="15">
        <f t="shared" si="72"/>
        <v>0</v>
      </c>
      <c r="W58" s="15">
        <f t="shared" ref="W58:W64" si="73">S58+$V58</f>
        <v>875.94</v>
      </c>
      <c r="X58" s="15">
        <f t="shared" ref="X58:X64" si="74">T58+$V58</f>
        <v>875.94</v>
      </c>
      <c r="Y58" s="15">
        <f t="shared" ref="Y58:Y64" si="75">U58+$V58</f>
        <v>875.94</v>
      </c>
      <c r="Z58" s="62">
        <v>1</v>
      </c>
      <c r="AA58" s="62"/>
    </row>
    <row r="59" spans="1:33" ht="24" x14ac:dyDescent="0.25">
      <c r="A59" s="51"/>
      <c r="B59" s="175"/>
      <c r="C59" s="130" t="str">
        <f>'Respondent Assumptions'!C59</f>
        <v>Submit request to sell/transfer HFCs produced/imported with application-specific allowances</v>
      </c>
      <c r="D59" s="66">
        <f>'Respondent Assumptions'!F59</f>
        <v>1</v>
      </c>
      <c r="E59" s="71">
        <f>'Respondent Assumptions'!D59</f>
        <v>6</v>
      </c>
      <c r="F59" s="66">
        <f>'Respondent Assumptions'!E59</f>
        <v>0</v>
      </c>
      <c r="G59" s="17">
        <f t="shared" si="62"/>
        <v>6</v>
      </c>
      <c r="H59" s="16">
        <f t="shared" si="61"/>
        <v>875.94</v>
      </c>
      <c r="I59" s="15">
        <v>0</v>
      </c>
      <c r="J59" s="58">
        <f>'Respondent Assumptions'!L59</f>
        <v>5</v>
      </c>
      <c r="K59" s="58">
        <f>'Respondent Assumptions'!M59</f>
        <v>5</v>
      </c>
      <c r="L59" s="58">
        <f>'Respondent Assumptions'!N59</f>
        <v>5</v>
      </c>
      <c r="M59" s="27">
        <f t="shared" si="63"/>
        <v>5</v>
      </c>
      <c r="N59" s="27">
        <f t="shared" si="64"/>
        <v>5</v>
      </c>
      <c r="O59" s="27">
        <f t="shared" si="65"/>
        <v>5</v>
      </c>
      <c r="P59" s="59">
        <f t="shared" si="66"/>
        <v>30</v>
      </c>
      <c r="Q59" s="59">
        <f t="shared" si="67"/>
        <v>30</v>
      </c>
      <c r="R59" s="59">
        <f t="shared" si="68"/>
        <v>30</v>
      </c>
      <c r="S59" s="15">
        <f t="shared" si="69"/>
        <v>4379.7000000000007</v>
      </c>
      <c r="T59" s="15">
        <f t="shared" si="70"/>
        <v>4379.7000000000007</v>
      </c>
      <c r="U59" s="15">
        <f t="shared" si="71"/>
        <v>4379.7000000000007</v>
      </c>
      <c r="V59" s="15">
        <f t="shared" si="72"/>
        <v>0</v>
      </c>
      <c r="W59" s="15">
        <f t="shared" si="73"/>
        <v>4379.7000000000007</v>
      </c>
      <c r="X59" s="15">
        <f t="shared" si="74"/>
        <v>4379.7000000000007</v>
      </c>
      <c r="Y59" s="15">
        <f t="shared" si="75"/>
        <v>4379.7000000000007</v>
      </c>
      <c r="Z59" s="62">
        <v>1</v>
      </c>
      <c r="AA59" s="62"/>
    </row>
    <row r="60" spans="1:33" ht="14.45" customHeight="1" x14ac:dyDescent="0.25">
      <c r="A60" s="51">
        <v>1</v>
      </c>
      <c r="B60" s="145" t="s">
        <v>121</v>
      </c>
      <c r="C60" s="77" t="str">
        <f>'Respondent Assumptions'!C60</f>
        <v>Submit biannual report</v>
      </c>
      <c r="D60" s="66">
        <f>'Respondent Assumptions'!F60</f>
        <v>2</v>
      </c>
      <c r="E60" s="71">
        <f>'Respondent Assumptions'!D60</f>
        <v>6</v>
      </c>
      <c r="F60" s="66">
        <f>'Respondent Assumptions'!E60</f>
        <v>0</v>
      </c>
      <c r="G60" s="17">
        <f t="shared" si="62"/>
        <v>12</v>
      </c>
      <c r="H60" s="16">
        <f t="shared" si="61"/>
        <v>1751.88</v>
      </c>
      <c r="I60" s="15">
        <v>0</v>
      </c>
      <c r="J60" s="58">
        <f>'Respondent Assumptions'!L60</f>
        <v>46</v>
      </c>
      <c r="K60" s="58">
        <f>'Respondent Assumptions'!M60</f>
        <v>46</v>
      </c>
      <c r="L60" s="58">
        <f>'Respondent Assumptions'!N60</f>
        <v>46</v>
      </c>
      <c r="M60" s="27">
        <f t="shared" si="63"/>
        <v>92</v>
      </c>
      <c r="N60" s="27">
        <f t="shared" si="64"/>
        <v>92</v>
      </c>
      <c r="O60" s="27">
        <f t="shared" si="65"/>
        <v>92</v>
      </c>
      <c r="P60" s="59">
        <f t="shared" si="66"/>
        <v>552</v>
      </c>
      <c r="Q60" s="59">
        <f t="shared" si="67"/>
        <v>552</v>
      </c>
      <c r="R60" s="59">
        <f t="shared" si="68"/>
        <v>552</v>
      </c>
      <c r="S60" s="15">
        <f t="shared" si="69"/>
        <v>80586.48000000001</v>
      </c>
      <c r="T60" s="15">
        <f t="shared" si="70"/>
        <v>80586.48000000001</v>
      </c>
      <c r="U60" s="15">
        <f t="shared" si="71"/>
        <v>80586.48000000001</v>
      </c>
      <c r="V60" s="15">
        <f t="shared" si="72"/>
        <v>0</v>
      </c>
      <c r="W60" s="15">
        <f t="shared" si="73"/>
        <v>80586.48000000001</v>
      </c>
      <c r="X60" s="15">
        <f t="shared" si="74"/>
        <v>80586.48000000001</v>
      </c>
      <c r="Y60" s="15">
        <f t="shared" si="75"/>
        <v>80586.48000000001</v>
      </c>
      <c r="Z60" s="62">
        <v>1</v>
      </c>
      <c r="AA60" s="62"/>
    </row>
    <row r="61" spans="1:33" x14ac:dyDescent="0.25">
      <c r="A61" s="51"/>
      <c r="B61" s="146"/>
      <c r="C61" s="77" t="str">
        <f>'Respondent Assumptions'!C61</f>
        <v>Submit annual report (part of biannual report)</v>
      </c>
      <c r="D61" s="66">
        <f>'Respondent Assumptions'!F61</f>
        <v>1</v>
      </c>
      <c r="E61" s="71">
        <f>'Respondent Assumptions'!D61</f>
        <v>6</v>
      </c>
      <c r="F61" s="66">
        <f>'Respondent Assumptions'!E61</f>
        <v>0</v>
      </c>
      <c r="G61" s="17">
        <f t="shared" si="62"/>
        <v>6</v>
      </c>
      <c r="H61" s="16">
        <f t="shared" si="61"/>
        <v>875.94</v>
      </c>
      <c r="I61" s="15">
        <v>0</v>
      </c>
      <c r="J61" s="58">
        <f>'Respondent Assumptions'!L61</f>
        <v>54</v>
      </c>
      <c r="K61" s="58">
        <f>'Respondent Assumptions'!M61</f>
        <v>54</v>
      </c>
      <c r="L61" s="58">
        <f>'Respondent Assumptions'!N61</f>
        <v>54</v>
      </c>
      <c r="M61" s="27">
        <f t="shared" si="63"/>
        <v>54</v>
      </c>
      <c r="N61" s="27">
        <f t="shared" si="64"/>
        <v>54</v>
      </c>
      <c r="O61" s="27">
        <f t="shared" si="65"/>
        <v>54</v>
      </c>
      <c r="P61" s="59">
        <f t="shared" si="66"/>
        <v>324</v>
      </c>
      <c r="Q61" s="59">
        <f t="shared" si="67"/>
        <v>324</v>
      </c>
      <c r="R61" s="59">
        <f t="shared" si="68"/>
        <v>324</v>
      </c>
      <c r="S61" s="15">
        <f t="shared" si="69"/>
        <v>47300.76</v>
      </c>
      <c r="T61" s="15">
        <f t="shared" si="70"/>
        <v>47300.76</v>
      </c>
      <c r="U61" s="15">
        <f t="shared" si="71"/>
        <v>47300.76</v>
      </c>
      <c r="V61" s="15">
        <f t="shared" si="72"/>
        <v>0</v>
      </c>
      <c r="W61" s="15">
        <f t="shared" si="73"/>
        <v>47300.76</v>
      </c>
      <c r="X61" s="15">
        <f t="shared" si="74"/>
        <v>47300.76</v>
      </c>
      <c r="Y61" s="15">
        <f t="shared" si="75"/>
        <v>47300.76</v>
      </c>
      <c r="Z61" s="62">
        <v>1</v>
      </c>
      <c r="AA61" s="62"/>
    </row>
    <row r="62" spans="1:33" x14ac:dyDescent="0.25">
      <c r="A62" s="51">
        <v>1</v>
      </c>
      <c r="B62" s="146"/>
      <c r="C62" s="77" t="str">
        <f>'Respondent Assumptions'!C62</f>
        <v>Submit conferral request</v>
      </c>
      <c r="D62" s="66">
        <f>'Respondent Assumptions'!F62</f>
        <v>2</v>
      </c>
      <c r="E62" s="71">
        <f>'Respondent Assumptions'!D62</f>
        <v>6</v>
      </c>
      <c r="F62" s="66">
        <f>'Respondent Assumptions'!E62</f>
        <v>0</v>
      </c>
      <c r="G62" s="17">
        <f t="shared" si="62"/>
        <v>12</v>
      </c>
      <c r="H62" s="16">
        <f t="shared" si="61"/>
        <v>1751.88</v>
      </c>
      <c r="I62" s="15">
        <v>0</v>
      </c>
      <c r="J62" s="58">
        <f>'Respondent Assumptions'!L62</f>
        <v>46</v>
      </c>
      <c r="K62" s="58">
        <f>'Respondent Assumptions'!M62</f>
        <v>46</v>
      </c>
      <c r="L62" s="58">
        <f>'Respondent Assumptions'!N62</f>
        <v>46</v>
      </c>
      <c r="M62" s="27">
        <f t="shared" si="63"/>
        <v>92</v>
      </c>
      <c r="N62" s="27">
        <f t="shared" si="64"/>
        <v>92</v>
      </c>
      <c r="O62" s="27">
        <f t="shared" si="65"/>
        <v>92</v>
      </c>
      <c r="P62" s="59">
        <f t="shared" si="66"/>
        <v>552</v>
      </c>
      <c r="Q62" s="59">
        <f t="shared" si="67"/>
        <v>552</v>
      </c>
      <c r="R62" s="59">
        <f t="shared" si="68"/>
        <v>552</v>
      </c>
      <c r="S62" s="15">
        <f t="shared" si="69"/>
        <v>80586.48000000001</v>
      </c>
      <c r="T62" s="15">
        <f t="shared" si="70"/>
        <v>80586.48000000001</v>
      </c>
      <c r="U62" s="15">
        <f t="shared" si="71"/>
        <v>80586.48000000001</v>
      </c>
      <c r="V62" s="15">
        <f t="shared" si="72"/>
        <v>0</v>
      </c>
      <c r="W62" s="15">
        <f t="shared" si="73"/>
        <v>80586.48000000001</v>
      </c>
      <c r="X62" s="15">
        <f t="shared" si="74"/>
        <v>80586.48000000001</v>
      </c>
      <c r="Y62" s="15">
        <f t="shared" si="75"/>
        <v>80586.48000000001</v>
      </c>
      <c r="Z62" s="62">
        <v>1</v>
      </c>
      <c r="AA62" s="62"/>
    </row>
    <row r="63" spans="1:33" x14ac:dyDescent="0.25">
      <c r="A63" s="51"/>
      <c r="B63" s="146"/>
      <c r="C63" s="77" t="str">
        <f>'Respondent Assumptions'!C63</f>
        <v>Provide certification to third party (conferee)</v>
      </c>
      <c r="D63" s="66">
        <f>'Respondent Assumptions'!F63</f>
        <v>2</v>
      </c>
      <c r="E63" s="71">
        <f>'Respondent Assumptions'!D63</f>
        <v>2</v>
      </c>
      <c r="F63" s="66">
        <f>'Respondent Assumptions'!E63</f>
        <v>0</v>
      </c>
      <c r="G63" s="87">
        <f t="shared" si="62"/>
        <v>4</v>
      </c>
      <c r="H63" s="16">
        <f t="shared" si="61"/>
        <v>583.96</v>
      </c>
      <c r="I63" s="15">
        <v>0</v>
      </c>
      <c r="J63" s="58">
        <f>'Respondent Assumptions'!L63</f>
        <v>46</v>
      </c>
      <c r="K63" s="58">
        <f>'Respondent Assumptions'!M63</f>
        <v>46</v>
      </c>
      <c r="L63" s="58">
        <f>'Respondent Assumptions'!N63</f>
        <v>46</v>
      </c>
      <c r="M63" s="27">
        <f t="shared" si="63"/>
        <v>92</v>
      </c>
      <c r="N63" s="27">
        <f t="shared" si="64"/>
        <v>92</v>
      </c>
      <c r="O63" s="27">
        <f t="shared" si="65"/>
        <v>92</v>
      </c>
      <c r="P63" s="59">
        <f t="shared" si="66"/>
        <v>184</v>
      </c>
      <c r="Q63" s="59">
        <f t="shared" si="67"/>
        <v>184</v>
      </c>
      <c r="R63" s="59">
        <f t="shared" si="68"/>
        <v>184</v>
      </c>
      <c r="S63" s="15">
        <f t="shared" si="69"/>
        <v>26862.160000000003</v>
      </c>
      <c r="T63" s="15">
        <f t="shared" si="70"/>
        <v>26862.160000000003</v>
      </c>
      <c r="U63" s="15">
        <f t="shared" si="71"/>
        <v>26862.160000000003</v>
      </c>
      <c r="V63" s="15">
        <f t="shared" si="72"/>
        <v>0</v>
      </c>
      <c r="W63" s="15">
        <f t="shared" si="73"/>
        <v>26862.160000000003</v>
      </c>
      <c r="X63" s="15">
        <f t="shared" si="74"/>
        <v>26862.160000000003</v>
      </c>
      <c r="Y63" s="15">
        <f t="shared" si="75"/>
        <v>26862.160000000003</v>
      </c>
      <c r="Z63" s="62">
        <v>3</v>
      </c>
      <c r="AA63" s="62"/>
    </row>
    <row r="64" spans="1:33" x14ac:dyDescent="0.25">
      <c r="A64" s="51"/>
      <c r="B64" s="146"/>
      <c r="C64" s="77" t="str">
        <f>'Respondent Assumptions'!C64</f>
        <v>Maintain records</v>
      </c>
      <c r="D64" s="66">
        <f>'Respondent Assumptions'!F64</f>
        <v>1</v>
      </c>
      <c r="E64" s="71">
        <f>'Respondent Assumptions'!D64</f>
        <v>0</v>
      </c>
      <c r="F64" s="66">
        <f>'Respondent Assumptions'!E64</f>
        <v>80</v>
      </c>
      <c r="G64" s="17">
        <f t="shared" si="62"/>
        <v>80</v>
      </c>
      <c r="H64" s="16">
        <f t="shared" si="61"/>
        <v>8473.6</v>
      </c>
      <c r="I64" s="15">
        <v>50</v>
      </c>
      <c r="J64" s="58">
        <f>'Respondent Assumptions'!L64</f>
        <v>46</v>
      </c>
      <c r="K64" s="58">
        <f>'Respondent Assumptions'!M64</f>
        <v>46</v>
      </c>
      <c r="L64" s="58">
        <f>'Respondent Assumptions'!N64</f>
        <v>46</v>
      </c>
      <c r="M64" s="27">
        <f t="shared" si="63"/>
        <v>46</v>
      </c>
      <c r="N64" s="27">
        <f t="shared" si="64"/>
        <v>46</v>
      </c>
      <c r="O64" s="27">
        <f t="shared" si="65"/>
        <v>46</v>
      </c>
      <c r="P64" s="59">
        <f t="shared" si="66"/>
        <v>3680</v>
      </c>
      <c r="Q64" s="59">
        <f t="shared" si="67"/>
        <v>3680</v>
      </c>
      <c r="R64" s="59">
        <f t="shared" si="68"/>
        <v>3680</v>
      </c>
      <c r="S64" s="15">
        <f t="shared" si="69"/>
        <v>389785.60000000003</v>
      </c>
      <c r="T64" s="15">
        <f t="shared" si="70"/>
        <v>389785.60000000003</v>
      </c>
      <c r="U64" s="15">
        <f t="shared" si="71"/>
        <v>389785.60000000003</v>
      </c>
      <c r="V64" s="15">
        <f t="shared" si="72"/>
        <v>2300</v>
      </c>
      <c r="W64" s="15">
        <f t="shared" si="73"/>
        <v>392085.60000000003</v>
      </c>
      <c r="X64" s="15">
        <f t="shared" si="74"/>
        <v>392085.60000000003</v>
      </c>
      <c r="Y64" s="15">
        <f t="shared" si="75"/>
        <v>392085.60000000003</v>
      </c>
      <c r="Z64" s="62">
        <v>2</v>
      </c>
      <c r="AA64" s="62"/>
    </row>
    <row r="65" spans="1:27" ht="33.950000000000003" customHeight="1" x14ac:dyDescent="0.25">
      <c r="A65" s="51">
        <v>1</v>
      </c>
      <c r="B65" s="146"/>
      <c r="C65" s="77" t="str">
        <f>'Respondent Assumptions'!C65</f>
        <v>Submit mid-year request for additional consumption allowances in the event of a public health emergency (MDIs)</v>
      </c>
      <c r="D65" s="66">
        <f>'Respondent Assumptions'!F65</f>
        <v>1</v>
      </c>
      <c r="E65" s="71">
        <f>'Respondent Assumptions'!D65</f>
        <v>6</v>
      </c>
      <c r="F65" s="66">
        <f>'Respondent Assumptions'!E65</f>
        <v>0</v>
      </c>
      <c r="G65" s="17">
        <f t="shared" ref="G65" si="76">D65*(E65+F65)</f>
        <v>6</v>
      </c>
      <c r="H65" s="16">
        <f t="shared" si="61"/>
        <v>875.94</v>
      </c>
      <c r="I65" s="15">
        <v>0</v>
      </c>
      <c r="J65" s="58">
        <f>'Respondent Assumptions'!L65</f>
        <v>8</v>
      </c>
      <c r="K65" s="58">
        <f>'Respondent Assumptions'!M65</f>
        <v>8</v>
      </c>
      <c r="L65" s="58">
        <f>'Respondent Assumptions'!N65</f>
        <v>8</v>
      </c>
      <c r="M65" s="27">
        <f>$D65*J65</f>
        <v>8</v>
      </c>
      <c r="N65" s="27">
        <f t="shared" ref="N65" si="77">$D65*K65</f>
        <v>8</v>
      </c>
      <c r="O65" s="27">
        <f t="shared" ref="O65" si="78">$D65*L65</f>
        <v>8</v>
      </c>
      <c r="P65" s="59">
        <f t="shared" ref="P65" si="79">J65*$G65</f>
        <v>48</v>
      </c>
      <c r="Q65" s="59">
        <f t="shared" ref="Q65" si="80">K65*$G65</f>
        <v>48</v>
      </c>
      <c r="R65" s="59">
        <f t="shared" ref="R65" si="81">L65*$G65</f>
        <v>48</v>
      </c>
      <c r="S65" s="15">
        <f t="shared" ref="S65" si="82">$H65*J65</f>
        <v>7007.52</v>
      </c>
      <c r="T65" s="15">
        <f t="shared" ref="T65" si="83">$H65*K65</f>
        <v>7007.52</v>
      </c>
      <c r="U65" s="15">
        <f t="shared" ref="U65" si="84">$H65*L65</f>
        <v>7007.52</v>
      </c>
      <c r="V65" s="15">
        <f t="shared" ref="V65" si="85">I65*J65</f>
        <v>0</v>
      </c>
      <c r="W65" s="15">
        <f t="shared" ref="W65" si="86">S65+$V65</f>
        <v>7007.52</v>
      </c>
      <c r="X65" s="15">
        <f t="shared" ref="X65" si="87">T65+$V65</f>
        <v>7007.52</v>
      </c>
      <c r="Y65" s="15">
        <f t="shared" ref="Y65" si="88">U65+$V65</f>
        <v>7007.52</v>
      </c>
      <c r="Z65" s="62">
        <v>1</v>
      </c>
      <c r="AA65" s="62"/>
    </row>
    <row r="66" spans="1:27" ht="36" x14ac:dyDescent="0.25">
      <c r="A66" s="51">
        <v>1</v>
      </c>
      <c r="B66" s="72" t="str">
        <f>'Respondent Assumptions'!B66</f>
        <v>Potential Application-Specific Allowance Holders</v>
      </c>
      <c r="C66" s="128" t="str">
        <f>'Respondent Assumptions'!C66</f>
        <v>Submit new application petition</v>
      </c>
      <c r="D66" s="71">
        <f>'Respondent Assumptions'!F66</f>
        <v>0.2</v>
      </c>
      <c r="E66" s="71">
        <f>'Respondent Assumptions'!D66</f>
        <v>90</v>
      </c>
      <c r="F66" s="66">
        <f>'Respondent Assumptions'!E66</f>
        <v>0</v>
      </c>
      <c r="G66" s="17">
        <f t="shared" ref="G66" si="89">D66*(E66+F66)</f>
        <v>18</v>
      </c>
      <c r="H66" s="16">
        <f t="shared" si="61"/>
        <v>2627.82</v>
      </c>
      <c r="I66" s="15">
        <v>0</v>
      </c>
      <c r="J66" s="58">
        <f>'Respondent Assumptions'!L66</f>
        <v>5</v>
      </c>
      <c r="K66" s="58">
        <f>'Respondent Assumptions'!M66</f>
        <v>5</v>
      </c>
      <c r="L66" s="58">
        <f>'Respondent Assumptions'!N66</f>
        <v>5</v>
      </c>
      <c r="M66" s="27">
        <f>$D66*J66</f>
        <v>1</v>
      </c>
      <c r="N66" s="27">
        <f t="shared" ref="N66" si="90">$D66*K66</f>
        <v>1</v>
      </c>
      <c r="O66" s="27">
        <f t="shared" ref="O66" si="91">$D66*L66</f>
        <v>1</v>
      </c>
      <c r="P66" s="59">
        <f t="shared" ref="P66" si="92">J66*$G66</f>
        <v>90</v>
      </c>
      <c r="Q66" s="59">
        <f t="shared" ref="Q66" si="93">K66*$G66</f>
        <v>90</v>
      </c>
      <c r="R66" s="59">
        <f t="shared" ref="R66" si="94">L66*$G66</f>
        <v>90</v>
      </c>
      <c r="S66" s="15">
        <f t="shared" ref="S66" si="95">$H66*J66</f>
        <v>13139.1</v>
      </c>
      <c r="T66" s="15">
        <f t="shared" ref="T66" si="96">$H66*K66</f>
        <v>13139.1</v>
      </c>
      <c r="U66" s="15">
        <f t="shared" ref="U66" si="97">$H66*L66</f>
        <v>13139.1</v>
      </c>
      <c r="V66" s="15">
        <f t="shared" ref="V66" si="98">I66*J66</f>
        <v>0</v>
      </c>
      <c r="W66" s="15">
        <f t="shared" ref="W66" si="99">S66+$V66</f>
        <v>13139.1</v>
      </c>
      <c r="X66" s="15">
        <f t="shared" ref="X66" si="100">T66+$V66</f>
        <v>13139.1</v>
      </c>
      <c r="Y66" s="15">
        <f t="shared" ref="Y66" si="101">U66+$V66</f>
        <v>13139.1</v>
      </c>
      <c r="Z66" s="62">
        <v>1</v>
      </c>
      <c r="AA66" s="62"/>
    </row>
    <row r="67" spans="1:27" x14ac:dyDescent="0.25">
      <c r="B67" s="35" t="s">
        <v>133</v>
      </c>
      <c r="C67" s="128" t="str">
        <f>'Respondent Assumptions'!C67</f>
        <v>Submit annual audit report</v>
      </c>
      <c r="D67" s="82">
        <f>'Respondent Assumptions'!F67</f>
        <v>1</v>
      </c>
      <c r="E67" s="83">
        <f>'Respondent Assumptions'!D67</f>
        <v>40</v>
      </c>
      <c r="F67" s="82">
        <f>'Respondent Assumptions'!E67</f>
        <v>0</v>
      </c>
      <c r="G67" s="84">
        <f>D67*(E67+F67)</f>
        <v>40</v>
      </c>
      <c r="H67" s="16">
        <f t="shared" si="61"/>
        <v>5839.6</v>
      </c>
      <c r="I67" s="15">
        <f>'Respondent Assumptions'!S5</f>
        <v>6452.7999999999993</v>
      </c>
      <c r="J67" s="81">
        <f>'Respondent Assumptions'!L67</f>
        <v>162</v>
      </c>
      <c r="K67" s="81">
        <f>'Respondent Assumptions'!M67</f>
        <v>162</v>
      </c>
      <c r="L67" s="81">
        <f>'Respondent Assumptions'!N67</f>
        <v>162</v>
      </c>
      <c r="M67" s="27">
        <f t="shared" si="63"/>
        <v>162</v>
      </c>
      <c r="N67" s="27">
        <f t="shared" si="64"/>
        <v>162</v>
      </c>
      <c r="O67" s="27">
        <f t="shared" si="65"/>
        <v>162</v>
      </c>
      <c r="P67" s="59">
        <f t="shared" si="66"/>
        <v>6480</v>
      </c>
      <c r="Q67" s="59">
        <f t="shared" si="67"/>
        <v>6480</v>
      </c>
      <c r="R67" s="59">
        <f t="shared" si="68"/>
        <v>6480</v>
      </c>
      <c r="S67" s="15">
        <f>$H67*J67</f>
        <v>946015.20000000007</v>
      </c>
      <c r="T67" s="15">
        <f t="shared" si="70"/>
        <v>946015.20000000007</v>
      </c>
      <c r="U67" s="15">
        <f t="shared" si="71"/>
        <v>946015.20000000007</v>
      </c>
      <c r="V67" s="15">
        <f t="shared" si="72"/>
        <v>1045353.5999999999</v>
      </c>
      <c r="W67" s="15">
        <f t="shared" ref="W67:Y67" si="102">S67+$V67</f>
        <v>1991368.7999999998</v>
      </c>
      <c r="X67" s="15">
        <f t="shared" si="102"/>
        <v>1991368.7999999998</v>
      </c>
      <c r="Y67" s="15">
        <f t="shared" si="102"/>
        <v>1991368.7999999998</v>
      </c>
      <c r="Z67" s="62">
        <v>1</v>
      </c>
      <c r="AA67" s="62"/>
    </row>
    <row r="68" spans="1:27" x14ac:dyDescent="0.25">
      <c r="B68" s="36" t="s">
        <v>169</v>
      </c>
      <c r="C68" s="37"/>
      <c r="D68" s="37"/>
      <c r="E68" s="37"/>
      <c r="F68" s="37"/>
      <c r="G68" s="37"/>
      <c r="H68" s="37"/>
      <c r="I68" s="37"/>
      <c r="J68" s="37"/>
      <c r="K68" s="37"/>
      <c r="L68" s="38"/>
      <c r="M68" s="80">
        <f t="shared" ref="M68:Y68" si="103">SUM(M5:M67)</f>
        <v>9661</v>
      </c>
      <c r="N68" s="80">
        <f t="shared" si="103"/>
        <v>9661</v>
      </c>
      <c r="O68" s="80">
        <f t="shared" si="103"/>
        <v>9661</v>
      </c>
      <c r="P68" s="24">
        <f t="shared" si="103"/>
        <v>36247.5</v>
      </c>
      <c r="Q68" s="24">
        <f t="shared" si="103"/>
        <v>36247.5</v>
      </c>
      <c r="R68" s="24">
        <f t="shared" si="103"/>
        <v>36247.5</v>
      </c>
      <c r="S68" s="106">
        <f t="shared" si="103"/>
        <v>4580530.0250000004</v>
      </c>
      <c r="T68" s="106">
        <f t="shared" si="103"/>
        <v>4580530.0250000004</v>
      </c>
      <c r="U68" s="106">
        <f t="shared" si="103"/>
        <v>4580530.0250000004</v>
      </c>
      <c r="V68" s="105">
        <f t="shared" si="103"/>
        <v>1063203.5999999999</v>
      </c>
      <c r="W68" s="106">
        <f t="shared" si="103"/>
        <v>5643733.625</v>
      </c>
      <c r="X68" s="106">
        <f t="shared" si="103"/>
        <v>5643733.625</v>
      </c>
      <c r="Y68" s="106">
        <f t="shared" si="103"/>
        <v>5643733.625</v>
      </c>
      <c r="Z68" s="62"/>
      <c r="AA68" s="62"/>
    </row>
    <row r="69" spans="1:27" x14ac:dyDescent="0.25">
      <c r="B69" s="39" t="s">
        <v>170</v>
      </c>
      <c r="C69" s="40"/>
      <c r="D69" s="40"/>
      <c r="E69" s="40"/>
      <c r="F69" s="40"/>
      <c r="G69" s="40"/>
      <c r="H69" s="40"/>
      <c r="I69" s="133"/>
      <c r="J69" s="76"/>
      <c r="K69" s="76"/>
      <c r="L69" s="28"/>
      <c r="M69" s="170">
        <f>SUM(M68:O68)</f>
        <v>28983</v>
      </c>
      <c r="N69" s="170"/>
      <c r="O69" s="168"/>
      <c r="P69" s="171">
        <f>SUM(P68:R68)</f>
        <v>108742.5</v>
      </c>
      <c r="Q69" s="170"/>
      <c r="R69" s="168"/>
      <c r="S69" s="158">
        <f>SUM(S68:U68)</f>
        <v>13741590.075000001</v>
      </c>
      <c r="T69" s="159"/>
      <c r="U69" s="160"/>
      <c r="V69" s="132">
        <f>V68*3</f>
        <v>3189610.8</v>
      </c>
      <c r="W69" s="158">
        <f>SUM(W68:Y68)</f>
        <v>16931200.875</v>
      </c>
      <c r="X69" s="159"/>
      <c r="Y69" s="160"/>
      <c r="Z69" s="62"/>
      <c r="AA69" s="62"/>
    </row>
    <row r="70" spans="1:27" x14ac:dyDescent="0.25">
      <c r="B70" s="44" t="s">
        <v>163</v>
      </c>
      <c r="C70" s="45"/>
      <c r="D70" s="45"/>
      <c r="E70" s="45"/>
      <c r="F70" s="45"/>
      <c r="G70" s="45"/>
      <c r="H70" s="40"/>
      <c r="I70" s="133"/>
      <c r="J70" s="45"/>
      <c r="K70" s="45"/>
      <c r="L70" s="46"/>
      <c r="M70" s="168">
        <f>AVERAGE(M68:O68)</f>
        <v>9661</v>
      </c>
      <c r="N70" s="169"/>
      <c r="O70" s="169"/>
      <c r="P70" s="167">
        <f>AVERAGE(P68:R68)</f>
        <v>36247.5</v>
      </c>
      <c r="Q70" s="167"/>
      <c r="R70" s="167"/>
      <c r="S70" s="161">
        <f>AVERAGE(S68:U68)</f>
        <v>4580530.0250000004</v>
      </c>
      <c r="T70" s="161"/>
      <c r="U70" s="161"/>
      <c r="V70" s="132">
        <f>V68</f>
        <v>1063203.5999999999</v>
      </c>
      <c r="W70" s="161">
        <f>AVERAGE(W68:Y68)</f>
        <v>5643733.625</v>
      </c>
      <c r="X70" s="161"/>
      <c r="Y70" s="161"/>
      <c r="Z70" s="62"/>
      <c r="AA70" s="62"/>
    </row>
    <row r="71" spans="1:27" x14ac:dyDescent="0.25">
      <c r="Z71" s="62"/>
      <c r="AA71" s="62"/>
    </row>
    <row r="72" spans="1:27" x14ac:dyDescent="0.25">
      <c r="B72" s="3" t="s">
        <v>171</v>
      </c>
      <c r="C72" s="3"/>
      <c r="V72" s="52"/>
      <c r="X72" s="52"/>
      <c r="Z72" s="62"/>
      <c r="AA72" s="62"/>
    </row>
    <row r="73" spans="1:27" x14ac:dyDescent="0.25">
      <c r="B73" s="26">
        <f>ROUND(69.52*2.1,2)</f>
        <v>145.99</v>
      </c>
      <c r="C73" s="4" t="s">
        <v>172</v>
      </c>
      <c r="S73" s="95"/>
      <c r="T73" s="95"/>
      <c r="U73" s="95"/>
      <c r="V73" s="52"/>
      <c r="X73" s="52"/>
      <c r="Z73" s="62"/>
      <c r="AA73" s="62"/>
    </row>
    <row r="74" spans="1:27" x14ac:dyDescent="0.25">
      <c r="B74" s="26">
        <f>ROUND(50.44*2.1,2)</f>
        <v>105.92</v>
      </c>
      <c r="C74" s="4" t="s">
        <v>173</v>
      </c>
      <c r="S74" s="95"/>
      <c r="T74" s="95"/>
      <c r="U74" s="95"/>
      <c r="V74" s="52"/>
      <c r="Z74" s="62"/>
      <c r="AA74" s="62"/>
    </row>
    <row r="75" spans="1:27" x14ac:dyDescent="0.25">
      <c r="S75" s="95"/>
      <c r="T75" s="95"/>
      <c r="U75" s="95"/>
      <c r="Z75" s="62"/>
      <c r="AA75" s="62"/>
    </row>
    <row r="76" spans="1:27" x14ac:dyDescent="0.25">
      <c r="S76" s="95"/>
      <c r="T76" s="95"/>
      <c r="U76" s="95"/>
    </row>
    <row r="77" spans="1:27" x14ac:dyDescent="0.25">
      <c r="S77" s="95"/>
      <c r="T77" s="95"/>
      <c r="U77" s="95"/>
    </row>
    <row r="78" spans="1:27" x14ac:dyDescent="0.25">
      <c r="S78" s="95"/>
      <c r="T78" s="95"/>
      <c r="U78" s="95"/>
    </row>
    <row r="79" spans="1:27" x14ac:dyDescent="0.25">
      <c r="S79" s="95"/>
      <c r="T79" s="95"/>
      <c r="U79" s="95"/>
    </row>
    <row r="80" spans="1:27" x14ac:dyDescent="0.25">
      <c r="S80" s="95"/>
      <c r="T80" s="95"/>
      <c r="U80" s="95"/>
    </row>
    <row r="81" spans="19:21" x14ac:dyDescent="0.25">
      <c r="S81" s="95"/>
      <c r="T81" s="95"/>
      <c r="U81" s="95"/>
    </row>
    <row r="82" spans="19:21" x14ac:dyDescent="0.25">
      <c r="S82" s="95"/>
      <c r="T82" s="95"/>
      <c r="U82" s="95"/>
    </row>
    <row r="83" spans="19:21" x14ac:dyDescent="0.25">
      <c r="S83" s="95"/>
      <c r="T83" s="95"/>
      <c r="U83" s="95"/>
    </row>
    <row r="84" spans="19:21" x14ac:dyDescent="0.25">
      <c r="S84" s="95"/>
      <c r="T84" s="95"/>
      <c r="U84" s="95"/>
    </row>
    <row r="85" spans="19:21" x14ac:dyDescent="0.25">
      <c r="S85" s="95"/>
      <c r="T85" s="95"/>
      <c r="U85" s="95"/>
    </row>
    <row r="86" spans="19:21" x14ac:dyDescent="0.25">
      <c r="S86" s="95"/>
      <c r="T86" s="95"/>
      <c r="U86" s="95"/>
    </row>
    <row r="87" spans="19:21" x14ac:dyDescent="0.25">
      <c r="S87" s="95"/>
      <c r="T87" s="95"/>
      <c r="U87" s="95"/>
    </row>
    <row r="88" spans="19:21" x14ac:dyDescent="0.25">
      <c r="S88" s="95"/>
      <c r="T88" s="95"/>
      <c r="U88" s="95"/>
    </row>
    <row r="89" spans="19:21" x14ac:dyDescent="0.25">
      <c r="S89" s="95"/>
      <c r="T89" s="95"/>
      <c r="U89" s="95"/>
    </row>
    <row r="90" spans="19:21" x14ac:dyDescent="0.25">
      <c r="S90" s="95"/>
      <c r="T90" s="95"/>
      <c r="U90" s="95"/>
    </row>
    <row r="91" spans="19:21" x14ac:dyDescent="0.25">
      <c r="S91" s="95"/>
      <c r="T91" s="95"/>
      <c r="U91" s="95"/>
    </row>
    <row r="92" spans="19:21" x14ac:dyDescent="0.25">
      <c r="S92" s="95"/>
      <c r="T92" s="95"/>
      <c r="U92" s="95"/>
    </row>
    <row r="93" spans="19:21" x14ac:dyDescent="0.25">
      <c r="S93" s="95"/>
      <c r="T93" s="95"/>
      <c r="U93" s="95"/>
    </row>
    <row r="94" spans="19:21" x14ac:dyDescent="0.25">
      <c r="S94" s="95"/>
      <c r="T94" s="95"/>
      <c r="U94" s="95"/>
    </row>
    <row r="95" spans="19:21" x14ac:dyDescent="0.25">
      <c r="S95" s="95"/>
      <c r="T95" s="95"/>
      <c r="U95" s="95"/>
    </row>
    <row r="96" spans="19:21" x14ac:dyDescent="0.25">
      <c r="S96" s="95"/>
      <c r="T96" s="95"/>
      <c r="U96" s="95"/>
    </row>
    <row r="97" spans="19:21" x14ac:dyDescent="0.25">
      <c r="S97" s="95"/>
      <c r="T97" s="95"/>
      <c r="U97" s="95"/>
    </row>
    <row r="98" spans="19:21" x14ac:dyDescent="0.25">
      <c r="S98" s="95"/>
      <c r="T98" s="95"/>
      <c r="U98" s="95"/>
    </row>
    <row r="99" spans="19:21" x14ac:dyDescent="0.25">
      <c r="S99" s="95"/>
      <c r="T99" s="95"/>
      <c r="U99" s="95"/>
    </row>
    <row r="100" spans="19:21" x14ac:dyDescent="0.25">
      <c r="S100" s="95"/>
      <c r="T100" s="95"/>
      <c r="U100" s="95"/>
    </row>
    <row r="101" spans="19:21" x14ac:dyDescent="0.25">
      <c r="S101" s="95"/>
      <c r="T101" s="95"/>
      <c r="U101" s="95"/>
    </row>
    <row r="102" spans="19:21" x14ac:dyDescent="0.25">
      <c r="S102" s="95"/>
      <c r="T102" s="95"/>
      <c r="U102" s="95"/>
    </row>
    <row r="103" spans="19:21" x14ac:dyDescent="0.25">
      <c r="S103" s="95"/>
      <c r="T103" s="95"/>
      <c r="U103" s="95"/>
    </row>
    <row r="104" spans="19:21" x14ac:dyDescent="0.25">
      <c r="S104" s="95"/>
      <c r="T104" s="95"/>
      <c r="U104" s="95"/>
    </row>
    <row r="105" spans="19:21" x14ac:dyDescent="0.25">
      <c r="S105" s="95"/>
      <c r="T105" s="95"/>
      <c r="U105" s="95"/>
    </row>
    <row r="106" spans="19:21" x14ac:dyDescent="0.25">
      <c r="S106" s="95"/>
      <c r="T106" s="95"/>
      <c r="U106" s="95"/>
    </row>
    <row r="107" spans="19:21" x14ac:dyDescent="0.25">
      <c r="S107" s="95"/>
      <c r="T107" s="95"/>
      <c r="U107" s="95"/>
    </row>
    <row r="108" spans="19:21" x14ac:dyDescent="0.25">
      <c r="S108" s="95"/>
      <c r="T108" s="95"/>
      <c r="U108" s="95"/>
    </row>
    <row r="109" spans="19:21" x14ac:dyDescent="0.25">
      <c r="S109" s="95"/>
      <c r="T109" s="95"/>
      <c r="U109" s="95"/>
    </row>
    <row r="110" spans="19:21" x14ac:dyDescent="0.25">
      <c r="S110" s="95"/>
      <c r="T110" s="95"/>
      <c r="U110" s="95"/>
    </row>
    <row r="111" spans="19:21" x14ac:dyDescent="0.25">
      <c r="S111" s="95"/>
      <c r="T111" s="95"/>
      <c r="U111" s="95"/>
    </row>
    <row r="112" spans="19:21" x14ac:dyDescent="0.25">
      <c r="S112" s="95"/>
      <c r="T112" s="95"/>
      <c r="U112" s="95"/>
    </row>
    <row r="113" spans="19:21" x14ac:dyDescent="0.25">
      <c r="S113" s="95"/>
      <c r="T113" s="95"/>
      <c r="U113" s="95"/>
    </row>
    <row r="114" spans="19:21" x14ac:dyDescent="0.25">
      <c r="S114" s="95"/>
      <c r="T114" s="95"/>
      <c r="U114" s="95"/>
    </row>
    <row r="115" spans="19:21" x14ac:dyDescent="0.25">
      <c r="S115" s="95"/>
      <c r="T115" s="95"/>
      <c r="U115" s="95"/>
    </row>
    <row r="116" spans="19:21" x14ac:dyDescent="0.25">
      <c r="S116" s="95"/>
      <c r="T116" s="95"/>
      <c r="U116" s="95"/>
    </row>
    <row r="117" spans="19:21" x14ac:dyDescent="0.25">
      <c r="S117" s="95"/>
      <c r="T117" s="95"/>
      <c r="U117" s="95"/>
    </row>
    <row r="118" spans="19:21" x14ac:dyDescent="0.25">
      <c r="S118" s="95"/>
      <c r="T118" s="95"/>
      <c r="U118" s="95"/>
    </row>
    <row r="119" spans="19:21" x14ac:dyDescent="0.25">
      <c r="S119" s="95"/>
      <c r="T119" s="95"/>
      <c r="U119" s="95"/>
    </row>
    <row r="120" spans="19:21" x14ac:dyDescent="0.25">
      <c r="S120" s="95"/>
      <c r="T120" s="95"/>
      <c r="U120" s="95"/>
    </row>
    <row r="121" spans="19:21" x14ac:dyDescent="0.25">
      <c r="S121" s="95"/>
      <c r="T121" s="95"/>
      <c r="U121" s="95"/>
    </row>
    <row r="122" spans="19:21" x14ac:dyDescent="0.25">
      <c r="S122" s="95"/>
      <c r="T122" s="95"/>
      <c r="U122" s="95"/>
    </row>
    <row r="123" spans="19:21" x14ac:dyDescent="0.25">
      <c r="S123" s="95"/>
      <c r="T123" s="95"/>
      <c r="U123" s="95"/>
    </row>
    <row r="124" spans="19:21" x14ac:dyDescent="0.25">
      <c r="S124" s="95"/>
      <c r="T124" s="95"/>
      <c r="U124" s="95"/>
    </row>
    <row r="125" spans="19:21" x14ac:dyDescent="0.25">
      <c r="S125" s="95"/>
      <c r="T125" s="95"/>
      <c r="U125" s="95"/>
    </row>
    <row r="126" spans="19:21" x14ac:dyDescent="0.25">
      <c r="S126" s="95"/>
      <c r="T126" s="95"/>
      <c r="U126" s="95"/>
    </row>
    <row r="127" spans="19:21" x14ac:dyDescent="0.25">
      <c r="S127" s="95"/>
      <c r="T127" s="95"/>
      <c r="U127" s="95"/>
    </row>
    <row r="128" spans="19:21" x14ac:dyDescent="0.25">
      <c r="S128" s="95"/>
      <c r="T128" s="95"/>
      <c r="U128" s="95"/>
    </row>
    <row r="129" spans="19:21" x14ac:dyDescent="0.25">
      <c r="S129" s="95"/>
      <c r="T129" s="95"/>
      <c r="U129" s="95"/>
    </row>
    <row r="130" spans="19:21" x14ac:dyDescent="0.25">
      <c r="S130" s="95"/>
      <c r="T130" s="95"/>
      <c r="U130" s="95"/>
    </row>
    <row r="131" spans="19:21" x14ac:dyDescent="0.25">
      <c r="S131" s="96"/>
      <c r="T131" s="96"/>
      <c r="U131" s="96"/>
    </row>
  </sheetData>
  <mergeCells count="39">
    <mergeCell ref="B5:B13"/>
    <mergeCell ref="B60:B65"/>
    <mergeCell ref="B33:B36"/>
    <mergeCell ref="B37:B41"/>
    <mergeCell ref="B42:B45"/>
    <mergeCell ref="B48:B51"/>
    <mergeCell ref="B56:B59"/>
    <mergeCell ref="B28:B32"/>
    <mergeCell ref="B53:B55"/>
    <mergeCell ref="B46:B47"/>
    <mergeCell ref="B14:B25"/>
    <mergeCell ref="G3:G4"/>
    <mergeCell ref="H3:H4"/>
    <mergeCell ref="F3:F4"/>
    <mergeCell ref="B3:B4"/>
    <mergeCell ref="C3:C4"/>
    <mergeCell ref="D3:D4"/>
    <mergeCell ref="E3:E4"/>
    <mergeCell ref="W69:Y69"/>
    <mergeCell ref="W70:Y70"/>
    <mergeCell ref="V3:V4"/>
    <mergeCell ref="I3:I4"/>
    <mergeCell ref="P3:R3"/>
    <mergeCell ref="S3:U3"/>
    <mergeCell ref="S70:U70"/>
    <mergeCell ref="P70:R70"/>
    <mergeCell ref="M70:O70"/>
    <mergeCell ref="M69:O69"/>
    <mergeCell ref="P69:R69"/>
    <mergeCell ref="S69:U69"/>
    <mergeCell ref="W3:Y3"/>
    <mergeCell ref="M3:O3"/>
    <mergeCell ref="J3:L3"/>
    <mergeCell ref="AG3:AG4"/>
    <mergeCell ref="AB3:AB4"/>
    <mergeCell ref="AC3:AC4"/>
    <mergeCell ref="AD3:AD4"/>
    <mergeCell ref="AE3:AE4"/>
    <mergeCell ref="AF3:AF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55C8-1D19-4F25-A0B8-47767D45AEF1}">
  <sheetPr>
    <tabColor theme="4" tint="0.59999389629810485"/>
  </sheetPr>
  <dimension ref="A1:X12"/>
  <sheetViews>
    <sheetView workbookViewId="0">
      <selection activeCell="H6" sqref="H6"/>
    </sheetView>
  </sheetViews>
  <sheetFormatPr defaultRowHeight="15" x14ac:dyDescent="0.25"/>
  <cols>
    <col min="1" max="1" width="28.42578125" customWidth="1"/>
    <col min="2" max="2" width="38.42578125" bestFit="1" customWidth="1"/>
    <col min="3" max="3" width="9.85546875" customWidth="1"/>
    <col min="4" max="4" width="10" customWidth="1"/>
    <col min="5" max="6" width="9.5703125" customWidth="1"/>
    <col min="7" max="7" width="10.5703125" customWidth="1"/>
    <col min="8" max="8" width="10.42578125" customWidth="1"/>
    <col min="21" max="21" width="9.5703125" customWidth="1"/>
    <col min="22" max="24" width="9.7109375" customWidth="1"/>
  </cols>
  <sheetData>
    <row r="1" spans="1:24" ht="51.6" customHeight="1" x14ac:dyDescent="0.25">
      <c r="A1" s="177" t="s">
        <v>30</v>
      </c>
      <c r="B1" s="177" t="s">
        <v>140</v>
      </c>
      <c r="C1" s="172" t="s">
        <v>141</v>
      </c>
      <c r="D1" s="162" t="s">
        <v>174</v>
      </c>
      <c r="E1" s="162" t="s">
        <v>175</v>
      </c>
      <c r="F1" s="162" t="s">
        <v>176</v>
      </c>
      <c r="G1" s="162" t="s">
        <v>177</v>
      </c>
      <c r="H1" s="162" t="s">
        <v>178</v>
      </c>
      <c r="I1" s="164" t="s">
        <v>145</v>
      </c>
      <c r="J1" s="165"/>
      <c r="K1" s="165"/>
      <c r="L1" s="164" t="s">
        <v>146</v>
      </c>
      <c r="M1" s="165"/>
      <c r="N1" s="166"/>
      <c r="O1" s="164" t="s">
        <v>179</v>
      </c>
      <c r="P1" s="165"/>
      <c r="Q1" s="166"/>
      <c r="R1" s="164" t="s">
        <v>180</v>
      </c>
      <c r="S1" s="165"/>
      <c r="T1" s="166"/>
      <c r="U1" s="162" t="s">
        <v>181</v>
      </c>
      <c r="V1" s="164" t="s">
        <v>182</v>
      </c>
      <c r="W1" s="165"/>
      <c r="X1" s="166"/>
    </row>
    <row r="2" spans="1:24" x14ac:dyDescent="0.25">
      <c r="A2" s="178"/>
      <c r="B2" s="178"/>
      <c r="C2" s="173"/>
      <c r="D2" s="163"/>
      <c r="E2" s="163"/>
      <c r="F2" s="163"/>
      <c r="G2" s="163"/>
      <c r="H2" s="163"/>
      <c r="I2" s="135" t="s">
        <v>157</v>
      </c>
      <c r="J2" s="135" t="s">
        <v>158</v>
      </c>
      <c r="K2" s="135" t="s">
        <v>159</v>
      </c>
      <c r="L2" s="135" t="s">
        <v>157</v>
      </c>
      <c r="M2" s="135" t="s">
        <v>158</v>
      </c>
      <c r="N2" s="135" t="s">
        <v>159</v>
      </c>
      <c r="O2" s="135" t="s">
        <v>157</v>
      </c>
      <c r="P2" s="135" t="s">
        <v>158</v>
      </c>
      <c r="Q2" s="135" t="s">
        <v>159</v>
      </c>
      <c r="R2" s="135" t="s">
        <v>157</v>
      </c>
      <c r="S2" s="135" t="s">
        <v>158</v>
      </c>
      <c r="T2" s="135" t="s">
        <v>159</v>
      </c>
      <c r="U2" s="163"/>
      <c r="V2" s="135" t="s">
        <v>157</v>
      </c>
      <c r="W2" s="135" t="s">
        <v>158</v>
      </c>
      <c r="X2" s="135" t="s">
        <v>159</v>
      </c>
    </row>
    <row r="3" spans="1:24" x14ac:dyDescent="0.25">
      <c r="A3" s="142" t="str">
        <f>'Respondent Burden - ICR'!B5</f>
        <v>HFC Producer</v>
      </c>
      <c r="B3" s="130" t="str">
        <f>'Respondent Burden - ICR'!C12</f>
        <v>Submit quarterly production for export report</v>
      </c>
      <c r="C3" s="41">
        <f>'Respondent Burden - ICR'!D12</f>
        <v>4</v>
      </c>
      <c r="D3" s="41">
        <f>'Respondent Burden - ICR'!E12</f>
        <v>3</v>
      </c>
      <c r="E3" s="41">
        <f>'Respondent Burden - ICR'!F12</f>
        <v>0</v>
      </c>
      <c r="F3" s="17">
        <f t="shared" ref="F3:F4" si="0">C3*(D3+E3)</f>
        <v>12</v>
      </c>
      <c r="G3" s="16">
        <f>(C3*D3*'Respondent Burden - ICR'!$B$73)+(C3*E3*'Respondent Burden - ICR'!$B$74)</f>
        <v>1751.88</v>
      </c>
      <c r="H3" s="15">
        <v>0</v>
      </c>
      <c r="I3" s="58">
        <f>'Respondent Burden - ICR'!J11</f>
        <v>1</v>
      </c>
      <c r="J3" s="58">
        <f>'Respondent Burden - ICR'!K11</f>
        <v>1</v>
      </c>
      <c r="K3" s="58">
        <f>'Respondent Burden - ICR'!L11</f>
        <v>1</v>
      </c>
      <c r="L3" s="27">
        <f t="shared" ref="L3:L4" si="1">$C3*I3</f>
        <v>4</v>
      </c>
      <c r="M3" s="27">
        <f t="shared" ref="M3:M4" si="2">$C3*J3</f>
        <v>4</v>
      </c>
      <c r="N3" s="27">
        <f t="shared" ref="N3:N4" si="3">$C3*K3</f>
        <v>4</v>
      </c>
      <c r="O3" s="59">
        <f t="shared" ref="O3:O4" si="4">I3*$F3</f>
        <v>12</v>
      </c>
      <c r="P3" s="59">
        <f t="shared" ref="P3:P4" si="5">J3*$F3</f>
        <v>12</v>
      </c>
      <c r="Q3" s="59">
        <f t="shared" ref="Q3:Q4" si="6">K3*$F3</f>
        <v>12</v>
      </c>
      <c r="R3" s="15">
        <f t="shared" ref="R3:R4" si="7">$G3*I3</f>
        <v>1751.88</v>
      </c>
      <c r="S3" s="15">
        <f t="shared" ref="S3:S4" si="8">$G3*J3</f>
        <v>1751.88</v>
      </c>
      <c r="T3" s="15">
        <f t="shared" ref="T3:T4" si="9">$G3*K3</f>
        <v>1751.88</v>
      </c>
      <c r="U3" s="15">
        <f t="shared" ref="U3:U4" si="10">H3*I3</f>
        <v>0</v>
      </c>
      <c r="V3" s="16">
        <f t="shared" ref="V3:V4" si="11">R3+$U3</f>
        <v>1751.88</v>
      </c>
      <c r="W3" s="16">
        <f t="shared" ref="W3:W4" si="12">S3+$U3</f>
        <v>1751.88</v>
      </c>
      <c r="X3" s="16">
        <f t="shared" ref="X3:X4" si="13">T3+$U3</f>
        <v>1751.88</v>
      </c>
    </row>
    <row r="4" spans="1:24" x14ac:dyDescent="0.25">
      <c r="A4" s="144"/>
      <c r="B4" s="130" t="str">
        <f>'Respondent Burden - ICR'!C13</f>
        <v>Submit annual production for export certification</v>
      </c>
      <c r="C4" s="41">
        <f>'Respondent Burden - ICR'!D13</f>
        <v>1</v>
      </c>
      <c r="D4" s="41">
        <f>'Respondent Burden - ICR'!E13</f>
        <v>2</v>
      </c>
      <c r="E4" s="41">
        <f>'Respondent Burden - ICR'!F13</f>
        <v>0</v>
      </c>
      <c r="F4" s="17">
        <f t="shared" si="0"/>
        <v>2</v>
      </c>
      <c r="G4" s="16">
        <f>(C4*D4*'Respondent Burden - ICR'!$B$73)+(C4*E4*'Respondent Burden - ICR'!$B$74)</f>
        <v>291.98</v>
      </c>
      <c r="H4" s="15">
        <v>0</v>
      </c>
      <c r="I4" s="58">
        <f>'Respondent Burden - ICR'!J12</f>
        <v>1</v>
      </c>
      <c r="J4" s="58">
        <f>'Respondent Burden - ICR'!K12</f>
        <v>1</v>
      </c>
      <c r="K4" s="58">
        <f>'Respondent Burden - ICR'!L12</f>
        <v>1</v>
      </c>
      <c r="L4" s="27">
        <f t="shared" si="1"/>
        <v>1</v>
      </c>
      <c r="M4" s="27">
        <f t="shared" si="2"/>
        <v>1</v>
      </c>
      <c r="N4" s="27">
        <f t="shared" si="3"/>
        <v>1</v>
      </c>
      <c r="O4" s="59">
        <f t="shared" si="4"/>
        <v>2</v>
      </c>
      <c r="P4" s="59">
        <f t="shared" si="5"/>
        <v>2</v>
      </c>
      <c r="Q4" s="59">
        <f t="shared" si="6"/>
        <v>2</v>
      </c>
      <c r="R4" s="15">
        <f t="shared" si="7"/>
        <v>291.98</v>
      </c>
      <c r="S4" s="15">
        <f t="shared" si="8"/>
        <v>291.98</v>
      </c>
      <c r="T4" s="15">
        <f t="shared" si="9"/>
        <v>291.98</v>
      </c>
      <c r="U4" s="15">
        <f t="shared" si="10"/>
        <v>0</v>
      </c>
      <c r="V4" s="16">
        <f t="shared" si="11"/>
        <v>291.98</v>
      </c>
      <c r="W4" s="16">
        <f t="shared" si="12"/>
        <v>291.98</v>
      </c>
      <c r="X4" s="16">
        <f t="shared" si="13"/>
        <v>291.98</v>
      </c>
    </row>
    <row r="5" spans="1:24" ht="24" x14ac:dyDescent="0.25">
      <c r="A5" s="129" t="s">
        <v>67</v>
      </c>
      <c r="B5" s="130" t="str">
        <f>'Respondent Burden - ICR'!C25</f>
        <v>Maintain records on HFCs purchased at government auction</v>
      </c>
      <c r="C5" s="41">
        <f>'Respondent Burden - ICR'!D25</f>
        <v>1</v>
      </c>
      <c r="D5" s="41">
        <f>'Respondent Burden - ICR'!E25</f>
        <v>0</v>
      </c>
      <c r="E5" s="41">
        <f>'Respondent Burden - ICR'!F25</f>
        <v>1</v>
      </c>
      <c r="F5" s="17">
        <f t="shared" ref="F5" si="14">C5*(D5+E5)</f>
        <v>1</v>
      </c>
      <c r="G5" s="16">
        <f>(C5*D5*'Respondent Burden - ICR'!$B$73)+(C5*E5*'Respondent Burden - ICR'!$B$74)</f>
        <v>105.92</v>
      </c>
      <c r="H5" s="15">
        <v>50</v>
      </c>
      <c r="I5" s="58">
        <f>'Respondent Burden - ICR'!J25</f>
        <v>10</v>
      </c>
      <c r="J5" s="58">
        <f>'Respondent Burden - ICR'!K25</f>
        <v>10</v>
      </c>
      <c r="K5" s="58">
        <f>'Respondent Burden - ICR'!L25</f>
        <v>10</v>
      </c>
      <c r="L5" s="27">
        <f t="shared" ref="L5" si="15">$C5*I5</f>
        <v>10</v>
      </c>
      <c r="M5" s="27">
        <f t="shared" ref="M5" si="16">$C5*J5</f>
        <v>10</v>
      </c>
      <c r="N5" s="27">
        <f t="shared" ref="N5" si="17">$C5*K5</f>
        <v>10</v>
      </c>
      <c r="O5" s="59">
        <f t="shared" ref="O5" si="18">I5*$F5</f>
        <v>10</v>
      </c>
      <c r="P5" s="59">
        <f t="shared" ref="P5" si="19">J5*$F5</f>
        <v>10</v>
      </c>
      <c r="Q5" s="59">
        <f t="shared" ref="Q5" si="20">K5*$F5</f>
        <v>10</v>
      </c>
      <c r="R5" s="15">
        <f t="shared" ref="R5" si="21">$G5*I5</f>
        <v>1059.2</v>
      </c>
      <c r="S5" s="15">
        <f t="shared" ref="S5" si="22">$G5*J5</f>
        <v>1059.2</v>
      </c>
      <c r="T5" s="15">
        <f t="shared" ref="T5" si="23">$G5*K5</f>
        <v>1059.2</v>
      </c>
      <c r="U5" s="15">
        <f t="shared" ref="U5" si="24">H5*I5</f>
        <v>500</v>
      </c>
      <c r="V5" s="16">
        <f t="shared" ref="V5" si="25">R5+$U5</f>
        <v>1559.2</v>
      </c>
      <c r="W5" s="16">
        <f t="shared" ref="W5" si="26">S5+$U5</f>
        <v>1559.2</v>
      </c>
      <c r="X5" s="16">
        <f t="shared" ref="X5" si="27">T5+$U5</f>
        <v>1559.2</v>
      </c>
    </row>
    <row r="6" spans="1:24" ht="36" x14ac:dyDescent="0.25">
      <c r="A6" s="130" t="str">
        <f>'Respondent Burden - ICR'!B60</f>
        <v>Application-Specific Allowance Holders</v>
      </c>
      <c r="B6" s="130" t="str">
        <f>'Respondent Burden - ICR'!C65</f>
        <v>Submit mid-year request for additional consumption allowances in the event of a public health emergency (MDIs)</v>
      </c>
      <c r="C6" s="41">
        <f>'Respondent Burden - ICR'!D65</f>
        <v>1</v>
      </c>
      <c r="D6" s="41">
        <f>'Respondent Burden - ICR'!E65</f>
        <v>6</v>
      </c>
      <c r="E6" s="41">
        <f>'Respondent Burden - ICR'!F65</f>
        <v>0</v>
      </c>
      <c r="F6" s="17">
        <f>C6*(D6+E6)</f>
        <v>6</v>
      </c>
      <c r="G6" s="16">
        <f>(C6*D6*'Respondent Burden - ICR'!$B$73)+(C6*E6*'Respondent Burden - ICR'!$B$74)</f>
        <v>875.94</v>
      </c>
      <c r="H6" s="15">
        <v>0</v>
      </c>
      <c r="I6" s="58">
        <f>'Respondent Burden - ICR'!J65</f>
        <v>8</v>
      </c>
      <c r="J6" s="58">
        <f>'Respondent Burden - ICR'!K65</f>
        <v>8</v>
      </c>
      <c r="K6" s="58">
        <f>'Respondent Burden - ICR'!L65</f>
        <v>8</v>
      </c>
      <c r="L6" s="27">
        <f>$C6*I6</f>
        <v>8</v>
      </c>
      <c r="M6" s="27">
        <f>$C6*J6</f>
        <v>8</v>
      </c>
      <c r="N6" s="27">
        <f>$C6*K6</f>
        <v>8</v>
      </c>
      <c r="O6" s="59">
        <f>I6*$F6</f>
        <v>48</v>
      </c>
      <c r="P6" s="59">
        <f>J6*$F6</f>
        <v>48</v>
      </c>
      <c r="Q6" s="59">
        <f>K6*$F6</f>
        <v>48</v>
      </c>
      <c r="R6" s="15">
        <f>$G6*I6</f>
        <v>7007.52</v>
      </c>
      <c r="S6" s="15">
        <f>$G6*J6</f>
        <v>7007.52</v>
      </c>
      <c r="T6" s="15">
        <f>$G6*K6</f>
        <v>7007.52</v>
      </c>
      <c r="U6" s="15">
        <f>H6*I6</f>
        <v>0</v>
      </c>
      <c r="V6" s="16">
        <f>R6+$U6</f>
        <v>7007.52</v>
      </c>
      <c r="W6" s="16">
        <f>S6+$U6</f>
        <v>7007.52</v>
      </c>
      <c r="X6" s="16">
        <f>T6+$U6</f>
        <v>7007.52</v>
      </c>
    </row>
    <row r="7" spans="1:24" ht="24" x14ac:dyDescent="0.25">
      <c r="A7" s="130" t="str">
        <f>'Respondent Burden - ICR'!B66</f>
        <v>Potential Application-Specific Allowance Holders</v>
      </c>
      <c r="B7" s="130" t="str">
        <f>'Respondent Burden - ICR'!C66</f>
        <v>Submit new application petition</v>
      </c>
      <c r="C7" s="5">
        <f>'Respondent Burden - ICR'!D66</f>
        <v>0.2</v>
      </c>
      <c r="D7" s="41">
        <f>'Respondent Burden - ICR'!E66</f>
        <v>90</v>
      </c>
      <c r="E7" s="41">
        <f>'Respondent Burden - ICR'!F66</f>
        <v>0</v>
      </c>
      <c r="F7" s="17">
        <f t="shared" ref="F7" si="28">C7*(D7+E7)</f>
        <v>18</v>
      </c>
      <c r="G7" s="16">
        <f>(C7*D7*'Respondent Burden - ICR'!$B$73)+(C7*E7*'Respondent Burden - ICR'!$B$74)</f>
        <v>2627.82</v>
      </c>
      <c r="H7" s="15">
        <v>0</v>
      </c>
      <c r="I7" s="58">
        <f>'Respondent Burden - ICR'!J66</f>
        <v>5</v>
      </c>
      <c r="J7" s="58">
        <f>'Respondent Burden - ICR'!K66</f>
        <v>5</v>
      </c>
      <c r="K7" s="58">
        <f>'Respondent Burden - ICR'!L66</f>
        <v>5</v>
      </c>
      <c r="L7" s="27">
        <f t="shared" ref="L7" si="29">$C7*I7</f>
        <v>1</v>
      </c>
      <c r="M7" s="27">
        <f t="shared" ref="M7" si="30">$C7*J7</f>
        <v>1</v>
      </c>
      <c r="N7" s="27">
        <f t="shared" ref="N7" si="31">$C7*K7</f>
        <v>1</v>
      </c>
      <c r="O7" s="59">
        <f t="shared" ref="O7" si="32">I7*$F7</f>
        <v>90</v>
      </c>
      <c r="P7" s="59">
        <f t="shared" ref="P7" si="33">J7*$F7</f>
        <v>90</v>
      </c>
      <c r="Q7" s="59">
        <f t="shared" ref="Q7" si="34">K7*$F7</f>
        <v>90</v>
      </c>
      <c r="R7" s="15">
        <f t="shared" ref="R7" si="35">$G7*I7</f>
        <v>13139.1</v>
      </c>
      <c r="S7" s="15">
        <f t="shared" ref="S7" si="36">$G7*J7</f>
        <v>13139.1</v>
      </c>
      <c r="T7" s="15">
        <f t="shared" ref="T7" si="37">$G7*K7</f>
        <v>13139.1</v>
      </c>
      <c r="U7" s="15">
        <f t="shared" ref="U7" si="38">H7*I7</f>
        <v>0</v>
      </c>
      <c r="V7" s="16">
        <f t="shared" ref="V7" si="39">R7+$U7</f>
        <v>13139.1</v>
      </c>
      <c r="W7" s="16">
        <f t="shared" ref="W7" si="40">S7+$U7</f>
        <v>13139.1</v>
      </c>
      <c r="X7" s="16">
        <f t="shared" ref="X7" si="41">T7+$U7</f>
        <v>13139.1</v>
      </c>
    </row>
    <row r="8" spans="1:24" x14ac:dyDescent="0.25">
      <c r="V8" s="89">
        <f>SUM(V3:V7)</f>
        <v>23749.68</v>
      </c>
      <c r="W8" s="89">
        <f t="shared" ref="W8:X8" si="42">SUM(W3:W7)</f>
        <v>23749.68</v>
      </c>
      <c r="X8" s="89">
        <f t="shared" si="42"/>
        <v>23749.68</v>
      </c>
    </row>
    <row r="10" spans="1:24" x14ac:dyDescent="0.25">
      <c r="A10" s="3" t="s">
        <v>183</v>
      </c>
      <c r="B10" s="3"/>
    </row>
    <row r="11" spans="1:24" x14ac:dyDescent="0.25">
      <c r="A11" s="26">
        <f>'Respondent Burden - ICR'!B73</f>
        <v>145.99</v>
      </c>
      <c r="B11" s="4" t="s">
        <v>172</v>
      </c>
    </row>
    <row r="12" spans="1:24" x14ac:dyDescent="0.25">
      <c r="A12" s="26">
        <f>'Respondent Burden - ICR'!B74</f>
        <v>105.92</v>
      </c>
      <c r="B12" s="4" t="s">
        <v>173</v>
      </c>
    </row>
  </sheetData>
  <mergeCells count="15">
    <mergeCell ref="R1:T1"/>
    <mergeCell ref="U1:U2"/>
    <mergeCell ref="V1:X1"/>
    <mergeCell ref="C1:C2"/>
    <mergeCell ref="F1:F2"/>
    <mergeCell ref="G1:G2"/>
    <mergeCell ref="H1:H2"/>
    <mergeCell ref="I1:K1"/>
    <mergeCell ref="L1:N1"/>
    <mergeCell ref="O1:Q1"/>
    <mergeCell ref="A1:A2"/>
    <mergeCell ref="B1:B2"/>
    <mergeCell ref="D1:D2"/>
    <mergeCell ref="E1:E2"/>
    <mergeCell ref="A3:A4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4888-5887-425E-8671-9D48E4AADF1E}">
  <sheetPr>
    <tabColor theme="4" tint="0.59999389629810485"/>
  </sheetPr>
  <dimension ref="B2:H29"/>
  <sheetViews>
    <sheetView tabSelected="1" topLeftCell="A16" workbookViewId="0">
      <selection activeCell="G27" sqref="G27"/>
    </sheetView>
  </sheetViews>
  <sheetFormatPr defaultRowHeight="15" x14ac:dyDescent="0.25"/>
  <cols>
    <col min="1" max="1" width="9.140625" style="116"/>
    <col min="2" max="7" width="20.7109375" style="116" customWidth="1"/>
    <col min="8" max="8" width="10" style="116" bestFit="1" customWidth="1"/>
    <col min="9" max="16384" width="9.140625" style="116"/>
  </cols>
  <sheetData>
    <row r="2" spans="2:7" x14ac:dyDescent="0.25">
      <c r="B2" s="116" t="s">
        <v>184</v>
      </c>
    </row>
    <row r="3" spans="2:7" x14ac:dyDescent="0.25">
      <c r="B3" s="179" t="s">
        <v>151</v>
      </c>
      <c r="C3" s="179" t="s">
        <v>152</v>
      </c>
      <c r="D3" s="179" t="s">
        <v>153</v>
      </c>
      <c r="E3" s="180" t="s">
        <v>154</v>
      </c>
      <c r="F3" s="179" t="s">
        <v>155</v>
      </c>
      <c r="G3" s="179" t="s">
        <v>156</v>
      </c>
    </row>
    <row r="4" spans="2:7" x14ac:dyDescent="0.25">
      <c r="B4" s="179"/>
      <c r="C4" s="179"/>
      <c r="D4" s="179"/>
      <c r="E4" s="179"/>
      <c r="F4" s="179"/>
      <c r="G4" s="179"/>
    </row>
    <row r="5" spans="2:7" x14ac:dyDescent="0.25">
      <c r="B5" s="117" t="s">
        <v>160</v>
      </c>
      <c r="C5" s="118">
        <f>'[1]Respondent Burden - ICR'!AC5</f>
        <v>9637</v>
      </c>
      <c r="D5" s="118">
        <f>'[1]Respondent Burden - ICR'!AD5</f>
        <v>36085.5</v>
      </c>
      <c r="E5" s="119">
        <f>'[1]Respondent Burden - ICR'!AE5</f>
        <v>4110343.6149999993</v>
      </c>
      <c r="F5" s="119">
        <f>'[1]Respondent Burden - ICR'!AF5</f>
        <v>1028100.4</v>
      </c>
      <c r="G5" s="119">
        <f>'[1]Respondent Burden - ICR'!AG5</f>
        <v>5138444.0149999997</v>
      </c>
    </row>
    <row r="6" spans="2:7" x14ac:dyDescent="0.25">
      <c r="B6" s="117" t="s">
        <v>161</v>
      </c>
      <c r="C6" s="118">
        <f>'[1]Respondent Burden - ICR'!AC6</f>
        <v>9637</v>
      </c>
      <c r="D6" s="118">
        <f>'[1]Respondent Burden - ICR'!AD6</f>
        <v>36085.5</v>
      </c>
      <c r="E6" s="119">
        <f>'[1]Respondent Burden - ICR'!AE6</f>
        <v>4110343.6149999993</v>
      </c>
      <c r="F6" s="119">
        <f>'[1]Respondent Burden - ICR'!AF6</f>
        <v>1028100.4</v>
      </c>
      <c r="G6" s="119">
        <f>'[1]Respondent Burden - ICR'!AG6</f>
        <v>5138444.0149999997</v>
      </c>
    </row>
    <row r="7" spans="2:7" x14ac:dyDescent="0.25">
      <c r="B7" s="117" t="s">
        <v>162</v>
      </c>
      <c r="C7" s="118">
        <f>'[1]Respondent Burden - ICR'!AC7</f>
        <v>9637</v>
      </c>
      <c r="D7" s="118">
        <f>'[1]Respondent Burden - ICR'!AD7</f>
        <v>36085.5</v>
      </c>
      <c r="E7" s="119">
        <f>'[1]Respondent Burden - ICR'!AE7</f>
        <v>4110343.6149999993</v>
      </c>
      <c r="F7" s="119">
        <f>'[1]Respondent Burden - ICR'!AF7</f>
        <v>1028100.4</v>
      </c>
      <c r="G7" s="119">
        <f>'[1]Respondent Burden - ICR'!AG7</f>
        <v>5138444.0149999997</v>
      </c>
    </row>
    <row r="9" spans="2:7" x14ac:dyDescent="0.25">
      <c r="B9" s="116" t="s">
        <v>185</v>
      </c>
    </row>
    <row r="10" spans="2:7" x14ac:dyDescent="0.25">
      <c r="B10" s="179" t="s">
        <v>151</v>
      </c>
      <c r="C10" s="179" t="s">
        <v>152</v>
      </c>
      <c r="D10" s="179" t="s">
        <v>153</v>
      </c>
      <c r="E10" s="180" t="s">
        <v>154</v>
      </c>
      <c r="F10" s="179" t="s">
        <v>155</v>
      </c>
      <c r="G10" s="179" t="s">
        <v>156</v>
      </c>
    </row>
    <row r="11" spans="2:7" x14ac:dyDescent="0.25">
      <c r="B11" s="179"/>
      <c r="C11" s="179"/>
      <c r="D11" s="179"/>
      <c r="E11" s="179"/>
      <c r="F11" s="179"/>
      <c r="G11" s="179"/>
    </row>
    <row r="12" spans="2:7" x14ac:dyDescent="0.25">
      <c r="B12" s="117" t="s">
        <v>160</v>
      </c>
      <c r="C12" s="118">
        <f>'Respondent Burden - ICR'!AC5</f>
        <v>9661</v>
      </c>
      <c r="D12" s="118">
        <f>'Respondent Burden - ICR'!AD5</f>
        <v>36247.5</v>
      </c>
      <c r="E12" s="119">
        <f>'Respondent Burden - ICR'!AE5</f>
        <v>4580530.0250000004</v>
      </c>
      <c r="F12" s="119">
        <f>'Respondent Burden - ICR'!AF5</f>
        <v>1063203.5999999999</v>
      </c>
      <c r="G12" s="119">
        <f>'Respondent Burden - ICR'!AG5</f>
        <v>5643733.625</v>
      </c>
    </row>
    <row r="13" spans="2:7" x14ac:dyDescent="0.25">
      <c r="B13" s="117" t="s">
        <v>161</v>
      </c>
      <c r="C13" s="118">
        <f>'Respondent Burden - ICR'!AC6</f>
        <v>9661</v>
      </c>
      <c r="D13" s="118">
        <f>'Respondent Burden - ICR'!AD6</f>
        <v>36247.5</v>
      </c>
      <c r="E13" s="119">
        <f>'Respondent Burden - ICR'!AE6</f>
        <v>4580530.0250000004</v>
      </c>
      <c r="F13" s="119">
        <f>'Respondent Burden - ICR'!AF6</f>
        <v>1063203.5999999999</v>
      </c>
      <c r="G13" s="119">
        <f>'Respondent Burden - ICR'!AG6</f>
        <v>5643733.625</v>
      </c>
    </row>
    <row r="14" spans="2:7" x14ac:dyDescent="0.25">
      <c r="B14" s="117" t="s">
        <v>162</v>
      </c>
      <c r="C14" s="118">
        <f>'Respondent Burden - ICR'!AC7</f>
        <v>9661</v>
      </c>
      <c r="D14" s="118">
        <f>'Respondent Burden - ICR'!AD7</f>
        <v>36247.5</v>
      </c>
      <c r="E14" s="119">
        <f>'Respondent Burden - ICR'!AE7</f>
        <v>4580530.0250000004</v>
      </c>
      <c r="F14" s="119">
        <f>'Respondent Burden - ICR'!AF7</f>
        <v>1063203.5999999999</v>
      </c>
      <c r="G14" s="119">
        <f>'Respondent Burden - ICR'!AG7</f>
        <v>5643733.625</v>
      </c>
    </row>
    <row r="15" spans="2:7" x14ac:dyDescent="0.25">
      <c r="B15" s="120" t="s">
        <v>163</v>
      </c>
      <c r="C15" s="121">
        <f>'Respondent Burden - ICR'!AC8</f>
        <v>9661</v>
      </c>
      <c r="D15" s="121">
        <f>'Respondent Burden - ICR'!AD8</f>
        <v>36247.5</v>
      </c>
      <c r="E15" s="122">
        <f>'Respondent Burden - ICR'!AE8</f>
        <v>4580530.0250000004</v>
      </c>
      <c r="F15" s="122">
        <f>'Respondent Burden - ICR'!AF8</f>
        <v>1063203.5999999999</v>
      </c>
      <c r="G15" s="122">
        <f>'Respondent Burden - ICR'!AG8</f>
        <v>5643733.625</v>
      </c>
    </row>
    <row r="17" spans="2:8" x14ac:dyDescent="0.25">
      <c r="B17" s="123" t="s">
        <v>186</v>
      </c>
    </row>
    <row r="18" spans="2:8" x14ac:dyDescent="0.25">
      <c r="B18" s="179" t="s">
        <v>151</v>
      </c>
      <c r="C18" s="179" t="s">
        <v>187</v>
      </c>
      <c r="D18" s="179" t="s">
        <v>188</v>
      </c>
      <c r="E18" s="180" t="s">
        <v>189</v>
      </c>
      <c r="F18" s="179" t="s">
        <v>190</v>
      </c>
      <c r="G18" s="179" t="s">
        <v>191</v>
      </c>
    </row>
    <row r="19" spans="2:8" ht="20.25" customHeight="1" x14ac:dyDescent="0.25">
      <c r="B19" s="179"/>
      <c r="C19" s="179"/>
      <c r="D19" s="179"/>
      <c r="E19" s="179"/>
      <c r="F19" s="179"/>
      <c r="G19" s="179"/>
    </row>
    <row r="20" spans="2:8" x14ac:dyDescent="0.25">
      <c r="B20" s="117" t="s">
        <v>160</v>
      </c>
      <c r="C20" s="118">
        <f>C12-C5</f>
        <v>24</v>
      </c>
      <c r="D20" s="118">
        <f>D12-D5</f>
        <v>162</v>
      </c>
      <c r="E20" s="119">
        <f>E12-E5</f>
        <v>470186.41000000108</v>
      </c>
      <c r="F20" s="119">
        <f>F12-F5</f>
        <v>35103.199999999837</v>
      </c>
      <c r="G20" s="119">
        <f>G12-G5</f>
        <v>505289.61000000034</v>
      </c>
      <c r="H20" s="124"/>
    </row>
    <row r="21" spans="2:8" x14ac:dyDescent="0.25">
      <c r="B21" s="117" t="s">
        <v>161</v>
      </c>
      <c r="C21" s="118">
        <f>C13-C6</f>
        <v>24</v>
      </c>
      <c r="D21" s="118">
        <f t="shared" ref="D21:G22" si="0">D13-D6</f>
        <v>162</v>
      </c>
      <c r="E21" s="119">
        <f t="shared" si="0"/>
        <v>470186.41000000108</v>
      </c>
      <c r="F21" s="119">
        <f t="shared" si="0"/>
        <v>35103.199999999837</v>
      </c>
      <c r="G21" s="119">
        <f t="shared" si="0"/>
        <v>505289.61000000034</v>
      </c>
      <c r="H21" s="124"/>
    </row>
    <row r="22" spans="2:8" x14ac:dyDescent="0.25">
      <c r="B22" s="117" t="s">
        <v>162</v>
      </c>
      <c r="C22" s="118">
        <f>C14-C7</f>
        <v>24</v>
      </c>
      <c r="D22" s="118">
        <f t="shared" si="0"/>
        <v>162</v>
      </c>
      <c r="E22" s="119">
        <f t="shared" si="0"/>
        <v>470186.41000000108</v>
      </c>
      <c r="F22" s="119">
        <f t="shared" si="0"/>
        <v>35103.199999999837</v>
      </c>
      <c r="G22" s="119">
        <f t="shared" si="0"/>
        <v>505289.61000000034</v>
      </c>
      <c r="H22" s="124"/>
    </row>
    <row r="24" spans="2:8" x14ac:dyDescent="0.25">
      <c r="B24" s="125" t="s">
        <v>192</v>
      </c>
    </row>
    <row r="25" spans="2:8" ht="33" customHeight="1" x14ac:dyDescent="0.25">
      <c r="B25" s="126" t="s">
        <v>193</v>
      </c>
      <c r="C25" s="126" t="s">
        <v>160</v>
      </c>
      <c r="D25" s="126" t="s">
        <v>161</v>
      </c>
      <c r="E25" s="126" t="s">
        <v>162</v>
      </c>
    </row>
    <row r="26" spans="2:8" ht="18.75" customHeight="1" x14ac:dyDescent="0.25">
      <c r="B26" s="117" t="s">
        <v>194</v>
      </c>
      <c r="C26" s="119">
        <f>E20+F20-C27</f>
        <v>481539.93000000092</v>
      </c>
      <c r="D26" s="119">
        <f>E21+F21-D27</f>
        <v>481539.93000000092</v>
      </c>
      <c r="E26" s="119">
        <f>E22+F22-E27</f>
        <v>481539.93000000092</v>
      </c>
      <c r="H26" s="141"/>
    </row>
    <row r="27" spans="2:8" ht="18" customHeight="1" x14ac:dyDescent="0.25">
      <c r="B27" s="117" t="s">
        <v>195</v>
      </c>
      <c r="C27" s="119">
        <f>'Incremental Costs'!V8</f>
        <v>23749.68</v>
      </c>
      <c r="D27" s="119">
        <f>'Incremental Costs'!W8</f>
        <v>23749.68</v>
      </c>
      <c r="E27" s="119">
        <f>'Incremental Costs'!X8</f>
        <v>23749.68</v>
      </c>
    </row>
    <row r="28" spans="2:8" x14ac:dyDescent="0.25">
      <c r="B28" s="127" t="s">
        <v>196</v>
      </c>
      <c r="C28" s="115"/>
      <c r="D28" s="115"/>
      <c r="E28" s="115"/>
    </row>
    <row r="29" spans="2:8" x14ac:dyDescent="0.25">
      <c r="B29" s="116" t="s">
        <v>197</v>
      </c>
    </row>
  </sheetData>
  <mergeCells count="18">
    <mergeCell ref="G18:G19"/>
    <mergeCell ref="G10:G11"/>
    <mergeCell ref="B10:B11"/>
    <mergeCell ref="C10:C11"/>
    <mergeCell ref="D10:D11"/>
    <mergeCell ref="E10:E11"/>
    <mergeCell ref="F10:F11"/>
    <mergeCell ref="B18:B19"/>
    <mergeCell ref="C18:C19"/>
    <mergeCell ref="D18:D19"/>
    <mergeCell ref="E18:E19"/>
    <mergeCell ref="F18:F19"/>
    <mergeCell ref="D3:D4"/>
    <mergeCell ref="E3:E4"/>
    <mergeCell ref="F3:F4"/>
    <mergeCell ref="G3:G4"/>
    <mergeCell ref="B3:B4"/>
    <mergeCell ref="C3:C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8265-A74A-4269-A9AC-56CB0E2E4201}">
  <sheetPr codeName="Sheet3">
    <tabColor theme="7" tint="0.59999389629810485"/>
  </sheetPr>
  <dimension ref="A1:G33"/>
  <sheetViews>
    <sheetView workbookViewId="0">
      <selection activeCell="B18" sqref="B18"/>
    </sheetView>
  </sheetViews>
  <sheetFormatPr defaultRowHeight="15" x14ac:dyDescent="0.25"/>
  <cols>
    <col min="1" max="1" width="4.42578125" customWidth="1"/>
    <col min="2" max="2" width="42.5703125" customWidth="1"/>
    <col min="3" max="6" width="11.85546875" customWidth="1"/>
    <col min="7" max="7" width="61.85546875" customWidth="1"/>
  </cols>
  <sheetData>
    <row r="1" spans="1:7" s="20" customFormat="1" ht="18.75" x14ac:dyDescent="0.3">
      <c r="A1" s="20" t="s">
        <v>198</v>
      </c>
    </row>
    <row r="4" spans="1:7" ht="36" x14ac:dyDescent="0.25">
      <c r="B4" s="138" t="s">
        <v>140</v>
      </c>
      <c r="C4" s="135" t="s">
        <v>199</v>
      </c>
      <c r="D4" s="135" t="s">
        <v>200</v>
      </c>
      <c r="E4" s="135" t="s">
        <v>201</v>
      </c>
      <c r="F4" s="135" t="s">
        <v>202</v>
      </c>
      <c r="G4" s="135" t="s">
        <v>203</v>
      </c>
    </row>
    <row r="5" spans="1:7" x14ac:dyDescent="0.25">
      <c r="B5" s="136" t="s">
        <v>204</v>
      </c>
      <c r="C5" s="30">
        <v>0.1</v>
      </c>
      <c r="D5" s="30">
        <v>1</v>
      </c>
      <c r="E5" s="30">
        <v>0</v>
      </c>
      <c r="F5" s="30">
        <v>1</v>
      </c>
      <c r="G5" s="136" t="s">
        <v>205</v>
      </c>
    </row>
    <row r="6" spans="1:7" x14ac:dyDescent="0.25">
      <c r="B6" s="136" t="s">
        <v>206</v>
      </c>
      <c r="C6" s="30">
        <v>0</v>
      </c>
      <c r="D6" s="30">
        <v>0.33</v>
      </c>
      <c r="E6" s="90">
        <v>0</v>
      </c>
      <c r="F6" s="30">
        <v>0.5</v>
      </c>
      <c r="G6" s="136" t="s">
        <v>207</v>
      </c>
    </row>
    <row r="7" spans="1:7" x14ac:dyDescent="0.25">
      <c r="B7" s="136" t="s">
        <v>208</v>
      </c>
      <c r="C7" s="31">
        <v>0.1</v>
      </c>
      <c r="D7" s="31">
        <v>0.5</v>
      </c>
      <c r="E7" s="31">
        <v>0</v>
      </c>
      <c r="F7" s="31">
        <v>0.5</v>
      </c>
      <c r="G7" s="136" t="s">
        <v>209</v>
      </c>
    </row>
    <row r="8" spans="1:7" x14ac:dyDescent="0.25">
      <c r="B8" s="136" t="s">
        <v>210</v>
      </c>
      <c r="C8" s="31">
        <v>0.1</v>
      </c>
      <c r="D8" s="31">
        <v>1</v>
      </c>
      <c r="E8" s="31">
        <v>0</v>
      </c>
      <c r="F8" s="31">
        <v>0.5</v>
      </c>
      <c r="G8" s="136" t="s">
        <v>205</v>
      </c>
    </row>
    <row r="9" spans="1:7" x14ac:dyDescent="0.25">
      <c r="B9" s="137" t="s">
        <v>211</v>
      </c>
      <c r="C9" s="31">
        <v>0.1</v>
      </c>
      <c r="D9" s="31">
        <v>1</v>
      </c>
      <c r="E9" s="31">
        <v>0</v>
      </c>
      <c r="F9" s="31">
        <v>0</v>
      </c>
      <c r="G9" s="136"/>
    </row>
    <row r="10" spans="1:7" x14ac:dyDescent="0.25">
      <c r="B10" s="136" t="s">
        <v>212</v>
      </c>
      <c r="C10" s="30">
        <v>0.1</v>
      </c>
      <c r="D10" s="30">
        <v>2</v>
      </c>
      <c r="E10" s="30">
        <v>0</v>
      </c>
      <c r="F10" s="30">
        <v>4</v>
      </c>
      <c r="G10" s="136" t="s">
        <v>213</v>
      </c>
    </row>
    <row r="11" spans="1:7" x14ac:dyDescent="0.25">
      <c r="B11" s="136" t="s">
        <v>214</v>
      </c>
      <c r="C11" s="30">
        <v>0</v>
      </c>
      <c r="D11" s="30">
        <v>2</v>
      </c>
      <c r="E11" s="31">
        <v>0</v>
      </c>
      <c r="F11" s="30">
        <v>2</v>
      </c>
      <c r="G11" s="136" t="s">
        <v>215</v>
      </c>
    </row>
    <row r="12" spans="1:7" x14ac:dyDescent="0.25">
      <c r="B12" s="136" t="s">
        <v>216</v>
      </c>
      <c r="C12" s="30">
        <v>4</v>
      </c>
      <c r="D12" s="75">
        <v>60</v>
      </c>
      <c r="E12" s="30">
        <v>0</v>
      </c>
      <c r="F12" s="30">
        <v>120</v>
      </c>
      <c r="G12" s="136" t="s">
        <v>215</v>
      </c>
    </row>
    <row r="13" spans="1:7" x14ac:dyDescent="0.25">
      <c r="B13" s="136" t="s">
        <v>217</v>
      </c>
      <c r="C13" s="31">
        <v>40</v>
      </c>
      <c r="D13" s="31">
        <v>750</v>
      </c>
      <c r="E13" s="31">
        <v>0</v>
      </c>
      <c r="F13" s="31">
        <v>1800</v>
      </c>
      <c r="G13" s="136" t="s">
        <v>213</v>
      </c>
    </row>
    <row r="14" spans="1:7" x14ac:dyDescent="0.25">
      <c r="B14" s="136" t="s">
        <v>218</v>
      </c>
      <c r="C14" s="31">
        <v>0.01</v>
      </c>
      <c r="D14" s="31">
        <v>0.25</v>
      </c>
      <c r="E14" s="31">
        <v>0</v>
      </c>
      <c r="F14" s="31">
        <v>0.1</v>
      </c>
      <c r="G14" s="136" t="s">
        <v>213</v>
      </c>
    </row>
    <row r="15" spans="1:7" x14ac:dyDescent="0.25">
      <c r="B15" s="136" t="s">
        <v>219</v>
      </c>
      <c r="C15" s="31">
        <v>120</v>
      </c>
      <c r="D15" s="31">
        <v>2500</v>
      </c>
      <c r="E15" s="31">
        <v>0</v>
      </c>
      <c r="F15" s="31">
        <v>750</v>
      </c>
      <c r="G15" s="136" t="s">
        <v>213</v>
      </c>
    </row>
    <row r="16" spans="1:7" x14ac:dyDescent="0.25">
      <c r="B16" s="136" t="s">
        <v>220</v>
      </c>
      <c r="C16" s="30">
        <v>20</v>
      </c>
      <c r="D16" s="30">
        <v>80</v>
      </c>
      <c r="E16" s="31">
        <v>0</v>
      </c>
      <c r="F16" s="30">
        <v>80</v>
      </c>
      <c r="G16" s="136" t="s">
        <v>205</v>
      </c>
    </row>
    <row r="17" spans="2:7" x14ac:dyDescent="0.25">
      <c r="B17" s="136" t="s">
        <v>221</v>
      </c>
      <c r="C17" s="30">
        <v>200</v>
      </c>
      <c r="D17" s="30">
        <v>500</v>
      </c>
      <c r="E17" s="31">
        <v>0</v>
      </c>
      <c r="F17" s="30">
        <v>1000</v>
      </c>
      <c r="G17" s="136" t="s">
        <v>213</v>
      </c>
    </row>
    <row r="18" spans="2:7" ht="23.1" customHeight="1" x14ac:dyDescent="0.25"/>
    <row r="19" spans="2:7" x14ac:dyDescent="0.25">
      <c r="B19" s="172" t="s">
        <v>140</v>
      </c>
      <c r="C19" s="183" t="s">
        <v>222</v>
      </c>
      <c r="D19" s="183"/>
      <c r="E19" s="183"/>
      <c r="F19" s="184" t="s">
        <v>203</v>
      </c>
      <c r="G19" s="185"/>
    </row>
    <row r="20" spans="2:7" x14ac:dyDescent="0.25">
      <c r="B20" s="173"/>
      <c r="C20" s="135" t="s">
        <v>157</v>
      </c>
      <c r="D20" s="135" t="s">
        <v>158</v>
      </c>
      <c r="E20" s="135" t="s">
        <v>159</v>
      </c>
      <c r="F20" s="186"/>
      <c r="G20" s="187"/>
    </row>
    <row r="21" spans="2:7" ht="26.25" customHeight="1" x14ac:dyDescent="0.25">
      <c r="B21" s="136" t="str">
        <f t="shared" ref="B21:B32" si="0">B5</f>
        <v>Notify Submitters of Baseline Allowances</v>
      </c>
      <c r="C21" s="32">
        <f>'Respondent Burden - ICR'!J6+'Respondent Burden - ICR'!J14</f>
        <v>85</v>
      </c>
      <c r="D21" s="32">
        <f>'Respondent Burden - ICR'!K6+'Respondent Burden - ICR'!K14</f>
        <v>85</v>
      </c>
      <c r="E21" s="32">
        <f>'Respondent Burden - ICR'!L6+'Respondent Burden - ICR'!L14</f>
        <v>85</v>
      </c>
      <c r="F21" s="188" t="s">
        <v>223</v>
      </c>
      <c r="G21" s="188"/>
    </row>
    <row r="22" spans="2:7" ht="26.25" customHeight="1" x14ac:dyDescent="0.25">
      <c r="B22" s="136" t="str">
        <f t="shared" si="0"/>
        <v>Review Data for Reporting Completeness and Compliance</v>
      </c>
      <c r="C22" s="33">
        <f>SUMIF('Respondent Burden - ICR'!$A$5:$A$67,"1",'Respondent Burden - ICR'!M5:M67)</f>
        <v>1161</v>
      </c>
      <c r="D22" s="33">
        <f>SUMIF('Respondent Burden - ICR'!$A$5:$A$67,"1",'Respondent Burden - ICR'!N5:N67)</f>
        <v>1161</v>
      </c>
      <c r="E22" s="33">
        <f>SUMIF('Respondent Burden - ICR'!$A$5:$A$67,"1",'Respondent Burden - ICR'!O5:O67)</f>
        <v>1161</v>
      </c>
      <c r="F22" s="188" t="s">
        <v>224</v>
      </c>
      <c r="G22" s="188"/>
    </row>
    <row r="23" spans="2:7" x14ac:dyDescent="0.25">
      <c r="B23" s="136" t="str">
        <f t="shared" si="0"/>
        <v>Process Transfer Reports</v>
      </c>
      <c r="C23" s="32">
        <f>SUM('Respondent Burden - ICR'!M56:M59)</f>
        <v>40</v>
      </c>
      <c r="D23" s="32">
        <f>SUM('Respondent Burden - ICR'!N56:N59)</f>
        <v>40</v>
      </c>
      <c r="E23" s="32">
        <f>SUM('Respondent Burden - ICR'!O56:O59)</f>
        <v>40</v>
      </c>
      <c r="F23" s="188" t="s">
        <v>225</v>
      </c>
      <c r="G23" s="188"/>
    </row>
    <row r="24" spans="2:7" x14ac:dyDescent="0.25">
      <c r="B24" s="136" t="str">
        <f t="shared" si="0"/>
        <v>Review Petitions to Import HFCs</v>
      </c>
      <c r="C24" s="32">
        <f>'Respondent Burden - ICR'!M17+'Respondent Burden - ICR'!M18</f>
        <v>94</v>
      </c>
      <c r="D24" s="32">
        <f>'Respondent Burden - ICR'!N17+'Respondent Burden - ICR'!N18</f>
        <v>94</v>
      </c>
      <c r="E24" s="32">
        <f>'Respondent Burden - ICR'!O17+'Respondent Burden - ICR'!O18</f>
        <v>94</v>
      </c>
      <c r="F24" s="188" t="s">
        <v>226</v>
      </c>
      <c r="G24" s="188"/>
    </row>
    <row r="25" spans="2:7" x14ac:dyDescent="0.25">
      <c r="B25" s="137" t="str">
        <f t="shared" si="0"/>
        <v>Review Importer of Record Reports</v>
      </c>
      <c r="C25" s="32">
        <f>'Respondent Burden - ICR'!J14</f>
        <v>75</v>
      </c>
      <c r="D25" s="32">
        <f>'Respondent Burden - ICR'!K14</f>
        <v>75</v>
      </c>
      <c r="E25" s="32">
        <f>'Respondent Burden - ICR'!L14</f>
        <v>75</v>
      </c>
      <c r="F25" s="189" t="s">
        <v>227</v>
      </c>
      <c r="G25" s="189"/>
    </row>
    <row r="26" spans="2:7" x14ac:dyDescent="0.25">
      <c r="B26" s="136" t="str">
        <f t="shared" si="0"/>
        <v>Review Third-Party Audits</v>
      </c>
      <c r="C26" s="32">
        <f>'Respondent Burden - ICR'!M67</f>
        <v>162</v>
      </c>
      <c r="D26" s="32">
        <f>'Respondent Burden - ICR'!N67</f>
        <v>162</v>
      </c>
      <c r="E26" s="32">
        <f>'Respondent Burden - ICR'!O67</f>
        <v>162</v>
      </c>
      <c r="F26" s="188"/>
      <c r="G26" s="188"/>
    </row>
    <row r="27" spans="2:7" x14ac:dyDescent="0.25">
      <c r="B27" s="136" t="str">
        <f t="shared" si="0"/>
        <v>Provide Reporting Guidance</v>
      </c>
      <c r="C27" s="32">
        <v>40</v>
      </c>
      <c r="D27" s="34">
        <f t="shared" ref="D27:D32" si="1">C27</f>
        <v>40</v>
      </c>
      <c r="E27" s="34">
        <f t="shared" ref="E27:E32" si="2">C27</f>
        <v>40</v>
      </c>
      <c r="F27" s="188" t="s">
        <v>209</v>
      </c>
      <c r="G27" s="188"/>
    </row>
    <row r="28" spans="2:7" x14ac:dyDescent="0.25">
      <c r="B28" s="136" t="str">
        <f t="shared" si="0"/>
        <v>Conduct Stakeholder Outreach Efforts</v>
      </c>
      <c r="C28" s="32">
        <v>1</v>
      </c>
      <c r="D28" s="34">
        <f t="shared" si="1"/>
        <v>1</v>
      </c>
      <c r="E28" s="34">
        <f t="shared" si="2"/>
        <v>1</v>
      </c>
      <c r="F28" s="188"/>
      <c r="G28" s="188"/>
    </row>
    <row r="29" spans="2:7" x14ac:dyDescent="0.25">
      <c r="B29" s="136" t="str">
        <f t="shared" si="0"/>
        <v>Maintain the Data Tracking System</v>
      </c>
      <c r="C29" s="32">
        <v>1</v>
      </c>
      <c r="D29" s="34">
        <f t="shared" si="1"/>
        <v>1</v>
      </c>
      <c r="E29" s="34">
        <f t="shared" si="2"/>
        <v>1</v>
      </c>
      <c r="F29" s="188"/>
      <c r="G29" s="188"/>
    </row>
    <row r="30" spans="2:7" x14ac:dyDescent="0.25">
      <c r="B30" s="136" t="str">
        <f t="shared" si="0"/>
        <v>Review Import Data Submitted in ACE</v>
      </c>
      <c r="C30" s="33">
        <f>'Respondent Burden - ICR'!M17</f>
        <v>84</v>
      </c>
      <c r="D30" s="33">
        <f>'Respondent Burden - ICR'!N17</f>
        <v>84</v>
      </c>
      <c r="E30" s="33">
        <f>'Respondent Burden - ICR'!O17</f>
        <v>84</v>
      </c>
      <c r="F30" s="190" t="s">
        <v>228</v>
      </c>
      <c r="G30" s="191"/>
    </row>
    <row r="31" spans="2:7" x14ac:dyDescent="0.25">
      <c r="B31" s="136" t="str">
        <f t="shared" si="0"/>
        <v>Conduct Compliance Monitoring Activities</v>
      </c>
      <c r="C31" s="32">
        <v>2</v>
      </c>
      <c r="D31" s="34">
        <v>2</v>
      </c>
      <c r="E31" s="34">
        <v>2</v>
      </c>
      <c r="F31" s="188" t="s">
        <v>229</v>
      </c>
      <c r="G31" s="188"/>
    </row>
    <row r="32" spans="2:7" x14ac:dyDescent="0.25">
      <c r="B32" s="136" t="str">
        <f t="shared" si="0"/>
        <v>Ensure Non-Exceedance of AIM Act Limits</v>
      </c>
      <c r="C32" s="32">
        <v>1</v>
      </c>
      <c r="D32" s="34">
        <f t="shared" si="1"/>
        <v>1</v>
      </c>
      <c r="E32" s="34">
        <f t="shared" si="2"/>
        <v>1</v>
      </c>
      <c r="F32" s="188"/>
      <c r="G32" s="188"/>
    </row>
    <row r="33" spans="2:7" x14ac:dyDescent="0.25">
      <c r="B33" s="136" t="s">
        <v>221</v>
      </c>
      <c r="C33" s="30">
        <v>0.2</v>
      </c>
      <c r="D33" s="107">
        <v>0.2</v>
      </c>
      <c r="E33" s="107">
        <v>0.2</v>
      </c>
      <c r="F33" s="181" t="s">
        <v>230</v>
      </c>
      <c r="G33" s="182"/>
    </row>
  </sheetData>
  <mergeCells count="16">
    <mergeCell ref="F33:G33"/>
    <mergeCell ref="B19:B20"/>
    <mergeCell ref="C19:E19"/>
    <mergeCell ref="F19:G20"/>
    <mergeCell ref="F28:G28"/>
    <mergeCell ref="F25:G25"/>
    <mergeCell ref="F29:G29"/>
    <mergeCell ref="F32:G32"/>
    <mergeCell ref="F31:G31"/>
    <mergeCell ref="F26:G26"/>
    <mergeCell ref="F21:G21"/>
    <mergeCell ref="F22:G22"/>
    <mergeCell ref="F23:G23"/>
    <mergeCell ref="F24:G24"/>
    <mergeCell ref="F27:G27"/>
    <mergeCell ref="F30:G30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56B4-CC75-4716-B3AE-B0F18E03C64D}">
  <sheetPr codeName="Sheet4">
    <tabColor theme="7" tint="0.59999389629810485"/>
  </sheetPr>
  <dimension ref="A1:AF32"/>
  <sheetViews>
    <sheetView workbookViewId="0">
      <selection activeCell="D25" sqref="D25"/>
    </sheetView>
  </sheetViews>
  <sheetFormatPr defaultRowHeight="15" x14ac:dyDescent="0.25"/>
  <cols>
    <col min="1" max="1" width="4.85546875" customWidth="1"/>
    <col min="2" max="2" width="51.140625" customWidth="1"/>
    <col min="3" max="6" width="11" customWidth="1"/>
    <col min="7" max="9" width="7.5703125" customWidth="1"/>
    <col min="10" max="10" width="8.5703125" customWidth="1"/>
    <col min="11" max="12" width="8.42578125" bestFit="1" customWidth="1"/>
    <col min="13" max="13" width="6.140625" customWidth="1"/>
    <col min="14" max="16" width="8.85546875" customWidth="1"/>
    <col min="17" max="19" width="9.140625" bestFit="1" customWidth="1"/>
    <col min="20" max="20" width="10.7109375" customWidth="1"/>
    <col min="21" max="22" width="8.85546875" customWidth="1"/>
    <col min="23" max="28" width="9.140625" bestFit="1" customWidth="1"/>
    <col min="30" max="30" width="13.85546875" bestFit="1" customWidth="1"/>
    <col min="32" max="32" width="11.140625" bestFit="1" customWidth="1"/>
  </cols>
  <sheetData>
    <row r="1" spans="1:32" s="20" customFormat="1" ht="18.75" x14ac:dyDescent="0.3">
      <c r="A1" s="20" t="s">
        <v>231</v>
      </c>
    </row>
    <row r="3" spans="1:32" ht="15.95" customHeight="1" x14ac:dyDescent="0.25">
      <c r="B3" s="193" t="s">
        <v>140</v>
      </c>
      <c r="C3" s="183" t="s">
        <v>232</v>
      </c>
      <c r="D3" s="183" t="s">
        <v>233</v>
      </c>
      <c r="E3" s="183" t="s">
        <v>234</v>
      </c>
      <c r="F3" s="183" t="s">
        <v>235</v>
      </c>
      <c r="G3" s="184" t="s">
        <v>236</v>
      </c>
      <c r="H3" s="192"/>
      <c r="I3" s="185"/>
      <c r="J3" s="164" t="s">
        <v>237</v>
      </c>
      <c r="K3" s="165"/>
      <c r="L3" s="166"/>
      <c r="N3" s="164" t="s">
        <v>238</v>
      </c>
      <c r="O3" s="165"/>
      <c r="P3" s="166"/>
      <c r="Q3" s="164" t="s">
        <v>239</v>
      </c>
      <c r="R3" s="165"/>
      <c r="S3" s="166"/>
      <c r="T3" s="164" t="s">
        <v>240</v>
      </c>
      <c r="U3" s="165"/>
      <c r="V3" s="166"/>
      <c r="W3" s="164" t="s">
        <v>241</v>
      </c>
      <c r="X3" s="165"/>
      <c r="Y3" s="166"/>
      <c r="Z3" s="164" t="s">
        <v>242</v>
      </c>
      <c r="AA3" s="165"/>
      <c r="AB3" s="166"/>
      <c r="AD3" s="156" t="s">
        <v>151</v>
      </c>
      <c r="AE3" s="156" t="s">
        <v>153</v>
      </c>
      <c r="AF3" s="156" t="s">
        <v>156</v>
      </c>
    </row>
    <row r="4" spans="1:32" ht="18.75" customHeight="1" x14ac:dyDescent="0.25">
      <c r="B4" s="193"/>
      <c r="C4" s="183"/>
      <c r="D4" s="183"/>
      <c r="E4" s="183"/>
      <c r="F4" s="183"/>
      <c r="G4" s="135" t="s">
        <v>157</v>
      </c>
      <c r="H4" s="135" t="s">
        <v>158</v>
      </c>
      <c r="I4" s="135" t="s">
        <v>159</v>
      </c>
      <c r="J4" s="135" t="s">
        <v>157</v>
      </c>
      <c r="K4" s="135" t="s">
        <v>158</v>
      </c>
      <c r="L4" s="135" t="s">
        <v>159</v>
      </c>
      <c r="N4" s="135" t="s">
        <v>157</v>
      </c>
      <c r="O4" s="135" t="s">
        <v>158</v>
      </c>
      <c r="P4" s="135" t="s">
        <v>159</v>
      </c>
      <c r="Q4" s="135" t="s">
        <v>157</v>
      </c>
      <c r="R4" s="135" t="s">
        <v>158</v>
      </c>
      <c r="S4" s="135" t="s">
        <v>159</v>
      </c>
      <c r="T4" s="135" t="s">
        <v>157</v>
      </c>
      <c r="U4" s="135" t="s">
        <v>158</v>
      </c>
      <c r="V4" s="135" t="s">
        <v>159</v>
      </c>
      <c r="W4" s="135" t="s">
        <v>157</v>
      </c>
      <c r="X4" s="135" t="s">
        <v>158</v>
      </c>
      <c r="Y4" s="135" t="s">
        <v>159</v>
      </c>
      <c r="Z4" s="135" t="s">
        <v>157</v>
      </c>
      <c r="AA4" s="135" t="s">
        <v>158</v>
      </c>
      <c r="AB4" s="135" t="s">
        <v>159</v>
      </c>
      <c r="AD4" s="156"/>
      <c r="AE4" s="156"/>
      <c r="AF4" s="156"/>
    </row>
    <row r="5" spans="1:32" x14ac:dyDescent="0.25">
      <c r="B5" s="136" t="str">
        <f>'Agency Assumptions'!B5</f>
        <v>Notify Submitters of Baseline Allowances</v>
      </c>
      <c r="C5" s="73">
        <f>'Agency Assumptions'!C5</f>
        <v>0.1</v>
      </c>
      <c r="D5" s="73">
        <f>'Agency Assumptions'!D5</f>
        <v>1</v>
      </c>
      <c r="E5" s="73">
        <f>'Agency Assumptions'!E5</f>
        <v>0</v>
      </c>
      <c r="F5" s="73">
        <f>'Agency Assumptions'!F5</f>
        <v>1</v>
      </c>
      <c r="G5" s="18">
        <f>'Agency Assumptions'!C21</f>
        <v>85</v>
      </c>
      <c r="H5" s="18">
        <f>'Agency Assumptions'!D21</f>
        <v>85</v>
      </c>
      <c r="I5" s="18">
        <f>'Agency Assumptions'!E21</f>
        <v>85</v>
      </c>
      <c r="J5" s="18">
        <f t="shared" ref="J5:J15" si="0">SUM($C5:$F5)*G5</f>
        <v>178.5</v>
      </c>
      <c r="K5" s="18">
        <f t="shared" ref="K5:K15" si="1">SUM($C5:$F5)*H5</f>
        <v>178.5</v>
      </c>
      <c r="L5" s="18">
        <f t="shared" ref="L5:L15" si="2">SUM($C5:$F5)*I5</f>
        <v>178.5</v>
      </c>
      <c r="N5" s="15">
        <f t="shared" ref="N5:N17" si="3">$C5*G5*$F$23</f>
        <v>1092.25</v>
      </c>
      <c r="O5" s="15">
        <f t="shared" ref="O5:O17" si="4">$C5*H5*$F$23</f>
        <v>1092.25</v>
      </c>
      <c r="P5" s="15">
        <f t="shared" ref="P5:P17" si="5">$C5*I5*$F$23</f>
        <v>1092.25</v>
      </c>
      <c r="Q5" s="15">
        <f t="shared" ref="Q5:Q17" si="6">$D5*G5*$F$24</f>
        <v>7858.25</v>
      </c>
      <c r="R5" s="15">
        <f t="shared" ref="R5:R17" si="7">$D5*H5*$F$24</f>
        <v>7858.25</v>
      </c>
      <c r="S5" s="15">
        <f t="shared" ref="S5:S17" si="8">$D5*I5*$F$24</f>
        <v>7858.25</v>
      </c>
      <c r="T5" s="15">
        <f t="shared" ref="T5:T17" si="9">$E5*G5*$F$25</f>
        <v>0</v>
      </c>
      <c r="U5" s="15">
        <f t="shared" ref="U5:U17" si="10">$E5*H5*$F$25</f>
        <v>0</v>
      </c>
      <c r="V5" s="15">
        <f t="shared" ref="V5:V17" si="11">$E5*I5*$F$25</f>
        <v>0</v>
      </c>
      <c r="W5" s="15">
        <f t="shared" ref="W5:W17" si="12">$F5*G5*$F$26</f>
        <v>11656.05</v>
      </c>
      <c r="X5" s="15">
        <f t="shared" ref="X5:X17" si="13">$F5*H5*$F$26</f>
        <v>11656.05</v>
      </c>
      <c r="Y5" s="15">
        <f t="shared" ref="Y5:Y17" si="14">$F5*I5*$F$26</f>
        <v>11656.05</v>
      </c>
      <c r="Z5" s="15">
        <f t="shared" ref="Z5:Z15" si="15">N5+Q5+T5+W5</f>
        <v>20606.55</v>
      </c>
      <c r="AA5" s="15">
        <f t="shared" ref="AA5:AA15" si="16">O5+R5+U5+X5</f>
        <v>20606.55</v>
      </c>
      <c r="AB5" s="15">
        <f t="shared" ref="AB5:AB15" si="17">P5+S5+V5+Y5</f>
        <v>20606.55</v>
      </c>
      <c r="AD5" s="53" t="s">
        <v>160</v>
      </c>
      <c r="AE5" s="54">
        <f>J18</f>
        <v>12631.47</v>
      </c>
      <c r="AF5" s="55">
        <f>Z18</f>
        <v>1412801.2154999999</v>
      </c>
    </row>
    <row r="6" spans="1:32" ht="15.95" customHeight="1" x14ac:dyDescent="0.25">
      <c r="B6" s="136" t="str">
        <f>'Agency Assumptions'!B6</f>
        <v>Review Data for Reporting Completeness and Compliance</v>
      </c>
      <c r="C6" s="73">
        <f>'Agency Assumptions'!C6</f>
        <v>0</v>
      </c>
      <c r="D6" s="73">
        <f>'Agency Assumptions'!D6</f>
        <v>0.33</v>
      </c>
      <c r="E6" s="73">
        <f>'Agency Assumptions'!E6</f>
        <v>0</v>
      </c>
      <c r="F6" s="73">
        <f>'Agency Assumptions'!F6</f>
        <v>0.5</v>
      </c>
      <c r="G6" s="18">
        <f>'Agency Assumptions'!C22</f>
        <v>1161</v>
      </c>
      <c r="H6" s="18">
        <f>'Agency Assumptions'!D22</f>
        <v>1161</v>
      </c>
      <c r="I6" s="18">
        <f>'Agency Assumptions'!E22</f>
        <v>1161</v>
      </c>
      <c r="J6" s="18">
        <f t="shared" si="0"/>
        <v>963.63000000000011</v>
      </c>
      <c r="K6" s="18">
        <f t="shared" si="1"/>
        <v>963.63000000000011</v>
      </c>
      <c r="L6" s="18">
        <f t="shared" si="2"/>
        <v>963.63000000000011</v>
      </c>
      <c r="N6" s="15">
        <f t="shared" si="3"/>
        <v>0</v>
      </c>
      <c r="O6" s="15">
        <f t="shared" si="4"/>
        <v>0</v>
      </c>
      <c r="P6" s="15">
        <f t="shared" si="5"/>
        <v>0</v>
      </c>
      <c r="Q6" s="15">
        <f t="shared" si="6"/>
        <v>35420.368500000004</v>
      </c>
      <c r="R6" s="15">
        <f t="shared" si="7"/>
        <v>35420.368500000004</v>
      </c>
      <c r="S6" s="15">
        <f t="shared" si="8"/>
        <v>35420.368500000004</v>
      </c>
      <c r="T6" s="15">
        <f t="shared" si="9"/>
        <v>0</v>
      </c>
      <c r="U6" s="15">
        <f t="shared" si="10"/>
        <v>0</v>
      </c>
      <c r="V6" s="15">
        <f t="shared" si="11"/>
        <v>0</v>
      </c>
      <c r="W6" s="15">
        <f t="shared" si="12"/>
        <v>79603.964999999997</v>
      </c>
      <c r="X6" s="15">
        <f t="shared" si="13"/>
        <v>79603.964999999997</v>
      </c>
      <c r="Y6" s="15">
        <f t="shared" si="14"/>
        <v>79603.964999999997</v>
      </c>
      <c r="Z6" s="15">
        <f t="shared" si="15"/>
        <v>115024.33350000001</v>
      </c>
      <c r="AA6" s="15">
        <f t="shared" si="16"/>
        <v>115024.33350000001</v>
      </c>
      <c r="AB6" s="15">
        <f t="shared" si="17"/>
        <v>115024.33350000001</v>
      </c>
      <c r="AD6" s="53" t="s">
        <v>161</v>
      </c>
      <c r="AE6" s="54">
        <f>K18</f>
        <v>12631.47</v>
      </c>
      <c r="AF6" s="55">
        <f>AA18</f>
        <v>1412801.2154999999</v>
      </c>
    </row>
    <row r="7" spans="1:32" x14ac:dyDescent="0.25">
      <c r="B7" s="136" t="str">
        <f>'Agency Assumptions'!B7</f>
        <v>Process Transfer Reports</v>
      </c>
      <c r="C7" s="73">
        <f>'Agency Assumptions'!C7</f>
        <v>0.1</v>
      </c>
      <c r="D7" s="73">
        <f>'Agency Assumptions'!D7</f>
        <v>0.5</v>
      </c>
      <c r="E7" s="73">
        <f>'Agency Assumptions'!E7</f>
        <v>0</v>
      </c>
      <c r="F7" s="73">
        <f>'Agency Assumptions'!F7</f>
        <v>0.5</v>
      </c>
      <c r="G7" s="18">
        <f>'Agency Assumptions'!C23</f>
        <v>40</v>
      </c>
      <c r="H7" s="18">
        <f>'Agency Assumptions'!D23</f>
        <v>40</v>
      </c>
      <c r="I7" s="18">
        <f>'Agency Assumptions'!E23</f>
        <v>40</v>
      </c>
      <c r="J7" s="18">
        <f t="shared" si="0"/>
        <v>44</v>
      </c>
      <c r="K7" s="18">
        <f t="shared" si="1"/>
        <v>44</v>
      </c>
      <c r="L7" s="18">
        <f t="shared" si="2"/>
        <v>44</v>
      </c>
      <c r="N7" s="15">
        <f t="shared" si="3"/>
        <v>514</v>
      </c>
      <c r="O7" s="15">
        <f t="shared" si="4"/>
        <v>514</v>
      </c>
      <c r="P7" s="15">
        <f t="shared" si="5"/>
        <v>514</v>
      </c>
      <c r="Q7" s="15">
        <f t="shared" si="6"/>
        <v>1849</v>
      </c>
      <c r="R7" s="15">
        <f t="shared" si="7"/>
        <v>1849</v>
      </c>
      <c r="S7" s="15">
        <f t="shared" si="8"/>
        <v>1849</v>
      </c>
      <c r="T7" s="15">
        <f t="shared" si="9"/>
        <v>0</v>
      </c>
      <c r="U7" s="15">
        <f t="shared" si="10"/>
        <v>0</v>
      </c>
      <c r="V7" s="15">
        <f t="shared" si="11"/>
        <v>0</v>
      </c>
      <c r="W7" s="15">
        <f t="shared" si="12"/>
        <v>2742.6</v>
      </c>
      <c r="X7" s="15">
        <f t="shared" si="13"/>
        <v>2742.6</v>
      </c>
      <c r="Y7" s="15">
        <f t="shared" si="14"/>
        <v>2742.6</v>
      </c>
      <c r="Z7" s="15">
        <f t="shared" si="15"/>
        <v>5105.6000000000004</v>
      </c>
      <c r="AA7" s="15">
        <f t="shared" si="16"/>
        <v>5105.6000000000004</v>
      </c>
      <c r="AB7" s="15">
        <f t="shared" si="17"/>
        <v>5105.6000000000004</v>
      </c>
      <c r="AD7" s="53" t="s">
        <v>162</v>
      </c>
      <c r="AE7" s="54">
        <f>L18</f>
        <v>12631.47</v>
      </c>
      <c r="AF7" s="55">
        <f>AB18</f>
        <v>1412801.2154999999</v>
      </c>
    </row>
    <row r="8" spans="1:32" ht="15.95" customHeight="1" x14ac:dyDescent="0.25">
      <c r="B8" s="136" t="str">
        <f>'Agency Assumptions'!B8</f>
        <v>Review Petitions to Import HFCs</v>
      </c>
      <c r="C8" s="73">
        <f>'Agency Assumptions'!C8</f>
        <v>0.1</v>
      </c>
      <c r="D8" s="73">
        <f>'Agency Assumptions'!D8</f>
        <v>1</v>
      </c>
      <c r="E8" s="73">
        <f>'Agency Assumptions'!E8</f>
        <v>0</v>
      </c>
      <c r="F8" s="73">
        <f>'Agency Assumptions'!F8</f>
        <v>0.5</v>
      </c>
      <c r="G8" s="18">
        <f>'Agency Assumptions'!C24</f>
        <v>94</v>
      </c>
      <c r="H8" s="18">
        <f>'Agency Assumptions'!D24</f>
        <v>94</v>
      </c>
      <c r="I8" s="18">
        <f>'Agency Assumptions'!E24</f>
        <v>94</v>
      </c>
      <c r="J8" s="18">
        <f t="shared" si="0"/>
        <v>150.4</v>
      </c>
      <c r="K8" s="18">
        <f t="shared" si="1"/>
        <v>150.4</v>
      </c>
      <c r="L8" s="18">
        <f t="shared" si="2"/>
        <v>150.4</v>
      </c>
      <c r="N8" s="15">
        <f t="shared" si="3"/>
        <v>1207.9000000000001</v>
      </c>
      <c r="O8" s="15">
        <f t="shared" si="4"/>
        <v>1207.9000000000001</v>
      </c>
      <c r="P8" s="15">
        <f t="shared" si="5"/>
        <v>1207.9000000000001</v>
      </c>
      <c r="Q8" s="15">
        <f t="shared" si="6"/>
        <v>8690.3000000000011</v>
      </c>
      <c r="R8" s="15">
        <f t="shared" si="7"/>
        <v>8690.3000000000011</v>
      </c>
      <c r="S8" s="15">
        <f t="shared" si="8"/>
        <v>8690.3000000000011</v>
      </c>
      <c r="T8" s="15">
        <f t="shared" si="9"/>
        <v>0</v>
      </c>
      <c r="U8" s="15">
        <f t="shared" si="10"/>
        <v>0</v>
      </c>
      <c r="V8" s="15">
        <f t="shared" si="11"/>
        <v>0</v>
      </c>
      <c r="W8" s="15">
        <f t="shared" si="12"/>
        <v>6445.11</v>
      </c>
      <c r="X8" s="15">
        <f t="shared" si="13"/>
        <v>6445.11</v>
      </c>
      <c r="Y8" s="15">
        <f t="shared" si="14"/>
        <v>6445.11</v>
      </c>
      <c r="Z8" s="15">
        <f t="shared" si="15"/>
        <v>16343.310000000001</v>
      </c>
      <c r="AA8" s="15">
        <f t="shared" si="16"/>
        <v>16343.310000000001</v>
      </c>
      <c r="AB8" s="15">
        <f t="shared" si="17"/>
        <v>16343.310000000001</v>
      </c>
      <c r="AD8" s="53" t="s">
        <v>163</v>
      </c>
      <c r="AE8" s="54">
        <f>AVERAGE(AE5:AE7)</f>
        <v>12631.47</v>
      </c>
      <c r="AF8" s="55">
        <f>AVERAGE(AF5:AF7)</f>
        <v>1412801.2154999999</v>
      </c>
    </row>
    <row r="9" spans="1:32" x14ac:dyDescent="0.25">
      <c r="B9" s="137" t="str">
        <f>'Agency Assumptions'!B9</f>
        <v>Review Importer of Record Reports</v>
      </c>
      <c r="C9" s="73">
        <f>'Agency Assumptions'!C9</f>
        <v>0.1</v>
      </c>
      <c r="D9" s="73">
        <f>'Agency Assumptions'!D9</f>
        <v>1</v>
      </c>
      <c r="E9" s="73">
        <f>'Agency Assumptions'!E9</f>
        <v>0</v>
      </c>
      <c r="F9" s="73">
        <f>'Agency Assumptions'!F9</f>
        <v>0</v>
      </c>
      <c r="G9" s="18">
        <f>'Agency Assumptions'!C25</f>
        <v>75</v>
      </c>
      <c r="H9" s="18">
        <f>'Agency Assumptions'!D25</f>
        <v>75</v>
      </c>
      <c r="I9" s="18">
        <f>'Agency Assumptions'!E25</f>
        <v>75</v>
      </c>
      <c r="J9" s="18">
        <f t="shared" si="0"/>
        <v>82.5</v>
      </c>
      <c r="K9" s="18">
        <f t="shared" si="1"/>
        <v>82.5</v>
      </c>
      <c r="L9" s="18">
        <f t="shared" si="2"/>
        <v>82.5</v>
      </c>
      <c r="N9" s="15">
        <f t="shared" si="3"/>
        <v>963.75</v>
      </c>
      <c r="O9" s="15">
        <f t="shared" si="4"/>
        <v>963.75</v>
      </c>
      <c r="P9" s="15">
        <f t="shared" si="5"/>
        <v>963.75</v>
      </c>
      <c r="Q9" s="15">
        <f t="shared" si="6"/>
        <v>6933.75</v>
      </c>
      <c r="R9" s="15">
        <f t="shared" si="7"/>
        <v>6933.75</v>
      </c>
      <c r="S9" s="15">
        <f t="shared" si="8"/>
        <v>6933.75</v>
      </c>
      <c r="T9" s="15">
        <f t="shared" si="9"/>
        <v>0</v>
      </c>
      <c r="U9" s="15">
        <f t="shared" si="10"/>
        <v>0</v>
      </c>
      <c r="V9" s="15">
        <f t="shared" si="11"/>
        <v>0</v>
      </c>
      <c r="W9" s="15">
        <f t="shared" si="12"/>
        <v>0</v>
      </c>
      <c r="X9" s="15">
        <f t="shared" si="13"/>
        <v>0</v>
      </c>
      <c r="Y9" s="15">
        <f t="shared" si="14"/>
        <v>0</v>
      </c>
      <c r="Z9" s="15">
        <f t="shared" si="15"/>
        <v>7897.5</v>
      </c>
      <c r="AA9" s="15">
        <f t="shared" si="16"/>
        <v>7897.5</v>
      </c>
      <c r="AB9" s="15">
        <f t="shared" si="17"/>
        <v>7897.5</v>
      </c>
    </row>
    <row r="10" spans="1:32" x14ac:dyDescent="0.25">
      <c r="B10" s="136" t="str">
        <f>'Agency Assumptions'!B10</f>
        <v>Review Third-Party Audits</v>
      </c>
      <c r="C10" s="73">
        <f>'Agency Assumptions'!C10</f>
        <v>0.1</v>
      </c>
      <c r="D10" s="73">
        <f>'Agency Assumptions'!D10</f>
        <v>2</v>
      </c>
      <c r="E10" s="73">
        <f>'Agency Assumptions'!E10</f>
        <v>0</v>
      </c>
      <c r="F10" s="73">
        <f>'Agency Assumptions'!F10</f>
        <v>4</v>
      </c>
      <c r="G10" s="18">
        <f>'Agency Assumptions'!C26</f>
        <v>162</v>
      </c>
      <c r="H10" s="18">
        <f>'Agency Assumptions'!D26</f>
        <v>162</v>
      </c>
      <c r="I10" s="18">
        <f>'Agency Assumptions'!E26</f>
        <v>162</v>
      </c>
      <c r="J10" s="18">
        <f t="shared" si="0"/>
        <v>988.19999999999993</v>
      </c>
      <c r="K10" s="18">
        <f t="shared" si="1"/>
        <v>988.19999999999993</v>
      </c>
      <c r="L10" s="18">
        <f t="shared" si="2"/>
        <v>988.19999999999993</v>
      </c>
      <c r="N10" s="15">
        <f t="shared" si="3"/>
        <v>2081.6999999999998</v>
      </c>
      <c r="O10" s="15">
        <f t="shared" si="4"/>
        <v>2081.6999999999998</v>
      </c>
      <c r="P10" s="15">
        <f t="shared" si="5"/>
        <v>2081.6999999999998</v>
      </c>
      <c r="Q10" s="15">
        <f t="shared" si="6"/>
        <v>29953.8</v>
      </c>
      <c r="R10" s="15">
        <f t="shared" si="7"/>
        <v>29953.8</v>
      </c>
      <c r="S10" s="15">
        <f t="shared" si="8"/>
        <v>29953.8</v>
      </c>
      <c r="T10" s="15">
        <f t="shared" si="9"/>
        <v>0</v>
      </c>
      <c r="U10" s="15">
        <f t="shared" si="10"/>
        <v>0</v>
      </c>
      <c r="V10" s="15">
        <f t="shared" si="11"/>
        <v>0</v>
      </c>
      <c r="W10" s="15">
        <f t="shared" si="12"/>
        <v>88860.239999999991</v>
      </c>
      <c r="X10" s="15">
        <f t="shared" si="13"/>
        <v>88860.239999999991</v>
      </c>
      <c r="Y10" s="15">
        <f t="shared" si="14"/>
        <v>88860.239999999991</v>
      </c>
      <c r="Z10" s="15">
        <f t="shared" si="15"/>
        <v>120895.73999999999</v>
      </c>
      <c r="AA10" s="15">
        <f t="shared" si="16"/>
        <v>120895.73999999999</v>
      </c>
      <c r="AB10" s="15">
        <f t="shared" si="17"/>
        <v>120895.73999999999</v>
      </c>
      <c r="AD10" s="92" t="s">
        <v>243</v>
      </c>
      <c r="AF10" s="52">
        <f>AF8+'Respondent Burden - ICR'!AG8</f>
        <v>7056534.8404999999</v>
      </c>
    </row>
    <row r="11" spans="1:32" x14ac:dyDescent="0.25">
      <c r="B11" s="136" t="str">
        <f>'Agency Assumptions'!B11</f>
        <v>Provide Reporting Guidance</v>
      </c>
      <c r="C11" s="73">
        <f>'Agency Assumptions'!C11</f>
        <v>0</v>
      </c>
      <c r="D11" s="73">
        <f>'Agency Assumptions'!D11</f>
        <v>2</v>
      </c>
      <c r="E11" s="73">
        <f>'Agency Assumptions'!E11</f>
        <v>0</v>
      </c>
      <c r="F11" s="73">
        <f>'Agency Assumptions'!F11</f>
        <v>2</v>
      </c>
      <c r="G11" s="18">
        <f>'Agency Assumptions'!C27</f>
        <v>40</v>
      </c>
      <c r="H11" s="18">
        <f>'Agency Assumptions'!D27</f>
        <v>40</v>
      </c>
      <c r="I11" s="18">
        <f>'Agency Assumptions'!E27</f>
        <v>40</v>
      </c>
      <c r="J11" s="18">
        <f t="shared" si="0"/>
        <v>160</v>
      </c>
      <c r="K11" s="18">
        <f t="shared" si="1"/>
        <v>160</v>
      </c>
      <c r="L11" s="18">
        <f t="shared" si="2"/>
        <v>160</v>
      </c>
      <c r="N11" s="15">
        <f t="shared" si="3"/>
        <v>0</v>
      </c>
      <c r="O11" s="15">
        <f t="shared" si="4"/>
        <v>0</v>
      </c>
      <c r="P11" s="15">
        <f t="shared" si="5"/>
        <v>0</v>
      </c>
      <c r="Q11" s="15">
        <f t="shared" si="6"/>
        <v>7396</v>
      </c>
      <c r="R11" s="15">
        <f t="shared" si="7"/>
        <v>7396</v>
      </c>
      <c r="S11" s="15">
        <f t="shared" si="8"/>
        <v>7396</v>
      </c>
      <c r="T11" s="15">
        <f t="shared" si="9"/>
        <v>0</v>
      </c>
      <c r="U11" s="15">
        <f t="shared" si="10"/>
        <v>0</v>
      </c>
      <c r="V11" s="15">
        <f t="shared" si="11"/>
        <v>0</v>
      </c>
      <c r="W11" s="15">
        <f t="shared" si="12"/>
        <v>10970.4</v>
      </c>
      <c r="X11" s="15">
        <f t="shared" si="13"/>
        <v>10970.4</v>
      </c>
      <c r="Y11" s="15">
        <f t="shared" si="14"/>
        <v>10970.4</v>
      </c>
      <c r="Z11" s="15">
        <f t="shared" si="15"/>
        <v>18366.400000000001</v>
      </c>
      <c r="AA11" s="15">
        <f t="shared" si="16"/>
        <v>18366.400000000001</v>
      </c>
      <c r="AB11" s="15">
        <f t="shared" si="17"/>
        <v>18366.400000000001</v>
      </c>
      <c r="AF11" s="52"/>
    </row>
    <row r="12" spans="1:32" x14ac:dyDescent="0.25">
      <c r="B12" s="136" t="str">
        <f>'Agency Assumptions'!B12</f>
        <v>Conduct Stakeholder Outreach Efforts</v>
      </c>
      <c r="C12" s="73">
        <f>'Agency Assumptions'!C12</f>
        <v>4</v>
      </c>
      <c r="D12" s="73">
        <f>'Agency Assumptions'!D12</f>
        <v>60</v>
      </c>
      <c r="E12" s="73">
        <f>'Agency Assumptions'!E12</f>
        <v>0</v>
      </c>
      <c r="F12" s="73">
        <f>'Agency Assumptions'!F12</f>
        <v>120</v>
      </c>
      <c r="G12" s="18">
        <f>'Agency Assumptions'!C28</f>
        <v>1</v>
      </c>
      <c r="H12" s="18">
        <f>'Agency Assumptions'!D28</f>
        <v>1</v>
      </c>
      <c r="I12" s="18">
        <f>'Agency Assumptions'!E28</f>
        <v>1</v>
      </c>
      <c r="J12" s="18">
        <f t="shared" si="0"/>
        <v>184</v>
      </c>
      <c r="K12" s="18">
        <f t="shared" si="1"/>
        <v>184</v>
      </c>
      <c r="L12" s="18">
        <f t="shared" si="2"/>
        <v>184</v>
      </c>
      <c r="N12" s="15">
        <f t="shared" si="3"/>
        <v>514</v>
      </c>
      <c r="O12" s="15">
        <f t="shared" si="4"/>
        <v>514</v>
      </c>
      <c r="P12" s="15">
        <f t="shared" si="5"/>
        <v>514</v>
      </c>
      <c r="Q12" s="15">
        <f t="shared" si="6"/>
        <v>5547</v>
      </c>
      <c r="R12" s="15">
        <f t="shared" si="7"/>
        <v>5547</v>
      </c>
      <c r="S12" s="15">
        <f t="shared" si="8"/>
        <v>5547</v>
      </c>
      <c r="T12" s="15">
        <f t="shared" si="9"/>
        <v>0</v>
      </c>
      <c r="U12" s="15">
        <f t="shared" si="10"/>
        <v>0</v>
      </c>
      <c r="V12" s="15">
        <f t="shared" si="11"/>
        <v>0</v>
      </c>
      <c r="W12" s="15">
        <f t="shared" si="12"/>
        <v>16455.599999999999</v>
      </c>
      <c r="X12" s="15">
        <f t="shared" si="13"/>
        <v>16455.599999999999</v>
      </c>
      <c r="Y12" s="15">
        <f t="shared" si="14"/>
        <v>16455.599999999999</v>
      </c>
      <c r="Z12" s="15">
        <f t="shared" si="15"/>
        <v>22516.6</v>
      </c>
      <c r="AA12" s="15">
        <f t="shared" si="16"/>
        <v>22516.6</v>
      </c>
      <c r="AB12" s="15">
        <f t="shared" si="17"/>
        <v>22516.6</v>
      </c>
    </row>
    <row r="13" spans="1:32" x14ac:dyDescent="0.25">
      <c r="B13" s="136" t="str">
        <f>'Agency Assumptions'!B13</f>
        <v>Maintain the Data Tracking System</v>
      </c>
      <c r="C13" s="73">
        <f>'Agency Assumptions'!C13</f>
        <v>40</v>
      </c>
      <c r="D13" s="73">
        <f>'Agency Assumptions'!D13</f>
        <v>750</v>
      </c>
      <c r="E13" s="73">
        <f>'Agency Assumptions'!E13</f>
        <v>0</v>
      </c>
      <c r="F13" s="73">
        <f>'Agency Assumptions'!F13</f>
        <v>1800</v>
      </c>
      <c r="G13" s="18">
        <f>'Agency Assumptions'!C29</f>
        <v>1</v>
      </c>
      <c r="H13" s="18">
        <f>'Agency Assumptions'!D29</f>
        <v>1</v>
      </c>
      <c r="I13" s="18">
        <f>'Agency Assumptions'!E29</f>
        <v>1</v>
      </c>
      <c r="J13" s="18">
        <f t="shared" si="0"/>
        <v>2590</v>
      </c>
      <c r="K13" s="18">
        <f t="shared" si="1"/>
        <v>2590</v>
      </c>
      <c r="L13" s="18">
        <f t="shared" si="2"/>
        <v>2590</v>
      </c>
      <c r="N13" s="15">
        <f t="shared" si="3"/>
        <v>5140</v>
      </c>
      <c r="O13" s="15">
        <f t="shared" si="4"/>
        <v>5140</v>
      </c>
      <c r="P13" s="15">
        <f t="shared" si="5"/>
        <v>5140</v>
      </c>
      <c r="Q13" s="15">
        <f t="shared" si="6"/>
        <v>69337.5</v>
      </c>
      <c r="R13" s="15">
        <f t="shared" si="7"/>
        <v>69337.5</v>
      </c>
      <c r="S13" s="15">
        <f t="shared" si="8"/>
        <v>69337.5</v>
      </c>
      <c r="T13" s="15">
        <f t="shared" si="9"/>
        <v>0</v>
      </c>
      <c r="U13" s="15">
        <f t="shared" si="10"/>
        <v>0</v>
      </c>
      <c r="V13" s="15">
        <f t="shared" si="11"/>
        <v>0</v>
      </c>
      <c r="W13" s="15">
        <f t="shared" si="12"/>
        <v>246834</v>
      </c>
      <c r="X13" s="15">
        <f t="shared" si="13"/>
        <v>246834</v>
      </c>
      <c r="Y13" s="15">
        <f t="shared" si="14"/>
        <v>246834</v>
      </c>
      <c r="Z13" s="15">
        <f t="shared" si="15"/>
        <v>321311.5</v>
      </c>
      <c r="AA13" s="15">
        <f t="shared" si="16"/>
        <v>321311.5</v>
      </c>
      <c r="AB13" s="15">
        <f t="shared" si="17"/>
        <v>321311.5</v>
      </c>
    </row>
    <row r="14" spans="1:32" x14ac:dyDescent="0.25">
      <c r="B14" s="136" t="str">
        <f>'Agency Assumptions'!B14</f>
        <v>Review Import Data Submitted in ACE</v>
      </c>
      <c r="C14" s="73">
        <f>'Agency Assumptions'!C14</f>
        <v>0.01</v>
      </c>
      <c r="D14" s="73">
        <f>'Agency Assumptions'!D14</f>
        <v>0.25</v>
      </c>
      <c r="E14" s="73">
        <f>'Agency Assumptions'!E14</f>
        <v>0</v>
      </c>
      <c r="F14" s="73">
        <f>'Agency Assumptions'!F14</f>
        <v>0.1</v>
      </c>
      <c r="G14" s="18">
        <f>'Agency Assumptions'!C30</f>
        <v>84</v>
      </c>
      <c r="H14" s="18">
        <f>'Agency Assumptions'!D30</f>
        <v>84</v>
      </c>
      <c r="I14" s="18">
        <f>'Agency Assumptions'!E30</f>
        <v>84</v>
      </c>
      <c r="J14" s="18">
        <f t="shared" si="0"/>
        <v>30.24</v>
      </c>
      <c r="K14" s="18">
        <f t="shared" si="1"/>
        <v>30.24</v>
      </c>
      <c r="L14" s="18">
        <f t="shared" si="2"/>
        <v>30.24</v>
      </c>
      <c r="N14" s="15">
        <f t="shared" si="3"/>
        <v>107.94</v>
      </c>
      <c r="O14" s="15">
        <f t="shared" si="4"/>
        <v>107.94</v>
      </c>
      <c r="P14" s="15">
        <f t="shared" si="5"/>
        <v>107.94</v>
      </c>
      <c r="Q14" s="15">
        <f t="shared" si="6"/>
        <v>1941.45</v>
      </c>
      <c r="R14" s="15">
        <f t="shared" si="7"/>
        <v>1941.45</v>
      </c>
      <c r="S14" s="15">
        <f t="shared" si="8"/>
        <v>1941.45</v>
      </c>
      <c r="T14" s="15">
        <f t="shared" si="9"/>
        <v>0</v>
      </c>
      <c r="U14" s="15">
        <f t="shared" si="10"/>
        <v>0</v>
      </c>
      <c r="V14" s="15">
        <f t="shared" si="11"/>
        <v>0</v>
      </c>
      <c r="W14" s="15">
        <f t="shared" si="12"/>
        <v>1151.8920000000001</v>
      </c>
      <c r="X14" s="15">
        <f t="shared" si="13"/>
        <v>1151.8920000000001</v>
      </c>
      <c r="Y14" s="15">
        <f t="shared" si="14"/>
        <v>1151.8920000000001</v>
      </c>
      <c r="Z14" s="15">
        <f t="shared" si="15"/>
        <v>3201.2820000000002</v>
      </c>
      <c r="AA14" s="15">
        <f t="shared" si="16"/>
        <v>3201.2820000000002</v>
      </c>
      <c r="AB14" s="15">
        <f t="shared" si="17"/>
        <v>3201.2820000000002</v>
      </c>
    </row>
    <row r="15" spans="1:32" x14ac:dyDescent="0.25">
      <c r="B15" s="136" t="str">
        <f>'Agency Assumptions'!B15</f>
        <v>Conduct Compliance Monitoring Activities</v>
      </c>
      <c r="C15" s="73">
        <f>'Agency Assumptions'!C15</f>
        <v>120</v>
      </c>
      <c r="D15" s="73">
        <f>'Agency Assumptions'!D15</f>
        <v>2500</v>
      </c>
      <c r="E15" s="73">
        <f>'Agency Assumptions'!E15</f>
        <v>0</v>
      </c>
      <c r="F15" s="73">
        <f>'Agency Assumptions'!F15</f>
        <v>750</v>
      </c>
      <c r="G15" s="18">
        <f>'Agency Assumptions'!C31</f>
        <v>2</v>
      </c>
      <c r="H15" s="18">
        <f>'Agency Assumptions'!D31</f>
        <v>2</v>
      </c>
      <c r="I15" s="18">
        <f>'Agency Assumptions'!E31</f>
        <v>2</v>
      </c>
      <c r="J15" s="18">
        <f t="shared" si="0"/>
        <v>6740</v>
      </c>
      <c r="K15" s="18">
        <f t="shared" si="1"/>
        <v>6740</v>
      </c>
      <c r="L15" s="18">
        <f t="shared" si="2"/>
        <v>6740</v>
      </c>
      <c r="N15" s="15">
        <f t="shared" si="3"/>
        <v>30840</v>
      </c>
      <c r="O15" s="15">
        <f t="shared" si="4"/>
        <v>30840</v>
      </c>
      <c r="P15" s="15">
        <f t="shared" si="5"/>
        <v>30840</v>
      </c>
      <c r="Q15" s="15">
        <f t="shared" si="6"/>
        <v>462250</v>
      </c>
      <c r="R15" s="15">
        <f t="shared" si="7"/>
        <v>462250</v>
      </c>
      <c r="S15" s="15">
        <f t="shared" si="8"/>
        <v>462250</v>
      </c>
      <c r="T15" s="15">
        <f t="shared" si="9"/>
        <v>0</v>
      </c>
      <c r="U15" s="15">
        <f t="shared" si="10"/>
        <v>0</v>
      </c>
      <c r="V15" s="15">
        <f t="shared" si="11"/>
        <v>0</v>
      </c>
      <c r="W15" s="15">
        <f t="shared" si="12"/>
        <v>205695</v>
      </c>
      <c r="X15" s="15">
        <f t="shared" si="13"/>
        <v>205695</v>
      </c>
      <c r="Y15" s="15">
        <f t="shared" si="14"/>
        <v>205695</v>
      </c>
      <c r="Z15" s="15">
        <f t="shared" si="15"/>
        <v>698785</v>
      </c>
      <c r="AA15" s="15">
        <f t="shared" si="16"/>
        <v>698785</v>
      </c>
      <c r="AB15" s="15">
        <f t="shared" si="17"/>
        <v>698785</v>
      </c>
    </row>
    <row r="16" spans="1:32" x14ac:dyDescent="0.25">
      <c r="B16" s="108" t="str">
        <f>'Agency Assumptions'!B16</f>
        <v>Ensure Non-Exceedance of AIM Act Limits</v>
      </c>
      <c r="C16" s="109">
        <f>'Agency Assumptions'!C16</f>
        <v>20</v>
      </c>
      <c r="D16" s="109">
        <f>'Agency Assumptions'!D16</f>
        <v>80</v>
      </c>
      <c r="E16" s="109">
        <f>'Agency Assumptions'!E16</f>
        <v>0</v>
      </c>
      <c r="F16" s="109">
        <f>'Agency Assumptions'!F16</f>
        <v>80</v>
      </c>
      <c r="G16" s="110">
        <f>'Agency Assumptions'!C32</f>
        <v>1</v>
      </c>
      <c r="H16" s="110">
        <f>'Agency Assumptions'!D32</f>
        <v>1</v>
      </c>
      <c r="I16" s="110">
        <f>'Agency Assumptions'!E32</f>
        <v>1</v>
      </c>
      <c r="J16" s="110">
        <f>SUM($C16:$F16)*G16</f>
        <v>180</v>
      </c>
      <c r="K16" s="110">
        <f>SUM($C16:$F16)*H16</f>
        <v>180</v>
      </c>
      <c r="L16" s="110">
        <f>SUM($C16:$F16)*I16</f>
        <v>180</v>
      </c>
      <c r="N16" s="111">
        <f t="shared" si="3"/>
        <v>2570</v>
      </c>
      <c r="O16" s="111">
        <f t="shared" si="4"/>
        <v>2570</v>
      </c>
      <c r="P16" s="111">
        <f t="shared" si="5"/>
        <v>2570</v>
      </c>
      <c r="Q16" s="111">
        <f t="shared" si="6"/>
        <v>7396</v>
      </c>
      <c r="R16" s="111">
        <f t="shared" si="7"/>
        <v>7396</v>
      </c>
      <c r="S16" s="111">
        <f t="shared" si="8"/>
        <v>7396</v>
      </c>
      <c r="T16" s="111">
        <f t="shared" si="9"/>
        <v>0</v>
      </c>
      <c r="U16" s="111">
        <f t="shared" si="10"/>
        <v>0</v>
      </c>
      <c r="V16" s="111">
        <f t="shared" si="11"/>
        <v>0</v>
      </c>
      <c r="W16" s="111">
        <f t="shared" si="12"/>
        <v>10970.4</v>
      </c>
      <c r="X16" s="111">
        <f t="shared" si="13"/>
        <v>10970.4</v>
      </c>
      <c r="Y16" s="111">
        <f t="shared" si="14"/>
        <v>10970.4</v>
      </c>
      <c r="Z16" s="111">
        <f>N16+Q16+T16+W16</f>
        <v>20936.400000000001</v>
      </c>
      <c r="AA16" s="111">
        <f>O16+R16+U16+X16</f>
        <v>20936.400000000001</v>
      </c>
      <c r="AB16" s="111">
        <f>P16+S16+V16+Y16</f>
        <v>20936.400000000001</v>
      </c>
    </row>
    <row r="17" spans="2:32" x14ac:dyDescent="0.25">
      <c r="B17" s="136" t="str">
        <f>'Agency Assumptions'!B17</f>
        <v>Review Application-specific Allowance Petitions</v>
      </c>
      <c r="C17" s="73">
        <f>'Agency Assumptions'!C17</f>
        <v>200</v>
      </c>
      <c r="D17" s="73">
        <f>'Agency Assumptions'!D17</f>
        <v>500</v>
      </c>
      <c r="E17" s="73">
        <f>'Agency Assumptions'!E17</f>
        <v>0</v>
      </c>
      <c r="F17" s="73">
        <f>'Agency Assumptions'!F17</f>
        <v>1000</v>
      </c>
      <c r="G17" s="114">
        <f>'Agency Assumptions'!C33</f>
        <v>0.2</v>
      </c>
      <c r="H17" s="114">
        <f>'Agency Assumptions'!D33</f>
        <v>0.2</v>
      </c>
      <c r="I17" s="114">
        <f>'Agency Assumptions'!E33</f>
        <v>0.2</v>
      </c>
      <c r="J17" s="18">
        <f t="shared" ref="J17" si="18">SUM($C17:$F17)*G17</f>
        <v>340</v>
      </c>
      <c r="K17" s="18">
        <f t="shared" ref="K17" si="19">SUM($C17:$F17)*H17</f>
        <v>340</v>
      </c>
      <c r="L17" s="18">
        <f t="shared" ref="L17" si="20">SUM($C17:$F17)*I17</f>
        <v>340</v>
      </c>
      <c r="N17" s="15">
        <f t="shared" si="3"/>
        <v>5140</v>
      </c>
      <c r="O17" s="15">
        <f t="shared" si="4"/>
        <v>5140</v>
      </c>
      <c r="P17" s="15">
        <f t="shared" si="5"/>
        <v>5140</v>
      </c>
      <c r="Q17" s="15">
        <f t="shared" si="6"/>
        <v>9245</v>
      </c>
      <c r="R17" s="15">
        <f t="shared" si="7"/>
        <v>9245</v>
      </c>
      <c r="S17" s="15">
        <f t="shared" si="8"/>
        <v>9245</v>
      </c>
      <c r="T17" s="15">
        <f t="shared" si="9"/>
        <v>0</v>
      </c>
      <c r="U17" s="15">
        <f t="shared" si="10"/>
        <v>0</v>
      </c>
      <c r="V17" s="15">
        <f t="shared" si="11"/>
        <v>0</v>
      </c>
      <c r="W17" s="15">
        <f t="shared" si="12"/>
        <v>27426</v>
      </c>
      <c r="X17" s="15">
        <f t="shared" si="13"/>
        <v>27426</v>
      </c>
      <c r="Y17" s="15">
        <f t="shared" si="14"/>
        <v>27426</v>
      </c>
      <c r="Z17" s="15">
        <f t="shared" ref="Z17" si="21">N17+Q17+T17+W17</f>
        <v>41811</v>
      </c>
      <c r="AA17" s="15">
        <f t="shared" ref="AA17" si="22">O17+R17+U17+X17</f>
        <v>41811</v>
      </c>
      <c r="AB17" s="15">
        <f t="shared" ref="AB17" si="23">P17+S17+V17+Y17</f>
        <v>41811</v>
      </c>
    </row>
    <row r="18" spans="2:32" x14ac:dyDescent="0.25">
      <c r="B18" s="196" t="s">
        <v>244</v>
      </c>
      <c r="C18" s="196"/>
      <c r="D18" s="196"/>
      <c r="E18" s="196"/>
      <c r="F18" s="196"/>
      <c r="G18" s="196"/>
      <c r="H18" s="196"/>
      <c r="I18" s="196"/>
      <c r="J18" s="112">
        <f>SUM(J5:J17)</f>
        <v>12631.47</v>
      </c>
      <c r="K18" s="112">
        <f t="shared" ref="K18:L18" si="24">SUM(K5:K17)</f>
        <v>12631.47</v>
      </c>
      <c r="L18" s="112">
        <f t="shared" si="24"/>
        <v>12631.47</v>
      </c>
      <c r="N18" s="113">
        <f>SUM(N5:N17)</f>
        <v>50171.54</v>
      </c>
      <c r="O18" s="113">
        <f t="shared" ref="O18:AB18" si="25">SUM(O5:O17)</f>
        <v>50171.54</v>
      </c>
      <c r="P18" s="113">
        <f t="shared" si="25"/>
        <v>50171.54</v>
      </c>
      <c r="Q18" s="113">
        <f t="shared" si="25"/>
        <v>653818.41850000003</v>
      </c>
      <c r="R18" s="113">
        <f t="shared" si="25"/>
        <v>653818.41850000003</v>
      </c>
      <c r="S18" s="113">
        <f t="shared" si="25"/>
        <v>653818.41850000003</v>
      </c>
      <c r="T18" s="113">
        <f t="shared" si="25"/>
        <v>0</v>
      </c>
      <c r="U18" s="113">
        <f t="shared" si="25"/>
        <v>0</v>
      </c>
      <c r="V18" s="113">
        <f t="shared" si="25"/>
        <v>0</v>
      </c>
      <c r="W18" s="113">
        <f t="shared" si="25"/>
        <v>708811.25699999998</v>
      </c>
      <c r="X18" s="113">
        <f t="shared" si="25"/>
        <v>708811.25699999998</v>
      </c>
      <c r="Y18" s="113">
        <f t="shared" si="25"/>
        <v>708811.25699999998</v>
      </c>
      <c r="Z18" s="113">
        <f t="shared" si="25"/>
        <v>1412801.2154999999</v>
      </c>
      <c r="AA18" s="113">
        <f t="shared" si="25"/>
        <v>1412801.2154999999</v>
      </c>
      <c r="AB18" s="113">
        <f t="shared" si="25"/>
        <v>1412801.2154999999</v>
      </c>
    </row>
    <row r="19" spans="2:32" s="21" customFormat="1" x14ac:dyDescent="0.25">
      <c r="B19" s="197" t="s">
        <v>170</v>
      </c>
      <c r="C19" s="197"/>
      <c r="D19" s="197"/>
      <c r="E19" s="197"/>
      <c r="F19" s="197"/>
      <c r="G19" s="197"/>
      <c r="H19" s="197"/>
      <c r="I19" s="197"/>
      <c r="J19" s="194">
        <f>SUM(J18:L18)</f>
        <v>37894.409999999996</v>
      </c>
      <c r="K19" s="194"/>
      <c r="L19" s="194"/>
      <c r="M19"/>
      <c r="N19" s="201">
        <f>SUM(N18:P18)</f>
        <v>150514.62</v>
      </c>
      <c r="O19" s="201"/>
      <c r="P19" s="201"/>
      <c r="Q19" s="201">
        <f>SUM(Q18:S18)</f>
        <v>1961455.2555</v>
      </c>
      <c r="R19" s="201"/>
      <c r="S19" s="201"/>
      <c r="T19" s="201">
        <f>SUM(T18:V18)</f>
        <v>0</v>
      </c>
      <c r="U19" s="201"/>
      <c r="V19" s="201"/>
      <c r="W19" s="201">
        <f>SUM(W18:Y18)</f>
        <v>2126433.7709999997</v>
      </c>
      <c r="X19" s="201"/>
      <c r="Y19" s="201"/>
      <c r="Z19" s="201">
        <f>SUM(Z18:AB18)</f>
        <v>4238403.6464999998</v>
      </c>
      <c r="AA19" s="201"/>
      <c r="AB19" s="201"/>
      <c r="AD19"/>
      <c r="AE19"/>
      <c r="AF19"/>
    </row>
    <row r="20" spans="2:32" x14ac:dyDescent="0.25">
      <c r="B20" s="198" t="s">
        <v>163</v>
      </c>
      <c r="C20" s="199"/>
      <c r="D20" s="199"/>
      <c r="E20" s="199"/>
      <c r="F20" s="199"/>
      <c r="G20" s="199"/>
      <c r="H20" s="199"/>
      <c r="I20" s="200"/>
      <c r="J20" s="195">
        <f>AVERAGE(J18:L18)</f>
        <v>12631.47</v>
      </c>
      <c r="K20" s="195"/>
      <c r="L20" s="195"/>
      <c r="N20" s="201">
        <f>AVERAGE(N18:P18)</f>
        <v>50171.54</v>
      </c>
      <c r="O20" s="201"/>
      <c r="P20" s="201"/>
      <c r="Q20" s="201">
        <f>AVERAGE(Q18:S18)</f>
        <v>653818.41850000003</v>
      </c>
      <c r="R20" s="201"/>
      <c r="S20" s="201"/>
      <c r="T20" s="201">
        <f>AVERAGE(T18:V18)</f>
        <v>0</v>
      </c>
      <c r="U20" s="201"/>
      <c r="V20" s="201"/>
      <c r="W20" s="201">
        <f>AVERAGE(W18:Y18)</f>
        <v>708811.25699999987</v>
      </c>
      <c r="X20" s="201"/>
      <c r="Y20" s="201"/>
      <c r="Z20" s="201">
        <f>AVERAGE(Z18:AB18)</f>
        <v>1412801.2154999999</v>
      </c>
      <c r="AA20" s="201"/>
      <c r="AB20" s="201"/>
      <c r="AD20" s="21"/>
      <c r="AE20" s="21"/>
      <c r="AF20" s="21"/>
    </row>
    <row r="22" spans="2:32" x14ac:dyDescent="0.25">
      <c r="B22" s="6" t="s">
        <v>245</v>
      </c>
      <c r="C22" s="7"/>
      <c r="D22" s="8"/>
      <c r="E22" s="7"/>
      <c r="F22" s="9"/>
      <c r="AD22" s="52"/>
    </row>
    <row r="23" spans="2:32" x14ac:dyDescent="0.25">
      <c r="B23" s="10" t="s">
        <v>246</v>
      </c>
      <c r="C23" s="10" t="s">
        <v>247</v>
      </c>
      <c r="D23" s="11">
        <v>80.31</v>
      </c>
      <c r="E23" s="10">
        <v>1.6</v>
      </c>
      <c r="F23" s="12">
        <f>ROUND(D23*E23,2)</f>
        <v>128.5</v>
      </c>
    </row>
    <row r="24" spans="2:32" x14ac:dyDescent="0.25">
      <c r="B24" s="1" t="s">
        <v>248</v>
      </c>
      <c r="C24" s="10" t="s">
        <v>249</v>
      </c>
      <c r="D24" s="11">
        <v>57.78</v>
      </c>
      <c r="E24" s="10">
        <v>1.6</v>
      </c>
      <c r="F24" s="12">
        <f>ROUND(D24*E24,2)</f>
        <v>92.45</v>
      </c>
    </row>
    <row r="25" spans="2:32" x14ac:dyDescent="0.25">
      <c r="B25" s="1" t="s">
        <v>250</v>
      </c>
      <c r="C25" s="13" t="s">
        <v>251</v>
      </c>
      <c r="D25" s="11">
        <v>40.54</v>
      </c>
      <c r="E25" s="10">
        <v>1.6</v>
      </c>
      <c r="F25" s="12">
        <f>ROUND(D25*E25,2)</f>
        <v>64.86</v>
      </c>
    </row>
    <row r="26" spans="2:32" x14ac:dyDescent="0.25">
      <c r="B26" s="1" t="s">
        <v>252</v>
      </c>
      <c r="C26" s="1"/>
      <c r="D26" s="1"/>
      <c r="E26" s="1"/>
      <c r="F26" s="25">
        <f>(172.44+101.82)/2</f>
        <v>137.13</v>
      </c>
    </row>
    <row r="28" spans="2:32" x14ac:dyDescent="0.25">
      <c r="B28" s="2"/>
      <c r="T28" s="52"/>
    </row>
    <row r="30" spans="2:32" ht="14.25" customHeight="1" x14ac:dyDescent="0.25"/>
    <row r="31" spans="2:32" ht="18.399999999999999" customHeight="1" x14ac:dyDescent="0.25"/>
    <row r="32" spans="2:32" ht="15" customHeight="1" x14ac:dyDescent="0.25"/>
  </sheetData>
  <mergeCells count="30">
    <mergeCell ref="AD3:AD4"/>
    <mergeCell ref="AE3:AE4"/>
    <mergeCell ref="AF3:AF4"/>
    <mergeCell ref="W19:Y19"/>
    <mergeCell ref="W20:Y20"/>
    <mergeCell ref="Z19:AB19"/>
    <mergeCell ref="Z20:AB20"/>
    <mergeCell ref="W3:Y3"/>
    <mergeCell ref="Z3:AB3"/>
    <mergeCell ref="N19:P19"/>
    <mergeCell ref="N20:P20"/>
    <mergeCell ref="Q19:S19"/>
    <mergeCell ref="Q20:S20"/>
    <mergeCell ref="T19:V19"/>
    <mergeCell ref="T20:V20"/>
    <mergeCell ref="J19:L19"/>
    <mergeCell ref="J20:L20"/>
    <mergeCell ref="B18:I18"/>
    <mergeCell ref="B19:I19"/>
    <mergeCell ref="B20:I20"/>
    <mergeCell ref="B3:B4"/>
    <mergeCell ref="C3:C4"/>
    <mergeCell ref="D3:D4"/>
    <mergeCell ref="E3:E4"/>
    <mergeCell ref="F3:F4"/>
    <mergeCell ref="G3:I3"/>
    <mergeCell ref="J3:L3"/>
    <mergeCell ref="N3:P3"/>
    <mergeCell ref="Q3:S3"/>
    <mergeCell ref="T3:V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B04EF5C753074E8F20D27BC3DE7DE2" ma:contentTypeVersion="20" ma:contentTypeDescription="Create a new document." ma:contentTypeScope="" ma:versionID="e4652d99ca0442aba093d8b0253612ef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20af4edb-1540-4aba-b7d0-294715a11a7a" xmlns:ns6="8c57eaaf-0617-4b5e-abd8-c9c87ce9c094" targetNamespace="http://schemas.microsoft.com/office/2006/metadata/properties" ma:root="true" ma:fieldsID="b5a76ed637e584675748a8e302498f9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20af4edb-1540-4aba-b7d0-294715a11a7a"/>
    <xsd:import namespace="8c57eaaf-0617-4b5e-abd8-c9c87ce9c094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6:SharedWithUsers" minOccurs="0"/>
                <xsd:element ref="ns6:SharedWithDetails" minOccurs="0"/>
                <xsd:element ref="ns5:MediaServiceDateTaken" minOccurs="0"/>
                <xsd:element ref="ns1:_ip_UnifiedCompliancePolicyProperties" minOccurs="0"/>
                <xsd:element ref="ns1:_ip_UnifiedCompliancePolicyUIAction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  <xsd:element ref="ns5:MediaServiceLocatio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bad415ec-5cf2-480c-84ea-8d7bd9371bca}" ma:internalName="TaxCatchAllLabel" ma:readOnly="true" ma:showField="CatchAllDataLabel" ma:web="8c57eaaf-0617-4b5e-abd8-c9c87ce9c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bad415ec-5cf2-480c-84ea-8d7bd9371bca}" ma:internalName="TaxCatchAll" ma:showField="CatchAllData" ma:web="8c57eaaf-0617-4b5e-abd8-c9c87ce9c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4edb-1540-4aba-b7d0-294715a11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4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7eaaf-0617-4b5e-abd8-c9c87ce9c094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0af4edb-1540-4aba-b7d0-294715a11a7a" xsi:nil="true"/>
    <TaxCatchAll xmlns="4ffa91fb-a0ff-4ac5-b2db-65c790d184a4" xsi:nil="true"/>
    <lcf76f155ced4ddcb4097134ff3c332f xmlns="20af4edb-1540-4aba-b7d0-294715a11a7a">
      <Terms xmlns="http://schemas.microsoft.com/office/infopath/2007/PartnerControls"/>
    </lcf76f155ced4ddcb4097134ff3c332f>
    <SharedWithUsers xmlns="8c57eaaf-0617-4b5e-abd8-c9c87ce9c094">
      <UserInfo>
        <DisplayName>Averyt, Mollie</DisplayName>
        <AccountId>14</AccountId>
        <AccountType/>
      </UserInfo>
      <UserInfo>
        <DisplayName>Herdegen, Kyle</DisplayName>
        <AccountId>30</AccountId>
        <AccountType/>
      </UserInfo>
      <UserInfo>
        <DisplayName>Roberts, Annie</DisplayName>
        <AccountId>25</AccountId>
        <AccountType/>
      </UserInfo>
      <UserInfo>
        <DisplayName>Garcia Holley, Paula</DisplayName>
        <AccountId>33</AccountId>
        <AccountType/>
      </UserInfo>
      <UserInfo>
        <DisplayName>Garfinkel, Johanna</DisplayName>
        <AccountId>12</AccountId>
        <AccountType/>
      </UserInfo>
      <UserInfo>
        <DisplayName>Ferenchiak, Rebecca</DisplayName>
        <AccountId>28</AccountId>
        <AccountType/>
      </UserInfo>
      <UserInfo>
        <DisplayName>Yerardi, Kenny</DisplayName>
        <AccountId>29</AccountId>
        <AccountType/>
      </UserInfo>
    </SharedWithUsers>
    <_Source xmlns="http://schemas.microsoft.com/sharepoint/v3/fields" xsi:nil="true"/>
    <Language xmlns="http://schemas.microsoft.com/sharepoint/v3">English</Language>
    <_ip_UnifiedCompliancePolicyUIAction xmlns="http://schemas.microsoft.com/sharepoint/v3" xsi:nil="true"/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_ip_UnifiedCompliancePolicyProperties xmlns="http://schemas.microsoft.com/sharepoint/v3" xsi:nil="true"/>
    <Rights xmlns="4ffa91fb-a0ff-4ac5-b2db-65c790d184a4" xsi:nil="true"/>
    <Document_x0020_Creation_x0020_Date xmlns="4ffa91fb-a0ff-4ac5-b2db-65c790d184a4">2024-07-30T20:45:59+00:00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</documentManagement>
</p:properties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E58C7F2E-A2A3-41C9-8115-644C617F5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20af4edb-1540-4aba-b7d0-294715a11a7a"/>
    <ds:schemaRef ds:uri="8c57eaaf-0617-4b5e-abd8-c9c87ce9c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58034F-3D90-4C3B-BAB8-55989AF7A7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E29A97-C7C4-4009-A2FF-51260D2342CF}">
  <ds:schemaRefs>
    <ds:schemaRef ds:uri="http://schemas.microsoft.com/office/2006/metadata/properties"/>
    <ds:schemaRef ds:uri="http://schemas.microsoft.com/office/infopath/2007/PartnerControls"/>
    <ds:schemaRef ds:uri="20af4edb-1540-4aba-b7d0-294715a11a7a"/>
    <ds:schemaRef ds:uri="4ffa91fb-a0ff-4ac5-b2db-65c790d184a4"/>
    <ds:schemaRef ds:uri="8c57eaaf-0617-4b5e-abd8-c9c87ce9c094"/>
    <ds:schemaRef ds:uri="http://schemas.microsoft.com/sharepoint/v3/fields"/>
    <ds:schemaRef ds:uri="http://schemas.microsoft.com/sharepoint/v3"/>
    <ds:schemaRef ds:uri="http://schemas.microsoft.com/sharepoint.v3"/>
  </ds:schemaRefs>
</ds:datastoreItem>
</file>

<file path=customXml/itemProps4.xml><?xml version="1.0" encoding="utf-8"?>
<ds:datastoreItem xmlns:ds="http://schemas.openxmlformats.org/officeDocument/2006/customXml" ds:itemID="{09587C0A-952E-41EA-9E48-741474AE15E0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Reporting Activity</vt:lpstr>
      <vt:lpstr>Respondent Assumptions</vt:lpstr>
      <vt:lpstr>Respondent Burden - ICR</vt:lpstr>
      <vt:lpstr>Incremental Costs</vt:lpstr>
      <vt:lpstr>Summary</vt:lpstr>
      <vt:lpstr>Agency Assumptions</vt:lpstr>
      <vt:lpstr>Agency Burden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Oksana Bihun</dc:creator>
  <cp:keywords/>
  <dc:description/>
  <cp:lastModifiedBy>Schultz, Eric</cp:lastModifiedBy>
  <cp:revision/>
  <dcterms:created xsi:type="dcterms:W3CDTF">2021-02-11T15:50:30Z</dcterms:created>
  <dcterms:modified xsi:type="dcterms:W3CDTF">2025-08-26T23:11:01Z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0x0101003EB04EF5C753074E8F20D27BC3DE7DE2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MediaServiceImageTags">
    <vt:lpwstr/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xd_Signature">
    <vt:bool>false</vt:bool>
  </property>
  <property fmtid="{D5CDD505-2E9C-101B-9397-08002B2CF9AE}" pid="15" name="SharedWithUsers">
    <vt:lpwstr>14;#Golla, Emily;#30;#Garfinkel, Johanna;#25;#Averyt, Mollie;#95;#Winicov, Meryl;#33;#Ferenchiak, Rebecca;#106;#Adkins, Emily;#75;#Hu, Zeyu;#122;#Landolfi, David;#124;#Yerardi, Kenny</vt:lpwstr>
  </property>
  <property fmtid="{D5CDD505-2E9C-101B-9397-08002B2CF9AE}" pid="16" name="Document_x0020_Type">
    <vt:lpwstr/>
  </property>
</Properties>
</file>